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1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1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1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1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1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1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1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1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1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2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2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2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2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2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2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2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2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2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30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31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32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33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34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35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36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37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38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39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40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41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42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43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44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45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4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4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48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50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51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52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53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54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55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56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57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58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59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60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61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62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63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64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65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66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67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68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69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70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71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72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5.xml" ContentType="application/vnd.openxmlformats-officedocument.drawing+xml"/>
  <Override PartName="/xl/charts/chart73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74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75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76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77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78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79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80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81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82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83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84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85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86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87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88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89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90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91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92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93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94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95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96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ae6f6154abacb4a/Documents/Game Plan/Portfolio/Staging/"/>
    </mc:Choice>
  </mc:AlternateContent>
  <xr:revisionPtr revIDLastSave="5607" documentId="8_{69124A1E-462F-4DA4-BF60-43F57D548B8F}" xr6:coauthVersionLast="47" xr6:coauthVersionMax="47" xr10:uidLastSave="{2E40F370-0725-4FE0-80BF-6B4697070BAA}"/>
  <bookViews>
    <workbookView xWindow="-120" yWindow="-120" windowWidth="29040" windowHeight="15720" tabRatio="770" firstSheet="1" activeTab="1" xr2:uid="{97BC189D-1A27-410F-B408-2198A43D1F0D}"/>
  </bookViews>
  <sheets>
    <sheet name="Uncleaned Log" sheetId="2" r:id="rId1"/>
    <sheet name="Cleaned Log" sheetId="6" r:id="rId2"/>
    <sheet name="Histograms" sheetId="28" r:id="rId3"/>
    <sheet name="Summary Statistics" sheetId="10" r:id="rId4"/>
    <sheet name="Regression Prep" sheetId="14" r:id="rId5"/>
    <sheet name="Weight Graphs" sheetId="21" r:id="rId6"/>
    <sheet name="Waist Graphs" sheetId="22" r:id="rId7"/>
    <sheet name="Regression" sheetId="4" r:id="rId8"/>
    <sheet name="Residuals" sheetId="15" r:id="rId9"/>
    <sheet name="Weight Residual Plots" sheetId="24" r:id="rId10"/>
    <sheet name="Waist Residual Plots" sheetId="26" r:id="rId11"/>
  </sheets>
  <externalReferences>
    <externalReference r:id="rId12"/>
  </externalReferences>
  <definedNames>
    <definedName name="_xlchart.v1.0" hidden="1">'Cleaned Log'!$V$2:$V$227</definedName>
    <definedName name="_xlchart.v1.1" hidden="1">'Cleaned Log'!$Y$2:$Y$227</definedName>
    <definedName name="_xlchart.v1.10" hidden="1">'Cleaned Log'!$J$2:$J$227</definedName>
    <definedName name="_xlchart.v1.11" hidden="1">'Cleaned Log'!$I$2:$I$227</definedName>
    <definedName name="_xlchart.v1.12" hidden="1">'Cleaned Log'!$K$2:$K$227</definedName>
    <definedName name="_xlchart.v1.13" hidden="1">'Cleaned Log'!$W$2:$W$227</definedName>
    <definedName name="_xlchart.v1.14" hidden="1">'Cleaned Log'!$P$2:$P$227</definedName>
    <definedName name="_xlchart.v1.15" hidden="1">'Cleaned Log'!$Q$2:$Q$227</definedName>
    <definedName name="_xlchart.v1.16" hidden="1">'Cleaned Log'!$R$2:$R$227</definedName>
    <definedName name="_xlchart.v1.17" hidden="1">'Cleaned Log'!$N$2:$N$227</definedName>
    <definedName name="_xlchart.v1.18" hidden="1">'Cleaned Log'!$O$2:$O$227</definedName>
    <definedName name="_xlchart.v1.19" hidden="1">'Cleaned Log'!$L$2:$L$227</definedName>
    <definedName name="_xlchart.v1.2" hidden="1">'Cleaned Log'!$D$2:$D$227</definedName>
    <definedName name="_xlchart.v1.20" hidden="1">'Cleaned Log'!$M$2:$M$227</definedName>
    <definedName name="_xlchart.v1.21" hidden="1">'Cleaned Log'!$T$2:$T$227</definedName>
    <definedName name="_xlchart.v1.22" hidden="1">'Cleaned Log'!$S$2:$S$227</definedName>
    <definedName name="_xlchart.v1.23" hidden="1">'Cleaned Log'!$Z$2:$Z$227</definedName>
    <definedName name="_xlchart.v1.24" hidden="1">'Cleaned Log'!$U$2:$U$227</definedName>
    <definedName name="_xlchart.v1.3" hidden="1">'Cleaned Log'!$E$2:$E$227</definedName>
    <definedName name="_xlchart.v1.4" hidden="1">'Cleaned Log'!$X$2:$X$227</definedName>
    <definedName name="_xlchart.v1.5" hidden="1">'Cleaned Log'!$F$2:$F$227</definedName>
    <definedName name="_xlchart.v1.6" hidden="1">'Cleaned Log'!$G$2:$G$227</definedName>
    <definedName name="_xlchart.v1.7" hidden="1">'Cleaned Log'!$H$2:$H$227</definedName>
    <definedName name="_xlchart.v1.8" hidden="1">'Cleaned Log'!$C$2:$C$227</definedName>
    <definedName name="_xlchart.v1.9" hidden="1">'Cleaned Log'!$B$2:$B$227</definedName>
    <definedName name="Waist">[1]!WeightWaist[Waist (Inches)]</definedName>
    <definedName name="Weight">[1]!WeightWaist[Weight (Pounds)]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4" l="1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2" i="4"/>
  <c r="B4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3" i="4"/>
  <c r="B23" i="4"/>
  <c r="B22" i="4" l="1"/>
  <c r="CD3" i="14" l="1"/>
  <c r="CD4" i="14"/>
  <c r="CD5" i="14"/>
  <c r="CD6" i="14"/>
  <c r="CD7" i="14"/>
  <c r="CD8" i="14"/>
  <c r="CD9" i="14"/>
  <c r="CD10" i="14"/>
  <c r="CD11" i="14"/>
  <c r="CD12" i="14"/>
  <c r="CD13" i="14"/>
  <c r="CD14" i="14"/>
  <c r="CD15" i="14"/>
  <c r="CD16" i="14"/>
  <c r="CD17" i="14"/>
  <c r="CD18" i="14"/>
  <c r="CD19" i="14"/>
  <c r="CD20" i="14"/>
  <c r="CD21" i="14"/>
  <c r="CD22" i="14"/>
  <c r="CD23" i="14"/>
  <c r="CD24" i="14"/>
  <c r="CD25" i="14"/>
  <c r="CD26" i="14"/>
  <c r="CD27" i="14"/>
  <c r="CD28" i="14"/>
  <c r="CD29" i="14"/>
  <c r="CD30" i="14"/>
  <c r="CD31" i="14"/>
  <c r="CD32" i="14"/>
  <c r="CD33" i="14"/>
  <c r="CD34" i="14"/>
  <c r="CD35" i="14"/>
  <c r="CD36" i="14"/>
  <c r="CD37" i="14"/>
  <c r="CD38" i="14"/>
  <c r="CD39" i="14"/>
  <c r="CD40" i="14"/>
  <c r="CD41" i="14"/>
  <c r="CD42" i="14"/>
  <c r="CD43" i="14"/>
  <c r="CD44" i="14"/>
  <c r="CD45" i="14"/>
  <c r="CD46" i="14"/>
  <c r="CD47" i="14"/>
  <c r="CD48" i="14"/>
  <c r="CD49" i="14"/>
  <c r="CD50" i="14"/>
  <c r="CD51" i="14"/>
  <c r="CD52" i="14"/>
  <c r="CD53" i="14"/>
  <c r="CD54" i="14"/>
  <c r="CD55" i="14"/>
  <c r="CD56" i="14"/>
  <c r="CD57" i="14"/>
  <c r="CD58" i="14"/>
  <c r="CD59" i="14"/>
  <c r="CD60" i="14"/>
  <c r="CD61" i="14"/>
  <c r="CD62" i="14"/>
  <c r="CD63" i="14"/>
  <c r="CD64" i="14"/>
  <c r="CD65" i="14"/>
  <c r="CD66" i="14"/>
  <c r="CD67" i="14"/>
  <c r="CD68" i="14"/>
  <c r="CD69" i="14"/>
  <c r="CD70" i="14"/>
  <c r="CD71" i="14"/>
  <c r="CD72" i="14"/>
  <c r="CD73" i="14"/>
  <c r="CD74" i="14"/>
  <c r="CD75" i="14"/>
  <c r="CD76" i="14"/>
  <c r="CD77" i="14"/>
  <c r="CD78" i="14"/>
  <c r="CD79" i="14"/>
  <c r="CD80" i="14"/>
  <c r="CD81" i="14"/>
  <c r="CD82" i="14"/>
  <c r="CD83" i="14"/>
  <c r="CD84" i="14"/>
  <c r="CD85" i="14"/>
  <c r="CD86" i="14"/>
  <c r="CD87" i="14"/>
  <c r="CD88" i="14"/>
  <c r="CD89" i="14"/>
  <c r="CD90" i="14"/>
  <c r="CD91" i="14"/>
  <c r="CD92" i="14"/>
  <c r="CD93" i="14"/>
  <c r="CD94" i="14"/>
  <c r="CD95" i="14"/>
  <c r="CD96" i="14"/>
  <c r="CD97" i="14"/>
  <c r="CD98" i="14"/>
  <c r="CD99" i="14"/>
  <c r="CD100" i="14"/>
  <c r="CD101" i="14"/>
  <c r="CD102" i="14"/>
  <c r="CD103" i="14"/>
  <c r="CD104" i="14"/>
  <c r="CD105" i="14"/>
  <c r="CD106" i="14"/>
  <c r="CD107" i="14"/>
  <c r="CD108" i="14"/>
  <c r="CD109" i="14"/>
  <c r="CD110" i="14"/>
  <c r="CD111" i="14"/>
  <c r="CD112" i="14"/>
  <c r="CD113" i="14"/>
  <c r="CD114" i="14"/>
  <c r="CD115" i="14"/>
  <c r="CD116" i="14"/>
  <c r="CD117" i="14"/>
  <c r="CD118" i="14"/>
  <c r="CD119" i="14"/>
  <c r="CD120" i="14"/>
  <c r="CD121" i="14"/>
  <c r="CD122" i="14"/>
  <c r="CD123" i="14"/>
  <c r="CD124" i="14"/>
  <c r="CD125" i="14"/>
  <c r="CD126" i="14"/>
  <c r="CD127" i="14"/>
  <c r="CD128" i="14"/>
  <c r="CD129" i="14"/>
  <c r="CD130" i="14"/>
  <c r="CD131" i="14"/>
  <c r="CD132" i="14"/>
  <c r="CD133" i="14"/>
  <c r="CD134" i="14"/>
  <c r="CD135" i="14"/>
  <c r="CD136" i="14"/>
  <c r="CD137" i="14"/>
  <c r="CD138" i="14"/>
  <c r="CD139" i="14"/>
  <c r="CD140" i="14"/>
  <c r="CD141" i="14"/>
  <c r="CD142" i="14"/>
  <c r="CD143" i="14"/>
  <c r="CD144" i="14"/>
  <c r="CD145" i="14"/>
  <c r="CD146" i="14"/>
  <c r="CD147" i="14"/>
  <c r="CD148" i="14"/>
  <c r="CD149" i="14"/>
  <c r="CD150" i="14"/>
  <c r="CD151" i="14"/>
  <c r="CD152" i="14"/>
  <c r="CD153" i="14"/>
  <c r="CD154" i="14"/>
  <c r="CD155" i="14"/>
  <c r="CD156" i="14"/>
  <c r="CD157" i="14"/>
  <c r="CD158" i="14"/>
  <c r="CD159" i="14"/>
  <c r="CD160" i="14"/>
  <c r="CD161" i="14"/>
  <c r="CD162" i="14"/>
  <c r="CD163" i="14"/>
  <c r="CD164" i="14"/>
  <c r="CD165" i="14"/>
  <c r="CD166" i="14"/>
  <c r="CD167" i="14"/>
  <c r="CD168" i="14"/>
  <c r="CD169" i="14"/>
  <c r="CD170" i="14"/>
  <c r="CD171" i="14"/>
  <c r="CD172" i="14"/>
  <c r="CD173" i="14"/>
  <c r="CD174" i="14"/>
  <c r="CD175" i="14"/>
  <c r="CD176" i="14"/>
  <c r="CD177" i="14"/>
  <c r="CD178" i="14"/>
  <c r="CD179" i="14"/>
  <c r="CD180" i="14"/>
  <c r="CD181" i="14"/>
  <c r="CD182" i="14"/>
  <c r="CD183" i="14"/>
  <c r="CD184" i="14"/>
  <c r="CD185" i="14"/>
  <c r="CD186" i="14"/>
  <c r="CD187" i="14"/>
  <c r="CD188" i="14"/>
  <c r="CD189" i="14"/>
  <c r="CD190" i="14"/>
  <c r="CD191" i="14"/>
  <c r="CD192" i="14"/>
  <c r="CD193" i="14"/>
  <c r="CD194" i="14"/>
  <c r="CD195" i="14"/>
  <c r="CD196" i="14"/>
  <c r="CD197" i="14"/>
  <c r="CD198" i="14"/>
  <c r="CD199" i="14"/>
  <c r="CD200" i="14"/>
  <c r="CD201" i="14"/>
  <c r="CD202" i="14"/>
  <c r="CD203" i="14"/>
  <c r="CD204" i="14"/>
  <c r="CD205" i="14"/>
  <c r="CD206" i="14"/>
  <c r="CD207" i="14"/>
  <c r="CD208" i="14"/>
  <c r="CD209" i="14"/>
  <c r="CD210" i="14"/>
  <c r="CD211" i="14"/>
  <c r="CD212" i="14"/>
  <c r="CD213" i="14"/>
  <c r="CD214" i="14"/>
  <c r="CD215" i="14"/>
  <c r="CD216" i="14"/>
  <c r="CD217" i="14"/>
  <c r="CD218" i="14"/>
  <c r="CD219" i="14"/>
  <c r="CD220" i="14"/>
  <c r="CD221" i="14"/>
  <c r="CD222" i="14"/>
  <c r="CD223" i="14"/>
  <c r="CD224" i="14"/>
  <c r="CD225" i="14"/>
  <c r="CD226" i="14"/>
  <c r="CD227" i="14"/>
  <c r="CD2" i="14"/>
  <c r="BG3" i="14"/>
  <c r="BG4" i="14"/>
  <c r="BG5" i="14"/>
  <c r="BG6" i="14"/>
  <c r="BG7" i="14"/>
  <c r="BG8" i="14"/>
  <c r="BG9" i="14"/>
  <c r="BG10" i="14"/>
  <c r="BG11" i="14"/>
  <c r="BG12" i="14"/>
  <c r="BG13" i="14"/>
  <c r="BG14" i="14"/>
  <c r="BG15" i="14"/>
  <c r="BG16" i="14"/>
  <c r="BG17" i="14"/>
  <c r="BG18" i="14"/>
  <c r="BG19" i="14"/>
  <c r="BG20" i="14"/>
  <c r="BG21" i="14"/>
  <c r="BG22" i="14"/>
  <c r="BG23" i="14"/>
  <c r="BG24" i="14"/>
  <c r="BG25" i="14"/>
  <c r="BG26" i="14"/>
  <c r="BG27" i="14"/>
  <c r="BG28" i="14"/>
  <c r="BG29" i="14"/>
  <c r="BG30" i="14"/>
  <c r="BG31" i="14"/>
  <c r="BG32" i="14"/>
  <c r="BG33" i="14"/>
  <c r="BG34" i="14"/>
  <c r="BG35" i="14"/>
  <c r="BG36" i="14"/>
  <c r="BG37" i="14"/>
  <c r="BG38" i="14"/>
  <c r="BG39" i="14"/>
  <c r="BG40" i="14"/>
  <c r="BG41" i="14"/>
  <c r="BG42" i="14"/>
  <c r="BG43" i="14"/>
  <c r="BG44" i="14"/>
  <c r="BG45" i="14"/>
  <c r="BG46" i="14"/>
  <c r="BG47" i="14"/>
  <c r="BG48" i="14"/>
  <c r="BG49" i="14"/>
  <c r="BG50" i="14"/>
  <c r="BG51" i="14"/>
  <c r="BG52" i="14"/>
  <c r="BG53" i="14"/>
  <c r="BG54" i="14"/>
  <c r="BG55" i="14"/>
  <c r="BG56" i="14"/>
  <c r="BG57" i="14"/>
  <c r="BG58" i="14"/>
  <c r="BG59" i="14"/>
  <c r="BG60" i="14"/>
  <c r="BG61" i="14"/>
  <c r="BG62" i="14"/>
  <c r="BG63" i="14"/>
  <c r="BG64" i="14"/>
  <c r="BG65" i="14"/>
  <c r="BG66" i="14"/>
  <c r="BG67" i="14"/>
  <c r="BG68" i="14"/>
  <c r="BG69" i="14"/>
  <c r="BG70" i="14"/>
  <c r="BG71" i="14"/>
  <c r="BG72" i="14"/>
  <c r="BG73" i="14"/>
  <c r="BG74" i="14"/>
  <c r="BG75" i="14"/>
  <c r="BG76" i="14"/>
  <c r="BG77" i="14"/>
  <c r="BG78" i="14"/>
  <c r="BG79" i="14"/>
  <c r="BG80" i="14"/>
  <c r="BG81" i="14"/>
  <c r="BG82" i="14"/>
  <c r="BG83" i="14"/>
  <c r="BG84" i="14"/>
  <c r="BG85" i="14"/>
  <c r="BG86" i="14"/>
  <c r="BG87" i="14"/>
  <c r="BG88" i="14"/>
  <c r="BG89" i="14"/>
  <c r="BG90" i="14"/>
  <c r="BG91" i="14"/>
  <c r="BG92" i="14"/>
  <c r="BG93" i="14"/>
  <c r="BG94" i="14"/>
  <c r="BG95" i="14"/>
  <c r="BG96" i="14"/>
  <c r="BG97" i="14"/>
  <c r="BG98" i="14"/>
  <c r="BG99" i="14"/>
  <c r="BG100" i="14"/>
  <c r="BG101" i="14"/>
  <c r="BG102" i="14"/>
  <c r="BG103" i="14"/>
  <c r="BG104" i="14"/>
  <c r="BG105" i="14"/>
  <c r="BG106" i="14"/>
  <c r="BG107" i="14"/>
  <c r="BG108" i="14"/>
  <c r="BG109" i="14"/>
  <c r="BG110" i="14"/>
  <c r="BG111" i="14"/>
  <c r="BG112" i="14"/>
  <c r="BG113" i="14"/>
  <c r="BG114" i="14"/>
  <c r="BG115" i="14"/>
  <c r="BG116" i="14"/>
  <c r="BG117" i="14"/>
  <c r="BG118" i="14"/>
  <c r="BG119" i="14"/>
  <c r="BG120" i="14"/>
  <c r="BG121" i="14"/>
  <c r="BG122" i="14"/>
  <c r="BG123" i="14"/>
  <c r="BG124" i="14"/>
  <c r="BG125" i="14"/>
  <c r="BG126" i="14"/>
  <c r="BG127" i="14"/>
  <c r="BG128" i="14"/>
  <c r="BG129" i="14"/>
  <c r="BG130" i="14"/>
  <c r="BG131" i="14"/>
  <c r="BG132" i="14"/>
  <c r="BG133" i="14"/>
  <c r="BG134" i="14"/>
  <c r="BG135" i="14"/>
  <c r="BG136" i="14"/>
  <c r="BG137" i="14"/>
  <c r="BG138" i="14"/>
  <c r="BG139" i="14"/>
  <c r="BG140" i="14"/>
  <c r="BG141" i="14"/>
  <c r="BG142" i="14"/>
  <c r="BG143" i="14"/>
  <c r="BG144" i="14"/>
  <c r="BG145" i="14"/>
  <c r="BG146" i="14"/>
  <c r="BG147" i="14"/>
  <c r="BG148" i="14"/>
  <c r="BG149" i="14"/>
  <c r="BG150" i="14"/>
  <c r="BG151" i="14"/>
  <c r="BG152" i="14"/>
  <c r="BG153" i="14"/>
  <c r="BG154" i="14"/>
  <c r="BG155" i="14"/>
  <c r="BG156" i="14"/>
  <c r="BG157" i="14"/>
  <c r="BG158" i="14"/>
  <c r="BG159" i="14"/>
  <c r="BG160" i="14"/>
  <c r="BG161" i="14"/>
  <c r="BG162" i="14"/>
  <c r="BG163" i="14"/>
  <c r="BG164" i="14"/>
  <c r="BG165" i="14"/>
  <c r="BG166" i="14"/>
  <c r="BG167" i="14"/>
  <c r="BG168" i="14"/>
  <c r="BG169" i="14"/>
  <c r="BG170" i="14"/>
  <c r="BG171" i="14"/>
  <c r="BG172" i="14"/>
  <c r="BG173" i="14"/>
  <c r="BG174" i="14"/>
  <c r="BG175" i="14"/>
  <c r="BG176" i="14"/>
  <c r="BG177" i="14"/>
  <c r="BG178" i="14"/>
  <c r="BG179" i="14"/>
  <c r="BG180" i="14"/>
  <c r="BG181" i="14"/>
  <c r="BG182" i="14"/>
  <c r="BG183" i="14"/>
  <c r="BG184" i="14"/>
  <c r="BG185" i="14"/>
  <c r="BG186" i="14"/>
  <c r="BG187" i="14"/>
  <c r="BG188" i="14"/>
  <c r="BG189" i="14"/>
  <c r="BG190" i="14"/>
  <c r="BG191" i="14"/>
  <c r="BG192" i="14"/>
  <c r="BG193" i="14"/>
  <c r="BG194" i="14"/>
  <c r="BG195" i="14"/>
  <c r="BG196" i="14"/>
  <c r="BG197" i="14"/>
  <c r="BG198" i="14"/>
  <c r="BG199" i="14"/>
  <c r="BG200" i="14"/>
  <c r="BG201" i="14"/>
  <c r="BG202" i="14"/>
  <c r="BG203" i="14"/>
  <c r="BG204" i="14"/>
  <c r="BG205" i="14"/>
  <c r="BG206" i="14"/>
  <c r="BG207" i="14"/>
  <c r="BG208" i="14"/>
  <c r="BG209" i="14"/>
  <c r="BG210" i="14"/>
  <c r="BG211" i="14"/>
  <c r="BG212" i="14"/>
  <c r="BG213" i="14"/>
  <c r="BG214" i="14"/>
  <c r="BG215" i="14"/>
  <c r="BG216" i="14"/>
  <c r="BG217" i="14"/>
  <c r="BG218" i="14"/>
  <c r="BG219" i="14"/>
  <c r="BG220" i="14"/>
  <c r="BG221" i="14"/>
  <c r="BG222" i="14"/>
  <c r="BG223" i="14"/>
  <c r="BG224" i="14"/>
  <c r="BG225" i="14"/>
  <c r="BG226" i="14"/>
  <c r="BG227" i="14"/>
  <c r="BG2" i="14"/>
  <c r="B26" i="4" l="1"/>
  <c r="Z4" i="4"/>
  <c r="Z2" i="4" s="1"/>
  <c r="C4" i="4"/>
  <c r="C2" i="4" s="1"/>
  <c r="D4" i="4"/>
  <c r="D2" i="4" s="1"/>
  <c r="E4" i="4"/>
  <c r="E2" i="4" s="1"/>
  <c r="F4" i="4"/>
  <c r="F2" i="4" s="1"/>
  <c r="G4" i="4"/>
  <c r="G2" i="4" s="1"/>
  <c r="H4" i="4"/>
  <c r="H2" i="4" s="1"/>
  <c r="I4" i="4"/>
  <c r="I2" i="4" s="1"/>
  <c r="J4" i="4"/>
  <c r="J2" i="4" s="1"/>
  <c r="K4" i="4"/>
  <c r="K2" i="4" s="1"/>
  <c r="L4" i="4"/>
  <c r="L2" i="4" s="1"/>
  <c r="M4" i="4"/>
  <c r="M2" i="4" s="1"/>
  <c r="N4" i="4"/>
  <c r="N2" i="4" s="1"/>
  <c r="O4" i="4"/>
  <c r="O2" i="4" s="1"/>
  <c r="P4" i="4"/>
  <c r="P2" i="4" s="1"/>
  <c r="Q4" i="4"/>
  <c r="Q2" i="4" s="1"/>
  <c r="R4" i="4"/>
  <c r="R2" i="4" s="1"/>
  <c r="S4" i="4"/>
  <c r="S2" i="4" s="1"/>
  <c r="T4" i="4"/>
  <c r="T2" i="4" s="1"/>
  <c r="U4" i="4"/>
  <c r="U2" i="4" s="1"/>
  <c r="V4" i="4"/>
  <c r="V2" i="4" s="1"/>
  <c r="W4" i="4"/>
  <c r="W2" i="4" s="1"/>
  <c r="X4" i="4"/>
  <c r="X2" i="4" s="1"/>
  <c r="Y4" i="4"/>
  <c r="Y2" i="4" s="1"/>
  <c r="B4" i="4"/>
  <c r="B2" i="4" s="1"/>
  <c r="D26" i="4"/>
  <c r="D27" i="4" s="1"/>
  <c r="E26" i="4"/>
  <c r="E27" i="4" s="1"/>
  <c r="F26" i="4"/>
  <c r="F27" i="4" s="1"/>
  <c r="G26" i="4"/>
  <c r="G27" i="4" s="1"/>
  <c r="H26" i="4"/>
  <c r="H27" i="4" s="1"/>
  <c r="I26" i="4"/>
  <c r="I27" i="4" s="1"/>
  <c r="J26" i="4"/>
  <c r="J27" i="4" s="1"/>
  <c r="K26" i="4"/>
  <c r="K27" i="4" s="1"/>
  <c r="L26" i="4"/>
  <c r="L27" i="4" s="1"/>
  <c r="M26" i="4"/>
  <c r="M27" i="4" s="1"/>
  <c r="N26" i="4"/>
  <c r="N27" i="4" s="1"/>
  <c r="O26" i="4"/>
  <c r="O27" i="4" s="1"/>
  <c r="P26" i="4"/>
  <c r="P27" i="4" s="1"/>
  <c r="Q26" i="4"/>
  <c r="Q27" i="4" s="1"/>
  <c r="R26" i="4"/>
  <c r="R27" i="4" s="1"/>
  <c r="S26" i="4"/>
  <c r="S27" i="4" s="1"/>
  <c r="T26" i="4"/>
  <c r="T27" i="4" s="1"/>
  <c r="U26" i="4"/>
  <c r="U27" i="4" s="1"/>
  <c r="V26" i="4"/>
  <c r="V27" i="4" s="1"/>
  <c r="W26" i="4"/>
  <c r="W27" i="4" s="1"/>
  <c r="X26" i="4"/>
  <c r="X27" i="4" s="1"/>
  <c r="Y26" i="4"/>
  <c r="Y27" i="4" s="1"/>
  <c r="C7" i="4"/>
  <c r="C8" i="4" s="1"/>
  <c r="D7" i="4"/>
  <c r="D8" i="4" s="1"/>
  <c r="E7" i="4"/>
  <c r="E8" i="4" s="1"/>
  <c r="F7" i="4"/>
  <c r="F8" i="4" s="1"/>
  <c r="G7" i="4"/>
  <c r="G8" i="4" s="1"/>
  <c r="H7" i="4"/>
  <c r="H8" i="4" s="1"/>
  <c r="I7" i="4"/>
  <c r="I8" i="4" s="1"/>
  <c r="J7" i="4"/>
  <c r="J8" i="4" s="1"/>
  <c r="K7" i="4"/>
  <c r="K8" i="4" s="1"/>
  <c r="L7" i="4"/>
  <c r="L8" i="4" s="1"/>
  <c r="M7" i="4"/>
  <c r="M8" i="4" s="1"/>
  <c r="N7" i="4"/>
  <c r="N8" i="4" s="1"/>
  <c r="O7" i="4"/>
  <c r="O8" i="4" s="1"/>
  <c r="P7" i="4"/>
  <c r="P8" i="4" s="1"/>
  <c r="Q7" i="4"/>
  <c r="Q8" i="4" s="1"/>
  <c r="R7" i="4"/>
  <c r="R8" i="4" s="1"/>
  <c r="S7" i="4"/>
  <c r="S8" i="4" s="1"/>
  <c r="T7" i="4"/>
  <c r="T8" i="4" s="1"/>
  <c r="U7" i="4"/>
  <c r="U8" i="4" s="1"/>
  <c r="V7" i="4"/>
  <c r="V8" i="4" s="1"/>
  <c r="W7" i="4"/>
  <c r="W8" i="4" s="1"/>
  <c r="X7" i="4"/>
  <c r="X8" i="4" s="1"/>
  <c r="Y7" i="4"/>
  <c r="Y8" i="4" s="1"/>
  <c r="C26" i="4"/>
  <c r="C27" i="4" s="1"/>
  <c r="B7" i="4"/>
  <c r="CS2" i="14"/>
  <c r="Y17" i="4" l="1"/>
  <c r="Y18" i="4" s="1"/>
  <c r="U17" i="4"/>
  <c r="U18" i="4" s="1"/>
  <c r="Q17" i="4"/>
  <c r="Q18" i="4" s="1"/>
  <c r="M17" i="4"/>
  <c r="M18" i="4" s="1"/>
  <c r="I17" i="4"/>
  <c r="I18" i="4" s="1"/>
  <c r="E17" i="4"/>
  <c r="E18" i="4" s="1"/>
  <c r="W17" i="4"/>
  <c r="W18" i="4" s="1"/>
  <c r="S17" i="4"/>
  <c r="S18" i="4" s="1"/>
  <c r="O17" i="4"/>
  <c r="O18" i="4" s="1"/>
  <c r="K17" i="4"/>
  <c r="K18" i="4" s="1"/>
  <c r="G17" i="4"/>
  <c r="G18" i="4" s="1"/>
  <c r="C17" i="4"/>
  <c r="C18" i="4" s="1"/>
  <c r="J17" i="4"/>
  <c r="X36" i="4"/>
  <c r="X37" i="4" s="1"/>
  <c r="T36" i="4"/>
  <c r="T37" i="4" s="1"/>
  <c r="P36" i="4"/>
  <c r="P37" i="4" s="1"/>
  <c r="L36" i="4"/>
  <c r="L37" i="4" s="1"/>
  <c r="H36" i="4"/>
  <c r="H37" i="4" s="1"/>
  <c r="D36" i="4"/>
  <c r="D37" i="4" s="1"/>
  <c r="X17" i="4"/>
  <c r="X18" i="4" s="1"/>
  <c r="T17" i="4"/>
  <c r="T18" i="4" s="1"/>
  <c r="P17" i="4"/>
  <c r="P18" i="4" s="1"/>
  <c r="L17" i="4"/>
  <c r="L18" i="4" s="1"/>
  <c r="H17" i="4"/>
  <c r="H18" i="4" s="1"/>
  <c r="D17" i="4"/>
  <c r="D18" i="4" s="1"/>
  <c r="W36" i="4"/>
  <c r="W37" i="4" s="1"/>
  <c r="S36" i="4"/>
  <c r="S37" i="4" s="1"/>
  <c r="O36" i="4"/>
  <c r="O37" i="4" s="1"/>
  <c r="K36" i="4"/>
  <c r="K37" i="4" s="1"/>
  <c r="G36" i="4"/>
  <c r="G37" i="4" s="1"/>
  <c r="V36" i="4"/>
  <c r="V37" i="4" s="1"/>
  <c r="R36" i="4"/>
  <c r="R37" i="4" s="1"/>
  <c r="N36" i="4"/>
  <c r="N37" i="4" s="1"/>
  <c r="J36" i="4"/>
  <c r="J37" i="4" s="1"/>
  <c r="F36" i="4"/>
  <c r="F37" i="4" s="1"/>
  <c r="C36" i="4"/>
  <c r="C37" i="4" s="1"/>
  <c r="Y36" i="4"/>
  <c r="Y37" i="4" s="1"/>
  <c r="U36" i="4"/>
  <c r="U37" i="4" s="1"/>
  <c r="Q36" i="4"/>
  <c r="Q37" i="4" s="1"/>
  <c r="M36" i="4"/>
  <c r="M37" i="4" s="1"/>
  <c r="I36" i="4"/>
  <c r="I37" i="4" s="1"/>
  <c r="E36" i="4"/>
  <c r="E37" i="4" s="1"/>
  <c r="V17" i="4"/>
  <c r="V18" i="4" s="1"/>
  <c r="R17" i="4"/>
  <c r="R18" i="4" s="1"/>
  <c r="N17" i="4"/>
  <c r="N18" i="4" s="1"/>
  <c r="F17" i="4"/>
  <c r="F18" i="4" s="1"/>
  <c r="Y28" i="4"/>
  <c r="U28" i="4"/>
  <c r="Q28" i="4"/>
  <c r="M28" i="4"/>
  <c r="I28" i="4"/>
  <c r="E28" i="4"/>
  <c r="V9" i="4"/>
  <c r="C28" i="4"/>
  <c r="W28" i="4"/>
  <c r="S28" i="4"/>
  <c r="O28" i="4"/>
  <c r="K28" i="4"/>
  <c r="D28" i="4"/>
  <c r="X28" i="4"/>
  <c r="T28" i="4"/>
  <c r="P28" i="4"/>
  <c r="L28" i="4"/>
  <c r="H28" i="4"/>
  <c r="W9" i="4"/>
  <c r="S9" i="4"/>
  <c r="O9" i="4"/>
  <c r="K9" i="4"/>
  <c r="G9" i="4"/>
  <c r="C9" i="4"/>
  <c r="G28" i="4"/>
  <c r="V28" i="4"/>
  <c r="R28" i="4"/>
  <c r="N28" i="4"/>
  <c r="J28" i="4"/>
  <c r="F28" i="4"/>
  <c r="N9" i="4"/>
  <c r="J9" i="4"/>
  <c r="F9" i="4"/>
  <c r="R9" i="4"/>
  <c r="X9" i="4"/>
  <c r="T9" i="4"/>
  <c r="P9" i="4"/>
  <c r="L9" i="4"/>
  <c r="H9" i="4"/>
  <c r="D9" i="4"/>
  <c r="U9" i="4"/>
  <c r="Q9" i="4"/>
  <c r="M9" i="4"/>
  <c r="I9" i="4"/>
  <c r="E9" i="4"/>
  <c r="Y9" i="4"/>
  <c r="B27" i="4"/>
  <c r="B8" i="4"/>
  <c r="B9" i="4" s="1"/>
  <c r="CS3" i="14"/>
  <c r="CS4" i="14"/>
  <c r="CS5" i="14"/>
  <c r="CS6" i="14"/>
  <c r="CS7" i="14"/>
  <c r="CS8" i="14"/>
  <c r="CS9" i="14"/>
  <c r="CS10" i="14"/>
  <c r="CS11" i="14"/>
  <c r="CS12" i="14"/>
  <c r="CS13" i="14"/>
  <c r="CS14" i="14"/>
  <c r="CS15" i="14"/>
  <c r="CS16" i="14"/>
  <c r="CS17" i="14"/>
  <c r="CS18" i="14"/>
  <c r="CS19" i="14"/>
  <c r="CS20" i="14"/>
  <c r="CS21" i="14"/>
  <c r="CS22" i="14"/>
  <c r="CS23" i="14"/>
  <c r="CS24" i="14"/>
  <c r="CS25" i="14"/>
  <c r="CS26" i="14"/>
  <c r="CS27" i="14"/>
  <c r="CS28" i="14"/>
  <c r="CS29" i="14"/>
  <c r="CS30" i="14"/>
  <c r="CS31" i="14"/>
  <c r="CS32" i="14"/>
  <c r="CS33" i="14"/>
  <c r="CS34" i="14"/>
  <c r="CS35" i="14"/>
  <c r="CS36" i="14"/>
  <c r="CS37" i="14"/>
  <c r="CS38" i="14"/>
  <c r="CS39" i="14"/>
  <c r="CS40" i="14"/>
  <c r="CS41" i="14"/>
  <c r="CS42" i="14"/>
  <c r="CS43" i="14"/>
  <c r="CS44" i="14"/>
  <c r="CS45" i="14"/>
  <c r="CS46" i="14"/>
  <c r="CS47" i="14"/>
  <c r="CS48" i="14"/>
  <c r="CS49" i="14"/>
  <c r="CS50" i="14"/>
  <c r="CS51" i="14"/>
  <c r="CS52" i="14"/>
  <c r="CS53" i="14"/>
  <c r="CS54" i="14"/>
  <c r="CS55" i="14"/>
  <c r="CS56" i="14"/>
  <c r="CS57" i="14"/>
  <c r="CS58" i="14"/>
  <c r="CS59" i="14"/>
  <c r="CS60" i="14"/>
  <c r="CS61" i="14"/>
  <c r="CS62" i="14"/>
  <c r="CS63" i="14"/>
  <c r="CS64" i="14"/>
  <c r="CS65" i="14"/>
  <c r="CS66" i="14"/>
  <c r="CS67" i="14"/>
  <c r="CS68" i="14"/>
  <c r="CS69" i="14"/>
  <c r="CS70" i="14"/>
  <c r="CS71" i="14"/>
  <c r="CS72" i="14"/>
  <c r="CS73" i="14"/>
  <c r="CS74" i="14"/>
  <c r="CS75" i="14"/>
  <c r="CS76" i="14"/>
  <c r="CS77" i="14"/>
  <c r="CS78" i="14"/>
  <c r="CS79" i="14"/>
  <c r="CS80" i="14"/>
  <c r="CS81" i="14"/>
  <c r="CS82" i="14"/>
  <c r="CS83" i="14"/>
  <c r="CS84" i="14"/>
  <c r="CS85" i="14"/>
  <c r="CS86" i="14"/>
  <c r="CS87" i="14"/>
  <c r="CS88" i="14"/>
  <c r="CS89" i="14"/>
  <c r="CS90" i="14"/>
  <c r="CS91" i="14"/>
  <c r="CS92" i="14"/>
  <c r="CS93" i="14"/>
  <c r="CS94" i="14"/>
  <c r="CS95" i="14"/>
  <c r="CS96" i="14"/>
  <c r="CS97" i="14"/>
  <c r="CS98" i="14"/>
  <c r="CS99" i="14"/>
  <c r="CS100" i="14"/>
  <c r="CS101" i="14"/>
  <c r="CS102" i="14"/>
  <c r="CS103" i="14"/>
  <c r="CS104" i="14"/>
  <c r="CS105" i="14"/>
  <c r="CS106" i="14"/>
  <c r="CS107" i="14"/>
  <c r="CS108" i="14"/>
  <c r="CS109" i="14"/>
  <c r="CS110" i="14"/>
  <c r="CS111" i="14"/>
  <c r="CS112" i="14"/>
  <c r="CS113" i="14"/>
  <c r="CS114" i="14"/>
  <c r="CS115" i="14"/>
  <c r="CS116" i="14"/>
  <c r="CS117" i="14"/>
  <c r="CS118" i="14"/>
  <c r="CS119" i="14"/>
  <c r="CS120" i="14"/>
  <c r="CS121" i="14"/>
  <c r="CS122" i="14"/>
  <c r="CS123" i="14"/>
  <c r="CS124" i="14"/>
  <c r="CS125" i="14"/>
  <c r="CS126" i="14"/>
  <c r="CS127" i="14"/>
  <c r="CS128" i="14"/>
  <c r="CS129" i="14"/>
  <c r="CS130" i="14"/>
  <c r="CS131" i="14"/>
  <c r="CS132" i="14"/>
  <c r="CS133" i="14"/>
  <c r="CS134" i="14"/>
  <c r="CS135" i="14"/>
  <c r="CS136" i="14"/>
  <c r="CS137" i="14"/>
  <c r="CS138" i="14"/>
  <c r="CS139" i="14"/>
  <c r="CS140" i="14"/>
  <c r="CS141" i="14"/>
  <c r="CS142" i="14"/>
  <c r="CS143" i="14"/>
  <c r="CS144" i="14"/>
  <c r="CS145" i="14"/>
  <c r="CS146" i="14"/>
  <c r="CS147" i="14"/>
  <c r="CS148" i="14"/>
  <c r="CS149" i="14"/>
  <c r="CS150" i="14"/>
  <c r="CS151" i="14"/>
  <c r="CS152" i="14"/>
  <c r="CS153" i="14"/>
  <c r="CS154" i="14"/>
  <c r="CS155" i="14"/>
  <c r="CS156" i="14"/>
  <c r="CS157" i="14"/>
  <c r="CS158" i="14"/>
  <c r="CS159" i="14"/>
  <c r="CS160" i="14"/>
  <c r="CS161" i="14"/>
  <c r="CS162" i="14"/>
  <c r="CS163" i="14"/>
  <c r="CS164" i="14"/>
  <c r="CS165" i="14"/>
  <c r="CS166" i="14"/>
  <c r="CS167" i="14"/>
  <c r="CS168" i="14"/>
  <c r="CS169" i="14"/>
  <c r="CS170" i="14"/>
  <c r="CS171" i="14"/>
  <c r="CS172" i="14"/>
  <c r="CS173" i="14"/>
  <c r="CS174" i="14"/>
  <c r="CS175" i="14"/>
  <c r="CS176" i="14"/>
  <c r="CS177" i="14"/>
  <c r="CS178" i="14"/>
  <c r="CS179" i="14"/>
  <c r="CS180" i="14"/>
  <c r="CS181" i="14"/>
  <c r="CS182" i="14"/>
  <c r="CS183" i="14"/>
  <c r="CS184" i="14"/>
  <c r="CS185" i="14"/>
  <c r="CS186" i="14"/>
  <c r="CS187" i="14"/>
  <c r="CS188" i="14"/>
  <c r="CS189" i="14"/>
  <c r="CS190" i="14"/>
  <c r="CS191" i="14"/>
  <c r="CS192" i="14"/>
  <c r="CS193" i="14"/>
  <c r="CS194" i="14"/>
  <c r="CS195" i="14"/>
  <c r="CS196" i="14"/>
  <c r="CS197" i="14"/>
  <c r="CS198" i="14"/>
  <c r="CS199" i="14"/>
  <c r="CS200" i="14"/>
  <c r="CS201" i="14"/>
  <c r="CS202" i="14"/>
  <c r="CS203" i="14"/>
  <c r="CS204" i="14"/>
  <c r="CS205" i="14"/>
  <c r="CS206" i="14"/>
  <c r="CS207" i="14"/>
  <c r="CS208" i="14"/>
  <c r="CS209" i="14"/>
  <c r="CS210" i="14"/>
  <c r="CS211" i="14"/>
  <c r="CS212" i="14"/>
  <c r="CS213" i="14"/>
  <c r="CS214" i="14"/>
  <c r="CS215" i="14"/>
  <c r="CS216" i="14"/>
  <c r="CS217" i="14"/>
  <c r="CS218" i="14"/>
  <c r="CS219" i="14"/>
  <c r="CS220" i="14"/>
  <c r="CS221" i="14"/>
  <c r="CS222" i="14"/>
  <c r="CS223" i="14"/>
  <c r="CS224" i="14"/>
  <c r="CS225" i="14"/>
  <c r="CS226" i="14"/>
  <c r="CS227" i="14"/>
  <c r="CR2" i="14"/>
  <c r="CR3" i="14"/>
  <c r="CR4" i="14"/>
  <c r="CR5" i="14"/>
  <c r="CR6" i="14"/>
  <c r="CR7" i="14"/>
  <c r="CR8" i="14"/>
  <c r="CR9" i="14"/>
  <c r="CR10" i="14"/>
  <c r="CR11" i="14"/>
  <c r="CR12" i="14"/>
  <c r="CR13" i="14"/>
  <c r="CR14" i="14"/>
  <c r="CR15" i="14"/>
  <c r="CR16" i="14"/>
  <c r="CR17" i="14"/>
  <c r="CR18" i="14"/>
  <c r="CR19" i="14"/>
  <c r="CR20" i="14"/>
  <c r="CR21" i="14"/>
  <c r="CR22" i="14"/>
  <c r="CR23" i="14"/>
  <c r="CR24" i="14"/>
  <c r="CR25" i="14"/>
  <c r="CR26" i="14"/>
  <c r="CR27" i="14"/>
  <c r="CR28" i="14"/>
  <c r="CR29" i="14"/>
  <c r="CR30" i="14"/>
  <c r="CR31" i="14"/>
  <c r="CR32" i="14"/>
  <c r="CR33" i="14"/>
  <c r="CR34" i="14"/>
  <c r="CR35" i="14"/>
  <c r="CR36" i="14"/>
  <c r="CR37" i="14"/>
  <c r="CR38" i="14"/>
  <c r="CR39" i="14"/>
  <c r="CR40" i="14"/>
  <c r="CR41" i="14"/>
  <c r="CR42" i="14"/>
  <c r="CR43" i="14"/>
  <c r="CR44" i="14"/>
  <c r="CR45" i="14"/>
  <c r="CR46" i="14"/>
  <c r="CR47" i="14"/>
  <c r="CR48" i="14"/>
  <c r="CR49" i="14"/>
  <c r="CR50" i="14"/>
  <c r="CR51" i="14"/>
  <c r="CR52" i="14"/>
  <c r="CR53" i="14"/>
  <c r="CR54" i="14"/>
  <c r="CR55" i="14"/>
  <c r="CR56" i="14"/>
  <c r="CR57" i="14"/>
  <c r="CR58" i="14"/>
  <c r="CR59" i="14"/>
  <c r="CR60" i="14"/>
  <c r="CR61" i="14"/>
  <c r="CR62" i="14"/>
  <c r="CR63" i="14"/>
  <c r="CR64" i="14"/>
  <c r="CR65" i="14"/>
  <c r="CR66" i="14"/>
  <c r="CR67" i="14"/>
  <c r="CR68" i="14"/>
  <c r="CR69" i="14"/>
  <c r="CR70" i="14"/>
  <c r="CR71" i="14"/>
  <c r="CR72" i="14"/>
  <c r="CR73" i="14"/>
  <c r="CR74" i="14"/>
  <c r="CR75" i="14"/>
  <c r="CR76" i="14"/>
  <c r="CR77" i="14"/>
  <c r="CR78" i="14"/>
  <c r="CR79" i="14"/>
  <c r="CR80" i="14"/>
  <c r="CR81" i="14"/>
  <c r="CR82" i="14"/>
  <c r="CR83" i="14"/>
  <c r="CR84" i="14"/>
  <c r="CR85" i="14"/>
  <c r="CR86" i="14"/>
  <c r="CR87" i="14"/>
  <c r="CR88" i="14"/>
  <c r="CR89" i="14"/>
  <c r="CR90" i="14"/>
  <c r="CR91" i="14"/>
  <c r="CR92" i="14"/>
  <c r="CR93" i="14"/>
  <c r="CR94" i="14"/>
  <c r="CR95" i="14"/>
  <c r="CR96" i="14"/>
  <c r="CR97" i="14"/>
  <c r="CR98" i="14"/>
  <c r="CR99" i="14"/>
  <c r="CR100" i="14"/>
  <c r="CR101" i="14"/>
  <c r="CR102" i="14"/>
  <c r="CR103" i="14"/>
  <c r="CR104" i="14"/>
  <c r="CR105" i="14"/>
  <c r="CR106" i="14"/>
  <c r="CR107" i="14"/>
  <c r="CR108" i="14"/>
  <c r="CR109" i="14"/>
  <c r="CR110" i="14"/>
  <c r="CR111" i="14"/>
  <c r="CR112" i="14"/>
  <c r="CR113" i="14"/>
  <c r="CR114" i="14"/>
  <c r="CR115" i="14"/>
  <c r="CR116" i="14"/>
  <c r="CR117" i="14"/>
  <c r="CR118" i="14"/>
  <c r="CR119" i="14"/>
  <c r="CR120" i="14"/>
  <c r="CR121" i="14"/>
  <c r="CR122" i="14"/>
  <c r="CR123" i="14"/>
  <c r="CR124" i="14"/>
  <c r="CR125" i="14"/>
  <c r="CR126" i="14"/>
  <c r="CR127" i="14"/>
  <c r="CR128" i="14"/>
  <c r="CR129" i="14"/>
  <c r="CR130" i="14"/>
  <c r="CR131" i="14"/>
  <c r="CR132" i="14"/>
  <c r="CR133" i="14"/>
  <c r="CR134" i="14"/>
  <c r="CR135" i="14"/>
  <c r="CR136" i="14"/>
  <c r="CR137" i="14"/>
  <c r="CR138" i="14"/>
  <c r="CR139" i="14"/>
  <c r="CR140" i="14"/>
  <c r="CR141" i="14"/>
  <c r="CR142" i="14"/>
  <c r="CR143" i="14"/>
  <c r="CR144" i="14"/>
  <c r="CR145" i="14"/>
  <c r="CR146" i="14"/>
  <c r="CR147" i="14"/>
  <c r="CR148" i="14"/>
  <c r="CR149" i="14"/>
  <c r="CR150" i="14"/>
  <c r="CR151" i="14"/>
  <c r="CR152" i="14"/>
  <c r="CR153" i="14"/>
  <c r="CR154" i="14"/>
  <c r="CR155" i="14"/>
  <c r="CR156" i="14"/>
  <c r="CR157" i="14"/>
  <c r="CR158" i="14"/>
  <c r="CR159" i="14"/>
  <c r="CR160" i="14"/>
  <c r="CR161" i="14"/>
  <c r="CR162" i="14"/>
  <c r="CR163" i="14"/>
  <c r="CR164" i="14"/>
  <c r="CR165" i="14"/>
  <c r="CR166" i="14"/>
  <c r="CR167" i="14"/>
  <c r="CR168" i="14"/>
  <c r="CR169" i="14"/>
  <c r="CR170" i="14"/>
  <c r="CR171" i="14"/>
  <c r="CR172" i="14"/>
  <c r="CR173" i="14"/>
  <c r="CR174" i="14"/>
  <c r="CR175" i="14"/>
  <c r="CR176" i="14"/>
  <c r="CR177" i="14"/>
  <c r="CR178" i="14"/>
  <c r="CR179" i="14"/>
  <c r="CR180" i="14"/>
  <c r="CR181" i="14"/>
  <c r="CR182" i="14"/>
  <c r="CR183" i="14"/>
  <c r="CR184" i="14"/>
  <c r="CR185" i="14"/>
  <c r="CR186" i="14"/>
  <c r="CR187" i="14"/>
  <c r="CR188" i="14"/>
  <c r="CR189" i="14"/>
  <c r="CR190" i="14"/>
  <c r="CR191" i="14"/>
  <c r="CR192" i="14"/>
  <c r="CR193" i="14"/>
  <c r="CR194" i="14"/>
  <c r="CR195" i="14"/>
  <c r="CR196" i="14"/>
  <c r="CR197" i="14"/>
  <c r="CR198" i="14"/>
  <c r="CR199" i="14"/>
  <c r="CR200" i="14"/>
  <c r="CR201" i="14"/>
  <c r="CR202" i="14"/>
  <c r="CR203" i="14"/>
  <c r="CR204" i="14"/>
  <c r="CR205" i="14"/>
  <c r="CR206" i="14"/>
  <c r="CR207" i="14"/>
  <c r="CR208" i="14"/>
  <c r="CR209" i="14"/>
  <c r="CR210" i="14"/>
  <c r="CR211" i="14"/>
  <c r="CR212" i="14"/>
  <c r="CR213" i="14"/>
  <c r="CR214" i="14"/>
  <c r="CR215" i="14"/>
  <c r="CR216" i="14"/>
  <c r="CR217" i="14"/>
  <c r="CR218" i="14"/>
  <c r="CR219" i="14"/>
  <c r="CR220" i="14"/>
  <c r="CR221" i="14"/>
  <c r="CR222" i="14"/>
  <c r="CR223" i="14"/>
  <c r="CR224" i="14"/>
  <c r="CR225" i="14"/>
  <c r="CR226" i="14"/>
  <c r="CR227" i="14"/>
  <c r="CQ2" i="14"/>
  <c r="CQ3" i="14"/>
  <c r="CQ4" i="14"/>
  <c r="CQ5" i="14"/>
  <c r="CQ6" i="14"/>
  <c r="CQ7" i="14"/>
  <c r="CQ8" i="14"/>
  <c r="CQ9" i="14"/>
  <c r="CQ10" i="14"/>
  <c r="CQ11" i="14"/>
  <c r="CQ12" i="14"/>
  <c r="CQ13" i="14"/>
  <c r="CQ14" i="14"/>
  <c r="CQ15" i="14"/>
  <c r="CQ16" i="14"/>
  <c r="CQ17" i="14"/>
  <c r="CQ18" i="14"/>
  <c r="CQ19" i="14"/>
  <c r="CQ20" i="14"/>
  <c r="CQ21" i="14"/>
  <c r="CQ22" i="14"/>
  <c r="CQ23" i="14"/>
  <c r="CQ24" i="14"/>
  <c r="CQ25" i="14"/>
  <c r="CQ26" i="14"/>
  <c r="CQ27" i="14"/>
  <c r="CQ28" i="14"/>
  <c r="CQ29" i="14"/>
  <c r="CQ30" i="14"/>
  <c r="CQ31" i="14"/>
  <c r="CQ32" i="14"/>
  <c r="CQ33" i="14"/>
  <c r="CQ34" i="14"/>
  <c r="CQ35" i="14"/>
  <c r="CQ36" i="14"/>
  <c r="CQ37" i="14"/>
  <c r="CQ38" i="14"/>
  <c r="CQ39" i="14"/>
  <c r="CQ40" i="14"/>
  <c r="CQ41" i="14"/>
  <c r="CQ42" i="14"/>
  <c r="CQ43" i="14"/>
  <c r="CQ44" i="14"/>
  <c r="CQ45" i="14"/>
  <c r="CQ46" i="14"/>
  <c r="CQ47" i="14"/>
  <c r="CQ48" i="14"/>
  <c r="CQ49" i="14"/>
  <c r="CQ50" i="14"/>
  <c r="CQ51" i="14"/>
  <c r="CQ52" i="14"/>
  <c r="CQ53" i="14"/>
  <c r="CQ54" i="14"/>
  <c r="CQ55" i="14"/>
  <c r="CQ56" i="14"/>
  <c r="CQ57" i="14"/>
  <c r="CQ58" i="14"/>
  <c r="CQ59" i="14"/>
  <c r="CQ60" i="14"/>
  <c r="CQ61" i="14"/>
  <c r="CQ62" i="14"/>
  <c r="CQ63" i="14"/>
  <c r="CQ64" i="14"/>
  <c r="CQ65" i="14"/>
  <c r="CQ66" i="14"/>
  <c r="CQ67" i="14"/>
  <c r="CQ68" i="14"/>
  <c r="CQ69" i="14"/>
  <c r="CQ70" i="14"/>
  <c r="CQ71" i="14"/>
  <c r="CQ72" i="14"/>
  <c r="CQ73" i="14"/>
  <c r="CQ74" i="14"/>
  <c r="CQ75" i="14"/>
  <c r="CQ76" i="14"/>
  <c r="CQ77" i="14"/>
  <c r="CQ78" i="14"/>
  <c r="CQ79" i="14"/>
  <c r="CQ80" i="14"/>
  <c r="CQ81" i="14"/>
  <c r="CQ82" i="14"/>
  <c r="CQ83" i="14"/>
  <c r="CQ84" i="14"/>
  <c r="CQ85" i="14"/>
  <c r="CQ86" i="14"/>
  <c r="CQ87" i="14"/>
  <c r="CQ88" i="14"/>
  <c r="CQ89" i="14"/>
  <c r="CQ90" i="14"/>
  <c r="CQ91" i="14"/>
  <c r="CQ92" i="14"/>
  <c r="CQ93" i="14"/>
  <c r="CQ94" i="14"/>
  <c r="CQ95" i="14"/>
  <c r="CQ96" i="14"/>
  <c r="CQ97" i="14"/>
  <c r="CQ98" i="14"/>
  <c r="CQ99" i="14"/>
  <c r="CQ100" i="14"/>
  <c r="CQ101" i="14"/>
  <c r="CQ102" i="14"/>
  <c r="CQ103" i="14"/>
  <c r="CQ104" i="14"/>
  <c r="CQ105" i="14"/>
  <c r="CQ106" i="14"/>
  <c r="CQ107" i="14"/>
  <c r="CQ108" i="14"/>
  <c r="CQ109" i="14"/>
  <c r="CQ110" i="14"/>
  <c r="CQ111" i="14"/>
  <c r="CQ112" i="14"/>
  <c r="CQ113" i="14"/>
  <c r="CQ114" i="14"/>
  <c r="CQ115" i="14"/>
  <c r="CQ116" i="14"/>
  <c r="CQ117" i="14"/>
  <c r="CQ118" i="14"/>
  <c r="CQ119" i="14"/>
  <c r="CQ120" i="14"/>
  <c r="CQ121" i="14"/>
  <c r="CQ122" i="14"/>
  <c r="CQ123" i="14"/>
  <c r="CQ124" i="14"/>
  <c r="CQ125" i="14"/>
  <c r="CQ126" i="14"/>
  <c r="CQ127" i="14"/>
  <c r="CQ128" i="14"/>
  <c r="CQ129" i="14"/>
  <c r="CQ130" i="14"/>
  <c r="CQ131" i="14"/>
  <c r="CQ132" i="14"/>
  <c r="CQ133" i="14"/>
  <c r="CQ134" i="14"/>
  <c r="CQ135" i="14"/>
  <c r="CQ136" i="14"/>
  <c r="CQ137" i="14"/>
  <c r="CQ138" i="14"/>
  <c r="CQ139" i="14"/>
  <c r="CQ140" i="14"/>
  <c r="CQ141" i="14"/>
  <c r="CQ142" i="14"/>
  <c r="CQ143" i="14"/>
  <c r="CQ144" i="14"/>
  <c r="CQ145" i="14"/>
  <c r="CQ146" i="14"/>
  <c r="CQ147" i="14"/>
  <c r="CQ148" i="14"/>
  <c r="CQ149" i="14"/>
  <c r="CQ150" i="14"/>
  <c r="CQ151" i="14"/>
  <c r="CQ152" i="14"/>
  <c r="CQ153" i="14"/>
  <c r="CQ154" i="14"/>
  <c r="CQ155" i="14"/>
  <c r="CQ156" i="14"/>
  <c r="CQ157" i="14"/>
  <c r="CQ158" i="14"/>
  <c r="CQ159" i="14"/>
  <c r="CQ160" i="14"/>
  <c r="CQ161" i="14"/>
  <c r="CQ162" i="14"/>
  <c r="CQ163" i="14"/>
  <c r="CQ164" i="14"/>
  <c r="CQ165" i="14"/>
  <c r="CQ166" i="14"/>
  <c r="CQ167" i="14"/>
  <c r="CQ168" i="14"/>
  <c r="CQ169" i="14"/>
  <c r="CQ170" i="14"/>
  <c r="CQ171" i="14"/>
  <c r="CQ172" i="14"/>
  <c r="CQ173" i="14"/>
  <c r="CQ174" i="14"/>
  <c r="CQ175" i="14"/>
  <c r="CQ176" i="14"/>
  <c r="CQ177" i="14"/>
  <c r="CQ178" i="14"/>
  <c r="CQ179" i="14"/>
  <c r="CQ180" i="14"/>
  <c r="CQ181" i="14"/>
  <c r="CQ182" i="14"/>
  <c r="CQ183" i="14"/>
  <c r="CQ184" i="14"/>
  <c r="CQ185" i="14"/>
  <c r="CQ186" i="14"/>
  <c r="CQ187" i="14"/>
  <c r="CQ188" i="14"/>
  <c r="CQ189" i="14"/>
  <c r="CQ190" i="14"/>
  <c r="CQ191" i="14"/>
  <c r="CQ192" i="14"/>
  <c r="CQ193" i="14"/>
  <c r="CQ194" i="14"/>
  <c r="CQ195" i="14"/>
  <c r="CQ196" i="14"/>
  <c r="CQ197" i="14"/>
  <c r="CQ198" i="14"/>
  <c r="CQ199" i="14"/>
  <c r="CQ200" i="14"/>
  <c r="CQ201" i="14"/>
  <c r="CQ202" i="14"/>
  <c r="CQ203" i="14"/>
  <c r="CQ204" i="14"/>
  <c r="CQ205" i="14"/>
  <c r="CQ206" i="14"/>
  <c r="CQ207" i="14"/>
  <c r="CQ208" i="14"/>
  <c r="CQ209" i="14"/>
  <c r="CQ210" i="14"/>
  <c r="CQ211" i="14"/>
  <c r="CQ212" i="14"/>
  <c r="CQ213" i="14"/>
  <c r="CQ214" i="14"/>
  <c r="CQ215" i="14"/>
  <c r="CQ216" i="14"/>
  <c r="CQ217" i="14"/>
  <c r="CQ218" i="14"/>
  <c r="CQ219" i="14"/>
  <c r="CQ220" i="14"/>
  <c r="CQ221" i="14"/>
  <c r="CQ222" i="14"/>
  <c r="CQ223" i="14"/>
  <c r="CQ224" i="14"/>
  <c r="CQ225" i="14"/>
  <c r="CQ226" i="14"/>
  <c r="CQ227" i="14"/>
  <c r="CP2" i="14"/>
  <c r="CP3" i="14"/>
  <c r="CP4" i="14"/>
  <c r="CP5" i="14"/>
  <c r="CP6" i="14"/>
  <c r="CP7" i="14"/>
  <c r="CP8" i="14"/>
  <c r="CP9" i="14"/>
  <c r="CP10" i="14"/>
  <c r="CP11" i="14"/>
  <c r="CP12" i="14"/>
  <c r="CP13" i="14"/>
  <c r="CP14" i="14"/>
  <c r="CP15" i="14"/>
  <c r="CP16" i="14"/>
  <c r="CP17" i="14"/>
  <c r="CP18" i="14"/>
  <c r="CP19" i="14"/>
  <c r="CP20" i="14"/>
  <c r="CP21" i="14"/>
  <c r="CP22" i="14"/>
  <c r="CP23" i="14"/>
  <c r="CP24" i="14"/>
  <c r="CP25" i="14"/>
  <c r="CP26" i="14"/>
  <c r="CP27" i="14"/>
  <c r="CP28" i="14"/>
  <c r="CP29" i="14"/>
  <c r="CP30" i="14"/>
  <c r="CP31" i="14"/>
  <c r="CP32" i="14"/>
  <c r="CP33" i="14"/>
  <c r="CP34" i="14"/>
  <c r="CP35" i="14"/>
  <c r="CP36" i="14"/>
  <c r="CP37" i="14"/>
  <c r="CP38" i="14"/>
  <c r="CP39" i="14"/>
  <c r="CP40" i="14"/>
  <c r="CP41" i="14"/>
  <c r="CP42" i="14"/>
  <c r="CP43" i="14"/>
  <c r="CP44" i="14"/>
  <c r="CP45" i="14"/>
  <c r="CP46" i="14"/>
  <c r="CP47" i="14"/>
  <c r="CP48" i="14"/>
  <c r="CP49" i="14"/>
  <c r="CP50" i="14"/>
  <c r="CP51" i="14"/>
  <c r="CP52" i="14"/>
  <c r="CP53" i="14"/>
  <c r="CP54" i="14"/>
  <c r="CP55" i="14"/>
  <c r="CP56" i="14"/>
  <c r="CP57" i="14"/>
  <c r="CP58" i="14"/>
  <c r="CP59" i="14"/>
  <c r="CP60" i="14"/>
  <c r="CP61" i="14"/>
  <c r="CP62" i="14"/>
  <c r="CP63" i="14"/>
  <c r="CP64" i="14"/>
  <c r="CP65" i="14"/>
  <c r="CP66" i="14"/>
  <c r="CP67" i="14"/>
  <c r="CP68" i="14"/>
  <c r="CP69" i="14"/>
  <c r="CP70" i="14"/>
  <c r="CP71" i="14"/>
  <c r="CP72" i="14"/>
  <c r="CP73" i="14"/>
  <c r="CP74" i="14"/>
  <c r="CP75" i="14"/>
  <c r="CP76" i="14"/>
  <c r="CP77" i="14"/>
  <c r="CP78" i="14"/>
  <c r="CP79" i="14"/>
  <c r="CP80" i="14"/>
  <c r="CP81" i="14"/>
  <c r="CP82" i="14"/>
  <c r="CP83" i="14"/>
  <c r="CP84" i="14"/>
  <c r="CP85" i="14"/>
  <c r="CP86" i="14"/>
  <c r="CP87" i="14"/>
  <c r="CP88" i="14"/>
  <c r="CP89" i="14"/>
  <c r="CP90" i="14"/>
  <c r="CP91" i="14"/>
  <c r="CP92" i="14"/>
  <c r="CP93" i="14"/>
  <c r="CP94" i="14"/>
  <c r="CP95" i="14"/>
  <c r="CP96" i="14"/>
  <c r="CP97" i="14"/>
  <c r="CP98" i="14"/>
  <c r="CP99" i="14"/>
  <c r="CP100" i="14"/>
  <c r="CP101" i="14"/>
  <c r="CP102" i="14"/>
  <c r="CP103" i="14"/>
  <c r="CP104" i="14"/>
  <c r="CP105" i="14"/>
  <c r="CP106" i="14"/>
  <c r="CP107" i="14"/>
  <c r="CP108" i="14"/>
  <c r="CP109" i="14"/>
  <c r="CP110" i="14"/>
  <c r="CP111" i="14"/>
  <c r="CP112" i="14"/>
  <c r="CP113" i="14"/>
  <c r="CP114" i="14"/>
  <c r="CP115" i="14"/>
  <c r="CP116" i="14"/>
  <c r="CP117" i="14"/>
  <c r="CP118" i="14"/>
  <c r="CP119" i="14"/>
  <c r="CP120" i="14"/>
  <c r="CP121" i="14"/>
  <c r="CP122" i="14"/>
  <c r="CP123" i="14"/>
  <c r="CP124" i="14"/>
  <c r="CP125" i="14"/>
  <c r="CP126" i="14"/>
  <c r="CP127" i="14"/>
  <c r="CP128" i="14"/>
  <c r="CP129" i="14"/>
  <c r="CP130" i="14"/>
  <c r="CP131" i="14"/>
  <c r="CP132" i="14"/>
  <c r="CP133" i="14"/>
  <c r="CP134" i="14"/>
  <c r="CP135" i="14"/>
  <c r="CP136" i="14"/>
  <c r="CP137" i="14"/>
  <c r="CP138" i="14"/>
  <c r="CP139" i="14"/>
  <c r="CP140" i="14"/>
  <c r="CP141" i="14"/>
  <c r="CP142" i="14"/>
  <c r="CP143" i="14"/>
  <c r="CP144" i="14"/>
  <c r="CP145" i="14"/>
  <c r="CP146" i="14"/>
  <c r="CP147" i="14"/>
  <c r="CP148" i="14"/>
  <c r="CP149" i="14"/>
  <c r="CP150" i="14"/>
  <c r="CP151" i="14"/>
  <c r="CP152" i="14"/>
  <c r="CP153" i="14"/>
  <c r="CP154" i="14"/>
  <c r="CP155" i="14"/>
  <c r="CP156" i="14"/>
  <c r="CP157" i="14"/>
  <c r="CP158" i="14"/>
  <c r="CP159" i="14"/>
  <c r="CP160" i="14"/>
  <c r="CP161" i="14"/>
  <c r="CP162" i="14"/>
  <c r="CP163" i="14"/>
  <c r="CP164" i="14"/>
  <c r="CP165" i="14"/>
  <c r="CP166" i="14"/>
  <c r="CP167" i="14"/>
  <c r="CP168" i="14"/>
  <c r="CP169" i="14"/>
  <c r="CP170" i="14"/>
  <c r="CP171" i="14"/>
  <c r="CP172" i="14"/>
  <c r="CP173" i="14"/>
  <c r="CP174" i="14"/>
  <c r="CP175" i="14"/>
  <c r="CP176" i="14"/>
  <c r="CP177" i="14"/>
  <c r="CP178" i="14"/>
  <c r="CP179" i="14"/>
  <c r="CP180" i="14"/>
  <c r="CP181" i="14"/>
  <c r="CP182" i="14"/>
  <c r="CP183" i="14"/>
  <c r="CP184" i="14"/>
  <c r="CP185" i="14"/>
  <c r="CP186" i="14"/>
  <c r="CP187" i="14"/>
  <c r="CP188" i="14"/>
  <c r="CP189" i="14"/>
  <c r="CP190" i="14"/>
  <c r="CP191" i="14"/>
  <c r="CP192" i="14"/>
  <c r="CP193" i="14"/>
  <c r="CP194" i="14"/>
  <c r="CP195" i="14"/>
  <c r="CP196" i="14"/>
  <c r="CP197" i="14"/>
  <c r="CP198" i="14"/>
  <c r="CP199" i="14"/>
  <c r="CP200" i="14"/>
  <c r="CP201" i="14"/>
  <c r="CP202" i="14"/>
  <c r="CP203" i="14"/>
  <c r="CP204" i="14"/>
  <c r="CP205" i="14"/>
  <c r="CP206" i="14"/>
  <c r="CP207" i="14"/>
  <c r="CP208" i="14"/>
  <c r="CP209" i="14"/>
  <c r="CP210" i="14"/>
  <c r="CP211" i="14"/>
  <c r="CP212" i="14"/>
  <c r="CP213" i="14"/>
  <c r="CP214" i="14"/>
  <c r="CP215" i="14"/>
  <c r="CP216" i="14"/>
  <c r="CP217" i="14"/>
  <c r="CP218" i="14"/>
  <c r="CP219" i="14"/>
  <c r="CP220" i="14"/>
  <c r="CP221" i="14"/>
  <c r="CP222" i="14"/>
  <c r="CP223" i="14"/>
  <c r="CP224" i="14"/>
  <c r="CP225" i="14"/>
  <c r="CP226" i="14"/>
  <c r="CP227" i="14"/>
  <c r="CO2" i="14"/>
  <c r="CO3" i="14"/>
  <c r="CO4" i="14"/>
  <c r="CO5" i="14"/>
  <c r="CO6" i="14"/>
  <c r="CO7" i="14"/>
  <c r="CO8" i="14"/>
  <c r="CO9" i="14"/>
  <c r="CO10" i="14"/>
  <c r="CO11" i="14"/>
  <c r="CO12" i="14"/>
  <c r="CO13" i="14"/>
  <c r="CO14" i="14"/>
  <c r="CO15" i="14"/>
  <c r="CO16" i="14"/>
  <c r="CO17" i="14"/>
  <c r="CO18" i="14"/>
  <c r="CO19" i="14"/>
  <c r="CO20" i="14"/>
  <c r="CO21" i="14"/>
  <c r="CO22" i="14"/>
  <c r="CO23" i="14"/>
  <c r="CO24" i="14"/>
  <c r="CO25" i="14"/>
  <c r="CO26" i="14"/>
  <c r="CO27" i="14"/>
  <c r="CO28" i="14"/>
  <c r="CO29" i="14"/>
  <c r="CO30" i="14"/>
  <c r="CO31" i="14"/>
  <c r="CO32" i="14"/>
  <c r="CO33" i="14"/>
  <c r="CO34" i="14"/>
  <c r="CO35" i="14"/>
  <c r="CO36" i="14"/>
  <c r="CO37" i="14"/>
  <c r="CO38" i="14"/>
  <c r="CO39" i="14"/>
  <c r="CO40" i="14"/>
  <c r="CO41" i="14"/>
  <c r="CO42" i="14"/>
  <c r="CO43" i="14"/>
  <c r="CO44" i="14"/>
  <c r="CO45" i="14"/>
  <c r="CO46" i="14"/>
  <c r="CO47" i="14"/>
  <c r="CO48" i="14"/>
  <c r="CO49" i="14"/>
  <c r="CO50" i="14"/>
  <c r="CO51" i="14"/>
  <c r="CO52" i="14"/>
  <c r="CO53" i="14"/>
  <c r="CO54" i="14"/>
  <c r="CO55" i="14"/>
  <c r="CO56" i="14"/>
  <c r="CO57" i="14"/>
  <c r="CO58" i="14"/>
  <c r="CO59" i="14"/>
  <c r="CO60" i="14"/>
  <c r="CO61" i="14"/>
  <c r="CO62" i="14"/>
  <c r="CO63" i="14"/>
  <c r="CO64" i="14"/>
  <c r="CO65" i="14"/>
  <c r="CO66" i="14"/>
  <c r="CO67" i="14"/>
  <c r="CO68" i="14"/>
  <c r="CO69" i="14"/>
  <c r="CO70" i="14"/>
  <c r="CO71" i="14"/>
  <c r="CO72" i="14"/>
  <c r="CO73" i="14"/>
  <c r="CO74" i="14"/>
  <c r="CO75" i="14"/>
  <c r="CO76" i="14"/>
  <c r="CO77" i="14"/>
  <c r="CO78" i="14"/>
  <c r="CO79" i="14"/>
  <c r="CO80" i="14"/>
  <c r="CO81" i="14"/>
  <c r="CO82" i="14"/>
  <c r="CO83" i="14"/>
  <c r="CO84" i="14"/>
  <c r="CO85" i="14"/>
  <c r="CO86" i="14"/>
  <c r="CO87" i="14"/>
  <c r="CO88" i="14"/>
  <c r="CO89" i="14"/>
  <c r="CO90" i="14"/>
  <c r="CO91" i="14"/>
  <c r="CO92" i="14"/>
  <c r="CO93" i="14"/>
  <c r="CO94" i="14"/>
  <c r="CO95" i="14"/>
  <c r="CO96" i="14"/>
  <c r="CO97" i="14"/>
  <c r="CO98" i="14"/>
  <c r="CO99" i="14"/>
  <c r="CO100" i="14"/>
  <c r="CO101" i="14"/>
  <c r="CO102" i="14"/>
  <c r="CO103" i="14"/>
  <c r="CO104" i="14"/>
  <c r="CO105" i="14"/>
  <c r="CO106" i="14"/>
  <c r="CO107" i="14"/>
  <c r="CO108" i="14"/>
  <c r="CO109" i="14"/>
  <c r="CO110" i="14"/>
  <c r="CO111" i="14"/>
  <c r="CO112" i="14"/>
  <c r="CO113" i="14"/>
  <c r="CO114" i="14"/>
  <c r="CO115" i="14"/>
  <c r="CO116" i="14"/>
  <c r="CO117" i="14"/>
  <c r="CO118" i="14"/>
  <c r="CO119" i="14"/>
  <c r="CO120" i="14"/>
  <c r="CO121" i="14"/>
  <c r="CO122" i="14"/>
  <c r="CO123" i="14"/>
  <c r="CO124" i="14"/>
  <c r="CO125" i="14"/>
  <c r="CO126" i="14"/>
  <c r="CO127" i="14"/>
  <c r="CO128" i="14"/>
  <c r="CO129" i="14"/>
  <c r="CO130" i="14"/>
  <c r="CO131" i="14"/>
  <c r="CO132" i="14"/>
  <c r="CO133" i="14"/>
  <c r="CO134" i="14"/>
  <c r="CO135" i="14"/>
  <c r="CO136" i="14"/>
  <c r="CO137" i="14"/>
  <c r="CO138" i="14"/>
  <c r="CO139" i="14"/>
  <c r="CO140" i="14"/>
  <c r="CO141" i="14"/>
  <c r="CO142" i="14"/>
  <c r="CO143" i="14"/>
  <c r="CO144" i="14"/>
  <c r="CO145" i="14"/>
  <c r="CO146" i="14"/>
  <c r="CO147" i="14"/>
  <c r="CO148" i="14"/>
  <c r="CO149" i="14"/>
  <c r="CO150" i="14"/>
  <c r="CO151" i="14"/>
  <c r="CO152" i="14"/>
  <c r="CO153" i="14"/>
  <c r="CO154" i="14"/>
  <c r="CO155" i="14"/>
  <c r="CO156" i="14"/>
  <c r="CO157" i="14"/>
  <c r="CO158" i="14"/>
  <c r="CO159" i="14"/>
  <c r="CO160" i="14"/>
  <c r="CO161" i="14"/>
  <c r="CO162" i="14"/>
  <c r="CO163" i="14"/>
  <c r="CO164" i="14"/>
  <c r="CO165" i="14"/>
  <c r="CO166" i="14"/>
  <c r="CO167" i="14"/>
  <c r="CO168" i="14"/>
  <c r="CO169" i="14"/>
  <c r="CO170" i="14"/>
  <c r="CO171" i="14"/>
  <c r="CO172" i="14"/>
  <c r="CO173" i="14"/>
  <c r="CO174" i="14"/>
  <c r="CO175" i="14"/>
  <c r="CO176" i="14"/>
  <c r="CO177" i="14"/>
  <c r="CO178" i="14"/>
  <c r="CO179" i="14"/>
  <c r="CO180" i="14"/>
  <c r="CO181" i="14"/>
  <c r="CO182" i="14"/>
  <c r="CO183" i="14"/>
  <c r="CO184" i="14"/>
  <c r="CO185" i="14"/>
  <c r="CO186" i="14"/>
  <c r="CO187" i="14"/>
  <c r="CO188" i="14"/>
  <c r="CO189" i="14"/>
  <c r="CO190" i="14"/>
  <c r="CO191" i="14"/>
  <c r="CO192" i="14"/>
  <c r="CO193" i="14"/>
  <c r="CO194" i="14"/>
  <c r="CO195" i="14"/>
  <c r="CO196" i="14"/>
  <c r="CO197" i="14"/>
  <c r="CO198" i="14"/>
  <c r="CO199" i="14"/>
  <c r="CO200" i="14"/>
  <c r="CO201" i="14"/>
  <c r="CO202" i="14"/>
  <c r="CO203" i="14"/>
  <c r="CO204" i="14"/>
  <c r="CO205" i="14"/>
  <c r="CO206" i="14"/>
  <c r="CO207" i="14"/>
  <c r="CO208" i="14"/>
  <c r="CO209" i="14"/>
  <c r="CO210" i="14"/>
  <c r="CO211" i="14"/>
  <c r="CO212" i="14"/>
  <c r="CO213" i="14"/>
  <c r="CO214" i="14"/>
  <c r="CO215" i="14"/>
  <c r="CO216" i="14"/>
  <c r="CO217" i="14"/>
  <c r="CO218" i="14"/>
  <c r="CO219" i="14"/>
  <c r="CO220" i="14"/>
  <c r="CO221" i="14"/>
  <c r="CO222" i="14"/>
  <c r="CO223" i="14"/>
  <c r="CO224" i="14"/>
  <c r="CO225" i="14"/>
  <c r="CO226" i="14"/>
  <c r="CO227" i="14"/>
  <c r="CN2" i="14"/>
  <c r="CN3" i="14"/>
  <c r="CN4" i="14"/>
  <c r="CN5" i="14"/>
  <c r="CN6" i="14"/>
  <c r="CN7" i="14"/>
  <c r="CN8" i="14"/>
  <c r="CN9" i="14"/>
  <c r="CN10" i="14"/>
  <c r="CN11" i="14"/>
  <c r="CN12" i="14"/>
  <c r="CN13" i="14"/>
  <c r="CN14" i="14"/>
  <c r="CN15" i="14"/>
  <c r="CN16" i="14"/>
  <c r="CN17" i="14"/>
  <c r="CN18" i="14"/>
  <c r="CN19" i="14"/>
  <c r="CN20" i="14"/>
  <c r="CN21" i="14"/>
  <c r="CN22" i="14"/>
  <c r="CN23" i="14"/>
  <c r="CN24" i="14"/>
  <c r="CN25" i="14"/>
  <c r="CN26" i="14"/>
  <c r="CN27" i="14"/>
  <c r="CN28" i="14"/>
  <c r="CN29" i="14"/>
  <c r="CN30" i="14"/>
  <c r="CN31" i="14"/>
  <c r="CN32" i="14"/>
  <c r="CN33" i="14"/>
  <c r="CN34" i="14"/>
  <c r="CN35" i="14"/>
  <c r="CN36" i="14"/>
  <c r="CN37" i="14"/>
  <c r="CN38" i="14"/>
  <c r="CN39" i="14"/>
  <c r="CN40" i="14"/>
  <c r="CN41" i="14"/>
  <c r="CN42" i="14"/>
  <c r="CN43" i="14"/>
  <c r="CN44" i="14"/>
  <c r="CN45" i="14"/>
  <c r="CN46" i="14"/>
  <c r="CN47" i="14"/>
  <c r="CN48" i="14"/>
  <c r="CN49" i="14"/>
  <c r="CN50" i="14"/>
  <c r="CN51" i="14"/>
  <c r="CN52" i="14"/>
  <c r="CN53" i="14"/>
  <c r="CN54" i="14"/>
  <c r="CN55" i="14"/>
  <c r="CN56" i="14"/>
  <c r="CN57" i="14"/>
  <c r="CN58" i="14"/>
  <c r="CN59" i="14"/>
  <c r="CN60" i="14"/>
  <c r="CN61" i="14"/>
  <c r="CN62" i="14"/>
  <c r="CN63" i="14"/>
  <c r="CN64" i="14"/>
  <c r="CN65" i="14"/>
  <c r="CN66" i="14"/>
  <c r="CN67" i="14"/>
  <c r="CN68" i="14"/>
  <c r="CN69" i="14"/>
  <c r="CN70" i="14"/>
  <c r="CN71" i="14"/>
  <c r="CN72" i="14"/>
  <c r="CN73" i="14"/>
  <c r="CN74" i="14"/>
  <c r="CN75" i="14"/>
  <c r="CN76" i="14"/>
  <c r="CN77" i="14"/>
  <c r="CN78" i="14"/>
  <c r="CN79" i="14"/>
  <c r="CN80" i="14"/>
  <c r="CN81" i="14"/>
  <c r="CN82" i="14"/>
  <c r="CN83" i="14"/>
  <c r="CN84" i="14"/>
  <c r="CN85" i="14"/>
  <c r="CN86" i="14"/>
  <c r="CN87" i="14"/>
  <c r="CN88" i="14"/>
  <c r="CN89" i="14"/>
  <c r="CN90" i="14"/>
  <c r="CN91" i="14"/>
  <c r="CN92" i="14"/>
  <c r="CN93" i="14"/>
  <c r="CN94" i="14"/>
  <c r="CN95" i="14"/>
  <c r="CN96" i="14"/>
  <c r="CN97" i="14"/>
  <c r="CN98" i="14"/>
  <c r="CN99" i="14"/>
  <c r="CN100" i="14"/>
  <c r="CN101" i="14"/>
  <c r="CN102" i="14"/>
  <c r="CN103" i="14"/>
  <c r="CN104" i="14"/>
  <c r="CN105" i="14"/>
  <c r="CN106" i="14"/>
  <c r="CN107" i="14"/>
  <c r="CN108" i="14"/>
  <c r="CN109" i="14"/>
  <c r="CN110" i="14"/>
  <c r="CN111" i="14"/>
  <c r="CN112" i="14"/>
  <c r="CN113" i="14"/>
  <c r="CN114" i="14"/>
  <c r="CN115" i="14"/>
  <c r="CN116" i="14"/>
  <c r="CN117" i="14"/>
  <c r="CN118" i="14"/>
  <c r="CN119" i="14"/>
  <c r="CN120" i="14"/>
  <c r="CN121" i="14"/>
  <c r="CN122" i="14"/>
  <c r="CN123" i="14"/>
  <c r="CN124" i="14"/>
  <c r="CN125" i="14"/>
  <c r="CN126" i="14"/>
  <c r="CN127" i="14"/>
  <c r="CN128" i="14"/>
  <c r="CN129" i="14"/>
  <c r="CN130" i="14"/>
  <c r="CN131" i="14"/>
  <c r="CN132" i="14"/>
  <c r="CN133" i="14"/>
  <c r="CN134" i="14"/>
  <c r="CN135" i="14"/>
  <c r="CN136" i="14"/>
  <c r="CN137" i="14"/>
  <c r="CN138" i="14"/>
  <c r="CN139" i="14"/>
  <c r="CN140" i="14"/>
  <c r="CN141" i="14"/>
  <c r="CN142" i="14"/>
  <c r="CN143" i="14"/>
  <c r="CN144" i="14"/>
  <c r="CN145" i="14"/>
  <c r="CN146" i="14"/>
  <c r="CN147" i="14"/>
  <c r="CN148" i="14"/>
  <c r="CN149" i="14"/>
  <c r="CN150" i="14"/>
  <c r="CN151" i="14"/>
  <c r="CN152" i="14"/>
  <c r="CN153" i="14"/>
  <c r="CN154" i="14"/>
  <c r="CN155" i="14"/>
  <c r="CN156" i="14"/>
  <c r="CN157" i="14"/>
  <c r="CN158" i="14"/>
  <c r="CN159" i="14"/>
  <c r="CN160" i="14"/>
  <c r="CN161" i="14"/>
  <c r="CN162" i="14"/>
  <c r="CN163" i="14"/>
  <c r="CN164" i="14"/>
  <c r="CN165" i="14"/>
  <c r="CN166" i="14"/>
  <c r="CN167" i="14"/>
  <c r="CN168" i="14"/>
  <c r="CN169" i="14"/>
  <c r="CN170" i="14"/>
  <c r="CN171" i="14"/>
  <c r="CN172" i="14"/>
  <c r="CN173" i="14"/>
  <c r="CN174" i="14"/>
  <c r="CN175" i="14"/>
  <c r="CN176" i="14"/>
  <c r="CN177" i="14"/>
  <c r="CN178" i="14"/>
  <c r="CN179" i="14"/>
  <c r="CN180" i="14"/>
  <c r="CN181" i="14"/>
  <c r="CN182" i="14"/>
  <c r="CN183" i="14"/>
  <c r="CN184" i="14"/>
  <c r="CN185" i="14"/>
  <c r="CN186" i="14"/>
  <c r="CN187" i="14"/>
  <c r="CN188" i="14"/>
  <c r="CN189" i="14"/>
  <c r="CN190" i="14"/>
  <c r="CN191" i="14"/>
  <c r="CN192" i="14"/>
  <c r="CN193" i="14"/>
  <c r="CN194" i="14"/>
  <c r="CN195" i="14"/>
  <c r="CN196" i="14"/>
  <c r="CN197" i="14"/>
  <c r="CN198" i="14"/>
  <c r="CN199" i="14"/>
  <c r="CN200" i="14"/>
  <c r="CN201" i="14"/>
  <c r="CN202" i="14"/>
  <c r="CN203" i="14"/>
  <c r="CN204" i="14"/>
  <c r="CN205" i="14"/>
  <c r="CN206" i="14"/>
  <c r="CN207" i="14"/>
  <c r="CN208" i="14"/>
  <c r="CN209" i="14"/>
  <c r="CN210" i="14"/>
  <c r="CN211" i="14"/>
  <c r="CN212" i="14"/>
  <c r="CN213" i="14"/>
  <c r="CN214" i="14"/>
  <c r="CN215" i="14"/>
  <c r="CN216" i="14"/>
  <c r="CN217" i="14"/>
  <c r="CN218" i="14"/>
  <c r="CN219" i="14"/>
  <c r="CN220" i="14"/>
  <c r="CN221" i="14"/>
  <c r="CN222" i="14"/>
  <c r="CN223" i="14"/>
  <c r="CN224" i="14"/>
  <c r="CN225" i="14"/>
  <c r="CN226" i="14"/>
  <c r="CN227" i="14"/>
  <c r="CM2" i="14"/>
  <c r="CM3" i="14"/>
  <c r="CM4" i="14"/>
  <c r="CM5" i="14"/>
  <c r="CM6" i="14"/>
  <c r="CM7" i="14"/>
  <c r="CM8" i="14"/>
  <c r="CM9" i="14"/>
  <c r="CM10" i="14"/>
  <c r="CM11" i="14"/>
  <c r="CM12" i="14"/>
  <c r="CM13" i="14"/>
  <c r="CM14" i="14"/>
  <c r="CM15" i="14"/>
  <c r="CM16" i="14"/>
  <c r="CM17" i="14"/>
  <c r="CM18" i="14"/>
  <c r="CM19" i="14"/>
  <c r="CM20" i="14"/>
  <c r="CM21" i="14"/>
  <c r="CM22" i="14"/>
  <c r="CM23" i="14"/>
  <c r="CM24" i="14"/>
  <c r="CM25" i="14"/>
  <c r="CM26" i="14"/>
  <c r="CM27" i="14"/>
  <c r="CM28" i="14"/>
  <c r="CM29" i="14"/>
  <c r="CM30" i="14"/>
  <c r="CM31" i="14"/>
  <c r="CM32" i="14"/>
  <c r="CM33" i="14"/>
  <c r="CM34" i="14"/>
  <c r="CM35" i="14"/>
  <c r="CM36" i="14"/>
  <c r="CM37" i="14"/>
  <c r="CM38" i="14"/>
  <c r="CM39" i="14"/>
  <c r="CM40" i="14"/>
  <c r="CM41" i="14"/>
  <c r="CM42" i="14"/>
  <c r="CM43" i="14"/>
  <c r="CM44" i="14"/>
  <c r="CM45" i="14"/>
  <c r="CM46" i="14"/>
  <c r="CM47" i="14"/>
  <c r="CM48" i="14"/>
  <c r="CM49" i="14"/>
  <c r="CM50" i="14"/>
  <c r="CM51" i="14"/>
  <c r="CM52" i="14"/>
  <c r="CM53" i="14"/>
  <c r="CM54" i="14"/>
  <c r="CM55" i="14"/>
  <c r="CM56" i="14"/>
  <c r="CM57" i="14"/>
  <c r="CM58" i="14"/>
  <c r="CM59" i="14"/>
  <c r="CM60" i="14"/>
  <c r="CM61" i="14"/>
  <c r="CM62" i="14"/>
  <c r="CM63" i="14"/>
  <c r="CM64" i="14"/>
  <c r="CM65" i="14"/>
  <c r="CM66" i="14"/>
  <c r="CM67" i="14"/>
  <c r="CM68" i="14"/>
  <c r="CM69" i="14"/>
  <c r="CM70" i="14"/>
  <c r="CM71" i="14"/>
  <c r="CM72" i="14"/>
  <c r="CM73" i="14"/>
  <c r="CM74" i="14"/>
  <c r="CM75" i="14"/>
  <c r="CM76" i="14"/>
  <c r="CM77" i="14"/>
  <c r="CM78" i="14"/>
  <c r="CM79" i="14"/>
  <c r="CM80" i="14"/>
  <c r="CM81" i="14"/>
  <c r="CM82" i="14"/>
  <c r="CM83" i="14"/>
  <c r="CM84" i="14"/>
  <c r="CM85" i="14"/>
  <c r="CM86" i="14"/>
  <c r="CM87" i="14"/>
  <c r="CM88" i="14"/>
  <c r="CM89" i="14"/>
  <c r="CM90" i="14"/>
  <c r="CM91" i="14"/>
  <c r="CM92" i="14"/>
  <c r="CM93" i="14"/>
  <c r="CM94" i="14"/>
  <c r="CM95" i="14"/>
  <c r="CM96" i="14"/>
  <c r="CM97" i="14"/>
  <c r="CM98" i="14"/>
  <c r="CM99" i="14"/>
  <c r="CM100" i="14"/>
  <c r="CM101" i="14"/>
  <c r="CM102" i="14"/>
  <c r="CM103" i="14"/>
  <c r="CM104" i="14"/>
  <c r="CM105" i="14"/>
  <c r="CM106" i="14"/>
  <c r="CM107" i="14"/>
  <c r="CM108" i="14"/>
  <c r="CM109" i="14"/>
  <c r="CM110" i="14"/>
  <c r="CM111" i="14"/>
  <c r="CM112" i="14"/>
  <c r="CM113" i="14"/>
  <c r="CM114" i="14"/>
  <c r="CM115" i="14"/>
  <c r="CM116" i="14"/>
  <c r="CM117" i="14"/>
  <c r="CM118" i="14"/>
  <c r="CM119" i="14"/>
  <c r="CM120" i="14"/>
  <c r="CM121" i="14"/>
  <c r="CM122" i="14"/>
  <c r="CM123" i="14"/>
  <c r="CM124" i="14"/>
  <c r="CM125" i="14"/>
  <c r="CM126" i="14"/>
  <c r="CM127" i="14"/>
  <c r="CM128" i="14"/>
  <c r="CM129" i="14"/>
  <c r="CM130" i="14"/>
  <c r="CM131" i="14"/>
  <c r="CM132" i="14"/>
  <c r="CM133" i="14"/>
  <c r="CM134" i="14"/>
  <c r="CM135" i="14"/>
  <c r="CM136" i="14"/>
  <c r="CM137" i="14"/>
  <c r="CM138" i="14"/>
  <c r="CM139" i="14"/>
  <c r="CM140" i="14"/>
  <c r="CM141" i="14"/>
  <c r="CM142" i="14"/>
  <c r="CM143" i="14"/>
  <c r="CM144" i="14"/>
  <c r="CM145" i="14"/>
  <c r="CM146" i="14"/>
  <c r="CM147" i="14"/>
  <c r="CM148" i="14"/>
  <c r="CM149" i="14"/>
  <c r="CM150" i="14"/>
  <c r="CM151" i="14"/>
  <c r="CM152" i="14"/>
  <c r="CM153" i="14"/>
  <c r="CM154" i="14"/>
  <c r="CM155" i="14"/>
  <c r="CM156" i="14"/>
  <c r="CM157" i="14"/>
  <c r="CM158" i="14"/>
  <c r="CM159" i="14"/>
  <c r="CM160" i="14"/>
  <c r="CM161" i="14"/>
  <c r="CM162" i="14"/>
  <c r="CM163" i="14"/>
  <c r="CM164" i="14"/>
  <c r="CM165" i="14"/>
  <c r="CM166" i="14"/>
  <c r="CM167" i="14"/>
  <c r="CM168" i="14"/>
  <c r="CM169" i="14"/>
  <c r="CM170" i="14"/>
  <c r="CM171" i="14"/>
  <c r="CM172" i="14"/>
  <c r="CM173" i="14"/>
  <c r="CM174" i="14"/>
  <c r="CM175" i="14"/>
  <c r="CM176" i="14"/>
  <c r="CM177" i="14"/>
  <c r="CM178" i="14"/>
  <c r="CM179" i="14"/>
  <c r="CM180" i="14"/>
  <c r="CM181" i="14"/>
  <c r="CM182" i="14"/>
  <c r="CM183" i="14"/>
  <c r="CM184" i="14"/>
  <c r="CM185" i="14"/>
  <c r="CM186" i="14"/>
  <c r="CM187" i="14"/>
  <c r="CM188" i="14"/>
  <c r="CM189" i="14"/>
  <c r="CM190" i="14"/>
  <c r="CM191" i="14"/>
  <c r="CM192" i="14"/>
  <c r="CM193" i="14"/>
  <c r="CM194" i="14"/>
  <c r="CM195" i="14"/>
  <c r="CM196" i="14"/>
  <c r="CM197" i="14"/>
  <c r="CM198" i="14"/>
  <c r="CM199" i="14"/>
  <c r="CM200" i="14"/>
  <c r="CM201" i="14"/>
  <c r="CM202" i="14"/>
  <c r="CM203" i="14"/>
  <c r="CM204" i="14"/>
  <c r="CM205" i="14"/>
  <c r="CM206" i="14"/>
  <c r="CM207" i="14"/>
  <c r="CM208" i="14"/>
  <c r="CM209" i="14"/>
  <c r="CM210" i="14"/>
  <c r="CM211" i="14"/>
  <c r="CM212" i="14"/>
  <c r="CM213" i="14"/>
  <c r="CM214" i="14"/>
  <c r="CM215" i="14"/>
  <c r="CM216" i="14"/>
  <c r="CM217" i="14"/>
  <c r="CM218" i="14"/>
  <c r="CM219" i="14"/>
  <c r="CM220" i="14"/>
  <c r="CM221" i="14"/>
  <c r="CM222" i="14"/>
  <c r="CM223" i="14"/>
  <c r="CM224" i="14"/>
  <c r="CM225" i="14"/>
  <c r="CM226" i="14"/>
  <c r="CM227" i="14"/>
  <c r="CL2" i="14"/>
  <c r="CL3" i="14"/>
  <c r="CL4" i="14"/>
  <c r="CL5" i="14"/>
  <c r="CL6" i="14"/>
  <c r="CL7" i="14"/>
  <c r="CL8" i="14"/>
  <c r="CL9" i="14"/>
  <c r="CL10" i="14"/>
  <c r="CL11" i="14"/>
  <c r="CL12" i="14"/>
  <c r="CL13" i="14"/>
  <c r="CL14" i="14"/>
  <c r="CL15" i="14"/>
  <c r="CL16" i="14"/>
  <c r="CL17" i="14"/>
  <c r="CL18" i="14"/>
  <c r="CL19" i="14"/>
  <c r="CL20" i="14"/>
  <c r="CL21" i="14"/>
  <c r="CL22" i="14"/>
  <c r="CL23" i="14"/>
  <c r="CL24" i="14"/>
  <c r="CL25" i="14"/>
  <c r="CL26" i="14"/>
  <c r="CL27" i="14"/>
  <c r="CL28" i="14"/>
  <c r="CL29" i="14"/>
  <c r="CL30" i="14"/>
  <c r="CL31" i="14"/>
  <c r="CL32" i="14"/>
  <c r="CL33" i="14"/>
  <c r="CL34" i="14"/>
  <c r="CL35" i="14"/>
  <c r="CL36" i="14"/>
  <c r="CL37" i="14"/>
  <c r="CL38" i="14"/>
  <c r="CL39" i="14"/>
  <c r="CL40" i="14"/>
  <c r="CL41" i="14"/>
  <c r="CL42" i="14"/>
  <c r="CL43" i="14"/>
  <c r="CL44" i="14"/>
  <c r="CL45" i="14"/>
  <c r="CL46" i="14"/>
  <c r="CL47" i="14"/>
  <c r="CL48" i="14"/>
  <c r="CL49" i="14"/>
  <c r="CL50" i="14"/>
  <c r="CL51" i="14"/>
  <c r="CL52" i="14"/>
  <c r="CL53" i="14"/>
  <c r="CL54" i="14"/>
  <c r="CL55" i="14"/>
  <c r="CL56" i="14"/>
  <c r="CL57" i="14"/>
  <c r="CL58" i="14"/>
  <c r="CL59" i="14"/>
  <c r="CL60" i="14"/>
  <c r="CL61" i="14"/>
  <c r="CL62" i="14"/>
  <c r="CL63" i="14"/>
  <c r="CL64" i="14"/>
  <c r="CL65" i="14"/>
  <c r="CL66" i="14"/>
  <c r="CL67" i="14"/>
  <c r="CL68" i="14"/>
  <c r="CL69" i="14"/>
  <c r="CL70" i="14"/>
  <c r="CL71" i="14"/>
  <c r="CL72" i="14"/>
  <c r="CL73" i="14"/>
  <c r="CL74" i="14"/>
  <c r="CL75" i="14"/>
  <c r="CL76" i="14"/>
  <c r="CL77" i="14"/>
  <c r="CL78" i="14"/>
  <c r="CL79" i="14"/>
  <c r="CL80" i="14"/>
  <c r="CL81" i="14"/>
  <c r="CL82" i="14"/>
  <c r="CL83" i="14"/>
  <c r="CL84" i="14"/>
  <c r="CL85" i="14"/>
  <c r="CL86" i="14"/>
  <c r="CL87" i="14"/>
  <c r="CL88" i="14"/>
  <c r="CL89" i="14"/>
  <c r="CL90" i="14"/>
  <c r="CL91" i="14"/>
  <c r="CL92" i="14"/>
  <c r="CL93" i="14"/>
  <c r="CL94" i="14"/>
  <c r="CL95" i="14"/>
  <c r="CL96" i="14"/>
  <c r="CL97" i="14"/>
  <c r="CL98" i="14"/>
  <c r="CL99" i="14"/>
  <c r="CL100" i="14"/>
  <c r="CL101" i="14"/>
  <c r="CL102" i="14"/>
  <c r="CL103" i="14"/>
  <c r="CL104" i="14"/>
  <c r="CL105" i="14"/>
  <c r="CL106" i="14"/>
  <c r="CL107" i="14"/>
  <c r="CL108" i="14"/>
  <c r="CL109" i="14"/>
  <c r="CL110" i="14"/>
  <c r="CL111" i="14"/>
  <c r="CL112" i="14"/>
  <c r="CL113" i="14"/>
  <c r="CL114" i="14"/>
  <c r="CL115" i="14"/>
  <c r="CL116" i="14"/>
  <c r="CL117" i="14"/>
  <c r="CL118" i="14"/>
  <c r="CL119" i="14"/>
  <c r="CL120" i="14"/>
  <c r="CL121" i="14"/>
  <c r="CL122" i="14"/>
  <c r="CL123" i="14"/>
  <c r="CL124" i="14"/>
  <c r="CL125" i="14"/>
  <c r="CL126" i="14"/>
  <c r="CL127" i="14"/>
  <c r="CL128" i="14"/>
  <c r="CL129" i="14"/>
  <c r="CL130" i="14"/>
  <c r="CL131" i="14"/>
  <c r="CL132" i="14"/>
  <c r="CL133" i="14"/>
  <c r="CL134" i="14"/>
  <c r="CL135" i="14"/>
  <c r="CL136" i="14"/>
  <c r="CL137" i="14"/>
  <c r="CL138" i="14"/>
  <c r="CL139" i="14"/>
  <c r="CL140" i="14"/>
  <c r="CL141" i="14"/>
  <c r="CL142" i="14"/>
  <c r="CL143" i="14"/>
  <c r="CL144" i="14"/>
  <c r="CL145" i="14"/>
  <c r="CL146" i="14"/>
  <c r="CL147" i="14"/>
  <c r="CL148" i="14"/>
  <c r="CL149" i="14"/>
  <c r="CL150" i="14"/>
  <c r="CL151" i="14"/>
  <c r="CL152" i="14"/>
  <c r="CL153" i="14"/>
  <c r="CL154" i="14"/>
  <c r="CL155" i="14"/>
  <c r="CL156" i="14"/>
  <c r="CL157" i="14"/>
  <c r="CL158" i="14"/>
  <c r="CL159" i="14"/>
  <c r="CL160" i="14"/>
  <c r="CL161" i="14"/>
  <c r="CL162" i="14"/>
  <c r="CL163" i="14"/>
  <c r="CL164" i="14"/>
  <c r="CL165" i="14"/>
  <c r="CL166" i="14"/>
  <c r="CL167" i="14"/>
  <c r="CL168" i="14"/>
  <c r="CL169" i="14"/>
  <c r="CL170" i="14"/>
  <c r="CL171" i="14"/>
  <c r="CL172" i="14"/>
  <c r="CL173" i="14"/>
  <c r="CL174" i="14"/>
  <c r="CL175" i="14"/>
  <c r="CL176" i="14"/>
  <c r="CL177" i="14"/>
  <c r="CL178" i="14"/>
  <c r="CL179" i="14"/>
  <c r="CL180" i="14"/>
  <c r="CL181" i="14"/>
  <c r="CL182" i="14"/>
  <c r="CL183" i="14"/>
  <c r="CL184" i="14"/>
  <c r="CL185" i="14"/>
  <c r="CL186" i="14"/>
  <c r="CL187" i="14"/>
  <c r="CL188" i="14"/>
  <c r="CL189" i="14"/>
  <c r="CL190" i="14"/>
  <c r="CL191" i="14"/>
  <c r="CL192" i="14"/>
  <c r="CL193" i="14"/>
  <c r="CL194" i="14"/>
  <c r="CL195" i="14"/>
  <c r="CL196" i="14"/>
  <c r="CL197" i="14"/>
  <c r="CL198" i="14"/>
  <c r="CL199" i="14"/>
  <c r="CL200" i="14"/>
  <c r="CL201" i="14"/>
  <c r="CL202" i="14"/>
  <c r="CL203" i="14"/>
  <c r="CL204" i="14"/>
  <c r="CL205" i="14"/>
  <c r="CL206" i="14"/>
  <c r="CL207" i="14"/>
  <c r="CL208" i="14"/>
  <c r="CL209" i="14"/>
  <c r="CL210" i="14"/>
  <c r="CL211" i="14"/>
  <c r="CL212" i="14"/>
  <c r="CL213" i="14"/>
  <c r="CL214" i="14"/>
  <c r="CL215" i="14"/>
  <c r="CL216" i="14"/>
  <c r="CL217" i="14"/>
  <c r="CL218" i="14"/>
  <c r="CL219" i="14"/>
  <c r="CL220" i="14"/>
  <c r="CL221" i="14"/>
  <c r="CL222" i="14"/>
  <c r="CL223" i="14"/>
  <c r="CL224" i="14"/>
  <c r="CL225" i="14"/>
  <c r="CL226" i="14"/>
  <c r="CL227" i="14"/>
  <c r="CK2" i="14"/>
  <c r="CK3" i="14"/>
  <c r="CK4" i="14"/>
  <c r="CK5" i="14"/>
  <c r="CK6" i="14"/>
  <c r="CK7" i="14"/>
  <c r="CK8" i="14"/>
  <c r="CK9" i="14"/>
  <c r="CK10" i="14"/>
  <c r="CK11" i="14"/>
  <c r="CK12" i="14"/>
  <c r="CK13" i="14"/>
  <c r="CK14" i="14"/>
  <c r="CK15" i="14"/>
  <c r="CK16" i="14"/>
  <c r="CK17" i="14"/>
  <c r="CK18" i="14"/>
  <c r="CK19" i="14"/>
  <c r="CK20" i="14"/>
  <c r="CK21" i="14"/>
  <c r="CK22" i="14"/>
  <c r="CK23" i="14"/>
  <c r="CK24" i="14"/>
  <c r="CK25" i="14"/>
  <c r="CK26" i="14"/>
  <c r="CK27" i="14"/>
  <c r="CK28" i="14"/>
  <c r="CK29" i="14"/>
  <c r="CK30" i="14"/>
  <c r="CK31" i="14"/>
  <c r="CK32" i="14"/>
  <c r="CK33" i="14"/>
  <c r="CK34" i="14"/>
  <c r="CK35" i="14"/>
  <c r="CK36" i="14"/>
  <c r="CK37" i="14"/>
  <c r="CK38" i="14"/>
  <c r="CK39" i="14"/>
  <c r="CK40" i="14"/>
  <c r="CK41" i="14"/>
  <c r="CK42" i="14"/>
  <c r="CK43" i="14"/>
  <c r="CK44" i="14"/>
  <c r="CK45" i="14"/>
  <c r="CK46" i="14"/>
  <c r="CK47" i="14"/>
  <c r="CK48" i="14"/>
  <c r="CK49" i="14"/>
  <c r="CK50" i="14"/>
  <c r="CK51" i="14"/>
  <c r="CK52" i="14"/>
  <c r="CK53" i="14"/>
  <c r="CK54" i="14"/>
  <c r="CK55" i="14"/>
  <c r="CK56" i="14"/>
  <c r="CK57" i="14"/>
  <c r="CK58" i="14"/>
  <c r="CK59" i="14"/>
  <c r="CK60" i="14"/>
  <c r="CK61" i="14"/>
  <c r="CK62" i="14"/>
  <c r="CK63" i="14"/>
  <c r="CK64" i="14"/>
  <c r="CK65" i="14"/>
  <c r="CK66" i="14"/>
  <c r="CK67" i="14"/>
  <c r="CK68" i="14"/>
  <c r="CK69" i="14"/>
  <c r="CK70" i="14"/>
  <c r="CK71" i="14"/>
  <c r="CK72" i="14"/>
  <c r="CK73" i="14"/>
  <c r="CK74" i="14"/>
  <c r="CK75" i="14"/>
  <c r="CK76" i="14"/>
  <c r="CK77" i="14"/>
  <c r="CK78" i="14"/>
  <c r="CK79" i="14"/>
  <c r="CK80" i="14"/>
  <c r="CK81" i="14"/>
  <c r="CK82" i="14"/>
  <c r="CK83" i="14"/>
  <c r="CK84" i="14"/>
  <c r="CK85" i="14"/>
  <c r="CK86" i="14"/>
  <c r="CK87" i="14"/>
  <c r="CK88" i="14"/>
  <c r="CK89" i="14"/>
  <c r="CK90" i="14"/>
  <c r="CK91" i="14"/>
  <c r="CK92" i="14"/>
  <c r="CK93" i="14"/>
  <c r="CK94" i="14"/>
  <c r="CK95" i="14"/>
  <c r="CK96" i="14"/>
  <c r="CK97" i="14"/>
  <c r="CK98" i="14"/>
  <c r="CK99" i="14"/>
  <c r="CK100" i="14"/>
  <c r="CK101" i="14"/>
  <c r="CK102" i="14"/>
  <c r="CK103" i="14"/>
  <c r="CK104" i="14"/>
  <c r="CK105" i="14"/>
  <c r="CK106" i="14"/>
  <c r="CK107" i="14"/>
  <c r="CK108" i="14"/>
  <c r="CK109" i="14"/>
  <c r="CK110" i="14"/>
  <c r="CK111" i="14"/>
  <c r="CK112" i="14"/>
  <c r="CK113" i="14"/>
  <c r="CK114" i="14"/>
  <c r="CK115" i="14"/>
  <c r="CK116" i="14"/>
  <c r="CK117" i="14"/>
  <c r="CK118" i="14"/>
  <c r="CK119" i="14"/>
  <c r="CK120" i="14"/>
  <c r="CK121" i="14"/>
  <c r="CK122" i="14"/>
  <c r="CK123" i="14"/>
  <c r="CK124" i="14"/>
  <c r="CK125" i="14"/>
  <c r="CK126" i="14"/>
  <c r="CK127" i="14"/>
  <c r="CK128" i="14"/>
  <c r="CK129" i="14"/>
  <c r="CK130" i="14"/>
  <c r="CK131" i="14"/>
  <c r="CK132" i="14"/>
  <c r="CK133" i="14"/>
  <c r="CK134" i="14"/>
  <c r="CK135" i="14"/>
  <c r="CK136" i="14"/>
  <c r="CK137" i="14"/>
  <c r="CK138" i="14"/>
  <c r="CK139" i="14"/>
  <c r="CK140" i="14"/>
  <c r="CK141" i="14"/>
  <c r="CK142" i="14"/>
  <c r="CK143" i="14"/>
  <c r="CK144" i="14"/>
  <c r="CK145" i="14"/>
  <c r="CK146" i="14"/>
  <c r="CK147" i="14"/>
  <c r="CK148" i="14"/>
  <c r="CK149" i="14"/>
  <c r="CK150" i="14"/>
  <c r="CK151" i="14"/>
  <c r="CK152" i="14"/>
  <c r="CK153" i="14"/>
  <c r="CK154" i="14"/>
  <c r="CK155" i="14"/>
  <c r="CK156" i="14"/>
  <c r="CK157" i="14"/>
  <c r="CK158" i="14"/>
  <c r="CK159" i="14"/>
  <c r="CK160" i="14"/>
  <c r="CK161" i="14"/>
  <c r="CK162" i="14"/>
  <c r="CK163" i="14"/>
  <c r="CK164" i="14"/>
  <c r="CK165" i="14"/>
  <c r="CK166" i="14"/>
  <c r="CK167" i="14"/>
  <c r="CK168" i="14"/>
  <c r="CK169" i="14"/>
  <c r="CK170" i="14"/>
  <c r="CK171" i="14"/>
  <c r="CK172" i="14"/>
  <c r="CK173" i="14"/>
  <c r="CK174" i="14"/>
  <c r="CK175" i="14"/>
  <c r="CK176" i="14"/>
  <c r="CK177" i="14"/>
  <c r="CK178" i="14"/>
  <c r="CK179" i="14"/>
  <c r="CK180" i="14"/>
  <c r="CK181" i="14"/>
  <c r="CK182" i="14"/>
  <c r="CK183" i="14"/>
  <c r="CK184" i="14"/>
  <c r="CK185" i="14"/>
  <c r="CK186" i="14"/>
  <c r="CK187" i="14"/>
  <c r="CK188" i="14"/>
  <c r="CK189" i="14"/>
  <c r="CK190" i="14"/>
  <c r="CK191" i="14"/>
  <c r="CK192" i="14"/>
  <c r="CK193" i="14"/>
  <c r="CK194" i="14"/>
  <c r="CK195" i="14"/>
  <c r="CK196" i="14"/>
  <c r="CK197" i="14"/>
  <c r="CK198" i="14"/>
  <c r="CK199" i="14"/>
  <c r="CK200" i="14"/>
  <c r="CK201" i="14"/>
  <c r="CK202" i="14"/>
  <c r="CK203" i="14"/>
  <c r="CK204" i="14"/>
  <c r="CK205" i="14"/>
  <c r="CK206" i="14"/>
  <c r="CK207" i="14"/>
  <c r="CK208" i="14"/>
  <c r="CK209" i="14"/>
  <c r="CK210" i="14"/>
  <c r="CK211" i="14"/>
  <c r="CK212" i="14"/>
  <c r="CK213" i="14"/>
  <c r="CK214" i="14"/>
  <c r="CK215" i="14"/>
  <c r="CK216" i="14"/>
  <c r="CK217" i="14"/>
  <c r="CK218" i="14"/>
  <c r="CK219" i="14"/>
  <c r="CK220" i="14"/>
  <c r="CK221" i="14"/>
  <c r="CK222" i="14"/>
  <c r="CK223" i="14"/>
  <c r="CK224" i="14"/>
  <c r="CK225" i="14"/>
  <c r="CK226" i="14"/>
  <c r="CK227" i="14"/>
  <c r="CJ2" i="14"/>
  <c r="CJ3" i="14"/>
  <c r="CJ4" i="14"/>
  <c r="CJ5" i="14"/>
  <c r="CJ6" i="14"/>
  <c r="CJ7" i="14"/>
  <c r="CJ8" i="14"/>
  <c r="CJ9" i="14"/>
  <c r="CJ10" i="14"/>
  <c r="CJ11" i="14"/>
  <c r="CJ12" i="14"/>
  <c r="CJ13" i="14"/>
  <c r="CJ14" i="14"/>
  <c r="CJ15" i="14"/>
  <c r="CJ16" i="14"/>
  <c r="CJ17" i="14"/>
  <c r="CJ18" i="14"/>
  <c r="CJ19" i="14"/>
  <c r="CJ20" i="14"/>
  <c r="CJ21" i="14"/>
  <c r="CJ22" i="14"/>
  <c r="CJ23" i="14"/>
  <c r="CJ24" i="14"/>
  <c r="CJ25" i="14"/>
  <c r="CJ26" i="14"/>
  <c r="CJ27" i="14"/>
  <c r="CJ28" i="14"/>
  <c r="CJ29" i="14"/>
  <c r="CJ30" i="14"/>
  <c r="CJ31" i="14"/>
  <c r="CJ32" i="14"/>
  <c r="CJ33" i="14"/>
  <c r="CJ34" i="14"/>
  <c r="CJ35" i="14"/>
  <c r="CJ36" i="14"/>
  <c r="CJ37" i="14"/>
  <c r="CJ38" i="14"/>
  <c r="CJ39" i="14"/>
  <c r="CJ40" i="14"/>
  <c r="CJ41" i="14"/>
  <c r="CJ42" i="14"/>
  <c r="CJ43" i="14"/>
  <c r="CJ44" i="14"/>
  <c r="CJ45" i="14"/>
  <c r="CJ46" i="14"/>
  <c r="CJ47" i="14"/>
  <c r="CJ48" i="14"/>
  <c r="CJ49" i="14"/>
  <c r="CJ50" i="14"/>
  <c r="CJ51" i="14"/>
  <c r="CJ52" i="14"/>
  <c r="CJ53" i="14"/>
  <c r="CJ54" i="14"/>
  <c r="CJ55" i="14"/>
  <c r="CJ56" i="14"/>
  <c r="CJ57" i="14"/>
  <c r="CJ58" i="14"/>
  <c r="CJ59" i="14"/>
  <c r="CJ60" i="14"/>
  <c r="CJ61" i="14"/>
  <c r="CJ62" i="14"/>
  <c r="CJ63" i="14"/>
  <c r="CJ64" i="14"/>
  <c r="CJ65" i="14"/>
  <c r="CJ66" i="14"/>
  <c r="CJ67" i="14"/>
  <c r="CJ68" i="14"/>
  <c r="CJ69" i="14"/>
  <c r="CJ70" i="14"/>
  <c r="CJ71" i="14"/>
  <c r="CJ72" i="14"/>
  <c r="CJ73" i="14"/>
  <c r="CJ74" i="14"/>
  <c r="CJ75" i="14"/>
  <c r="CJ76" i="14"/>
  <c r="CJ77" i="14"/>
  <c r="CJ78" i="14"/>
  <c r="CJ79" i="14"/>
  <c r="CJ80" i="14"/>
  <c r="CJ81" i="14"/>
  <c r="CJ82" i="14"/>
  <c r="CJ83" i="14"/>
  <c r="CJ84" i="14"/>
  <c r="CJ85" i="14"/>
  <c r="CJ86" i="14"/>
  <c r="CJ87" i="14"/>
  <c r="CJ88" i="14"/>
  <c r="CJ89" i="14"/>
  <c r="CJ90" i="14"/>
  <c r="CJ91" i="14"/>
  <c r="CJ92" i="14"/>
  <c r="CJ93" i="14"/>
  <c r="CJ94" i="14"/>
  <c r="CJ95" i="14"/>
  <c r="CJ96" i="14"/>
  <c r="CJ97" i="14"/>
  <c r="CJ98" i="14"/>
  <c r="CJ99" i="14"/>
  <c r="CJ100" i="14"/>
  <c r="CJ101" i="14"/>
  <c r="CJ102" i="14"/>
  <c r="CJ103" i="14"/>
  <c r="CJ104" i="14"/>
  <c r="CJ105" i="14"/>
  <c r="CJ106" i="14"/>
  <c r="CJ107" i="14"/>
  <c r="CJ108" i="14"/>
  <c r="CJ109" i="14"/>
  <c r="CJ110" i="14"/>
  <c r="CJ111" i="14"/>
  <c r="CJ112" i="14"/>
  <c r="CJ113" i="14"/>
  <c r="CJ114" i="14"/>
  <c r="CJ115" i="14"/>
  <c r="CJ116" i="14"/>
  <c r="CJ117" i="14"/>
  <c r="CJ118" i="14"/>
  <c r="CJ119" i="14"/>
  <c r="CJ120" i="14"/>
  <c r="CJ121" i="14"/>
  <c r="CJ122" i="14"/>
  <c r="CJ123" i="14"/>
  <c r="CJ124" i="14"/>
  <c r="CJ125" i="14"/>
  <c r="CJ126" i="14"/>
  <c r="CJ127" i="14"/>
  <c r="CJ128" i="14"/>
  <c r="CJ129" i="14"/>
  <c r="CJ130" i="14"/>
  <c r="CJ131" i="14"/>
  <c r="CJ132" i="14"/>
  <c r="CJ133" i="14"/>
  <c r="CJ134" i="14"/>
  <c r="CJ135" i="14"/>
  <c r="CJ136" i="14"/>
  <c r="CJ137" i="14"/>
  <c r="CJ138" i="14"/>
  <c r="CJ139" i="14"/>
  <c r="CJ140" i="14"/>
  <c r="CJ141" i="14"/>
  <c r="CJ142" i="14"/>
  <c r="CJ143" i="14"/>
  <c r="CJ144" i="14"/>
  <c r="CJ145" i="14"/>
  <c r="CJ146" i="14"/>
  <c r="CJ147" i="14"/>
  <c r="CJ148" i="14"/>
  <c r="CJ149" i="14"/>
  <c r="CJ150" i="14"/>
  <c r="CJ151" i="14"/>
  <c r="CJ152" i="14"/>
  <c r="CJ153" i="14"/>
  <c r="CJ154" i="14"/>
  <c r="CJ155" i="14"/>
  <c r="CJ156" i="14"/>
  <c r="CJ157" i="14"/>
  <c r="CJ158" i="14"/>
  <c r="CJ159" i="14"/>
  <c r="CJ160" i="14"/>
  <c r="CJ161" i="14"/>
  <c r="CJ162" i="14"/>
  <c r="CJ163" i="14"/>
  <c r="CJ164" i="14"/>
  <c r="CJ165" i="14"/>
  <c r="CJ166" i="14"/>
  <c r="CJ167" i="14"/>
  <c r="CJ168" i="14"/>
  <c r="CJ169" i="14"/>
  <c r="CJ170" i="14"/>
  <c r="CJ171" i="14"/>
  <c r="CJ172" i="14"/>
  <c r="CJ173" i="14"/>
  <c r="CJ174" i="14"/>
  <c r="CJ175" i="14"/>
  <c r="CJ176" i="14"/>
  <c r="CJ177" i="14"/>
  <c r="CJ178" i="14"/>
  <c r="CJ179" i="14"/>
  <c r="CJ180" i="14"/>
  <c r="CJ181" i="14"/>
  <c r="CJ182" i="14"/>
  <c r="CJ183" i="14"/>
  <c r="CJ184" i="14"/>
  <c r="CJ185" i="14"/>
  <c r="CJ186" i="14"/>
  <c r="CJ187" i="14"/>
  <c r="CJ188" i="14"/>
  <c r="CJ189" i="14"/>
  <c r="CJ190" i="14"/>
  <c r="CJ191" i="14"/>
  <c r="CJ192" i="14"/>
  <c r="CJ193" i="14"/>
  <c r="CJ194" i="14"/>
  <c r="CJ195" i="14"/>
  <c r="CJ196" i="14"/>
  <c r="CJ197" i="14"/>
  <c r="CJ198" i="14"/>
  <c r="CJ199" i="14"/>
  <c r="CJ200" i="14"/>
  <c r="CJ201" i="14"/>
  <c r="CJ202" i="14"/>
  <c r="CJ203" i="14"/>
  <c r="CJ204" i="14"/>
  <c r="CJ205" i="14"/>
  <c r="CJ206" i="14"/>
  <c r="CJ207" i="14"/>
  <c r="CJ208" i="14"/>
  <c r="CJ209" i="14"/>
  <c r="CJ210" i="14"/>
  <c r="CJ211" i="14"/>
  <c r="CJ212" i="14"/>
  <c r="CJ213" i="14"/>
  <c r="CJ214" i="14"/>
  <c r="CJ215" i="14"/>
  <c r="CJ216" i="14"/>
  <c r="CJ217" i="14"/>
  <c r="CJ218" i="14"/>
  <c r="CJ219" i="14"/>
  <c r="CJ220" i="14"/>
  <c r="CJ221" i="14"/>
  <c r="CJ222" i="14"/>
  <c r="CJ223" i="14"/>
  <c r="CJ224" i="14"/>
  <c r="CJ225" i="14"/>
  <c r="CJ226" i="14"/>
  <c r="CJ227" i="14"/>
  <c r="CI2" i="14"/>
  <c r="CI3" i="14"/>
  <c r="CI4" i="14"/>
  <c r="CI5" i="14"/>
  <c r="CI6" i="14"/>
  <c r="CI7" i="14"/>
  <c r="CI8" i="14"/>
  <c r="CI9" i="14"/>
  <c r="CI10" i="14"/>
  <c r="CI11" i="14"/>
  <c r="CI12" i="14"/>
  <c r="CI13" i="14"/>
  <c r="CI14" i="14"/>
  <c r="CI15" i="14"/>
  <c r="CI16" i="14"/>
  <c r="CI17" i="14"/>
  <c r="CI18" i="14"/>
  <c r="CI19" i="14"/>
  <c r="CI20" i="14"/>
  <c r="CI21" i="14"/>
  <c r="CI22" i="14"/>
  <c r="CI23" i="14"/>
  <c r="CI24" i="14"/>
  <c r="CI25" i="14"/>
  <c r="CI26" i="14"/>
  <c r="CI27" i="14"/>
  <c r="CI28" i="14"/>
  <c r="CI29" i="14"/>
  <c r="CI30" i="14"/>
  <c r="CI31" i="14"/>
  <c r="CI32" i="14"/>
  <c r="CI33" i="14"/>
  <c r="CI34" i="14"/>
  <c r="CI35" i="14"/>
  <c r="CI36" i="14"/>
  <c r="CI37" i="14"/>
  <c r="CI38" i="14"/>
  <c r="CI39" i="14"/>
  <c r="CI40" i="14"/>
  <c r="CI41" i="14"/>
  <c r="CI42" i="14"/>
  <c r="CI43" i="14"/>
  <c r="CI44" i="14"/>
  <c r="CI45" i="14"/>
  <c r="CI46" i="14"/>
  <c r="CI47" i="14"/>
  <c r="CI48" i="14"/>
  <c r="CI49" i="14"/>
  <c r="CI50" i="14"/>
  <c r="CI51" i="14"/>
  <c r="CI52" i="14"/>
  <c r="CI53" i="14"/>
  <c r="CI54" i="14"/>
  <c r="CI55" i="14"/>
  <c r="CI56" i="14"/>
  <c r="CI57" i="14"/>
  <c r="CI58" i="14"/>
  <c r="CI59" i="14"/>
  <c r="CI60" i="14"/>
  <c r="CI61" i="14"/>
  <c r="CI62" i="14"/>
  <c r="CI63" i="14"/>
  <c r="CI64" i="14"/>
  <c r="CI65" i="14"/>
  <c r="CI66" i="14"/>
  <c r="CI67" i="14"/>
  <c r="CI68" i="14"/>
  <c r="CI69" i="14"/>
  <c r="CI70" i="14"/>
  <c r="CI71" i="14"/>
  <c r="CI72" i="14"/>
  <c r="CI73" i="14"/>
  <c r="CI74" i="14"/>
  <c r="CI75" i="14"/>
  <c r="CI76" i="14"/>
  <c r="CI77" i="14"/>
  <c r="CI78" i="14"/>
  <c r="CI79" i="14"/>
  <c r="CI80" i="14"/>
  <c r="CI81" i="14"/>
  <c r="CI82" i="14"/>
  <c r="CI83" i="14"/>
  <c r="CI84" i="14"/>
  <c r="CI85" i="14"/>
  <c r="CI86" i="14"/>
  <c r="CI87" i="14"/>
  <c r="CI88" i="14"/>
  <c r="CI89" i="14"/>
  <c r="CI90" i="14"/>
  <c r="CI91" i="14"/>
  <c r="CI92" i="14"/>
  <c r="CI93" i="14"/>
  <c r="CI94" i="14"/>
  <c r="CI95" i="14"/>
  <c r="CI96" i="14"/>
  <c r="CI97" i="14"/>
  <c r="CI98" i="14"/>
  <c r="CI99" i="14"/>
  <c r="CI100" i="14"/>
  <c r="CI101" i="14"/>
  <c r="CI102" i="14"/>
  <c r="CI103" i="14"/>
  <c r="CI104" i="14"/>
  <c r="CI105" i="14"/>
  <c r="CI106" i="14"/>
  <c r="CI107" i="14"/>
  <c r="CI108" i="14"/>
  <c r="CI109" i="14"/>
  <c r="CI110" i="14"/>
  <c r="CI111" i="14"/>
  <c r="CI112" i="14"/>
  <c r="CI113" i="14"/>
  <c r="CI114" i="14"/>
  <c r="CI115" i="14"/>
  <c r="CI116" i="14"/>
  <c r="CI117" i="14"/>
  <c r="CI118" i="14"/>
  <c r="CI119" i="14"/>
  <c r="CI120" i="14"/>
  <c r="CI121" i="14"/>
  <c r="CI122" i="14"/>
  <c r="CI123" i="14"/>
  <c r="CI124" i="14"/>
  <c r="CI125" i="14"/>
  <c r="CI126" i="14"/>
  <c r="CI127" i="14"/>
  <c r="CI128" i="14"/>
  <c r="CI129" i="14"/>
  <c r="CI130" i="14"/>
  <c r="CI131" i="14"/>
  <c r="CI132" i="14"/>
  <c r="CI133" i="14"/>
  <c r="CI134" i="14"/>
  <c r="CI135" i="14"/>
  <c r="CI136" i="14"/>
  <c r="CI137" i="14"/>
  <c r="CI138" i="14"/>
  <c r="CI139" i="14"/>
  <c r="CI140" i="14"/>
  <c r="CI141" i="14"/>
  <c r="CI142" i="14"/>
  <c r="CI143" i="14"/>
  <c r="CI144" i="14"/>
  <c r="CI145" i="14"/>
  <c r="CI146" i="14"/>
  <c r="CI147" i="14"/>
  <c r="CI148" i="14"/>
  <c r="CI149" i="14"/>
  <c r="CI150" i="14"/>
  <c r="CI151" i="14"/>
  <c r="CI152" i="14"/>
  <c r="CI153" i="14"/>
  <c r="CI154" i="14"/>
  <c r="CI155" i="14"/>
  <c r="CI156" i="14"/>
  <c r="CI157" i="14"/>
  <c r="CI158" i="14"/>
  <c r="CI159" i="14"/>
  <c r="CI160" i="14"/>
  <c r="CI161" i="14"/>
  <c r="CI162" i="14"/>
  <c r="CI163" i="14"/>
  <c r="CI164" i="14"/>
  <c r="CI165" i="14"/>
  <c r="CI166" i="14"/>
  <c r="CI167" i="14"/>
  <c r="CI168" i="14"/>
  <c r="CI169" i="14"/>
  <c r="CI170" i="14"/>
  <c r="CI171" i="14"/>
  <c r="CI172" i="14"/>
  <c r="CI173" i="14"/>
  <c r="CI174" i="14"/>
  <c r="CI175" i="14"/>
  <c r="CI176" i="14"/>
  <c r="CI177" i="14"/>
  <c r="CI178" i="14"/>
  <c r="CI179" i="14"/>
  <c r="CI180" i="14"/>
  <c r="CI181" i="14"/>
  <c r="CI182" i="14"/>
  <c r="CI183" i="14"/>
  <c r="CI184" i="14"/>
  <c r="CI185" i="14"/>
  <c r="CI186" i="14"/>
  <c r="CI187" i="14"/>
  <c r="CI188" i="14"/>
  <c r="CI189" i="14"/>
  <c r="CI190" i="14"/>
  <c r="CI191" i="14"/>
  <c r="CI192" i="14"/>
  <c r="CI193" i="14"/>
  <c r="CI194" i="14"/>
  <c r="CI195" i="14"/>
  <c r="CI196" i="14"/>
  <c r="CI197" i="14"/>
  <c r="CI198" i="14"/>
  <c r="CI199" i="14"/>
  <c r="CI200" i="14"/>
  <c r="CI201" i="14"/>
  <c r="CI202" i="14"/>
  <c r="CI203" i="14"/>
  <c r="CI204" i="14"/>
  <c r="CI205" i="14"/>
  <c r="CI206" i="14"/>
  <c r="CI207" i="14"/>
  <c r="CI208" i="14"/>
  <c r="CI209" i="14"/>
  <c r="CI210" i="14"/>
  <c r="CI211" i="14"/>
  <c r="CI212" i="14"/>
  <c r="CI213" i="14"/>
  <c r="CI214" i="14"/>
  <c r="CI215" i="14"/>
  <c r="CI216" i="14"/>
  <c r="CI217" i="14"/>
  <c r="CI218" i="14"/>
  <c r="CI219" i="14"/>
  <c r="CI220" i="14"/>
  <c r="CI221" i="14"/>
  <c r="CI222" i="14"/>
  <c r="CI223" i="14"/>
  <c r="CI224" i="14"/>
  <c r="CI225" i="14"/>
  <c r="CI226" i="14"/>
  <c r="CI227" i="14"/>
  <c r="CH2" i="14"/>
  <c r="CH3" i="14"/>
  <c r="CH4" i="14"/>
  <c r="CH5" i="14"/>
  <c r="CH6" i="14"/>
  <c r="CH7" i="14"/>
  <c r="CH8" i="14"/>
  <c r="CH9" i="14"/>
  <c r="CH10" i="14"/>
  <c r="CH11" i="14"/>
  <c r="CH12" i="14"/>
  <c r="CH13" i="14"/>
  <c r="CH14" i="14"/>
  <c r="CH15" i="14"/>
  <c r="CH16" i="14"/>
  <c r="CH17" i="14"/>
  <c r="CH18" i="14"/>
  <c r="CH19" i="14"/>
  <c r="CH20" i="14"/>
  <c r="CH21" i="14"/>
  <c r="CH22" i="14"/>
  <c r="CH23" i="14"/>
  <c r="CH24" i="14"/>
  <c r="CH25" i="14"/>
  <c r="CH26" i="14"/>
  <c r="CH27" i="14"/>
  <c r="CH28" i="14"/>
  <c r="CH29" i="14"/>
  <c r="CH30" i="14"/>
  <c r="CH31" i="14"/>
  <c r="CH32" i="14"/>
  <c r="CH33" i="14"/>
  <c r="CH34" i="14"/>
  <c r="CH35" i="14"/>
  <c r="CH36" i="14"/>
  <c r="CH37" i="14"/>
  <c r="CH38" i="14"/>
  <c r="CH39" i="14"/>
  <c r="CH40" i="14"/>
  <c r="CH41" i="14"/>
  <c r="CH42" i="14"/>
  <c r="CH43" i="14"/>
  <c r="CH44" i="14"/>
  <c r="CH45" i="14"/>
  <c r="CH46" i="14"/>
  <c r="CH47" i="14"/>
  <c r="CH48" i="14"/>
  <c r="CH49" i="14"/>
  <c r="CH50" i="14"/>
  <c r="CH51" i="14"/>
  <c r="CH52" i="14"/>
  <c r="CH53" i="14"/>
  <c r="CH54" i="14"/>
  <c r="CH55" i="14"/>
  <c r="CH56" i="14"/>
  <c r="CH57" i="14"/>
  <c r="CH58" i="14"/>
  <c r="CH59" i="14"/>
  <c r="CH60" i="14"/>
  <c r="CH61" i="14"/>
  <c r="CH62" i="14"/>
  <c r="CH63" i="14"/>
  <c r="CH64" i="14"/>
  <c r="CH65" i="14"/>
  <c r="CH66" i="14"/>
  <c r="CH67" i="14"/>
  <c r="CH68" i="14"/>
  <c r="CH69" i="14"/>
  <c r="CH70" i="14"/>
  <c r="CH71" i="14"/>
  <c r="CH72" i="14"/>
  <c r="CH73" i="14"/>
  <c r="CH74" i="14"/>
  <c r="CH75" i="14"/>
  <c r="CH76" i="14"/>
  <c r="CH77" i="14"/>
  <c r="CH78" i="14"/>
  <c r="CH79" i="14"/>
  <c r="CH80" i="14"/>
  <c r="CH81" i="14"/>
  <c r="CH82" i="14"/>
  <c r="CH83" i="14"/>
  <c r="CH84" i="14"/>
  <c r="CH85" i="14"/>
  <c r="CH86" i="14"/>
  <c r="CH87" i="14"/>
  <c r="CH88" i="14"/>
  <c r="CH89" i="14"/>
  <c r="CH90" i="14"/>
  <c r="CH91" i="14"/>
  <c r="CH92" i="14"/>
  <c r="CH93" i="14"/>
  <c r="CH94" i="14"/>
  <c r="CH95" i="14"/>
  <c r="CH96" i="14"/>
  <c r="CH97" i="14"/>
  <c r="CH98" i="14"/>
  <c r="CH99" i="14"/>
  <c r="CH100" i="14"/>
  <c r="CH101" i="14"/>
  <c r="CH102" i="14"/>
  <c r="CH103" i="14"/>
  <c r="CH104" i="14"/>
  <c r="CH105" i="14"/>
  <c r="CH106" i="14"/>
  <c r="CH107" i="14"/>
  <c r="CH108" i="14"/>
  <c r="CH109" i="14"/>
  <c r="CH110" i="14"/>
  <c r="CH111" i="14"/>
  <c r="CH112" i="14"/>
  <c r="CH113" i="14"/>
  <c r="CH114" i="14"/>
  <c r="CH115" i="14"/>
  <c r="CH116" i="14"/>
  <c r="CH117" i="14"/>
  <c r="CH118" i="14"/>
  <c r="CH119" i="14"/>
  <c r="CH120" i="14"/>
  <c r="CH121" i="14"/>
  <c r="CH122" i="14"/>
  <c r="CH123" i="14"/>
  <c r="CH124" i="14"/>
  <c r="CH125" i="14"/>
  <c r="CH126" i="14"/>
  <c r="CH127" i="14"/>
  <c r="CH128" i="14"/>
  <c r="CH129" i="14"/>
  <c r="CH130" i="14"/>
  <c r="CH131" i="14"/>
  <c r="CH132" i="14"/>
  <c r="CH133" i="14"/>
  <c r="CH134" i="14"/>
  <c r="CH135" i="14"/>
  <c r="CH136" i="14"/>
  <c r="CH137" i="14"/>
  <c r="CH138" i="14"/>
  <c r="CH139" i="14"/>
  <c r="CH140" i="14"/>
  <c r="CH141" i="14"/>
  <c r="CH142" i="14"/>
  <c r="CH143" i="14"/>
  <c r="CH144" i="14"/>
  <c r="CH145" i="14"/>
  <c r="CH146" i="14"/>
  <c r="CH147" i="14"/>
  <c r="CH148" i="14"/>
  <c r="CH149" i="14"/>
  <c r="CH150" i="14"/>
  <c r="CH151" i="14"/>
  <c r="CH152" i="14"/>
  <c r="CH153" i="14"/>
  <c r="CH154" i="14"/>
  <c r="CH155" i="14"/>
  <c r="CH156" i="14"/>
  <c r="CH157" i="14"/>
  <c r="CH158" i="14"/>
  <c r="CH159" i="14"/>
  <c r="CH160" i="14"/>
  <c r="CH161" i="14"/>
  <c r="CH162" i="14"/>
  <c r="CH163" i="14"/>
  <c r="CH164" i="14"/>
  <c r="CH165" i="14"/>
  <c r="CH166" i="14"/>
  <c r="CH167" i="14"/>
  <c r="CH168" i="14"/>
  <c r="CH169" i="14"/>
  <c r="CH170" i="14"/>
  <c r="CH171" i="14"/>
  <c r="CH172" i="14"/>
  <c r="CH173" i="14"/>
  <c r="CH174" i="14"/>
  <c r="CH175" i="14"/>
  <c r="CH176" i="14"/>
  <c r="CH177" i="14"/>
  <c r="CH178" i="14"/>
  <c r="CH179" i="14"/>
  <c r="CH180" i="14"/>
  <c r="CH181" i="14"/>
  <c r="CH182" i="14"/>
  <c r="CH183" i="14"/>
  <c r="CH184" i="14"/>
  <c r="CH185" i="14"/>
  <c r="CH186" i="14"/>
  <c r="CH187" i="14"/>
  <c r="CH188" i="14"/>
  <c r="CH189" i="14"/>
  <c r="CH190" i="14"/>
  <c r="CH191" i="14"/>
  <c r="CH192" i="14"/>
  <c r="CH193" i="14"/>
  <c r="CH194" i="14"/>
  <c r="CH195" i="14"/>
  <c r="CH196" i="14"/>
  <c r="CH197" i="14"/>
  <c r="CH198" i="14"/>
  <c r="CH199" i="14"/>
  <c r="CH200" i="14"/>
  <c r="CH201" i="14"/>
  <c r="CH202" i="14"/>
  <c r="CH203" i="14"/>
  <c r="CH204" i="14"/>
  <c r="CH205" i="14"/>
  <c r="CH206" i="14"/>
  <c r="CH207" i="14"/>
  <c r="CH208" i="14"/>
  <c r="CH209" i="14"/>
  <c r="CH210" i="14"/>
  <c r="CH211" i="14"/>
  <c r="CH212" i="14"/>
  <c r="CH213" i="14"/>
  <c r="CH214" i="14"/>
  <c r="CH215" i="14"/>
  <c r="CH216" i="14"/>
  <c r="CH217" i="14"/>
  <c r="CH218" i="14"/>
  <c r="CH219" i="14"/>
  <c r="CH220" i="14"/>
  <c r="CH221" i="14"/>
  <c r="CH222" i="14"/>
  <c r="CH223" i="14"/>
  <c r="CH224" i="14"/>
  <c r="CH225" i="14"/>
  <c r="CH226" i="14"/>
  <c r="CH227" i="14"/>
  <c r="CG2" i="14"/>
  <c r="CG3" i="14"/>
  <c r="CG4" i="14"/>
  <c r="CG5" i="14"/>
  <c r="CG6" i="14"/>
  <c r="CG7" i="14"/>
  <c r="CG8" i="14"/>
  <c r="CG9" i="14"/>
  <c r="CG10" i="14"/>
  <c r="CG11" i="14"/>
  <c r="CG12" i="14"/>
  <c r="CG13" i="14"/>
  <c r="CG14" i="14"/>
  <c r="CG15" i="14"/>
  <c r="CG16" i="14"/>
  <c r="CG17" i="14"/>
  <c r="CG18" i="14"/>
  <c r="CG19" i="14"/>
  <c r="CG20" i="14"/>
  <c r="CG21" i="14"/>
  <c r="CG22" i="14"/>
  <c r="CG23" i="14"/>
  <c r="CG24" i="14"/>
  <c r="CG25" i="14"/>
  <c r="CG26" i="14"/>
  <c r="CG27" i="14"/>
  <c r="CG28" i="14"/>
  <c r="CG29" i="14"/>
  <c r="CG30" i="14"/>
  <c r="CG31" i="14"/>
  <c r="CG32" i="14"/>
  <c r="CG33" i="14"/>
  <c r="CG34" i="14"/>
  <c r="CG35" i="14"/>
  <c r="CG36" i="14"/>
  <c r="CG37" i="14"/>
  <c r="CG38" i="14"/>
  <c r="CG39" i="14"/>
  <c r="CG40" i="14"/>
  <c r="CG41" i="14"/>
  <c r="CG42" i="14"/>
  <c r="CG43" i="14"/>
  <c r="CG44" i="14"/>
  <c r="CG45" i="14"/>
  <c r="CG46" i="14"/>
  <c r="CG47" i="14"/>
  <c r="CG48" i="14"/>
  <c r="CG49" i="14"/>
  <c r="CG50" i="14"/>
  <c r="CG51" i="14"/>
  <c r="CG52" i="14"/>
  <c r="CG53" i="14"/>
  <c r="CG54" i="14"/>
  <c r="CG55" i="14"/>
  <c r="CG56" i="14"/>
  <c r="CG57" i="14"/>
  <c r="CG58" i="14"/>
  <c r="CG59" i="14"/>
  <c r="CG60" i="14"/>
  <c r="CG61" i="14"/>
  <c r="CG62" i="14"/>
  <c r="CG63" i="14"/>
  <c r="CG64" i="14"/>
  <c r="CG65" i="14"/>
  <c r="CG66" i="14"/>
  <c r="CG67" i="14"/>
  <c r="CG68" i="14"/>
  <c r="CG69" i="14"/>
  <c r="CG70" i="14"/>
  <c r="CG71" i="14"/>
  <c r="CG72" i="14"/>
  <c r="CG73" i="14"/>
  <c r="CG74" i="14"/>
  <c r="CG75" i="14"/>
  <c r="CG76" i="14"/>
  <c r="CG77" i="14"/>
  <c r="CG78" i="14"/>
  <c r="CG79" i="14"/>
  <c r="CG80" i="14"/>
  <c r="CG81" i="14"/>
  <c r="CG82" i="14"/>
  <c r="CG83" i="14"/>
  <c r="CG84" i="14"/>
  <c r="CG85" i="14"/>
  <c r="CG86" i="14"/>
  <c r="CG87" i="14"/>
  <c r="CG88" i="14"/>
  <c r="CG89" i="14"/>
  <c r="CG90" i="14"/>
  <c r="CG91" i="14"/>
  <c r="CG92" i="14"/>
  <c r="CG93" i="14"/>
  <c r="CG94" i="14"/>
  <c r="CG95" i="14"/>
  <c r="CG96" i="14"/>
  <c r="CG97" i="14"/>
  <c r="CG98" i="14"/>
  <c r="CG99" i="14"/>
  <c r="CG100" i="14"/>
  <c r="CG101" i="14"/>
  <c r="CG102" i="14"/>
  <c r="CG103" i="14"/>
  <c r="CG104" i="14"/>
  <c r="CG105" i="14"/>
  <c r="CG106" i="14"/>
  <c r="CG107" i="14"/>
  <c r="CG108" i="14"/>
  <c r="CG109" i="14"/>
  <c r="CG110" i="14"/>
  <c r="CG111" i="14"/>
  <c r="CG112" i="14"/>
  <c r="CG113" i="14"/>
  <c r="CG114" i="14"/>
  <c r="CG115" i="14"/>
  <c r="CG116" i="14"/>
  <c r="CG117" i="14"/>
  <c r="CG118" i="14"/>
  <c r="CG119" i="14"/>
  <c r="CG120" i="14"/>
  <c r="CG121" i="14"/>
  <c r="CG122" i="14"/>
  <c r="CG123" i="14"/>
  <c r="CG124" i="14"/>
  <c r="CG125" i="14"/>
  <c r="CG126" i="14"/>
  <c r="CG127" i="14"/>
  <c r="CG128" i="14"/>
  <c r="CG129" i="14"/>
  <c r="CG130" i="14"/>
  <c r="CG131" i="14"/>
  <c r="CG132" i="14"/>
  <c r="CG133" i="14"/>
  <c r="CG134" i="14"/>
  <c r="CG135" i="14"/>
  <c r="CG136" i="14"/>
  <c r="CG137" i="14"/>
  <c r="CG138" i="14"/>
  <c r="CG139" i="14"/>
  <c r="CG140" i="14"/>
  <c r="CG141" i="14"/>
  <c r="CG142" i="14"/>
  <c r="CG143" i="14"/>
  <c r="CG144" i="14"/>
  <c r="CG145" i="14"/>
  <c r="CG146" i="14"/>
  <c r="CG147" i="14"/>
  <c r="CG148" i="14"/>
  <c r="CG149" i="14"/>
  <c r="CG150" i="14"/>
  <c r="CG151" i="14"/>
  <c r="CG152" i="14"/>
  <c r="CG153" i="14"/>
  <c r="CG154" i="14"/>
  <c r="CG155" i="14"/>
  <c r="CG156" i="14"/>
  <c r="CG157" i="14"/>
  <c r="CG158" i="14"/>
  <c r="CG159" i="14"/>
  <c r="CG160" i="14"/>
  <c r="CG161" i="14"/>
  <c r="CG162" i="14"/>
  <c r="CG163" i="14"/>
  <c r="CG164" i="14"/>
  <c r="CG165" i="14"/>
  <c r="CG166" i="14"/>
  <c r="CG167" i="14"/>
  <c r="CG168" i="14"/>
  <c r="CG169" i="14"/>
  <c r="CG170" i="14"/>
  <c r="CG171" i="14"/>
  <c r="CG172" i="14"/>
  <c r="CG173" i="14"/>
  <c r="CG174" i="14"/>
  <c r="CG175" i="14"/>
  <c r="CG176" i="14"/>
  <c r="CG177" i="14"/>
  <c r="CG178" i="14"/>
  <c r="CG179" i="14"/>
  <c r="CG180" i="14"/>
  <c r="CG181" i="14"/>
  <c r="CG182" i="14"/>
  <c r="CG183" i="14"/>
  <c r="CG184" i="14"/>
  <c r="CG185" i="14"/>
  <c r="CG186" i="14"/>
  <c r="CG187" i="14"/>
  <c r="CG188" i="14"/>
  <c r="CG189" i="14"/>
  <c r="CG190" i="14"/>
  <c r="CG191" i="14"/>
  <c r="CG192" i="14"/>
  <c r="CG193" i="14"/>
  <c r="CG194" i="14"/>
  <c r="CG195" i="14"/>
  <c r="CG196" i="14"/>
  <c r="CG197" i="14"/>
  <c r="CG198" i="14"/>
  <c r="CG199" i="14"/>
  <c r="CG200" i="14"/>
  <c r="CG201" i="14"/>
  <c r="CG202" i="14"/>
  <c r="CG203" i="14"/>
  <c r="CG204" i="14"/>
  <c r="CG205" i="14"/>
  <c r="CG206" i="14"/>
  <c r="CG207" i="14"/>
  <c r="CG208" i="14"/>
  <c r="CG209" i="14"/>
  <c r="CG210" i="14"/>
  <c r="CG211" i="14"/>
  <c r="CG212" i="14"/>
  <c r="CG213" i="14"/>
  <c r="CG214" i="14"/>
  <c r="CG215" i="14"/>
  <c r="CG216" i="14"/>
  <c r="CG217" i="14"/>
  <c r="CG218" i="14"/>
  <c r="CG219" i="14"/>
  <c r="CG220" i="14"/>
  <c r="CG221" i="14"/>
  <c r="CG222" i="14"/>
  <c r="CG223" i="14"/>
  <c r="CG224" i="14"/>
  <c r="CG225" i="14"/>
  <c r="CG226" i="14"/>
  <c r="CG227" i="14"/>
  <c r="CF2" i="14"/>
  <c r="CF3" i="14"/>
  <c r="CF4" i="14"/>
  <c r="CF5" i="14"/>
  <c r="CF6" i="14"/>
  <c r="CF7" i="14"/>
  <c r="CF8" i="14"/>
  <c r="CF9" i="14"/>
  <c r="CF10" i="14"/>
  <c r="CF11" i="14"/>
  <c r="CF12" i="14"/>
  <c r="CF13" i="14"/>
  <c r="CF14" i="14"/>
  <c r="CF15" i="14"/>
  <c r="CF16" i="14"/>
  <c r="CF17" i="14"/>
  <c r="CF18" i="14"/>
  <c r="CF19" i="14"/>
  <c r="CF20" i="14"/>
  <c r="CF21" i="14"/>
  <c r="CF22" i="14"/>
  <c r="CF23" i="14"/>
  <c r="CF24" i="14"/>
  <c r="CF25" i="14"/>
  <c r="CF26" i="14"/>
  <c r="CF27" i="14"/>
  <c r="CF28" i="14"/>
  <c r="CF29" i="14"/>
  <c r="CF30" i="14"/>
  <c r="CF31" i="14"/>
  <c r="CF32" i="14"/>
  <c r="CF33" i="14"/>
  <c r="CF34" i="14"/>
  <c r="CF35" i="14"/>
  <c r="CF36" i="14"/>
  <c r="CF37" i="14"/>
  <c r="CF38" i="14"/>
  <c r="CF39" i="14"/>
  <c r="CF40" i="14"/>
  <c r="CF41" i="14"/>
  <c r="CF42" i="14"/>
  <c r="CF43" i="14"/>
  <c r="CF44" i="14"/>
  <c r="CF45" i="14"/>
  <c r="CF46" i="14"/>
  <c r="CF47" i="14"/>
  <c r="CF48" i="14"/>
  <c r="CF49" i="14"/>
  <c r="CF50" i="14"/>
  <c r="CF51" i="14"/>
  <c r="CF52" i="14"/>
  <c r="CF53" i="14"/>
  <c r="CF54" i="14"/>
  <c r="CF55" i="14"/>
  <c r="CF56" i="14"/>
  <c r="CF57" i="14"/>
  <c r="CF58" i="14"/>
  <c r="CF59" i="14"/>
  <c r="CF60" i="14"/>
  <c r="CF61" i="14"/>
  <c r="CF62" i="14"/>
  <c r="CF63" i="14"/>
  <c r="CF64" i="14"/>
  <c r="CF65" i="14"/>
  <c r="CF66" i="14"/>
  <c r="CF67" i="14"/>
  <c r="CF68" i="14"/>
  <c r="CF69" i="14"/>
  <c r="CF70" i="14"/>
  <c r="CF71" i="14"/>
  <c r="CF72" i="14"/>
  <c r="CF73" i="14"/>
  <c r="CF74" i="14"/>
  <c r="CF75" i="14"/>
  <c r="CF76" i="14"/>
  <c r="CF77" i="14"/>
  <c r="CF78" i="14"/>
  <c r="CF79" i="14"/>
  <c r="CF80" i="14"/>
  <c r="CF81" i="14"/>
  <c r="CF82" i="14"/>
  <c r="CF83" i="14"/>
  <c r="CF84" i="14"/>
  <c r="CF85" i="14"/>
  <c r="CF86" i="14"/>
  <c r="CF87" i="14"/>
  <c r="CF88" i="14"/>
  <c r="CF89" i="14"/>
  <c r="CF90" i="14"/>
  <c r="CF91" i="14"/>
  <c r="CF92" i="14"/>
  <c r="CF93" i="14"/>
  <c r="CF94" i="14"/>
  <c r="CF95" i="14"/>
  <c r="CF96" i="14"/>
  <c r="CF97" i="14"/>
  <c r="CF98" i="14"/>
  <c r="CF99" i="14"/>
  <c r="CF100" i="14"/>
  <c r="CF101" i="14"/>
  <c r="CF102" i="14"/>
  <c r="CF103" i="14"/>
  <c r="CF104" i="14"/>
  <c r="CF105" i="14"/>
  <c r="CF106" i="14"/>
  <c r="CF107" i="14"/>
  <c r="CF108" i="14"/>
  <c r="CF109" i="14"/>
  <c r="CF110" i="14"/>
  <c r="CF111" i="14"/>
  <c r="CF112" i="14"/>
  <c r="CF113" i="14"/>
  <c r="CF114" i="14"/>
  <c r="CF115" i="14"/>
  <c r="CF116" i="14"/>
  <c r="CF117" i="14"/>
  <c r="CF118" i="14"/>
  <c r="CF119" i="14"/>
  <c r="CF120" i="14"/>
  <c r="CF121" i="14"/>
  <c r="CF122" i="14"/>
  <c r="CF123" i="14"/>
  <c r="CF124" i="14"/>
  <c r="CF125" i="14"/>
  <c r="CF126" i="14"/>
  <c r="CF127" i="14"/>
  <c r="CF128" i="14"/>
  <c r="CF129" i="14"/>
  <c r="CF130" i="14"/>
  <c r="CF131" i="14"/>
  <c r="CF132" i="14"/>
  <c r="CF133" i="14"/>
  <c r="CF134" i="14"/>
  <c r="CF135" i="14"/>
  <c r="CF136" i="14"/>
  <c r="CF137" i="14"/>
  <c r="CF138" i="14"/>
  <c r="CF139" i="14"/>
  <c r="CF140" i="14"/>
  <c r="CF141" i="14"/>
  <c r="CF142" i="14"/>
  <c r="CF143" i="14"/>
  <c r="CF144" i="14"/>
  <c r="CF145" i="14"/>
  <c r="CF146" i="14"/>
  <c r="CF147" i="14"/>
  <c r="CF148" i="14"/>
  <c r="CF149" i="14"/>
  <c r="CF150" i="14"/>
  <c r="CF151" i="14"/>
  <c r="CF152" i="14"/>
  <c r="CF153" i="14"/>
  <c r="CF154" i="14"/>
  <c r="CF155" i="14"/>
  <c r="CF156" i="14"/>
  <c r="CF157" i="14"/>
  <c r="CF158" i="14"/>
  <c r="CF159" i="14"/>
  <c r="CF160" i="14"/>
  <c r="CF161" i="14"/>
  <c r="CF162" i="14"/>
  <c r="CF163" i="14"/>
  <c r="CF164" i="14"/>
  <c r="CF165" i="14"/>
  <c r="CF166" i="14"/>
  <c r="CF167" i="14"/>
  <c r="CF168" i="14"/>
  <c r="CF169" i="14"/>
  <c r="CF170" i="14"/>
  <c r="CF171" i="14"/>
  <c r="CF172" i="14"/>
  <c r="CF173" i="14"/>
  <c r="CF174" i="14"/>
  <c r="CF175" i="14"/>
  <c r="CF176" i="14"/>
  <c r="CF177" i="14"/>
  <c r="CF178" i="14"/>
  <c r="CF179" i="14"/>
  <c r="CF180" i="14"/>
  <c r="CF181" i="14"/>
  <c r="CF182" i="14"/>
  <c r="CF183" i="14"/>
  <c r="CF184" i="14"/>
  <c r="CF185" i="14"/>
  <c r="CF186" i="14"/>
  <c r="CF187" i="14"/>
  <c r="CF188" i="14"/>
  <c r="CF189" i="14"/>
  <c r="CF190" i="14"/>
  <c r="CF191" i="14"/>
  <c r="CF192" i="14"/>
  <c r="CF193" i="14"/>
  <c r="CF194" i="14"/>
  <c r="CF195" i="14"/>
  <c r="CF196" i="14"/>
  <c r="CF197" i="14"/>
  <c r="CF198" i="14"/>
  <c r="CF199" i="14"/>
  <c r="CF200" i="14"/>
  <c r="CF201" i="14"/>
  <c r="CF202" i="14"/>
  <c r="CF203" i="14"/>
  <c r="CF204" i="14"/>
  <c r="CF205" i="14"/>
  <c r="CF206" i="14"/>
  <c r="CF207" i="14"/>
  <c r="CF208" i="14"/>
  <c r="CF209" i="14"/>
  <c r="CF210" i="14"/>
  <c r="CF211" i="14"/>
  <c r="CF212" i="14"/>
  <c r="CF213" i="14"/>
  <c r="CF214" i="14"/>
  <c r="CF215" i="14"/>
  <c r="CF216" i="14"/>
  <c r="CF217" i="14"/>
  <c r="CF218" i="14"/>
  <c r="CF219" i="14"/>
  <c r="CF220" i="14"/>
  <c r="CF221" i="14"/>
  <c r="CF222" i="14"/>
  <c r="CF223" i="14"/>
  <c r="CF224" i="14"/>
  <c r="CF225" i="14"/>
  <c r="CF226" i="14"/>
  <c r="CF227" i="14"/>
  <c r="CE2" i="14"/>
  <c r="CE3" i="14"/>
  <c r="CE4" i="14"/>
  <c r="CE5" i="14"/>
  <c r="CE6" i="14"/>
  <c r="CE7" i="14"/>
  <c r="CE8" i="14"/>
  <c r="CE9" i="14"/>
  <c r="CE10" i="14"/>
  <c r="CE11" i="14"/>
  <c r="CE12" i="14"/>
  <c r="CE13" i="14"/>
  <c r="CE14" i="14"/>
  <c r="CE15" i="14"/>
  <c r="CE16" i="14"/>
  <c r="CE17" i="14"/>
  <c r="CE18" i="14"/>
  <c r="CE19" i="14"/>
  <c r="CE20" i="14"/>
  <c r="CE21" i="14"/>
  <c r="CE22" i="14"/>
  <c r="CE23" i="14"/>
  <c r="CE24" i="14"/>
  <c r="CE25" i="14"/>
  <c r="CE26" i="14"/>
  <c r="CE27" i="14"/>
  <c r="CE28" i="14"/>
  <c r="CE29" i="14"/>
  <c r="CE30" i="14"/>
  <c r="CE31" i="14"/>
  <c r="CE32" i="14"/>
  <c r="CE33" i="14"/>
  <c r="CE34" i="14"/>
  <c r="CE35" i="14"/>
  <c r="CE36" i="14"/>
  <c r="CE37" i="14"/>
  <c r="CE38" i="14"/>
  <c r="CE39" i="14"/>
  <c r="CE40" i="14"/>
  <c r="CE41" i="14"/>
  <c r="CE42" i="14"/>
  <c r="CE43" i="14"/>
  <c r="CE44" i="14"/>
  <c r="CE45" i="14"/>
  <c r="CE46" i="14"/>
  <c r="CE47" i="14"/>
  <c r="CE48" i="14"/>
  <c r="CE49" i="14"/>
  <c r="CE50" i="14"/>
  <c r="CE51" i="14"/>
  <c r="CE52" i="14"/>
  <c r="CE53" i="14"/>
  <c r="CE54" i="14"/>
  <c r="CE55" i="14"/>
  <c r="CE56" i="14"/>
  <c r="CE57" i="14"/>
  <c r="CE58" i="14"/>
  <c r="CE59" i="14"/>
  <c r="CE60" i="14"/>
  <c r="CE61" i="14"/>
  <c r="CE62" i="14"/>
  <c r="CE63" i="14"/>
  <c r="CE64" i="14"/>
  <c r="CE65" i="14"/>
  <c r="CE66" i="14"/>
  <c r="CE67" i="14"/>
  <c r="CE68" i="14"/>
  <c r="CE69" i="14"/>
  <c r="CE70" i="14"/>
  <c r="CE71" i="14"/>
  <c r="CE72" i="14"/>
  <c r="CE73" i="14"/>
  <c r="CE74" i="14"/>
  <c r="CE75" i="14"/>
  <c r="CE76" i="14"/>
  <c r="CE77" i="14"/>
  <c r="CE78" i="14"/>
  <c r="CE79" i="14"/>
  <c r="CE80" i="14"/>
  <c r="CE81" i="14"/>
  <c r="CE82" i="14"/>
  <c r="CE83" i="14"/>
  <c r="CE84" i="14"/>
  <c r="CE85" i="14"/>
  <c r="CE86" i="14"/>
  <c r="CE87" i="14"/>
  <c r="CE88" i="14"/>
  <c r="CE89" i="14"/>
  <c r="CE90" i="14"/>
  <c r="CE91" i="14"/>
  <c r="CE92" i="14"/>
  <c r="CE93" i="14"/>
  <c r="CE94" i="14"/>
  <c r="CE95" i="14"/>
  <c r="CE96" i="14"/>
  <c r="CE97" i="14"/>
  <c r="CE98" i="14"/>
  <c r="CE99" i="14"/>
  <c r="CE100" i="14"/>
  <c r="CE101" i="14"/>
  <c r="CE102" i="14"/>
  <c r="CE103" i="14"/>
  <c r="CE104" i="14"/>
  <c r="CE105" i="14"/>
  <c r="CE106" i="14"/>
  <c r="CE107" i="14"/>
  <c r="CE108" i="14"/>
  <c r="CE109" i="14"/>
  <c r="CE110" i="14"/>
  <c r="CE111" i="14"/>
  <c r="CE112" i="14"/>
  <c r="CE113" i="14"/>
  <c r="CE114" i="14"/>
  <c r="CE115" i="14"/>
  <c r="CE116" i="14"/>
  <c r="CE117" i="14"/>
  <c r="CE118" i="14"/>
  <c r="CE119" i="14"/>
  <c r="CE120" i="14"/>
  <c r="CE121" i="14"/>
  <c r="CE122" i="14"/>
  <c r="CE123" i="14"/>
  <c r="CE124" i="14"/>
  <c r="CE125" i="14"/>
  <c r="CE126" i="14"/>
  <c r="CE127" i="14"/>
  <c r="CE128" i="14"/>
  <c r="CE129" i="14"/>
  <c r="CE130" i="14"/>
  <c r="CE131" i="14"/>
  <c r="CE132" i="14"/>
  <c r="CE133" i="14"/>
  <c r="CE134" i="14"/>
  <c r="CE135" i="14"/>
  <c r="CE136" i="14"/>
  <c r="CE137" i="14"/>
  <c r="CE138" i="14"/>
  <c r="CE139" i="14"/>
  <c r="CE140" i="14"/>
  <c r="CE141" i="14"/>
  <c r="CE142" i="14"/>
  <c r="CE143" i="14"/>
  <c r="CE144" i="14"/>
  <c r="CE145" i="14"/>
  <c r="CE146" i="14"/>
  <c r="CE147" i="14"/>
  <c r="CE148" i="14"/>
  <c r="CE149" i="14"/>
  <c r="CE150" i="14"/>
  <c r="CE151" i="14"/>
  <c r="CE152" i="14"/>
  <c r="CE153" i="14"/>
  <c r="CE154" i="14"/>
  <c r="CE155" i="14"/>
  <c r="CE156" i="14"/>
  <c r="CE157" i="14"/>
  <c r="CE158" i="14"/>
  <c r="CE159" i="14"/>
  <c r="CE160" i="14"/>
  <c r="CE161" i="14"/>
  <c r="CE162" i="14"/>
  <c r="CE163" i="14"/>
  <c r="CE164" i="14"/>
  <c r="CE165" i="14"/>
  <c r="CE166" i="14"/>
  <c r="CE167" i="14"/>
  <c r="CE168" i="14"/>
  <c r="CE169" i="14"/>
  <c r="CE170" i="14"/>
  <c r="CE171" i="14"/>
  <c r="CE172" i="14"/>
  <c r="CE173" i="14"/>
  <c r="CE174" i="14"/>
  <c r="CE175" i="14"/>
  <c r="CE176" i="14"/>
  <c r="CE177" i="14"/>
  <c r="CE178" i="14"/>
  <c r="CE179" i="14"/>
  <c r="CE180" i="14"/>
  <c r="CE181" i="14"/>
  <c r="CE182" i="14"/>
  <c r="CE183" i="14"/>
  <c r="CE184" i="14"/>
  <c r="CE185" i="14"/>
  <c r="CE186" i="14"/>
  <c r="CE187" i="14"/>
  <c r="CE188" i="14"/>
  <c r="CE189" i="14"/>
  <c r="CE190" i="14"/>
  <c r="CE191" i="14"/>
  <c r="CE192" i="14"/>
  <c r="CE193" i="14"/>
  <c r="CE194" i="14"/>
  <c r="CE195" i="14"/>
  <c r="CE196" i="14"/>
  <c r="CE197" i="14"/>
  <c r="CE198" i="14"/>
  <c r="CE199" i="14"/>
  <c r="CE200" i="14"/>
  <c r="CE201" i="14"/>
  <c r="CE202" i="14"/>
  <c r="CE203" i="14"/>
  <c r="CE204" i="14"/>
  <c r="CE205" i="14"/>
  <c r="CE206" i="14"/>
  <c r="CE207" i="14"/>
  <c r="CE208" i="14"/>
  <c r="CE209" i="14"/>
  <c r="CE210" i="14"/>
  <c r="CE211" i="14"/>
  <c r="CE212" i="14"/>
  <c r="CE213" i="14"/>
  <c r="CE214" i="14"/>
  <c r="CE215" i="14"/>
  <c r="CE216" i="14"/>
  <c r="CE217" i="14"/>
  <c r="CE218" i="14"/>
  <c r="CE219" i="14"/>
  <c r="CE220" i="14"/>
  <c r="CE221" i="14"/>
  <c r="CE222" i="14"/>
  <c r="CE223" i="14"/>
  <c r="CE224" i="14"/>
  <c r="CE225" i="14"/>
  <c r="CE226" i="14"/>
  <c r="CE227" i="14"/>
  <c r="CC2" i="14"/>
  <c r="CC3" i="14"/>
  <c r="CC4" i="14"/>
  <c r="CC5" i="14"/>
  <c r="CC6" i="14"/>
  <c r="CC7" i="14"/>
  <c r="CC8" i="14"/>
  <c r="CC9" i="14"/>
  <c r="CC10" i="14"/>
  <c r="CC11" i="14"/>
  <c r="CC12" i="14"/>
  <c r="CC13" i="14"/>
  <c r="CC14" i="14"/>
  <c r="CC15" i="14"/>
  <c r="CC16" i="14"/>
  <c r="CC17" i="14"/>
  <c r="CC18" i="14"/>
  <c r="CC19" i="14"/>
  <c r="CC20" i="14"/>
  <c r="CC21" i="14"/>
  <c r="CC22" i="14"/>
  <c r="CC23" i="14"/>
  <c r="CC24" i="14"/>
  <c r="CC25" i="14"/>
  <c r="CC26" i="14"/>
  <c r="CC27" i="14"/>
  <c r="CC28" i="14"/>
  <c r="CC29" i="14"/>
  <c r="CC30" i="14"/>
  <c r="CC31" i="14"/>
  <c r="CC32" i="14"/>
  <c r="CC33" i="14"/>
  <c r="CC34" i="14"/>
  <c r="CC35" i="14"/>
  <c r="CC36" i="14"/>
  <c r="CC37" i="14"/>
  <c r="CC38" i="14"/>
  <c r="CC39" i="14"/>
  <c r="CC40" i="14"/>
  <c r="CC41" i="14"/>
  <c r="CC42" i="14"/>
  <c r="CC43" i="14"/>
  <c r="CC44" i="14"/>
  <c r="CC45" i="14"/>
  <c r="CC46" i="14"/>
  <c r="CC47" i="14"/>
  <c r="CC48" i="14"/>
  <c r="CC49" i="14"/>
  <c r="CC50" i="14"/>
  <c r="CC51" i="14"/>
  <c r="CC52" i="14"/>
  <c r="CC53" i="14"/>
  <c r="CC54" i="14"/>
  <c r="CC55" i="14"/>
  <c r="CC56" i="14"/>
  <c r="CC57" i="14"/>
  <c r="CC58" i="14"/>
  <c r="CC59" i="14"/>
  <c r="CC60" i="14"/>
  <c r="CC61" i="14"/>
  <c r="CC62" i="14"/>
  <c r="CC63" i="14"/>
  <c r="CC64" i="14"/>
  <c r="CC65" i="14"/>
  <c r="CC66" i="14"/>
  <c r="CC67" i="14"/>
  <c r="CC68" i="14"/>
  <c r="CC69" i="14"/>
  <c r="CC70" i="14"/>
  <c r="CC71" i="14"/>
  <c r="CC72" i="14"/>
  <c r="CC73" i="14"/>
  <c r="CC74" i="14"/>
  <c r="CC75" i="14"/>
  <c r="CC76" i="14"/>
  <c r="CC77" i="14"/>
  <c r="CC78" i="14"/>
  <c r="CC79" i="14"/>
  <c r="CC80" i="14"/>
  <c r="CC81" i="14"/>
  <c r="CC82" i="14"/>
  <c r="CC83" i="14"/>
  <c r="CC84" i="14"/>
  <c r="CC85" i="14"/>
  <c r="CC86" i="14"/>
  <c r="CC87" i="14"/>
  <c r="CC88" i="14"/>
  <c r="CC89" i="14"/>
  <c r="CC90" i="14"/>
  <c r="CC91" i="14"/>
  <c r="CC92" i="14"/>
  <c r="CC93" i="14"/>
  <c r="CC94" i="14"/>
  <c r="CC95" i="14"/>
  <c r="CC96" i="14"/>
  <c r="CC97" i="14"/>
  <c r="CC98" i="14"/>
  <c r="CC99" i="14"/>
  <c r="CC100" i="14"/>
  <c r="CC101" i="14"/>
  <c r="CC102" i="14"/>
  <c r="CC103" i="14"/>
  <c r="CC104" i="14"/>
  <c r="CC105" i="14"/>
  <c r="CC106" i="14"/>
  <c r="CC107" i="14"/>
  <c r="CC108" i="14"/>
  <c r="CC109" i="14"/>
  <c r="CC110" i="14"/>
  <c r="CC111" i="14"/>
  <c r="CC112" i="14"/>
  <c r="CC113" i="14"/>
  <c r="CC114" i="14"/>
  <c r="CC115" i="14"/>
  <c r="CC116" i="14"/>
  <c r="CC117" i="14"/>
  <c r="CC118" i="14"/>
  <c r="CC119" i="14"/>
  <c r="CC120" i="14"/>
  <c r="CC121" i="14"/>
  <c r="CC122" i="14"/>
  <c r="CC123" i="14"/>
  <c r="CC124" i="14"/>
  <c r="CC125" i="14"/>
  <c r="CC126" i="14"/>
  <c r="CC127" i="14"/>
  <c r="CC128" i="14"/>
  <c r="CC129" i="14"/>
  <c r="CC130" i="14"/>
  <c r="CC131" i="14"/>
  <c r="CC132" i="14"/>
  <c r="CC133" i="14"/>
  <c r="CC134" i="14"/>
  <c r="CC135" i="14"/>
  <c r="CC136" i="14"/>
  <c r="CC137" i="14"/>
  <c r="CC138" i="14"/>
  <c r="CC139" i="14"/>
  <c r="CC140" i="14"/>
  <c r="CC141" i="14"/>
  <c r="CC142" i="14"/>
  <c r="CC143" i="14"/>
  <c r="CC144" i="14"/>
  <c r="CC145" i="14"/>
  <c r="CC146" i="14"/>
  <c r="CC147" i="14"/>
  <c r="CC148" i="14"/>
  <c r="CC149" i="14"/>
  <c r="CC150" i="14"/>
  <c r="CC151" i="14"/>
  <c r="CC152" i="14"/>
  <c r="CC153" i="14"/>
  <c r="CC154" i="14"/>
  <c r="CC155" i="14"/>
  <c r="CC156" i="14"/>
  <c r="CC157" i="14"/>
  <c r="CC158" i="14"/>
  <c r="CC159" i="14"/>
  <c r="CC160" i="14"/>
  <c r="CC161" i="14"/>
  <c r="CC162" i="14"/>
  <c r="CC163" i="14"/>
  <c r="CC164" i="14"/>
  <c r="CC165" i="14"/>
  <c r="CC166" i="14"/>
  <c r="CC167" i="14"/>
  <c r="CC168" i="14"/>
  <c r="CC169" i="14"/>
  <c r="CC170" i="14"/>
  <c r="CC171" i="14"/>
  <c r="CC172" i="14"/>
  <c r="CC173" i="14"/>
  <c r="CC174" i="14"/>
  <c r="CC175" i="14"/>
  <c r="CC176" i="14"/>
  <c r="CC177" i="14"/>
  <c r="CC178" i="14"/>
  <c r="CC179" i="14"/>
  <c r="CC180" i="14"/>
  <c r="CC181" i="14"/>
  <c r="CC182" i="14"/>
  <c r="CC183" i="14"/>
  <c r="CC184" i="14"/>
  <c r="CC185" i="14"/>
  <c r="CC186" i="14"/>
  <c r="CC187" i="14"/>
  <c r="CC188" i="14"/>
  <c r="CC189" i="14"/>
  <c r="CC190" i="14"/>
  <c r="CC191" i="14"/>
  <c r="CC192" i="14"/>
  <c r="CC193" i="14"/>
  <c r="CC194" i="14"/>
  <c r="CC195" i="14"/>
  <c r="CC196" i="14"/>
  <c r="CC197" i="14"/>
  <c r="CC198" i="14"/>
  <c r="CC199" i="14"/>
  <c r="CC200" i="14"/>
  <c r="CC201" i="14"/>
  <c r="CC202" i="14"/>
  <c r="CC203" i="14"/>
  <c r="CC204" i="14"/>
  <c r="CC205" i="14"/>
  <c r="CC206" i="14"/>
  <c r="CC207" i="14"/>
  <c r="CC208" i="14"/>
  <c r="CC209" i="14"/>
  <c r="CC210" i="14"/>
  <c r="CC211" i="14"/>
  <c r="CC212" i="14"/>
  <c r="CC213" i="14"/>
  <c r="CC214" i="14"/>
  <c r="CC215" i="14"/>
  <c r="CC216" i="14"/>
  <c r="CC217" i="14"/>
  <c r="CC218" i="14"/>
  <c r="CC219" i="14"/>
  <c r="CC220" i="14"/>
  <c r="CC221" i="14"/>
  <c r="CC222" i="14"/>
  <c r="CC223" i="14"/>
  <c r="CC224" i="14"/>
  <c r="CC225" i="14"/>
  <c r="CC226" i="14"/>
  <c r="CC227" i="14"/>
  <c r="CB2" i="14"/>
  <c r="CB3" i="14"/>
  <c r="CB4" i="14"/>
  <c r="CB5" i="14"/>
  <c r="CB6" i="14"/>
  <c r="CB7" i="14"/>
  <c r="CB8" i="14"/>
  <c r="CB9" i="14"/>
  <c r="CB10" i="14"/>
  <c r="CB11" i="14"/>
  <c r="CB12" i="14"/>
  <c r="CB13" i="14"/>
  <c r="CB14" i="14"/>
  <c r="CB15" i="14"/>
  <c r="CB16" i="14"/>
  <c r="CB17" i="14"/>
  <c r="CB18" i="14"/>
  <c r="CB19" i="14"/>
  <c r="CB20" i="14"/>
  <c r="CB21" i="14"/>
  <c r="CB22" i="14"/>
  <c r="CB23" i="14"/>
  <c r="CB24" i="14"/>
  <c r="CB25" i="14"/>
  <c r="CB26" i="14"/>
  <c r="CB27" i="14"/>
  <c r="CB28" i="14"/>
  <c r="CB29" i="14"/>
  <c r="CB30" i="14"/>
  <c r="CB31" i="14"/>
  <c r="CB32" i="14"/>
  <c r="CB33" i="14"/>
  <c r="CB34" i="14"/>
  <c r="CB35" i="14"/>
  <c r="CB36" i="14"/>
  <c r="CB37" i="14"/>
  <c r="CB38" i="14"/>
  <c r="CB39" i="14"/>
  <c r="CB40" i="14"/>
  <c r="CB41" i="14"/>
  <c r="CB42" i="14"/>
  <c r="CB43" i="14"/>
  <c r="CB44" i="14"/>
  <c r="CB45" i="14"/>
  <c r="CB46" i="14"/>
  <c r="CB47" i="14"/>
  <c r="CB48" i="14"/>
  <c r="CB49" i="14"/>
  <c r="CB50" i="14"/>
  <c r="CB51" i="14"/>
  <c r="CB52" i="14"/>
  <c r="CB53" i="14"/>
  <c r="CB54" i="14"/>
  <c r="CB55" i="14"/>
  <c r="CB56" i="14"/>
  <c r="CB57" i="14"/>
  <c r="CB58" i="14"/>
  <c r="CB59" i="14"/>
  <c r="CB60" i="14"/>
  <c r="CB61" i="14"/>
  <c r="CB62" i="14"/>
  <c r="CB63" i="14"/>
  <c r="CB64" i="14"/>
  <c r="CB65" i="14"/>
  <c r="CB66" i="14"/>
  <c r="CB67" i="14"/>
  <c r="CB68" i="14"/>
  <c r="CB69" i="14"/>
  <c r="CB70" i="14"/>
  <c r="CB71" i="14"/>
  <c r="CB72" i="14"/>
  <c r="CB73" i="14"/>
  <c r="CB74" i="14"/>
  <c r="CB75" i="14"/>
  <c r="CB76" i="14"/>
  <c r="CB77" i="14"/>
  <c r="CB78" i="14"/>
  <c r="CB79" i="14"/>
  <c r="CB80" i="14"/>
  <c r="CB81" i="14"/>
  <c r="CB82" i="14"/>
  <c r="CB83" i="14"/>
  <c r="CB84" i="14"/>
  <c r="CB85" i="14"/>
  <c r="CB86" i="14"/>
  <c r="CB87" i="14"/>
  <c r="CB88" i="14"/>
  <c r="CB89" i="14"/>
  <c r="CB90" i="14"/>
  <c r="CB91" i="14"/>
  <c r="CB92" i="14"/>
  <c r="CB93" i="14"/>
  <c r="CB94" i="14"/>
  <c r="CB95" i="14"/>
  <c r="CB96" i="14"/>
  <c r="CB97" i="14"/>
  <c r="CB98" i="14"/>
  <c r="CB99" i="14"/>
  <c r="CB100" i="14"/>
  <c r="CB101" i="14"/>
  <c r="CB102" i="14"/>
  <c r="CB103" i="14"/>
  <c r="CB104" i="14"/>
  <c r="CB105" i="14"/>
  <c r="CB106" i="14"/>
  <c r="CB107" i="14"/>
  <c r="CB108" i="14"/>
  <c r="CB109" i="14"/>
  <c r="CB110" i="14"/>
  <c r="CB111" i="14"/>
  <c r="CB112" i="14"/>
  <c r="CB113" i="14"/>
  <c r="CB114" i="14"/>
  <c r="CB115" i="14"/>
  <c r="CB116" i="14"/>
  <c r="CB117" i="14"/>
  <c r="CB118" i="14"/>
  <c r="CB119" i="14"/>
  <c r="CB120" i="14"/>
  <c r="CB121" i="14"/>
  <c r="CB122" i="14"/>
  <c r="CB123" i="14"/>
  <c r="CB124" i="14"/>
  <c r="CB125" i="14"/>
  <c r="CB126" i="14"/>
  <c r="CB127" i="14"/>
  <c r="CB128" i="14"/>
  <c r="CB129" i="14"/>
  <c r="CB130" i="14"/>
  <c r="CB131" i="14"/>
  <c r="CB132" i="14"/>
  <c r="CB133" i="14"/>
  <c r="CB134" i="14"/>
  <c r="CB135" i="14"/>
  <c r="CB136" i="14"/>
  <c r="CB137" i="14"/>
  <c r="CB138" i="14"/>
  <c r="CB139" i="14"/>
  <c r="CB140" i="14"/>
  <c r="CB141" i="14"/>
  <c r="CB142" i="14"/>
  <c r="CB143" i="14"/>
  <c r="CB144" i="14"/>
  <c r="CB145" i="14"/>
  <c r="CB146" i="14"/>
  <c r="CB147" i="14"/>
  <c r="CB148" i="14"/>
  <c r="CB149" i="14"/>
  <c r="CB150" i="14"/>
  <c r="CB151" i="14"/>
  <c r="CB152" i="14"/>
  <c r="CB153" i="14"/>
  <c r="CB154" i="14"/>
  <c r="CB155" i="14"/>
  <c r="CB156" i="14"/>
  <c r="CB157" i="14"/>
  <c r="CB158" i="14"/>
  <c r="CB159" i="14"/>
  <c r="CB160" i="14"/>
  <c r="CB161" i="14"/>
  <c r="CB162" i="14"/>
  <c r="CB163" i="14"/>
  <c r="CB164" i="14"/>
  <c r="CB165" i="14"/>
  <c r="CB166" i="14"/>
  <c r="CB167" i="14"/>
  <c r="CB168" i="14"/>
  <c r="CB169" i="14"/>
  <c r="CB170" i="14"/>
  <c r="CB171" i="14"/>
  <c r="CB172" i="14"/>
  <c r="CB173" i="14"/>
  <c r="CB174" i="14"/>
  <c r="CB175" i="14"/>
  <c r="CB176" i="14"/>
  <c r="CB177" i="14"/>
  <c r="CB178" i="14"/>
  <c r="CB179" i="14"/>
  <c r="CB180" i="14"/>
  <c r="CB181" i="14"/>
  <c r="CB182" i="14"/>
  <c r="CB183" i="14"/>
  <c r="CB184" i="14"/>
  <c r="CB185" i="14"/>
  <c r="CB186" i="14"/>
  <c r="CB187" i="14"/>
  <c r="CB188" i="14"/>
  <c r="CB189" i="14"/>
  <c r="CB190" i="14"/>
  <c r="CB191" i="14"/>
  <c r="CB192" i="14"/>
  <c r="CB193" i="14"/>
  <c r="CB194" i="14"/>
  <c r="CB195" i="14"/>
  <c r="CB196" i="14"/>
  <c r="CB197" i="14"/>
  <c r="CB198" i="14"/>
  <c r="CB199" i="14"/>
  <c r="CB200" i="14"/>
  <c r="CB201" i="14"/>
  <c r="CB202" i="14"/>
  <c r="CB203" i="14"/>
  <c r="CB204" i="14"/>
  <c r="CB205" i="14"/>
  <c r="CB206" i="14"/>
  <c r="CB207" i="14"/>
  <c r="CB208" i="14"/>
  <c r="CB209" i="14"/>
  <c r="CB210" i="14"/>
  <c r="CB211" i="14"/>
  <c r="CB212" i="14"/>
  <c r="CB213" i="14"/>
  <c r="CB214" i="14"/>
  <c r="CB215" i="14"/>
  <c r="CB216" i="14"/>
  <c r="CB217" i="14"/>
  <c r="CB218" i="14"/>
  <c r="CB219" i="14"/>
  <c r="CB220" i="14"/>
  <c r="CB221" i="14"/>
  <c r="CB222" i="14"/>
  <c r="CB223" i="14"/>
  <c r="CB224" i="14"/>
  <c r="CB225" i="14"/>
  <c r="CB226" i="14"/>
  <c r="CB227" i="14"/>
  <c r="CA2" i="14"/>
  <c r="CA3" i="14"/>
  <c r="CA4" i="14"/>
  <c r="CA5" i="14"/>
  <c r="CA6" i="14"/>
  <c r="CA7" i="14"/>
  <c r="CA8" i="14"/>
  <c r="CA9" i="14"/>
  <c r="CA10" i="14"/>
  <c r="CA11" i="14"/>
  <c r="CA12" i="14"/>
  <c r="CA13" i="14"/>
  <c r="CA14" i="14"/>
  <c r="CA15" i="14"/>
  <c r="CA16" i="14"/>
  <c r="CA17" i="14"/>
  <c r="CA18" i="14"/>
  <c r="CA19" i="14"/>
  <c r="CA20" i="14"/>
  <c r="CA21" i="14"/>
  <c r="CA22" i="14"/>
  <c r="CA23" i="14"/>
  <c r="CA24" i="14"/>
  <c r="CA25" i="14"/>
  <c r="CA26" i="14"/>
  <c r="CA27" i="14"/>
  <c r="CA28" i="14"/>
  <c r="CA29" i="14"/>
  <c r="CA30" i="14"/>
  <c r="CA31" i="14"/>
  <c r="CA32" i="14"/>
  <c r="CA33" i="14"/>
  <c r="CA34" i="14"/>
  <c r="CA35" i="14"/>
  <c r="CA36" i="14"/>
  <c r="CA37" i="14"/>
  <c r="CA38" i="14"/>
  <c r="CA39" i="14"/>
  <c r="CA40" i="14"/>
  <c r="CA41" i="14"/>
  <c r="CA42" i="14"/>
  <c r="CA43" i="14"/>
  <c r="CA44" i="14"/>
  <c r="CA45" i="14"/>
  <c r="CA46" i="14"/>
  <c r="CA47" i="14"/>
  <c r="CA48" i="14"/>
  <c r="CA49" i="14"/>
  <c r="CA50" i="14"/>
  <c r="CA51" i="14"/>
  <c r="CA52" i="14"/>
  <c r="CA53" i="14"/>
  <c r="CA54" i="14"/>
  <c r="CA55" i="14"/>
  <c r="CA56" i="14"/>
  <c r="CA57" i="14"/>
  <c r="CA58" i="14"/>
  <c r="CA59" i="14"/>
  <c r="CA60" i="14"/>
  <c r="CA61" i="14"/>
  <c r="CA62" i="14"/>
  <c r="CA63" i="14"/>
  <c r="CA64" i="14"/>
  <c r="CA65" i="14"/>
  <c r="CA66" i="14"/>
  <c r="CA67" i="14"/>
  <c r="CA68" i="14"/>
  <c r="CA69" i="14"/>
  <c r="CA70" i="14"/>
  <c r="CA71" i="14"/>
  <c r="CA72" i="14"/>
  <c r="CA73" i="14"/>
  <c r="CA74" i="14"/>
  <c r="CA75" i="14"/>
  <c r="CA76" i="14"/>
  <c r="CA77" i="14"/>
  <c r="CA78" i="14"/>
  <c r="CA79" i="14"/>
  <c r="CA80" i="14"/>
  <c r="CA81" i="14"/>
  <c r="CA82" i="14"/>
  <c r="CA83" i="14"/>
  <c r="CA84" i="14"/>
  <c r="CA85" i="14"/>
  <c r="CA86" i="14"/>
  <c r="CA87" i="14"/>
  <c r="CA88" i="14"/>
  <c r="CA89" i="14"/>
  <c r="CA90" i="14"/>
  <c r="CA91" i="14"/>
  <c r="CA92" i="14"/>
  <c r="CA93" i="14"/>
  <c r="CA94" i="14"/>
  <c r="CA95" i="14"/>
  <c r="CA96" i="14"/>
  <c r="CA97" i="14"/>
  <c r="CA98" i="14"/>
  <c r="CA99" i="14"/>
  <c r="CA100" i="14"/>
  <c r="CA101" i="14"/>
  <c r="CA102" i="14"/>
  <c r="CA103" i="14"/>
  <c r="CA104" i="14"/>
  <c r="CA105" i="14"/>
  <c r="CA106" i="14"/>
  <c r="CA107" i="14"/>
  <c r="CA108" i="14"/>
  <c r="CA109" i="14"/>
  <c r="CA110" i="14"/>
  <c r="CA111" i="14"/>
  <c r="CA112" i="14"/>
  <c r="CA113" i="14"/>
  <c r="CA114" i="14"/>
  <c r="CA115" i="14"/>
  <c r="CA116" i="14"/>
  <c r="CA117" i="14"/>
  <c r="CA118" i="14"/>
  <c r="CA119" i="14"/>
  <c r="CA120" i="14"/>
  <c r="CA121" i="14"/>
  <c r="CA122" i="14"/>
  <c r="CA123" i="14"/>
  <c r="CA124" i="14"/>
  <c r="CA125" i="14"/>
  <c r="CA126" i="14"/>
  <c r="CA127" i="14"/>
  <c r="CA128" i="14"/>
  <c r="CA129" i="14"/>
  <c r="CA130" i="14"/>
  <c r="CA131" i="14"/>
  <c r="CA132" i="14"/>
  <c r="CA133" i="14"/>
  <c r="CA134" i="14"/>
  <c r="CA135" i="14"/>
  <c r="CA136" i="14"/>
  <c r="CA137" i="14"/>
  <c r="CA138" i="14"/>
  <c r="CA139" i="14"/>
  <c r="CA140" i="14"/>
  <c r="CA141" i="14"/>
  <c r="CA142" i="14"/>
  <c r="CA143" i="14"/>
  <c r="CA144" i="14"/>
  <c r="CA145" i="14"/>
  <c r="CA146" i="14"/>
  <c r="CA147" i="14"/>
  <c r="CA148" i="14"/>
  <c r="CA149" i="14"/>
  <c r="CA150" i="14"/>
  <c r="CA151" i="14"/>
  <c r="CA152" i="14"/>
  <c r="CA153" i="14"/>
  <c r="CA154" i="14"/>
  <c r="CA155" i="14"/>
  <c r="CA156" i="14"/>
  <c r="CA157" i="14"/>
  <c r="CA158" i="14"/>
  <c r="CA159" i="14"/>
  <c r="CA160" i="14"/>
  <c r="CA161" i="14"/>
  <c r="CA162" i="14"/>
  <c r="CA163" i="14"/>
  <c r="CA164" i="14"/>
  <c r="CA165" i="14"/>
  <c r="CA166" i="14"/>
  <c r="CA167" i="14"/>
  <c r="CA168" i="14"/>
  <c r="CA169" i="14"/>
  <c r="CA170" i="14"/>
  <c r="CA171" i="14"/>
  <c r="CA172" i="14"/>
  <c r="CA173" i="14"/>
  <c r="CA174" i="14"/>
  <c r="CA175" i="14"/>
  <c r="CA176" i="14"/>
  <c r="CA177" i="14"/>
  <c r="CA178" i="14"/>
  <c r="CA179" i="14"/>
  <c r="CA180" i="14"/>
  <c r="CA181" i="14"/>
  <c r="CA182" i="14"/>
  <c r="CA183" i="14"/>
  <c r="CA184" i="14"/>
  <c r="CA185" i="14"/>
  <c r="CA186" i="14"/>
  <c r="CA187" i="14"/>
  <c r="CA188" i="14"/>
  <c r="CA189" i="14"/>
  <c r="CA190" i="14"/>
  <c r="CA191" i="14"/>
  <c r="CA192" i="14"/>
  <c r="CA193" i="14"/>
  <c r="CA194" i="14"/>
  <c r="CA195" i="14"/>
  <c r="CA196" i="14"/>
  <c r="CA197" i="14"/>
  <c r="CA198" i="14"/>
  <c r="CA199" i="14"/>
  <c r="CA200" i="14"/>
  <c r="CA201" i="14"/>
  <c r="CA202" i="14"/>
  <c r="CA203" i="14"/>
  <c r="CA204" i="14"/>
  <c r="CA205" i="14"/>
  <c r="CA206" i="14"/>
  <c r="CA207" i="14"/>
  <c r="CA208" i="14"/>
  <c r="CA209" i="14"/>
  <c r="CA210" i="14"/>
  <c r="CA211" i="14"/>
  <c r="CA212" i="14"/>
  <c r="CA213" i="14"/>
  <c r="CA214" i="14"/>
  <c r="CA215" i="14"/>
  <c r="CA216" i="14"/>
  <c r="CA217" i="14"/>
  <c r="CA218" i="14"/>
  <c r="CA219" i="14"/>
  <c r="CA220" i="14"/>
  <c r="CA221" i="14"/>
  <c r="CA222" i="14"/>
  <c r="CA223" i="14"/>
  <c r="CA224" i="14"/>
  <c r="CA225" i="14"/>
  <c r="CA226" i="14"/>
  <c r="CA227" i="14"/>
  <c r="BZ2" i="14"/>
  <c r="BZ3" i="14"/>
  <c r="BZ4" i="14"/>
  <c r="BZ5" i="14"/>
  <c r="BZ6" i="14"/>
  <c r="BZ7" i="14"/>
  <c r="BZ8" i="14"/>
  <c r="BZ9" i="14"/>
  <c r="BZ10" i="14"/>
  <c r="BZ11" i="14"/>
  <c r="BZ12" i="14"/>
  <c r="BZ13" i="14"/>
  <c r="BZ14" i="14"/>
  <c r="BZ15" i="14"/>
  <c r="BZ16" i="14"/>
  <c r="BZ17" i="14"/>
  <c r="BZ18" i="14"/>
  <c r="BZ19" i="14"/>
  <c r="BZ20" i="14"/>
  <c r="BZ21" i="14"/>
  <c r="BZ22" i="14"/>
  <c r="BZ23" i="14"/>
  <c r="BZ24" i="14"/>
  <c r="BZ25" i="14"/>
  <c r="BZ26" i="14"/>
  <c r="BZ27" i="14"/>
  <c r="BZ28" i="14"/>
  <c r="BZ29" i="14"/>
  <c r="BZ30" i="14"/>
  <c r="BZ31" i="14"/>
  <c r="BZ32" i="14"/>
  <c r="BZ33" i="14"/>
  <c r="BZ34" i="14"/>
  <c r="BZ35" i="14"/>
  <c r="BZ36" i="14"/>
  <c r="BZ37" i="14"/>
  <c r="BZ38" i="14"/>
  <c r="BZ39" i="14"/>
  <c r="BZ40" i="14"/>
  <c r="BZ41" i="14"/>
  <c r="BZ42" i="14"/>
  <c r="BZ43" i="14"/>
  <c r="BZ44" i="14"/>
  <c r="BZ45" i="14"/>
  <c r="BZ46" i="14"/>
  <c r="BZ47" i="14"/>
  <c r="BZ48" i="14"/>
  <c r="BZ49" i="14"/>
  <c r="BZ50" i="14"/>
  <c r="BZ51" i="14"/>
  <c r="BZ52" i="14"/>
  <c r="BZ53" i="14"/>
  <c r="BZ54" i="14"/>
  <c r="BZ55" i="14"/>
  <c r="BZ56" i="14"/>
  <c r="BZ57" i="14"/>
  <c r="BZ58" i="14"/>
  <c r="BZ59" i="14"/>
  <c r="BZ60" i="14"/>
  <c r="BZ61" i="14"/>
  <c r="BZ62" i="14"/>
  <c r="BZ63" i="14"/>
  <c r="BZ64" i="14"/>
  <c r="BZ65" i="14"/>
  <c r="BZ66" i="14"/>
  <c r="BZ67" i="14"/>
  <c r="BZ68" i="14"/>
  <c r="BZ69" i="14"/>
  <c r="BZ70" i="14"/>
  <c r="BZ71" i="14"/>
  <c r="BZ72" i="14"/>
  <c r="BZ73" i="14"/>
  <c r="BZ74" i="14"/>
  <c r="BZ75" i="14"/>
  <c r="BZ76" i="14"/>
  <c r="BZ77" i="14"/>
  <c r="BZ78" i="14"/>
  <c r="BZ79" i="14"/>
  <c r="BZ80" i="14"/>
  <c r="BZ81" i="14"/>
  <c r="BZ82" i="14"/>
  <c r="BZ83" i="14"/>
  <c r="BZ84" i="14"/>
  <c r="BZ85" i="14"/>
  <c r="BZ86" i="14"/>
  <c r="BZ87" i="14"/>
  <c r="BZ88" i="14"/>
  <c r="BZ89" i="14"/>
  <c r="BZ90" i="14"/>
  <c r="BZ91" i="14"/>
  <c r="BZ92" i="14"/>
  <c r="BZ93" i="14"/>
  <c r="BZ94" i="14"/>
  <c r="BZ95" i="14"/>
  <c r="BZ96" i="14"/>
  <c r="BZ97" i="14"/>
  <c r="BZ98" i="14"/>
  <c r="BZ99" i="14"/>
  <c r="BZ100" i="14"/>
  <c r="BZ101" i="14"/>
  <c r="BZ102" i="14"/>
  <c r="BZ103" i="14"/>
  <c r="BZ104" i="14"/>
  <c r="BZ105" i="14"/>
  <c r="BZ106" i="14"/>
  <c r="BZ107" i="14"/>
  <c r="BZ108" i="14"/>
  <c r="BZ109" i="14"/>
  <c r="BZ110" i="14"/>
  <c r="BZ111" i="14"/>
  <c r="BZ112" i="14"/>
  <c r="BZ113" i="14"/>
  <c r="BZ114" i="14"/>
  <c r="BZ115" i="14"/>
  <c r="BZ116" i="14"/>
  <c r="BZ117" i="14"/>
  <c r="BZ118" i="14"/>
  <c r="BZ119" i="14"/>
  <c r="BZ120" i="14"/>
  <c r="BZ121" i="14"/>
  <c r="BZ122" i="14"/>
  <c r="BZ123" i="14"/>
  <c r="BZ124" i="14"/>
  <c r="BZ125" i="14"/>
  <c r="BZ126" i="14"/>
  <c r="BZ127" i="14"/>
  <c r="BZ128" i="14"/>
  <c r="BZ129" i="14"/>
  <c r="BZ130" i="14"/>
  <c r="BZ131" i="14"/>
  <c r="BZ132" i="14"/>
  <c r="BZ133" i="14"/>
  <c r="BZ134" i="14"/>
  <c r="BZ135" i="14"/>
  <c r="BZ136" i="14"/>
  <c r="BZ137" i="14"/>
  <c r="BZ138" i="14"/>
  <c r="BZ139" i="14"/>
  <c r="BZ140" i="14"/>
  <c r="BZ141" i="14"/>
  <c r="BZ142" i="14"/>
  <c r="BZ143" i="14"/>
  <c r="BZ144" i="14"/>
  <c r="BZ145" i="14"/>
  <c r="BZ146" i="14"/>
  <c r="BZ147" i="14"/>
  <c r="BZ148" i="14"/>
  <c r="BZ149" i="14"/>
  <c r="BZ150" i="14"/>
  <c r="BZ151" i="14"/>
  <c r="BZ152" i="14"/>
  <c r="BZ153" i="14"/>
  <c r="BZ154" i="14"/>
  <c r="BZ155" i="14"/>
  <c r="BZ156" i="14"/>
  <c r="BZ157" i="14"/>
  <c r="BZ158" i="14"/>
  <c r="BZ159" i="14"/>
  <c r="BZ160" i="14"/>
  <c r="BZ161" i="14"/>
  <c r="BZ162" i="14"/>
  <c r="BZ163" i="14"/>
  <c r="BZ164" i="14"/>
  <c r="BZ165" i="14"/>
  <c r="BZ166" i="14"/>
  <c r="BZ167" i="14"/>
  <c r="BZ168" i="14"/>
  <c r="BZ169" i="14"/>
  <c r="BZ170" i="14"/>
  <c r="BZ171" i="14"/>
  <c r="BZ172" i="14"/>
  <c r="BZ173" i="14"/>
  <c r="BZ174" i="14"/>
  <c r="BZ175" i="14"/>
  <c r="BZ176" i="14"/>
  <c r="BZ177" i="14"/>
  <c r="BZ178" i="14"/>
  <c r="BZ179" i="14"/>
  <c r="BZ180" i="14"/>
  <c r="BZ181" i="14"/>
  <c r="BZ182" i="14"/>
  <c r="BZ183" i="14"/>
  <c r="BZ184" i="14"/>
  <c r="BZ185" i="14"/>
  <c r="BZ186" i="14"/>
  <c r="BZ187" i="14"/>
  <c r="BZ188" i="14"/>
  <c r="BZ189" i="14"/>
  <c r="BZ190" i="14"/>
  <c r="BZ191" i="14"/>
  <c r="BZ192" i="14"/>
  <c r="BZ193" i="14"/>
  <c r="BZ194" i="14"/>
  <c r="BZ195" i="14"/>
  <c r="BZ196" i="14"/>
  <c r="BZ197" i="14"/>
  <c r="BZ198" i="14"/>
  <c r="BZ199" i="14"/>
  <c r="BZ200" i="14"/>
  <c r="BZ201" i="14"/>
  <c r="BZ202" i="14"/>
  <c r="BZ203" i="14"/>
  <c r="BZ204" i="14"/>
  <c r="BZ205" i="14"/>
  <c r="BZ206" i="14"/>
  <c r="BZ207" i="14"/>
  <c r="BZ208" i="14"/>
  <c r="BZ209" i="14"/>
  <c r="BZ210" i="14"/>
  <c r="BZ211" i="14"/>
  <c r="BZ212" i="14"/>
  <c r="BZ213" i="14"/>
  <c r="BZ214" i="14"/>
  <c r="BZ215" i="14"/>
  <c r="BZ216" i="14"/>
  <c r="BZ217" i="14"/>
  <c r="BZ218" i="14"/>
  <c r="BZ219" i="14"/>
  <c r="BZ220" i="14"/>
  <c r="BZ221" i="14"/>
  <c r="BZ222" i="14"/>
  <c r="BZ223" i="14"/>
  <c r="BZ224" i="14"/>
  <c r="BZ225" i="14"/>
  <c r="BZ226" i="14"/>
  <c r="BZ227" i="14"/>
  <c r="BY2" i="14"/>
  <c r="BY3" i="14"/>
  <c r="BY4" i="14"/>
  <c r="BY5" i="14"/>
  <c r="BY6" i="14"/>
  <c r="BY7" i="14"/>
  <c r="BY8" i="14"/>
  <c r="BY9" i="14"/>
  <c r="BY10" i="14"/>
  <c r="BY11" i="14"/>
  <c r="BY12" i="14"/>
  <c r="BY13" i="14"/>
  <c r="BY14" i="14"/>
  <c r="BY15" i="14"/>
  <c r="BY16" i="14"/>
  <c r="BY17" i="14"/>
  <c r="BY18" i="14"/>
  <c r="BY19" i="14"/>
  <c r="BY20" i="14"/>
  <c r="BY21" i="14"/>
  <c r="BY22" i="14"/>
  <c r="BY23" i="14"/>
  <c r="BY24" i="14"/>
  <c r="BY25" i="14"/>
  <c r="BY26" i="14"/>
  <c r="BY27" i="14"/>
  <c r="BY28" i="14"/>
  <c r="BY29" i="14"/>
  <c r="BY30" i="14"/>
  <c r="BY31" i="14"/>
  <c r="BY32" i="14"/>
  <c r="BY33" i="14"/>
  <c r="BY34" i="14"/>
  <c r="BY35" i="14"/>
  <c r="BY36" i="14"/>
  <c r="BY37" i="14"/>
  <c r="BY38" i="14"/>
  <c r="BY39" i="14"/>
  <c r="BY40" i="14"/>
  <c r="BY41" i="14"/>
  <c r="BY42" i="14"/>
  <c r="BY43" i="14"/>
  <c r="BY44" i="14"/>
  <c r="BY45" i="14"/>
  <c r="BY46" i="14"/>
  <c r="BY47" i="14"/>
  <c r="BY48" i="14"/>
  <c r="BY49" i="14"/>
  <c r="BY50" i="14"/>
  <c r="BY51" i="14"/>
  <c r="BY52" i="14"/>
  <c r="BY53" i="14"/>
  <c r="BY54" i="14"/>
  <c r="BY55" i="14"/>
  <c r="BY56" i="14"/>
  <c r="BY57" i="14"/>
  <c r="BY58" i="14"/>
  <c r="BY59" i="14"/>
  <c r="BY60" i="14"/>
  <c r="BY61" i="14"/>
  <c r="BY62" i="14"/>
  <c r="BY63" i="14"/>
  <c r="BY64" i="14"/>
  <c r="BY65" i="14"/>
  <c r="BY66" i="14"/>
  <c r="BY67" i="14"/>
  <c r="BY68" i="14"/>
  <c r="BY69" i="14"/>
  <c r="BY70" i="14"/>
  <c r="BY71" i="14"/>
  <c r="BY72" i="14"/>
  <c r="BY73" i="14"/>
  <c r="BY74" i="14"/>
  <c r="BY75" i="14"/>
  <c r="BY76" i="14"/>
  <c r="BY77" i="14"/>
  <c r="BY78" i="14"/>
  <c r="BY79" i="14"/>
  <c r="BY80" i="14"/>
  <c r="BY81" i="14"/>
  <c r="BY82" i="14"/>
  <c r="BY83" i="14"/>
  <c r="BY84" i="14"/>
  <c r="BY85" i="14"/>
  <c r="BY86" i="14"/>
  <c r="BY87" i="14"/>
  <c r="BY88" i="14"/>
  <c r="BY89" i="14"/>
  <c r="BY90" i="14"/>
  <c r="BY91" i="14"/>
  <c r="BY92" i="14"/>
  <c r="BY93" i="14"/>
  <c r="BY94" i="14"/>
  <c r="BY95" i="14"/>
  <c r="BY96" i="14"/>
  <c r="BY97" i="14"/>
  <c r="BY98" i="14"/>
  <c r="BY99" i="14"/>
  <c r="BY100" i="14"/>
  <c r="BY101" i="14"/>
  <c r="BY102" i="14"/>
  <c r="BY103" i="14"/>
  <c r="BY104" i="14"/>
  <c r="BY105" i="14"/>
  <c r="BY106" i="14"/>
  <c r="BY107" i="14"/>
  <c r="BY108" i="14"/>
  <c r="BY109" i="14"/>
  <c r="BY110" i="14"/>
  <c r="BY111" i="14"/>
  <c r="BY112" i="14"/>
  <c r="BY113" i="14"/>
  <c r="BY114" i="14"/>
  <c r="BY115" i="14"/>
  <c r="BY116" i="14"/>
  <c r="BY117" i="14"/>
  <c r="BY118" i="14"/>
  <c r="BY119" i="14"/>
  <c r="BY120" i="14"/>
  <c r="BY121" i="14"/>
  <c r="BY122" i="14"/>
  <c r="BY123" i="14"/>
  <c r="BY124" i="14"/>
  <c r="BY125" i="14"/>
  <c r="BY126" i="14"/>
  <c r="BY127" i="14"/>
  <c r="BY128" i="14"/>
  <c r="BY129" i="14"/>
  <c r="BY130" i="14"/>
  <c r="BY131" i="14"/>
  <c r="BY132" i="14"/>
  <c r="BY133" i="14"/>
  <c r="BY134" i="14"/>
  <c r="BY135" i="14"/>
  <c r="BY136" i="14"/>
  <c r="BY137" i="14"/>
  <c r="BY138" i="14"/>
  <c r="BY139" i="14"/>
  <c r="BY140" i="14"/>
  <c r="BY141" i="14"/>
  <c r="BY142" i="14"/>
  <c r="BY143" i="14"/>
  <c r="BY144" i="14"/>
  <c r="BY145" i="14"/>
  <c r="BY146" i="14"/>
  <c r="BY147" i="14"/>
  <c r="BY148" i="14"/>
  <c r="BY149" i="14"/>
  <c r="BY150" i="14"/>
  <c r="BY151" i="14"/>
  <c r="BY152" i="14"/>
  <c r="BY153" i="14"/>
  <c r="BY154" i="14"/>
  <c r="BY155" i="14"/>
  <c r="BY156" i="14"/>
  <c r="BY157" i="14"/>
  <c r="BY158" i="14"/>
  <c r="BY159" i="14"/>
  <c r="BY160" i="14"/>
  <c r="BY161" i="14"/>
  <c r="BY162" i="14"/>
  <c r="BY163" i="14"/>
  <c r="BY164" i="14"/>
  <c r="BY165" i="14"/>
  <c r="BY166" i="14"/>
  <c r="BY167" i="14"/>
  <c r="BY168" i="14"/>
  <c r="BY169" i="14"/>
  <c r="BY170" i="14"/>
  <c r="BY171" i="14"/>
  <c r="BY172" i="14"/>
  <c r="BY173" i="14"/>
  <c r="BY174" i="14"/>
  <c r="BY175" i="14"/>
  <c r="BY176" i="14"/>
  <c r="BY177" i="14"/>
  <c r="BY178" i="14"/>
  <c r="BY179" i="14"/>
  <c r="BY180" i="14"/>
  <c r="BY181" i="14"/>
  <c r="BY182" i="14"/>
  <c r="BY183" i="14"/>
  <c r="BY184" i="14"/>
  <c r="BY185" i="14"/>
  <c r="BY186" i="14"/>
  <c r="BY187" i="14"/>
  <c r="BY188" i="14"/>
  <c r="BY189" i="14"/>
  <c r="BY190" i="14"/>
  <c r="BY191" i="14"/>
  <c r="BY192" i="14"/>
  <c r="BY193" i="14"/>
  <c r="BY194" i="14"/>
  <c r="BY195" i="14"/>
  <c r="BY196" i="14"/>
  <c r="BY197" i="14"/>
  <c r="BY198" i="14"/>
  <c r="BY199" i="14"/>
  <c r="BY200" i="14"/>
  <c r="BY201" i="14"/>
  <c r="BY202" i="14"/>
  <c r="BY203" i="14"/>
  <c r="BY204" i="14"/>
  <c r="BY205" i="14"/>
  <c r="BY206" i="14"/>
  <c r="BY207" i="14"/>
  <c r="BY208" i="14"/>
  <c r="BY209" i="14"/>
  <c r="BY210" i="14"/>
  <c r="BY211" i="14"/>
  <c r="BY212" i="14"/>
  <c r="BY213" i="14"/>
  <c r="BY214" i="14"/>
  <c r="BY215" i="14"/>
  <c r="BY216" i="14"/>
  <c r="BY217" i="14"/>
  <c r="BY218" i="14"/>
  <c r="BY219" i="14"/>
  <c r="BY220" i="14"/>
  <c r="BY221" i="14"/>
  <c r="BY222" i="14"/>
  <c r="BY223" i="14"/>
  <c r="BY224" i="14"/>
  <c r="BY225" i="14"/>
  <c r="BY226" i="14"/>
  <c r="BY227" i="14"/>
  <c r="BX2" i="14"/>
  <c r="BX3" i="14"/>
  <c r="BX4" i="14"/>
  <c r="BX5" i="14"/>
  <c r="BX6" i="14"/>
  <c r="BX7" i="14"/>
  <c r="BX8" i="14"/>
  <c r="BX9" i="14"/>
  <c r="BX10" i="14"/>
  <c r="BX11" i="14"/>
  <c r="BX12" i="14"/>
  <c r="BX13" i="14"/>
  <c r="BX14" i="14"/>
  <c r="BX15" i="14"/>
  <c r="BX16" i="14"/>
  <c r="BX17" i="14"/>
  <c r="BX18" i="14"/>
  <c r="BX19" i="14"/>
  <c r="BX20" i="14"/>
  <c r="BX21" i="14"/>
  <c r="BX22" i="14"/>
  <c r="BX23" i="14"/>
  <c r="BX24" i="14"/>
  <c r="BX25" i="14"/>
  <c r="BX26" i="14"/>
  <c r="BX27" i="14"/>
  <c r="BX28" i="14"/>
  <c r="BX29" i="14"/>
  <c r="BX30" i="14"/>
  <c r="BX31" i="14"/>
  <c r="BX32" i="14"/>
  <c r="BX33" i="14"/>
  <c r="BX34" i="14"/>
  <c r="BX35" i="14"/>
  <c r="BX36" i="14"/>
  <c r="BX37" i="14"/>
  <c r="BX38" i="14"/>
  <c r="BX39" i="14"/>
  <c r="BX40" i="14"/>
  <c r="BX41" i="14"/>
  <c r="BX42" i="14"/>
  <c r="BX43" i="14"/>
  <c r="BX44" i="14"/>
  <c r="BX45" i="14"/>
  <c r="BX46" i="14"/>
  <c r="BX47" i="14"/>
  <c r="BX48" i="14"/>
  <c r="BX49" i="14"/>
  <c r="BX50" i="14"/>
  <c r="BX51" i="14"/>
  <c r="BX52" i="14"/>
  <c r="BX53" i="14"/>
  <c r="BX54" i="14"/>
  <c r="BX55" i="14"/>
  <c r="BX56" i="14"/>
  <c r="BX57" i="14"/>
  <c r="BX58" i="14"/>
  <c r="BX59" i="14"/>
  <c r="BX60" i="14"/>
  <c r="BX61" i="14"/>
  <c r="BX62" i="14"/>
  <c r="BX63" i="14"/>
  <c r="BX64" i="14"/>
  <c r="BX65" i="14"/>
  <c r="BX66" i="14"/>
  <c r="BX67" i="14"/>
  <c r="BX68" i="14"/>
  <c r="BX69" i="14"/>
  <c r="BX70" i="14"/>
  <c r="BX71" i="14"/>
  <c r="BX72" i="14"/>
  <c r="BX73" i="14"/>
  <c r="BX74" i="14"/>
  <c r="BX75" i="14"/>
  <c r="BX76" i="14"/>
  <c r="BX77" i="14"/>
  <c r="BX78" i="14"/>
  <c r="BX79" i="14"/>
  <c r="BX80" i="14"/>
  <c r="BX81" i="14"/>
  <c r="BX82" i="14"/>
  <c r="BX83" i="14"/>
  <c r="BX84" i="14"/>
  <c r="BX85" i="14"/>
  <c r="BX86" i="14"/>
  <c r="BX87" i="14"/>
  <c r="BX88" i="14"/>
  <c r="BX89" i="14"/>
  <c r="BX90" i="14"/>
  <c r="BX91" i="14"/>
  <c r="BX92" i="14"/>
  <c r="BX93" i="14"/>
  <c r="BX94" i="14"/>
  <c r="BX95" i="14"/>
  <c r="BX96" i="14"/>
  <c r="BX97" i="14"/>
  <c r="BX98" i="14"/>
  <c r="BX99" i="14"/>
  <c r="BX100" i="14"/>
  <c r="BX101" i="14"/>
  <c r="BX102" i="14"/>
  <c r="BX103" i="14"/>
  <c r="BX104" i="14"/>
  <c r="BX105" i="14"/>
  <c r="BX106" i="14"/>
  <c r="BX107" i="14"/>
  <c r="BX108" i="14"/>
  <c r="BX109" i="14"/>
  <c r="BX110" i="14"/>
  <c r="BX111" i="14"/>
  <c r="BX112" i="14"/>
  <c r="BX113" i="14"/>
  <c r="BX114" i="14"/>
  <c r="BX115" i="14"/>
  <c r="BX116" i="14"/>
  <c r="BX117" i="14"/>
  <c r="BX118" i="14"/>
  <c r="BX119" i="14"/>
  <c r="BX120" i="14"/>
  <c r="BX121" i="14"/>
  <c r="BX122" i="14"/>
  <c r="BX123" i="14"/>
  <c r="BX124" i="14"/>
  <c r="BX125" i="14"/>
  <c r="BX126" i="14"/>
  <c r="BX127" i="14"/>
  <c r="BX128" i="14"/>
  <c r="BX129" i="14"/>
  <c r="BX130" i="14"/>
  <c r="BX131" i="14"/>
  <c r="BX132" i="14"/>
  <c r="BX133" i="14"/>
  <c r="BX134" i="14"/>
  <c r="BX135" i="14"/>
  <c r="BX136" i="14"/>
  <c r="BX137" i="14"/>
  <c r="BX138" i="14"/>
  <c r="BX139" i="14"/>
  <c r="BX140" i="14"/>
  <c r="BX141" i="14"/>
  <c r="BX142" i="14"/>
  <c r="BX143" i="14"/>
  <c r="BX144" i="14"/>
  <c r="BX145" i="14"/>
  <c r="BX146" i="14"/>
  <c r="BX147" i="14"/>
  <c r="BX148" i="14"/>
  <c r="BX149" i="14"/>
  <c r="BX150" i="14"/>
  <c r="BX151" i="14"/>
  <c r="BX152" i="14"/>
  <c r="BX153" i="14"/>
  <c r="BX154" i="14"/>
  <c r="BX155" i="14"/>
  <c r="BX156" i="14"/>
  <c r="BX157" i="14"/>
  <c r="BX158" i="14"/>
  <c r="BX159" i="14"/>
  <c r="BX160" i="14"/>
  <c r="BX161" i="14"/>
  <c r="BX162" i="14"/>
  <c r="BX163" i="14"/>
  <c r="BX164" i="14"/>
  <c r="BX165" i="14"/>
  <c r="BX166" i="14"/>
  <c r="BX167" i="14"/>
  <c r="BX168" i="14"/>
  <c r="BX169" i="14"/>
  <c r="BX170" i="14"/>
  <c r="BX171" i="14"/>
  <c r="BX172" i="14"/>
  <c r="BX173" i="14"/>
  <c r="BX174" i="14"/>
  <c r="BX175" i="14"/>
  <c r="BX176" i="14"/>
  <c r="BX177" i="14"/>
  <c r="BX178" i="14"/>
  <c r="BX179" i="14"/>
  <c r="BX180" i="14"/>
  <c r="BX181" i="14"/>
  <c r="BX182" i="14"/>
  <c r="BX183" i="14"/>
  <c r="BX184" i="14"/>
  <c r="BX185" i="14"/>
  <c r="BX186" i="14"/>
  <c r="BX187" i="14"/>
  <c r="BX188" i="14"/>
  <c r="BX189" i="14"/>
  <c r="BX190" i="14"/>
  <c r="BX191" i="14"/>
  <c r="BX192" i="14"/>
  <c r="BX193" i="14"/>
  <c r="BX194" i="14"/>
  <c r="BX195" i="14"/>
  <c r="BX196" i="14"/>
  <c r="BX197" i="14"/>
  <c r="BX198" i="14"/>
  <c r="BX199" i="14"/>
  <c r="BX200" i="14"/>
  <c r="BX201" i="14"/>
  <c r="BX202" i="14"/>
  <c r="BX203" i="14"/>
  <c r="BX204" i="14"/>
  <c r="BX205" i="14"/>
  <c r="BX206" i="14"/>
  <c r="BX207" i="14"/>
  <c r="BX208" i="14"/>
  <c r="BX209" i="14"/>
  <c r="BX210" i="14"/>
  <c r="BX211" i="14"/>
  <c r="BX212" i="14"/>
  <c r="BX213" i="14"/>
  <c r="BX214" i="14"/>
  <c r="BX215" i="14"/>
  <c r="BX216" i="14"/>
  <c r="BX217" i="14"/>
  <c r="BX218" i="14"/>
  <c r="BX219" i="14"/>
  <c r="BX220" i="14"/>
  <c r="BX221" i="14"/>
  <c r="BX222" i="14"/>
  <c r="BX223" i="14"/>
  <c r="BX224" i="14"/>
  <c r="BX225" i="14"/>
  <c r="BX226" i="14"/>
  <c r="BX227" i="14"/>
  <c r="BW2" i="14"/>
  <c r="BW3" i="14"/>
  <c r="BW4" i="14"/>
  <c r="BW5" i="14"/>
  <c r="BW6" i="14"/>
  <c r="BW7" i="14"/>
  <c r="BW8" i="14"/>
  <c r="BW9" i="14"/>
  <c r="BW10" i="14"/>
  <c r="BW11" i="14"/>
  <c r="BW12" i="14"/>
  <c r="BW13" i="14"/>
  <c r="BW14" i="14"/>
  <c r="BW15" i="14"/>
  <c r="BW16" i="14"/>
  <c r="BW17" i="14"/>
  <c r="BW18" i="14"/>
  <c r="BW19" i="14"/>
  <c r="BW20" i="14"/>
  <c r="BW21" i="14"/>
  <c r="BW22" i="14"/>
  <c r="BW23" i="14"/>
  <c r="BW24" i="14"/>
  <c r="BW25" i="14"/>
  <c r="BW26" i="14"/>
  <c r="BW27" i="14"/>
  <c r="BW28" i="14"/>
  <c r="BW29" i="14"/>
  <c r="BW30" i="14"/>
  <c r="BW31" i="14"/>
  <c r="BW32" i="14"/>
  <c r="BW33" i="14"/>
  <c r="BW34" i="14"/>
  <c r="BW35" i="14"/>
  <c r="BW36" i="14"/>
  <c r="BW37" i="14"/>
  <c r="BW38" i="14"/>
  <c r="BW39" i="14"/>
  <c r="BW40" i="14"/>
  <c r="BW41" i="14"/>
  <c r="BW42" i="14"/>
  <c r="BW43" i="14"/>
  <c r="BW44" i="14"/>
  <c r="BW45" i="14"/>
  <c r="BW46" i="14"/>
  <c r="BW47" i="14"/>
  <c r="BW48" i="14"/>
  <c r="BW49" i="14"/>
  <c r="BW50" i="14"/>
  <c r="BW51" i="14"/>
  <c r="BW52" i="14"/>
  <c r="BW53" i="14"/>
  <c r="BW54" i="14"/>
  <c r="BW55" i="14"/>
  <c r="BW56" i="14"/>
  <c r="BW57" i="14"/>
  <c r="BW58" i="14"/>
  <c r="BW59" i="14"/>
  <c r="BW60" i="14"/>
  <c r="BW61" i="14"/>
  <c r="BW62" i="14"/>
  <c r="BW63" i="14"/>
  <c r="BW64" i="14"/>
  <c r="BW65" i="14"/>
  <c r="BW66" i="14"/>
  <c r="BW67" i="14"/>
  <c r="BW68" i="14"/>
  <c r="BW69" i="14"/>
  <c r="BW70" i="14"/>
  <c r="BW71" i="14"/>
  <c r="BW72" i="14"/>
  <c r="BW73" i="14"/>
  <c r="BW74" i="14"/>
  <c r="BW75" i="14"/>
  <c r="BW76" i="14"/>
  <c r="BW77" i="14"/>
  <c r="BW78" i="14"/>
  <c r="BW79" i="14"/>
  <c r="BW80" i="14"/>
  <c r="BW81" i="14"/>
  <c r="BW82" i="14"/>
  <c r="BW83" i="14"/>
  <c r="BW84" i="14"/>
  <c r="BW85" i="14"/>
  <c r="BW86" i="14"/>
  <c r="BW87" i="14"/>
  <c r="BW88" i="14"/>
  <c r="BW89" i="14"/>
  <c r="BW90" i="14"/>
  <c r="BW91" i="14"/>
  <c r="BW92" i="14"/>
  <c r="BW93" i="14"/>
  <c r="BW94" i="14"/>
  <c r="BW95" i="14"/>
  <c r="BW96" i="14"/>
  <c r="BW97" i="14"/>
  <c r="BW98" i="14"/>
  <c r="BW99" i="14"/>
  <c r="BW100" i="14"/>
  <c r="BW101" i="14"/>
  <c r="BW102" i="14"/>
  <c r="BW103" i="14"/>
  <c r="BW104" i="14"/>
  <c r="BW105" i="14"/>
  <c r="BW106" i="14"/>
  <c r="BW107" i="14"/>
  <c r="BW108" i="14"/>
  <c r="BW109" i="14"/>
  <c r="BW110" i="14"/>
  <c r="BW111" i="14"/>
  <c r="BW112" i="14"/>
  <c r="BW113" i="14"/>
  <c r="BW114" i="14"/>
  <c r="BW115" i="14"/>
  <c r="BW116" i="14"/>
  <c r="BW117" i="14"/>
  <c r="BW118" i="14"/>
  <c r="BW119" i="14"/>
  <c r="BW120" i="14"/>
  <c r="BW121" i="14"/>
  <c r="BW122" i="14"/>
  <c r="BW123" i="14"/>
  <c r="BW124" i="14"/>
  <c r="BW125" i="14"/>
  <c r="BW126" i="14"/>
  <c r="BW127" i="14"/>
  <c r="BW128" i="14"/>
  <c r="BW129" i="14"/>
  <c r="BW130" i="14"/>
  <c r="BW131" i="14"/>
  <c r="BW132" i="14"/>
  <c r="BW133" i="14"/>
  <c r="BW134" i="14"/>
  <c r="BW135" i="14"/>
  <c r="BW136" i="14"/>
  <c r="BW137" i="14"/>
  <c r="BW138" i="14"/>
  <c r="BW139" i="14"/>
  <c r="BW140" i="14"/>
  <c r="BW141" i="14"/>
  <c r="BW142" i="14"/>
  <c r="BW143" i="14"/>
  <c r="BW144" i="14"/>
  <c r="BW145" i="14"/>
  <c r="BW146" i="14"/>
  <c r="BW147" i="14"/>
  <c r="BW148" i="14"/>
  <c r="BW149" i="14"/>
  <c r="BW150" i="14"/>
  <c r="BW151" i="14"/>
  <c r="BW152" i="14"/>
  <c r="BW153" i="14"/>
  <c r="BW154" i="14"/>
  <c r="BW155" i="14"/>
  <c r="BW156" i="14"/>
  <c r="BW157" i="14"/>
  <c r="BW158" i="14"/>
  <c r="BW159" i="14"/>
  <c r="BW160" i="14"/>
  <c r="BW161" i="14"/>
  <c r="BW162" i="14"/>
  <c r="BW163" i="14"/>
  <c r="BW164" i="14"/>
  <c r="BW165" i="14"/>
  <c r="BW166" i="14"/>
  <c r="BW167" i="14"/>
  <c r="BW168" i="14"/>
  <c r="BW169" i="14"/>
  <c r="BW170" i="14"/>
  <c r="BW171" i="14"/>
  <c r="BW172" i="14"/>
  <c r="BW173" i="14"/>
  <c r="BW174" i="14"/>
  <c r="BW175" i="14"/>
  <c r="BW176" i="14"/>
  <c r="BW177" i="14"/>
  <c r="BW178" i="14"/>
  <c r="BW179" i="14"/>
  <c r="BW180" i="14"/>
  <c r="BW181" i="14"/>
  <c r="BW182" i="14"/>
  <c r="BW183" i="14"/>
  <c r="BW184" i="14"/>
  <c r="BW185" i="14"/>
  <c r="BW186" i="14"/>
  <c r="BW187" i="14"/>
  <c r="BW188" i="14"/>
  <c r="BW189" i="14"/>
  <c r="BW190" i="14"/>
  <c r="BW191" i="14"/>
  <c r="BW192" i="14"/>
  <c r="BW193" i="14"/>
  <c r="BW194" i="14"/>
  <c r="BW195" i="14"/>
  <c r="BW196" i="14"/>
  <c r="BW197" i="14"/>
  <c r="BW198" i="14"/>
  <c r="BW199" i="14"/>
  <c r="BW200" i="14"/>
  <c r="BW201" i="14"/>
  <c r="BW202" i="14"/>
  <c r="BW203" i="14"/>
  <c r="BW204" i="14"/>
  <c r="BW205" i="14"/>
  <c r="BW206" i="14"/>
  <c r="BW207" i="14"/>
  <c r="BW208" i="14"/>
  <c r="BW209" i="14"/>
  <c r="BW210" i="14"/>
  <c r="BW211" i="14"/>
  <c r="BW212" i="14"/>
  <c r="BW213" i="14"/>
  <c r="BW214" i="14"/>
  <c r="BW215" i="14"/>
  <c r="BW216" i="14"/>
  <c r="BW217" i="14"/>
  <c r="BW218" i="14"/>
  <c r="BW219" i="14"/>
  <c r="BW220" i="14"/>
  <c r="BW221" i="14"/>
  <c r="BW222" i="14"/>
  <c r="BW223" i="14"/>
  <c r="BW224" i="14"/>
  <c r="BW225" i="14"/>
  <c r="BW226" i="14"/>
  <c r="BW227" i="14"/>
  <c r="AY2" i="14"/>
  <c r="BV4" i="14"/>
  <c r="BV5" i="14"/>
  <c r="BV6" i="14"/>
  <c r="BV7" i="14"/>
  <c r="BV8" i="14"/>
  <c r="BV9" i="14"/>
  <c r="BV10" i="14"/>
  <c r="BV11" i="14"/>
  <c r="BV12" i="14"/>
  <c r="BV13" i="14"/>
  <c r="BV14" i="14"/>
  <c r="BV15" i="14"/>
  <c r="BV16" i="14"/>
  <c r="BV17" i="14"/>
  <c r="BV18" i="14"/>
  <c r="BV19" i="14"/>
  <c r="BV20" i="14"/>
  <c r="BV21" i="14"/>
  <c r="BV22" i="14"/>
  <c r="BV23" i="14"/>
  <c r="BV24" i="14"/>
  <c r="BV25" i="14"/>
  <c r="BV26" i="14"/>
  <c r="BV27" i="14"/>
  <c r="BV28" i="14"/>
  <c r="BV29" i="14"/>
  <c r="BV30" i="14"/>
  <c r="BV31" i="14"/>
  <c r="BV32" i="14"/>
  <c r="BV33" i="14"/>
  <c r="BV34" i="14"/>
  <c r="BV35" i="14"/>
  <c r="BV36" i="14"/>
  <c r="BV37" i="14"/>
  <c r="BV38" i="14"/>
  <c r="BV39" i="14"/>
  <c r="BV40" i="14"/>
  <c r="BV41" i="14"/>
  <c r="BV42" i="14"/>
  <c r="BV43" i="14"/>
  <c r="BV44" i="14"/>
  <c r="BV45" i="14"/>
  <c r="BV46" i="14"/>
  <c r="BV47" i="14"/>
  <c r="BV48" i="14"/>
  <c r="BV49" i="14"/>
  <c r="BV50" i="14"/>
  <c r="BV51" i="14"/>
  <c r="BV52" i="14"/>
  <c r="BV53" i="14"/>
  <c r="BV54" i="14"/>
  <c r="BV55" i="14"/>
  <c r="BV56" i="14"/>
  <c r="BV57" i="14"/>
  <c r="BV58" i="14"/>
  <c r="BV59" i="14"/>
  <c r="BV60" i="14"/>
  <c r="BV61" i="14"/>
  <c r="BV62" i="14"/>
  <c r="BV63" i="14"/>
  <c r="BV64" i="14"/>
  <c r="BV65" i="14"/>
  <c r="BV66" i="14"/>
  <c r="BV67" i="14"/>
  <c r="BV68" i="14"/>
  <c r="BV69" i="14"/>
  <c r="BV70" i="14"/>
  <c r="BV71" i="14"/>
  <c r="BV72" i="14"/>
  <c r="BV73" i="14"/>
  <c r="BV74" i="14"/>
  <c r="BV75" i="14"/>
  <c r="BV76" i="14"/>
  <c r="BV77" i="14"/>
  <c r="BV78" i="14"/>
  <c r="BV79" i="14"/>
  <c r="BV80" i="14"/>
  <c r="BV81" i="14"/>
  <c r="BV82" i="14"/>
  <c r="BV83" i="14"/>
  <c r="BV84" i="14"/>
  <c r="BV85" i="14"/>
  <c r="BV86" i="14"/>
  <c r="BV87" i="14"/>
  <c r="BV88" i="14"/>
  <c r="BV89" i="14"/>
  <c r="BV90" i="14"/>
  <c r="BV91" i="14"/>
  <c r="BV92" i="14"/>
  <c r="BV93" i="14"/>
  <c r="BV94" i="14"/>
  <c r="BV95" i="14"/>
  <c r="BV96" i="14"/>
  <c r="BV97" i="14"/>
  <c r="BV98" i="14"/>
  <c r="BV99" i="14"/>
  <c r="BV100" i="14"/>
  <c r="BV101" i="14"/>
  <c r="BV102" i="14"/>
  <c r="BV103" i="14"/>
  <c r="BV104" i="14"/>
  <c r="BV105" i="14"/>
  <c r="BV106" i="14"/>
  <c r="BV107" i="14"/>
  <c r="BV108" i="14"/>
  <c r="BV109" i="14"/>
  <c r="BV110" i="14"/>
  <c r="BV111" i="14"/>
  <c r="BV112" i="14"/>
  <c r="BV113" i="14"/>
  <c r="BV114" i="14"/>
  <c r="BV115" i="14"/>
  <c r="BV116" i="14"/>
  <c r="BV117" i="14"/>
  <c r="BV118" i="14"/>
  <c r="BV119" i="14"/>
  <c r="BV120" i="14"/>
  <c r="BV121" i="14"/>
  <c r="BV122" i="14"/>
  <c r="BV123" i="14"/>
  <c r="BV124" i="14"/>
  <c r="BV125" i="14"/>
  <c r="BV126" i="14"/>
  <c r="BV127" i="14"/>
  <c r="BV128" i="14"/>
  <c r="BV129" i="14"/>
  <c r="BV130" i="14"/>
  <c r="BV131" i="14"/>
  <c r="BV132" i="14"/>
  <c r="BV133" i="14"/>
  <c r="BV134" i="14"/>
  <c r="BV135" i="14"/>
  <c r="BV136" i="14"/>
  <c r="BV137" i="14"/>
  <c r="BV138" i="14"/>
  <c r="BV139" i="14"/>
  <c r="BV140" i="14"/>
  <c r="BV141" i="14"/>
  <c r="BV142" i="14"/>
  <c r="BV143" i="14"/>
  <c r="BV144" i="14"/>
  <c r="BV145" i="14"/>
  <c r="BV146" i="14"/>
  <c r="BV147" i="14"/>
  <c r="BV148" i="14"/>
  <c r="BV149" i="14"/>
  <c r="BV150" i="14"/>
  <c r="BV151" i="14"/>
  <c r="BV152" i="14"/>
  <c r="BV153" i="14"/>
  <c r="BV154" i="14"/>
  <c r="BV155" i="14"/>
  <c r="BV156" i="14"/>
  <c r="BV157" i="14"/>
  <c r="BV158" i="14"/>
  <c r="BV159" i="14"/>
  <c r="BV160" i="14"/>
  <c r="BV161" i="14"/>
  <c r="BV162" i="14"/>
  <c r="BV163" i="14"/>
  <c r="BV164" i="14"/>
  <c r="BV165" i="14"/>
  <c r="BV166" i="14"/>
  <c r="BV167" i="14"/>
  <c r="BV168" i="14"/>
  <c r="BV169" i="14"/>
  <c r="BV170" i="14"/>
  <c r="BV171" i="14"/>
  <c r="BV172" i="14"/>
  <c r="BV173" i="14"/>
  <c r="BV174" i="14"/>
  <c r="BV175" i="14"/>
  <c r="BV176" i="14"/>
  <c r="BV177" i="14"/>
  <c r="BV178" i="14"/>
  <c r="BV179" i="14"/>
  <c r="BV180" i="14"/>
  <c r="BV181" i="14"/>
  <c r="BV182" i="14"/>
  <c r="BV183" i="14"/>
  <c r="BV184" i="14"/>
  <c r="BV185" i="14"/>
  <c r="BV186" i="14"/>
  <c r="BV187" i="14"/>
  <c r="BV188" i="14"/>
  <c r="BV189" i="14"/>
  <c r="BV190" i="14"/>
  <c r="BV191" i="14"/>
  <c r="BV192" i="14"/>
  <c r="BV193" i="14"/>
  <c r="BV194" i="14"/>
  <c r="BV195" i="14"/>
  <c r="BV196" i="14"/>
  <c r="BV197" i="14"/>
  <c r="BV198" i="14"/>
  <c r="BV199" i="14"/>
  <c r="BV200" i="14"/>
  <c r="BV201" i="14"/>
  <c r="BV202" i="14"/>
  <c r="BV203" i="14"/>
  <c r="BV204" i="14"/>
  <c r="BV205" i="14"/>
  <c r="BV206" i="14"/>
  <c r="BV207" i="14"/>
  <c r="BV208" i="14"/>
  <c r="BV209" i="14"/>
  <c r="BV210" i="14"/>
  <c r="BV211" i="14"/>
  <c r="BV212" i="14"/>
  <c r="BV213" i="14"/>
  <c r="BV214" i="14"/>
  <c r="BV215" i="14"/>
  <c r="BV216" i="14"/>
  <c r="BV217" i="14"/>
  <c r="BV218" i="14"/>
  <c r="BV219" i="14"/>
  <c r="BV220" i="14"/>
  <c r="BV221" i="14"/>
  <c r="BV222" i="14"/>
  <c r="BV223" i="14"/>
  <c r="BV224" i="14"/>
  <c r="BV225" i="14"/>
  <c r="BV226" i="14"/>
  <c r="BV227" i="14"/>
  <c r="BV3" i="14"/>
  <c r="BV2" i="14"/>
  <c r="BU2" i="14"/>
  <c r="BU3" i="14"/>
  <c r="BU4" i="14"/>
  <c r="BU5" i="14"/>
  <c r="BU6" i="14"/>
  <c r="BU7" i="14"/>
  <c r="BU8" i="14"/>
  <c r="BU9" i="14"/>
  <c r="BU10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40" i="14"/>
  <c r="BU41" i="14"/>
  <c r="BU42" i="14"/>
  <c r="BU43" i="14"/>
  <c r="BU44" i="14"/>
  <c r="BU45" i="14"/>
  <c r="BU46" i="14"/>
  <c r="BU47" i="14"/>
  <c r="BU48" i="14"/>
  <c r="BU49" i="14"/>
  <c r="BU50" i="14"/>
  <c r="BU51" i="14"/>
  <c r="BU52" i="14"/>
  <c r="BU53" i="14"/>
  <c r="BU54" i="14"/>
  <c r="BU55" i="14"/>
  <c r="BU56" i="14"/>
  <c r="BU57" i="14"/>
  <c r="BU58" i="14"/>
  <c r="BU59" i="14"/>
  <c r="BU60" i="14"/>
  <c r="BU61" i="14"/>
  <c r="BU62" i="14"/>
  <c r="BU63" i="14"/>
  <c r="BU64" i="14"/>
  <c r="BU65" i="14"/>
  <c r="BU66" i="14"/>
  <c r="BU67" i="14"/>
  <c r="BU68" i="14"/>
  <c r="BU69" i="14"/>
  <c r="BU70" i="14"/>
  <c r="BU71" i="14"/>
  <c r="BU72" i="14"/>
  <c r="BU73" i="14"/>
  <c r="BU74" i="14"/>
  <c r="BU75" i="14"/>
  <c r="BU76" i="14"/>
  <c r="BU77" i="14"/>
  <c r="BU78" i="14"/>
  <c r="BU79" i="14"/>
  <c r="BU80" i="14"/>
  <c r="BU81" i="14"/>
  <c r="BU82" i="14"/>
  <c r="BU83" i="14"/>
  <c r="BU84" i="14"/>
  <c r="BU85" i="14"/>
  <c r="BU86" i="14"/>
  <c r="BU87" i="14"/>
  <c r="BU88" i="14"/>
  <c r="BU89" i="14"/>
  <c r="BU90" i="14"/>
  <c r="BU91" i="14"/>
  <c r="BU92" i="14"/>
  <c r="BU93" i="14"/>
  <c r="BU94" i="14"/>
  <c r="BU95" i="14"/>
  <c r="BU96" i="14"/>
  <c r="BU97" i="14"/>
  <c r="BU98" i="14"/>
  <c r="BU99" i="14"/>
  <c r="BU100" i="14"/>
  <c r="BU101" i="14"/>
  <c r="BU102" i="14"/>
  <c r="BU103" i="14"/>
  <c r="BU104" i="14"/>
  <c r="BU105" i="14"/>
  <c r="BU106" i="14"/>
  <c r="BU107" i="14"/>
  <c r="BU108" i="14"/>
  <c r="BU109" i="14"/>
  <c r="BU110" i="14"/>
  <c r="BU111" i="14"/>
  <c r="BU112" i="14"/>
  <c r="BU113" i="14"/>
  <c r="BU114" i="14"/>
  <c r="BU115" i="14"/>
  <c r="BU116" i="14"/>
  <c r="BU117" i="14"/>
  <c r="BU118" i="14"/>
  <c r="BU119" i="14"/>
  <c r="BU120" i="14"/>
  <c r="BU121" i="14"/>
  <c r="BU122" i="14"/>
  <c r="BU123" i="14"/>
  <c r="BU124" i="14"/>
  <c r="BU125" i="14"/>
  <c r="BU126" i="14"/>
  <c r="BU127" i="14"/>
  <c r="BU128" i="14"/>
  <c r="BU129" i="14"/>
  <c r="BU130" i="14"/>
  <c r="BU131" i="14"/>
  <c r="BU132" i="14"/>
  <c r="BU133" i="14"/>
  <c r="BU134" i="14"/>
  <c r="BU135" i="14"/>
  <c r="BU136" i="14"/>
  <c r="BU137" i="14"/>
  <c r="BU138" i="14"/>
  <c r="BU139" i="14"/>
  <c r="BU140" i="14"/>
  <c r="BU141" i="14"/>
  <c r="BU142" i="14"/>
  <c r="BU143" i="14"/>
  <c r="BU144" i="14"/>
  <c r="BU145" i="14"/>
  <c r="BU146" i="14"/>
  <c r="BU147" i="14"/>
  <c r="BU148" i="14"/>
  <c r="BU149" i="14"/>
  <c r="BU150" i="14"/>
  <c r="BU151" i="14"/>
  <c r="BU152" i="14"/>
  <c r="BU153" i="14"/>
  <c r="BU154" i="14"/>
  <c r="BU155" i="14"/>
  <c r="BU156" i="14"/>
  <c r="BU157" i="14"/>
  <c r="BU158" i="14"/>
  <c r="BU159" i="14"/>
  <c r="BU160" i="14"/>
  <c r="BU161" i="14"/>
  <c r="BU162" i="14"/>
  <c r="BU163" i="14"/>
  <c r="BU164" i="14"/>
  <c r="BU165" i="14"/>
  <c r="BU166" i="14"/>
  <c r="BU167" i="14"/>
  <c r="BU168" i="14"/>
  <c r="BU169" i="14"/>
  <c r="BU170" i="14"/>
  <c r="BU171" i="14"/>
  <c r="BU172" i="14"/>
  <c r="BU173" i="14"/>
  <c r="BU174" i="14"/>
  <c r="BU175" i="14"/>
  <c r="BU176" i="14"/>
  <c r="BU177" i="14"/>
  <c r="BU178" i="14"/>
  <c r="BU179" i="14"/>
  <c r="BU180" i="14"/>
  <c r="BU181" i="14"/>
  <c r="BU182" i="14"/>
  <c r="BU183" i="14"/>
  <c r="BU184" i="14"/>
  <c r="BU185" i="14"/>
  <c r="BU186" i="14"/>
  <c r="BU187" i="14"/>
  <c r="BU188" i="14"/>
  <c r="BU189" i="14"/>
  <c r="BU190" i="14"/>
  <c r="BU191" i="14"/>
  <c r="BU192" i="14"/>
  <c r="BU193" i="14"/>
  <c r="BU194" i="14"/>
  <c r="BU195" i="14"/>
  <c r="BU196" i="14"/>
  <c r="BU197" i="14"/>
  <c r="BU198" i="14"/>
  <c r="BU199" i="14"/>
  <c r="BU200" i="14"/>
  <c r="BU201" i="14"/>
  <c r="BU202" i="14"/>
  <c r="BU203" i="14"/>
  <c r="BU204" i="14"/>
  <c r="BU205" i="14"/>
  <c r="BU206" i="14"/>
  <c r="BU207" i="14"/>
  <c r="BU208" i="14"/>
  <c r="BU209" i="14"/>
  <c r="BU210" i="14"/>
  <c r="BU211" i="14"/>
  <c r="BU212" i="14"/>
  <c r="BU213" i="14"/>
  <c r="BU214" i="14"/>
  <c r="BU215" i="14"/>
  <c r="BU216" i="14"/>
  <c r="BU217" i="14"/>
  <c r="BU218" i="14"/>
  <c r="BU219" i="14"/>
  <c r="BU220" i="14"/>
  <c r="BU221" i="14"/>
  <c r="BU222" i="14"/>
  <c r="BU223" i="14"/>
  <c r="BU224" i="14"/>
  <c r="BU225" i="14"/>
  <c r="BU226" i="14"/>
  <c r="BU227" i="14"/>
  <c r="BT2" i="14"/>
  <c r="BT3" i="14"/>
  <c r="BT4" i="14"/>
  <c r="BT5" i="14"/>
  <c r="BT6" i="14"/>
  <c r="BT7" i="14"/>
  <c r="BT8" i="14"/>
  <c r="BT9" i="14"/>
  <c r="BT10" i="14"/>
  <c r="BT11" i="14"/>
  <c r="BT12" i="14"/>
  <c r="BT13" i="14"/>
  <c r="BT14" i="14"/>
  <c r="BT15" i="14"/>
  <c r="BT16" i="14"/>
  <c r="BT17" i="14"/>
  <c r="BT18" i="14"/>
  <c r="BT19" i="14"/>
  <c r="BT20" i="14"/>
  <c r="BT21" i="14"/>
  <c r="BT22" i="14"/>
  <c r="BT23" i="14"/>
  <c r="BT24" i="14"/>
  <c r="BT25" i="14"/>
  <c r="BT26" i="14"/>
  <c r="BT27" i="14"/>
  <c r="BT28" i="14"/>
  <c r="BT29" i="14"/>
  <c r="BT30" i="14"/>
  <c r="BT31" i="14"/>
  <c r="BT32" i="14"/>
  <c r="BT33" i="14"/>
  <c r="BT34" i="14"/>
  <c r="BT35" i="14"/>
  <c r="BT36" i="14"/>
  <c r="BT37" i="14"/>
  <c r="BT38" i="14"/>
  <c r="BT39" i="14"/>
  <c r="BT40" i="14"/>
  <c r="BT41" i="14"/>
  <c r="BT42" i="14"/>
  <c r="BT43" i="14"/>
  <c r="BT44" i="14"/>
  <c r="BT45" i="14"/>
  <c r="BT46" i="14"/>
  <c r="BT47" i="14"/>
  <c r="BT48" i="14"/>
  <c r="BT49" i="14"/>
  <c r="BT50" i="14"/>
  <c r="BT51" i="14"/>
  <c r="BT52" i="14"/>
  <c r="BT53" i="14"/>
  <c r="BT54" i="14"/>
  <c r="BT55" i="14"/>
  <c r="BT56" i="14"/>
  <c r="BT57" i="14"/>
  <c r="BT58" i="14"/>
  <c r="BT59" i="14"/>
  <c r="BT60" i="14"/>
  <c r="BT61" i="14"/>
  <c r="BT62" i="14"/>
  <c r="BT63" i="14"/>
  <c r="BT64" i="14"/>
  <c r="BT65" i="14"/>
  <c r="BT66" i="14"/>
  <c r="BT67" i="14"/>
  <c r="BT68" i="14"/>
  <c r="BT69" i="14"/>
  <c r="BT70" i="14"/>
  <c r="BT71" i="14"/>
  <c r="BT72" i="14"/>
  <c r="BT73" i="14"/>
  <c r="BT74" i="14"/>
  <c r="BT75" i="14"/>
  <c r="BT76" i="14"/>
  <c r="BT77" i="14"/>
  <c r="BT78" i="14"/>
  <c r="BT79" i="14"/>
  <c r="BT80" i="14"/>
  <c r="BT81" i="14"/>
  <c r="BT82" i="14"/>
  <c r="BT83" i="14"/>
  <c r="BT84" i="14"/>
  <c r="BT85" i="14"/>
  <c r="BT86" i="14"/>
  <c r="BT87" i="14"/>
  <c r="BT88" i="14"/>
  <c r="BT89" i="14"/>
  <c r="BT90" i="14"/>
  <c r="BT91" i="14"/>
  <c r="BT92" i="14"/>
  <c r="BT93" i="14"/>
  <c r="BT94" i="14"/>
  <c r="BT95" i="14"/>
  <c r="BT96" i="14"/>
  <c r="BT97" i="14"/>
  <c r="BT98" i="14"/>
  <c r="BT99" i="14"/>
  <c r="BT100" i="14"/>
  <c r="BT101" i="14"/>
  <c r="BT102" i="14"/>
  <c r="BT103" i="14"/>
  <c r="BT104" i="14"/>
  <c r="BT105" i="14"/>
  <c r="BT106" i="14"/>
  <c r="BT107" i="14"/>
  <c r="BT108" i="14"/>
  <c r="BT109" i="14"/>
  <c r="BT110" i="14"/>
  <c r="BT111" i="14"/>
  <c r="BT112" i="14"/>
  <c r="BT113" i="14"/>
  <c r="BT114" i="14"/>
  <c r="BT115" i="14"/>
  <c r="BT116" i="14"/>
  <c r="BT117" i="14"/>
  <c r="BT118" i="14"/>
  <c r="BT119" i="14"/>
  <c r="BT120" i="14"/>
  <c r="BT121" i="14"/>
  <c r="BT122" i="14"/>
  <c r="BT123" i="14"/>
  <c r="BT124" i="14"/>
  <c r="BT125" i="14"/>
  <c r="BT126" i="14"/>
  <c r="BT127" i="14"/>
  <c r="BT128" i="14"/>
  <c r="BT129" i="14"/>
  <c r="BT130" i="14"/>
  <c r="BT131" i="14"/>
  <c r="BT132" i="14"/>
  <c r="BT133" i="14"/>
  <c r="BT134" i="14"/>
  <c r="BT135" i="14"/>
  <c r="BT136" i="14"/>
  <c r="BT137" i="14"/>
  <c r="BT138" i="14"/>
  <c r="BT139" i="14"/>
  <c r="BT140" i="14"/>
  <c r="BT141" i="14"/>
  <c r="BT142" i="14"/>
  <c r="BT143" i="14"/>
  <c r="BT144" i="14"/>
  <c r="BT145" i="14"/>
  <c r="BT146" i="14"/>
  <c r="BT147" i="14"/>
  <c r="BT148" i="14"/>
  <c r="BT149" i="14"/>
  <c r="BT150" i="14"/>
  <c r="BT151" i="14"/>
  <c r="BT152" i="14"/>
  <c r="BT153" i="14"/>
  <c r="BT154" i="14"/>
  <c r="BT155" i="14"/>
  <c r="BT156" i="14"/>
  <c r="BT157" i="14"/>
  <c r="BT158" i="14"/>
  <c r="BT159" i="14"/>
  <c r="BT160" i="14"/>
  <c r="BT161" i="14"/>
  <c r="BT162" i="14"/>
  <c r="BT163" i="14"/>
  <c r="BT164" i="14"/>
  <c r="BT165" i="14"/>
  <c r="BT166" i="14"/>
  <c r="BT167" i="14"/>
  <c r="BT168" i="14"/>
  <c r="BT169" i="14"/>
  <c r="BT170" i="14"/>
  <c r="BT171" i="14"/>
  <c r="BT172" i="14"/>
  <c r="BT173" i="14"/>
  <c r="BT174" i="14"/>
  <c r="BT175" i="14"/>
  <c r="BT176" i="14"/>
  <c r="BT177" i="14"/>
  <c r="BT178" i="14"/>
  <c r="BT179" i="14"/>
  <c r="BT180" i="14"/>
  <c r="BT181" i="14"/>
  <c r="BT182" i="14"/>
  <c r="BT183" i="14"/>
  <c r="BT184" i="14"/>
  <c r="BT185" i="14"/>
  <c r="BT186" i="14"/>
  <c r="BT187" i="14"/>
  <c r="BT188" i="14"/>
  <c r="BT189" i="14"/>
  <c r="BT190" i="14"/>
  <c r="BT191" i="14"/>
  <c r="BT192" i="14"/>
  <c r="BT193" i="14"/>
  <c r="BT194" i="14"/>
  <c r="BT195" i="14"/>
  <c r="BT196" i="14"/>
  <c r="BT197" i="14"/>
  <c r="BT198" i="14"/>
  <c r="BT199" i="14"/>
  <c r="BT200" i="14"/>
  <c r="BT201" i="14"/>
  <c r="BT202" i="14"/>
  <c r="BT203" i="14"/>
  <c r="BT204" i="14"/>
  <c r="BT205" i="14"/>
  <c r="BT206" i="14"/>
  <c r="BT207" i="14"/>
  <c r="BT208" i="14"/>
  <c r="BT209" i="14"/>
  <c r="BT210" i="14"/>
  <c r="BT211" i="14"/>
  <c r="BT212" i="14"/>
  <c r="BT213" i="14"/>
  <c r="BT214" i="14"/>
  <c r="BT215" i="14"/>
  <c r="BT216" i="14"/>
  <c r="BT217" i="14"/>
  <c r="BT218" i="14"/>
  <c r="BT219" i="14"/>
  <c r="BT220" i="14"/>
  <c r="BT221" i="14"/>
  <c r="BT222" i="14"/>
  <c r="BT223" i="14"/>
  <c r="BT224" i="14"/>
  <c r="BT225" i="14"/>
  <c r="BT226" i="14"/>
  <c r="BT227" i="14"/>
  <c r="BS2" i="14"/>
  <c r="BS3" i="14"/>
  <c r="BS4" i="14"/>
  <c r="BS5" i="14"/>
  <c r="BS6" i="14"/>
  <c r="BS7" i="14"/>
  <c r="BS8" i="14"/>
  <c r="BS9" i="14"/>
  <c r="BS10" i="14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7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5" i="14"/>
  <c r="BS46" i="14"/>
  <c r="BS47" i="14"/>
  <c r="BS48" i="14"/>
  <c r="BS49" i="14"/>
  <c r="BS50" i="14"/>
  <c r="BS51" i="14"/>
  <c r="BS52" i="14"/>
  <c r="BS53" i="14"/>
  <c r="BS54" i="14"/>
  <c r="BS55" i="14"/>
  <c r="BS56" i="14"/>
  <c r="BS57" i="14"/>
  <c r="BS58" i="14"/>
  <c r="BS59" i="14"/>
  <c r="BS60" i="14"/>
  <c r="BS61" i="14"/>
  <c r="BS62" i="14"/>
  <c r="BS63" i="14"/>
  <c r="BS64" i="14"/>
  <c r="BS65" i="14"/>
  <c r="BS66" i="14"/>
  <c r="BS67" i="14"/>
  <c r="BS68" i="14"/>
  <c r="BS69" i="14"/>
  <c r="BS70" i="14"/>
  <c r="BS71" i="14"/>
  <c r="BS72" i="14"/>
  <c r="BS73" i="14"/>
  <c r="BS74" i="14"/>
  <c r="BS75" i="14"/>
  <c r="BS76" i="14"/>
  <c r="BS77" i="14"/>
  <c r="BS78" i="14"/>
  <c r="BS79" i="14"/>
  <c r="BS80" i="14"/>
  <c r="BS81" i="14"/>
  <c r="BS82" i="14"/>
  <c r="BS83" i="14"/>
  <c r="BS84" i="14"/>
  <c r="BS85" i="14"/>
  <c r="BS86" i="14"/>
  <c r="BS87" i="14"/>
  <c r="BS88" i="14"/>
  <c r="BS89" i="14"/>
  <c r="BS90" i="14"/>
  <c r="BS91" i="14"/>
  <c r="BS92" i="14"/>
  <c r="BS93" i="14"/>
  <c r="BS94" i="14"/>
  <c r="BS95" i="14"/>
  <c r="BS96" i="14"/>
  <c r="BS97" i="14"/>
  <c r="BS98" i="14"/>
  <c r="BS99" i="14"/>
  <c r="BS100" i="14"/>
  <c r="BS101" i="14"/>
  <c r="BS102" i="14"/>
  <c r="BS103" i="14"/>
  <c r="BS104" i="14"/>
  <c r="BS105" i="14"/>
  <c r="BS106" i="14"/>
  <c r="BS107" i="14"/>
  <c r="BS108" i="14"/>
  <c r="BS109" i="14"/>
  <c r="BS110" i="14"/>
  <c r="BS111" i="14"/>
  <c r="BS112" i="14"/>
  <c r="BS113" i="14"/>
  <c r="BS114" i="14"/>
  <c r="BS115" i="14"/>
  <c r="BS116" i="14"/>
  <c r="BS117" i="14"/>
  <c r="BS118" i="14"/>
  <c r="BS119" i="14"/>
  <c r="BS120" i="14"/>
  <c r="BS121" i="14"/>
  <c r="BS122" i="14"/>
  <c r="BS123" i="14"/>
  <c r="BS124" i="14"/>
  <c r="BS125" i="14"/>
  <c r="BS126" i="14"/>
  <c r="BS127" i="14"/>
  <c r="BS128" i="14"/>
  <c r="BS129" i="14"/>
  <c r="BS130" i="14"/>
  <c r="BS131" i="14"/>
  <c r="BS132" i="14"/>
  <c r="BS133" i="14"/>
  <c r="BS134" i="14"/>
  <c r="BS135" i="14"/>
  <c r="BS136" i="14"/>
  <c r="BS137" i="14"/>
  <c r="BS138" i="14"/>
  <c r="BS139" i="14"/>
  <c r="BS140" i="14"/>
  <c r="BS141" i="14"/>
  <c r="BS142" i="14"/>
  <c r="BS143" i="14"/>
  <c r="BS144" i="14"/>
  <c r="BS145" i="14"/>
  <c r="BS146" i="14"/>
  <c r="BS147" i="14"/>
  <c r="BS148" i="14"/>
  <c r="BS149" i="14"/>
  <c r="BS150" i="14"/>
  <c r="BS151" i="14"/>
  <c r="BS152" i="14"/>
  <c r="BS153" i="14"/>
  <c r="BS154" i="14"/>
  <c r="BS155" i="14"/>
  <c r="BS156" i="14"/>
  <c r="BS157" i="14"/>
  <c r="BS158" i="14"/>
  <c r="BS159" i="14"/>
  <c r="BS160" i="14"/>
  <c r="BS161" i="14"/>
  <c r="BS162" i="14"/>
  <c r="BS163" i="14"/>
  <c r="BS164" i="14"/>
  <c r="BS165" i="14"/>
  <c r="BS166" i="14"/>
  <c r="BS167" i="14"/>
  <c r="BS168" i="14"/>
  <c r="BS169" i="14"/>
  <c r="BS170" i="14"/>
  <c r="BS171" i="14"/>
  <c r="BS172" i="14"/>
  <c r="BS173" i="14"/>
  <c r="BS174" i="14"/>
  <c r="BS175" i="14"/>
  <c r="BS176" i="14"/>
  <c r="BS177" i="14"/>
  <c r="BS178" i="14"/>
  <c r="BS179" i="14"/>
  <c r="BS180" i="14"/>
  <c r="BS181" i="14"/>
  <c r="BS182" i="14"/>
  <c r="BS183" i="14"/>
  <c r="BS184" i="14"/>
  <c r="BS185" i="14"/>
  <c r="BS186" i="14"/>
  <c r="BS187" i="14"/>
  <c r="BS188" i="14"/>
  <c r="BS189" i="14"/>
  <c r="BS190" i="14"/>
  <c r="BS191" i="14"/>
  <c r="BS192" i="14"/>
  <c r="BS193" i="14"/>
  <c r="BS194" i="14"/>
  <c r="BS195" i="14"/>
  <c r="BS196" i="14"/>
  <c r="BS197" i="14"/>
  <c r="BS198" i="14"/>
  <c r="BS199" i="14"/>
  <c r="BS200" i="14"/>
  <c r="BS201" i="14"/>
  <c r="BS202" i="14"/>
  <c r="BS203" i="14"/>
  <c r="BS204" i="14"/>
  <c r="BS205" i="14"/>
  <c r="BS206" i="14"/>
  <c r="BS207" i="14"/>
  <c r="BS208" i="14"/>
  <c r="BS209" i="14"/>
  <c r="BS210" i="14"/>
  <c r="BS211" i="14"/>
  <c r="BS212" i="14"/>
  <c r="BS213" i="14"/>
  <c r="BS214" i="14"/>
  <c r="BS215" i="14"/>
  <c r="BS216" i="14"/>
  <c r="BS217" i="14"/>
  <c r="BS218" i="14"/>
  <c r="BS219" i="14"/>
  <c r="BS220" i="14"/>
  <c r="BS221" i="14"/>
  <c r="BS222" i="14"/>
  <c r="BS223" i="14"/>
  <c r="BS224" i="14"/>
  <c r="BS225" i="14"/>
  <c r="BS226" i="14"/>
  <c r="BS227" i="14"/>
  <c r="BR2" i="14"/>
  <c r="BR3" i="14"/>
  <c r="BR4" i="14"/>
  <c r="BR5" i="14"/>
  <c r="BR6" i="14"/>
  <c r="BR7" i="14"/>
  <c r="BR8" i="14"/>
  <c r="BR9" i="14"/>
  <c r="BR10" i="14"/>
  <c r="BR11" i="14"/>
  <c r="BR12" i="14"/>
  <c r="BR13" i="14"/>
  <c r="BR14" i="14"/>
  <c r="BR15" i="14"/>
  <c r="BR16" i="14"/>
  <c r="BR17" i="14"/>
  <c r="BR18" i="14"/>
  <c r="BR19" i="14"/>
  <c r="BR20" i="14"/>
  <c r="BR21" i="14"/>
  <c r="BR22" i="14"/>
  <c r="BR23" i="14"/>
  <c r="BR24" i="14"/>
  <c r="BR25" i="14"/>
  <c r="BR26" i="14"/>
  <c r="BR27" i="14"/>
  <c r="BR28" i="14"/>
  <c r="BR29" i="14"/>
  <c r="BR30" i="14"/>
  <c r="BR31" i="14"/>
  <c r="BR32" i="14"/>
  <c r="BR33" i="14"/>
  <c r="BR34" i="14"/>
  <c r="BR35" i="14"/>
  <c r="BR36" i="14"/>
  <c r="BR37" i="14"/>
  <c r="BR38" i="14"/>
  <c r="BR39" i="14"/>
  <c r="BR40" i="14"/>
  <c r="BR41" i="14"/>
  <c r="BR42" i="14"/>
  <c r="BR43" i="14"/>
  <c r="BR44" i="14"/>
  <c r="BR45" i="14"/>
  <c r="BR46" i="14"/>
  <c r="BR47" i="14"/>
  <c r="BR48" i="14"/>
  <c r="BR49" i="14"/>
  <c r="BR50" i="14"/>
  <c r="BR51" i="14"/>
  <c r="BR52" i="14"/>
  <c r="BR53" i="14"/>
  <c r="BR54" i="14"/>
  <c r="BR55" i="14"/>
  <c r="BR56" i="14"/>
  <c r="BR57" i="14"/>
  <c r="BR58" i="14"/>
  <c r="BR59" i="14"/>
  <c r="BR60" i="14"/>
  <c r="BR61" i="14"/>
  <c r="BR62" i="14"/>
  <c r="BR63" i="14"/>
  <c r="BR64" i="14"/>
  <c r="BR65" i="14"/>
  <c r="BR66" i="14"/>
  <c r="BR67" i="14"/>
  <c r="BR68" i="14"/>
  <c r="BR69" i="14"/>
  <c r="BR70" i="14"/>
  <c r="BR71" i="14"/>
  <c r="BR72" i="14"/>
  <c r="BR73" i="14"/>
  <c r="BR74" i="14"/>
  <c r="BR75" i="14"/>
  <c r="BR76" i="14"/>
  <c r="BR77" i="14"/>
  <c r="BR78" i="14"/>
  <c r="BR79" i="14"/>
  <c r="BR80" i="14"/>
  <c r="BR81" i="14"/>
  <c r="BR82" i="14"/>
  <c r="BR83" i="14"/>
  <c r="BR84" i="14"/>
  <c r="BR85" i="14"/>
  <c r="BR86" i="14"/>
  <c r="BR87" i="14"/>
  <c r="BR88" i="14"/>
  <c r="BR89" i="14"/>
  <c r="BR90" i="14"/>
  <c r="BR91" i="14"/>
  <c r="BR92" i="14"/>
  <c r="BR93" i="14"/>
  <c r="BR94" i="14"/>
  <c r="BR95" i="14"/>
  <c r="BR96" i="14"/>
  <c r="BR97" i="14"/>
  <c r="BR98" i="14"/>
  <c r="BR99" i="14"/>
  <c r="BR100" i="14"/>
  <c r="BR101" i="14"/>
  <c r="BR102" i="14"/>
  <c r="BR103" i="14"/>
  <c r="BR104" i="14"/>
  <c r="BR105" i="14"/>
  <c r="BR106" i="14"/>
  <c r="BR107" i="14"/>
  <c r="BR108" i="14"/>
  <c r="BR109" i="14"/>
  <c r="BR110" i="14"/>
  <c r="BR111" i="14"/>
  <c r="BR112" i="14"/>
  <c r="BR113" i="14"/>
  <c r="BR114" i="14"/>
  <c r="BR115" i="14"/>
  <c r="BR116" i="14"/>
  <c r="BR117" i="14"/>
  <c r="BR118" i="14"/>
  <c r="BR119" i="14"/>
  <c r="BR120" i="14"/>
  <c r="BR121" i="14"/>
  <c r="BR122" i="14"/>
  <c r="BR123" i="14"/>
  <c r="BR124" i="14"/>
  <c r="BR125" i="14"/>
  <c r="BR126" i="14"/>
  <c r="BR127" i="14"/>
  <c r="BR128" i="14"/>
  <c r="BR129" i="14"/>
  <c r="BR130" i="14"/>
  <c r="BR131" i="14"/>
  <c r="BR132" i="14"/>
  <c r="BR133" i="14"/>
  <c r="BR134" i="14"/>
  <c r="BR135" i="14"/>
  <c r="BR136" i="14"/>
  <c r="BR137" i="14"/>
  <c r="BR138" i="14"/>
  <c r="BR139" i="14"/>
  <c r="BR140" i="14"/>
  <c r="BR141" i="14"/>
  <c r="BR142" i="14"/>
  <c r="BR143" i="14"/>
  <c r="BR144" i="14"/>
  <c r="BR145" i="14"/>
  <c r="BR146" i="14"/>
  <c r="BR147" i="14"/>
  <c r="BR148" i="14"/>
  <c r="BR149" i="14"/>
  <c r="BR150" i="14"/>
  <c r="BR151" i="14"/>
  <c r="BR152" i="14"/>
  <c r="BR153" i="14"/>
  <c r="BR154" i="14"/>
  <c r="BR155" i="14"/>
  <c r="BR156" i="14"/>
  <c r="BR157" i="14"/>
  <c r="BR158" i="14"/>
  <c r="BR159" i="14"/>
  <c r="BR160" i="14"/>
  <c r="BR161" i="14"/>
  <c r="BR162" i="14"/>
  <c r="BR163" i="14"/>
  <c r="BR164" i="14"/>
  <c r="BR165" i="14"/>
  <c r="BR166" i="14"/>
  <c r="BR167" i="14"/>
  <c r="BR168" i="14"/>
  <c r="BR169" i="14"/>
  <c r="BR170" i="14"/>
  <c r="BR171" i="14"/>
  <c r="BR172" i="14"/>
  <c r="BR173" i="14"/>
  <c r="BR174" i="14"/>
  <c r="BR175" i="14"/>
  <c r="BR176" i="14"/>
  <c r="BR177" i="14"/>
  <c r="BR178" i="14"/>
  <c r="BR179" i="14"/>
  <c r="BR180" i="14"/>
  <c r="BR181" i="14"/>
  <c r="BR182" i="14"/>
  <c r="BR183" i="14"/>
  <c r="BR184" i="14"/>
  <c r="BR185" i="14"/>
  <c r="BR186" i="14"/>
  <c r="BR187" i="14"/>
  <c r="BR188" i="14"/>
  <c r="BR189" i="14"/>
  <c r="BR190" i="14"/>
  <c r="BR191" i="14"/>
  <c r="BR192" i="14"/>
  <c r="BR193" i="14"/>
  <c r="BR194" i="14"/>
  <c r="BR195" i="14"/>
  <c r="BR196" i="14"/>
  <c r="BR197" i="14"/>
  <c r="BR198" i="14"/>
  <c r="BR199" i="14"/>
  <c r="BR200" i="14"/>
  <c r="BR201" i="14"/>
  <c r="BR202" i="14"/>
  <c r="BR203" i="14"/>
  <c r="BR204" i="14"/>
  <c r="BR205" i="14"/>
  <c r="BR206" i="14"/>
  <c r="BR207" i="14"/>
  <c r="BR208" i="14"/>
  <c r="BR209" i="14"/>
  <c r="BR210" i="14"/>
  <c r="BR211" i="14"/>
  <c r="BR212" i="14"/>
  <c r="BR213" i="14"/>
  <c r="BR214" i="14"/>
  <c r="BR215" i="14"/>
  <c r="BR216" i="14"/>
  <c r="BR217" i="14"/>
  <c r="BR218" i="14"/>
  <c r="BR219" i="14"/>
  <c r="BR220" i="14"/>
  <c r="BR221" i="14"/>
  <c r="BR222" i="14"/>
  <c r="BR223" i="14"/>
  <c r="BR224" i="14"/>
  <c r="BR225" i="14"/>
  <c r="BR226" i="14"/>
  <c r="BR227" i="14"/>
  <c r="BQ2" i="14"/>
  <c r="BQ3" i="14"/>
  <c r="BQ4" i="14"/>
  <c r="BQ5" i="14"/>
  <c r="BQ6" i="14"/>
  <c r="BQ7" i="14"/>
  <c r="BQ8" i="14"/>
  <c r="BQ9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5" i="14"/>
  <c r="BQ46" i="14"/>
  <c r="BQ47" i="14"/>
  <c r="BQ48" i="14"/>
  <c r="BQ49" i="14"/>
  <c r="BQ50" i="14"/>
  <c r="BQ51" i="14"/>
  <c r="BQ52" i="14"/>
  <c r="BQ53" i="14"/>
  <c r="BQ54" i="14"/>
  <c r="BQ55" i="14"/>
  <c r="BQ56" i="14"/>
  <c r="BQ57" i="14"/>
  <c r="BQ58" i="14"/>
  <c r="BQ59" i="14"/>
  <c r="BQ60" i="14"/>
  <c r="BQ61" i="14"/>
  <c r="BQ62" i="14"/>
  <c r="BQ63" i="14"/>
  <c r="BQ64" i="14"/>
  <c r="BQ65" i="14"/>
  <c r="BQ66" i="14"/>
  <c r="BQ67" i="14"/>
  <c r="BQ68" i="14"/>
  <c r="BQ69" i="14"/>
  <c r="BQ70" i="14"/>
  <c r="BQ71" i="14"/>
  <c r="BQ72" i="14"/>
  <c r="BQ73" i="14"/>
  <c r="BQ74" i="14"/>
  <c r="BQ75" i="14"/>
  <c r="BQ76" i="14"/>
  <c r="BQ77" i="14"/>
  <c r="BQ78" i="14"/>
  <c r="BQ79" i="14"/>
  <c r="BQ80" i="14"/>
  <c r="BQ81" i="14"/>
  <c r="BQ82" i="14"/>
  <c r="BQ83" i="14"/>
  <c r="BQ84" i="14"/>
  <c r="BQ85" i="14"/>
  <c r="BQ86" i="14"/>
  <c r="BQ87" i="14"/>
  <c r="BQ88" i="14"/>
  <c r="BQ89" i="14"/>
  <c r="BQ90" i="14"/>
  <c r="BQ91" i="14"/>
  <c r="BQ92" i="14"/>
  <c r="BQ93" i="14"/>
  <c r="BQ94" i="14"/>
  <c r="BQ95" i="14"/>
  <c r="BQ96" i="14"/>
  <c r="BQ97" i="14"/>
  <c r="BQ98" i="14"/>
  <c r="BQ99" i="14"/>
  <c r="BQ100" i="14"/>
  <c r="BQ101" i="14"/>
  <c r="BQ102" i="14"/>
  <c r="BQ103" i="14"/>
  <c r="BQ104" i="14"/>
  <c r="BQ105" i="14"/>
  <c r="BQ106" i="14"/>
  <c r="BQ107" i="14"/>
  <c r="BQ108" i="14"/>
  <c r="BQ109" i="14"/>
  <c r="BQ110" i="14"/>
  <c r="BQ111" i="14"/>
  <c r="BQ112" i="14"/>
  <c r="BQ113" i="14"/>
  <c r="BQ114" i="14"/>
  <c r="BQ115" i="14"/>
  <c r="BQ116" i="14"/>
  <c r="BQ117" i="14"/>
  <c r="BQ118" i="14"/>
  <c r="BQ119" i="14"/>
  <c r="BQ120" i="14"/>
  <c r="BQ121" i="14"/>
  <c r="BQ122" i="14"/>
  <c r="BQ123" i="14"/>
  <c r="BQ124" i="14"/>
  <c r="BQ125" i="14"/>
  <c r="BQ126" i="14"/>
  <c r="BQ127" i="14"/>
  <c r="BQ128" i="14"/>
  <c r="BQ129" i="14"/>
  <c r="BQ130" i="14"/>
  <c r="BQ131" i="14"/>
  <c r="BQ132" i="14"/>
  <c r="BQ133" i="14"/>
  <c r="BQ134" i="14"/>
  <c r="BQ135" i="14"/>
  <c r="BQ136" i="14"/>
  <c r="BQ137" i="14"/>
  <c r="BQ138" i="14"/>
  <c r="BQ139" i="14"/>
  <c r="BQ140" i="14"/>
  <c r="BQ141" i="14"/>
  <c r="BQ142" i="14"/>
  <c r="BQ143" i="14"/>
  <c r="BQ144" i="14"/>
  <c r="BQ145" i="14"/>
  <c r="BQ146" i="14"/>
  <c r="BQ147" i="14"/>
  <c r="BQ148" i="14"/>
  <c r="BQ149" i="14"/>
  <c r="BQ150" i="14"/>
  <c r="BQ151" i="14"/>
  <c r="BQ152" i="14"/>
  <c r="BQ153" i="14"/>
  <c r="BQ154" i="14"/>
  <c r="BQ155" i="14"/>
  <c r="BQ156" i="14"/>
  <c r="BQ157" i="14"/>
  <c r="BQ158" i="14"/>
  <c r="BQ159" i="14"/>
  <c r="BQ160" i="14"/>
  <c r="BQ161" i="14"/>
  <c r="BQ162" i="14"/>
  <c r="BQ163" i="14"/>
  <c r="BQ164" i="14"/>
  <c r="BQ165" i="14"/>
  <c r="BQ166" i="14"/>
  <c r="BQ167" i="14"/>
  <c r="BQ168" i="14"/>
  <c r="BQ169" i="14"/>
  <c r="BQ170" i="14"/>
  <c r="BQ171" i="14"/>
  <c r="BQ172" i="14"/>
  <c r="BQ173" i="14"/>
  <c r="BQ174" i="14"/>
  <c r="BQ175" i="14"/>
  <c r="BQ176" i="14"/>
  <c r="BQ177" i="14"/>
  <c r="BQ178" i="14"/>
  <c r="BQ179" i="14"/>
  <c r="BQ180" i="14"/>
  <c r="BQ181" i="14"/>
  <c r="BQ182" i="14"/>
  <c r="BQ183" i="14"/>
  <c r="BQ184" i="14"/>
  <c r="BQ185" i="14"/>
  <c r="BQ186" i="14"/>
  <c r="BQ187" i="14"/>
  <c r="BQ188" i="14"/>
  <c r="BQ189" i="14"/>
  <c r="BQ190" i="14"/>
  <c r="BQ191" i="14"/>
  <c r="BQ192" i="14"/>
  <c r="BQ193" i="14"/>
  <c r="BQ194" i="14"/>
  <c r="BQ195" i="14"/>
  <c r="BQ196" i="14"/>
  <c r="BQ197" i="14"/>
  <c r="BQ198" i="14"/>
  <c r="BQ199" i="14"/>
  <c r="BQ200" i="14"/>
  <c r="BQ201" i="14"/>
  <c r="BQ202" i="14"/>
  <c r="BQ203" i="14"/>
  <c r="BQ204" i="14"/>
  <c r="BQ205" i="14"/>
  <c r="BQ206" i="14"/>
  <c r="BQ207" i="14"/>
  <c r="BQ208" i="14"/>
  <c r="BQ209" i="14"/>
  <c r="BQ210" i="14"/>
  <c r="BQ211" i="14"/>
  <c r="BQ212" i="14"/>
  <c r="BQ213" i="14"/>
  <c r="BQ214" i="14"/>
  <c r="BQ215" i="14"/>
  <c r="BQ216" i="14"/>
  <c r="BQ217" i="14"/>
  <c r="BQ218" i="14"/>
  <c r="BQ219" i="14"/>
  <c r="BQ220" i="14"/>
  <c r="BQ221" i="14"/>
  <c r="BQ222" i="14"/>
  <c r="BQ223" i="14"/>
  <c r="BQ224" i="14"/>
  <c r="BQ225" i="14"/>
  <c r="BQ226" i="14"/>
  <c r="BQ227" i="14"/>
  <c r="BP2" i="14"/>
  <c r="BP3" i="14"/>
  <c r="BP4" i="14"/>
  <c r="BP5" i="14"/>
  <c r="BP6" i="14"/>
  <c r="BP7" i="14"/>
  <c r="BP8" i="14"/>
  <c r="BP9" i="14"/>
  <c r="BP10" i="14"/>
  <c r="BP11" i="14"/>
  <c r="BP12" i="14"/>
  <c r="BP13" i="14"/>
  <c r="BP14" i="14"/>
  <c r="BP15" i="14"/>
  <c r="BP16" i="14"/>
  <c r="BP17" i="14"/>
  <c r="BP18" i="14"/>
  <c r="BP19" i="14"/>
  <c r="BP20" i="14"/>
  <c r="BP21" i="14"/>
  <c r="BP22" i="14"/>
  <c r="BP23" i="14"/>
  <c r="BP24" i="14"/>
  <c r="BP25" i="14"/>
  <c r="BP26" i="14"/>
  <c r="BP27" i="14"/>
  <c r="BP28" i="14"/>
  <c r="BP29" i="14"/>
  <c r="BP30" i="14"/>
  <c r="BP31" i="14"/>
  <c r="BP32" i="14"/>
  <c r="BP33" i="14"/>
  <c r="BP34" i="14"/>
  <c r="BP35" i="14"/>
  <c r="BP36" i="14"/>
  <c r="BP37" i="14"/>
  <c r="BP38" i="14"/>
  <c r="BP39" i="14"/>
  <c r="BP40" i="14"/>
  <c r="BP41" i="14"/>
  <c r="BP42" i="14"/>
  <c r="BP43" i="14"/>
  <c r="BP44" i="14"/>
  <c r="BP45" i="14"/>
  <c r="BP46" i="14"/>
  <c r="BP47" i="14"/>
  <c r="BP48" i="14"/>
  <c r="BP49" i="14"/>
  <c r="BP50" i="14"/>
  <c r="BP51" i="14"/>
  <c r="BP52" i="14"/>
  <c r="BP53" i="14"/>
  <c r="BP54" i="14"/>
  <c r="BP55" i="14"/>
  <c r="BP56" i="14"/>
  <c r="BP57" i="14"/>
  <c r="BP58" i="14"/>
  <c r="BP59" i="14"/>
  <c r="BP60" i="14"/>
  <c r="BP61" i="14"/>
  <c r="BP62" i="14"/>
  <c r="BP63" i="14"/>
  <c r="BP64" i="14"/>
  <c r="BP65" i="14"/>
  <c r="BP66" i="14"/>
  <c r="BP67" i="14"/>
  <c r="BP68" i="14"/>
  <c r="BP69" i="14"/>
  <c r="BP70" i="14"/>
  <c r="BP71" i="14"/>
  <c r="BP72" i="14"/>
  <c r="BP73" i="14"/>
  <c r="BP74" i="14"/>
  <c r="BP75" i="14"/>
  <c r="BP76" i="14"/>
  <c r="BP77" i="14"/>
  <c r="BP78" i="14"/>
  <c r="BP79" i="14"/>
  <c r="BP80" i="14"/>
  <c r="BP81" i="14"/>
  <c r="BP82" i="14"/>
  <c r="BP83" i="14"/>
  <c r="BP84" i="14"/>
  <c r="BP85" i="14"/>
  <c r="BP86" i="14"/>
  <c r="BP87" i="14"/>
  <c r="BP88" i="14"/>
  <c r="BP89" i="14"/>
  <c r="BP90" i="14"/>
  <c r="BP91" i="14"/>
  <c r="BP92" i="14"/>
  <c r="BP93" i="14"/>
  <c r="BP94" i="14"/>
  <c r="BP95" i="14"/>
  <c r="BP96" i="14"/>
  <c r="BP97" i="14"/>
  <c r="BP98" i="14"/>
  <c r="BP99" i="14"/>
  <c r="BP100" i="14"/>
  <c r="BP101" i="14"/>
  <c r="BP102" i="14"/>
  <c r="BP103" i="14"/>
  <c r="BP104" i="14"/>
  <c r="BP105" i="14"/>
  <c r="BP106" i="14"/>
  <c r="BP107" i="14"/>
  <c r="BP108" i="14"/>
  <c r="BP109" i="14"/>
  <c r="BP110" i="14"/>
  <c r="BP111" i="14"/>
  <c r="BP112" i="14"/>
  <c r="BP113" i="14"/>
  <c r="BP114" i="14"/>
  <c r="BP115" i="14"/>
  <c r="BP116" i="14"/>
  <c r="BP117" i="14"/>
  <c r="BP118" i="14"/>
  <c r="BP119" i="14"/>
  <c r="BP120" i="14"/>
  <c r="BP121" i="14"/>
  <c r="BP122" i="14"/>
  <c r="BP123" i="14"/>
  <c r="BP124" i="14"/>
  <c r="BP125" i="14"/>
  <c r="BP126" i="14"/>
  <c r="BP127" i="14"/>
  <c r="BP128" i="14"/>
  <c r="BP129" i="14"/>
  <c r="BP130" i="14"/>
  <c r="BP131" i="14"/>
  <c r="BP132" i="14"/>
  <c r="BP133" i="14"/>
  <c r="BP134" i="14"/>
  <c r="BP135" i="14"/>
  <c r="BP136" i="14"/>
  <c r="BP137" i="14"/>
  <c r="BP138" i="14"/>
  <c r="BP139" i="14"/>
  <c r="BP140" i="14"/>
  <c r="BP141" i="14"/>
  <c r="BP142" i="14"/>
  <c r="BP143" i="14"/>
  <c r="BP144" i="14"/>
  <c r="BP145" i="14"/>
  <c r="BP146" i="14"/>
  <c r="BP147" i="14"/>
  <c r="BP148" i="14"/>
  <c r="BP149" i="14"/>
  <c r="BP150" i="14"/>
  <c r="BP151" i="14"/>
  <c r="BP152" i="14"/>
  <c r="BP153" i="14"/>
  <c r="BP154" i="14"/>
  <c r="BP155" i="14"/>
  <c r="BP156" i="14"/>
  <c r="BP157" i="14"/>
  <c r="BP158" i="14"/>
  <c r="BP159" i="14"/>
  <c r="BP160" i="14"/>
  <c r="BP161" i="14"/>
  <c r="BP162" i="14"/>
  <c r="BP163" i="14"/>
  <c r="BP164" i="14"/>
  <c r="BP165" i="14"/>
  <c r="BP166" i="14"/>
  <c r="BP167" i="14"/>
  <c r="BP168" i="14"/>
  <c r="BP169" i="14"/>
  <c r="BP170" i="14"/>
  <c r="BP171" i="14"/>
  <c r="BP172" i="14"/>
  <c r="BP173" i="14"/>
  <c r="BP174" i="14"/>
  <c r="BP175" i="14"/>
  <c r="BP176" i="14"/>
  <c r="BP177" i="14"/>
  <c r="BP178" i="14"/>
  <c r="BP179" i="14"/>
  <c r="BP180" i="14"/>
  <c r="BP181" i="14"/>
  <c r="BP182" i="14"/>
  <c r="BP183" i="14"/>
  <c r="BP184" i="14"/>
  <c r="BP185" i="14"/>
  <c r="BP186" i="14"/>
  <c r="BP187" i="14"/>
  <c r="BP188" i="14"/>
  <c r="BP189" i="14"/>
  <c r="BP190" i="14"/>
  <c r="BP191" i="14"/>
  <c r="BP192" i="14"/>
  <c r="BP193" i="14"/>
  <c r="BP194" i="14"/>
  <c r="BP195" i="14"/>
  <c r="BP196" i="14"/>
  <c r="BP197" i="14"/>
  <c r="BP198" i="14"/>
  <c r="BP199" i="14"/>
  <c r="BP200" i="14"/>
  <c r="BP201" i="14"/>
  <c r="BP202" i="14"/>
  <c r="BP203" i="14"/>
  <c r="BP204" i="14"/>
  <c r="BP205" i="14"/>
  <c r="BP206" i="14"/>
  <c r="BP207" i="14"/>
  <c r="BP208" i="14"/>
  <c r="BP209" i="14"/>
  <c r="BP210" i="14"/>
  <c r="BP211" i="14"/>
  <c r="BP212" i="14"/>
  <c r="BP213" i="14"/>
  <c r="BP214" i="14"/>
  <c r="BP215" i="14"/>
  <c r="BP216" i="14"/>
  <c r="BP217" i="14"/>
  <c r="BP218" i="14"/>
  <c r="BP219" i="14"/>
  <c r="BP220" i="14"/>
  <c r="BP221" i="14"/>
  <c r="BP222" i="14"/>
  <c r="BP223" i="14"/>
  <c r="BP224" i="14"/>
  <c r="BP225" i="14"/>
  <c r="BP226" i="14"/>
  <c r="BP227" i="14"/>
  <c r="BO2" i="14"/>
  <c r="BO3" i="14"/>
  <c r="BO4" i="14"/>
  <c r="BO5" i="14"/>
  <c r="BO6" i="14"/>
  <c r="BO7" i="14"/>
  <c r="BO8" i="14"/>
  <c r="BO9" i="14"/>
  <c r="BO10" i="14"/>
  <c r="BO11" i="14"/>
  <c r="BO12" i="14"/>
  <c r="BO13" i="14"/>
  <c r="BO14" i="14"/>
  <c r="BO15" i="14"/>
  <c r="BO16" i="14"/>
  <c r="BO17" i="14"/>
  <c r="BO18" i="14"/>
  <c r="BO19" i="14"/>
  <c r="BO20" i="14"/>
  <c r="BO21" i="14"/>
  <c r="BO22" i="14"/>
  <c r="BO23" i="14"/>
  <c r="BO24" i="14"/>
  <c r="BO25" i="14"/>
  <c r="BO26" i="14"/>
  <c r="BO27" i="14"/>
  <c r="BO28" i="14"/>
  <c r="BO29" i="14"/>
  <c r="BO30" i="14"/>
  <c r="BO31" i="14"/>
  <c r="BO32" i="14"/>
  <c r="BO33" i="14"/>
  <c r="BO34" i="14"/>
  <c r="BO35" i="14"/>
  <c r="BO36" i="14"/>
  <c r="BO37" i="14"/>
  <c r="BO38" i="14"/>
  <c r="BO39" i="14"/>
  <c r="BO40" i="14"/>
  <c r="BO41" i="14"/>
  <c r="BO42" i="14"/>
  <c r="BO43" i="14"/>
  <c r="BO44" i="14"/>
  <c r="BO45" i="14"/>
  <c r="BO46" i="14"/>
  <c r="BO47" i="14"/>
  <c r="BO48" i="14"/>
  <c r="BO49" i="14"/>
  <c r="BO50" i="14"/>
  <c r="BO51" i="14"/>
  <c r="BO52" i="14"/>
  <c r="BO53" i="14"/>
  <c r="BO54" i="14"/>
  <c r="BO55" i="14"/>
  <c r="BO56" i="14"/>
  <c r="BO57" i="14"/>
  <c r="BO58" i="14"/>
  <c r="BO59" i="14"/>
  <c r="BO60" i="14"/>
  <c r="BO61" i="14"/>
  <c r="BO62" i="14"/>
  <c r="BO63" i="14"/>
  <c r="BO64" i="14"/>
  <c r="BO65" i="14"/>
  <c r="BO66" i="14"/>
  <c r="BO67" i="14"/>
  <c r="BO68" i="14"/>
  <c r="BO69" i="14"/>
  <c r="BO70" i="14"/>
  <c r="BO71" i="14"/>
  <c r="BO72" i="14"/>
  <c r="BO73" i="14"/>
  <c r="BO74" i="14"/>
  <c r="BO75" i="14"/>
  <c r="BO76" i="14"/>
  <c r="BO77" i="14"/>
  <c r="BO78" i="14"/>
  <c r="BO79" i="14"/>
  <c r="BO80" i="14"/>
  <c r="BO81" i="14"/>
  <c r="BO82" i="14"/>
  <c r="BO83" i="14"/>
  <c r="BO84" i="14"/>
  <c r="BO85" i="14"/>
  <c r="BO86" i="14"/>
  <c r="BO87" i="14"/>
  <c r="BO88" i="14"/>
  <c r="BO89" i="14"/>
  <c r="BO90" i="14"/>
  <c r="BO91" i="14"/>
  <c r="BO92" i="14"/>
  <c r="BO93" i="14"/>
  <c r="BO94" i="14"/>
  <c r="BO95" i="14"/>
  <c r="BO96" i="14"/>
  <c r="BO97" i="14"/>
  <c r="BO98" i="14"/>
  <c r="BO99" i="14"/>
  <c r="BO100" i="14"/>
  <c r="BO101" i="14"/>
  <c r="BO102" i="14"/>
  <c r="BO103" i="14"/>
  <c r="BO104" i="14"/>
  <c r="BO105" i="14"/>
  <c r="BO106" i="14"/>
  <c r="BO107" i="14"/>
  <c r="BO108" i="14"/>
  <c r="BO109" i="14"/>
  <c r="BO110" i="14"/>
  <c r="BO111" i="14"/>
  <c r="BO112" i="14"/>
  <c r="BO113" i="14"/>
  <c r="BO114" i="14"/>
  <c r="BO115" i="14"/>
  <c r="BO116" i="14"/>
  <c r="BO117" i="14"/>
  <c r="BO118" i="14"/>
  <c r="BO119" i="14"/>
  <c r="BO120" i="14"/>
  <c r="BO121" i="14"/>
  <c r="BO122" i="14"/>
  <c r="BO123" i="14"/>
  <c r="BO124" i="14"/>
  <c r="BO125" i="14"/>
  <c r="BO126" i="14"/>
  <c r="BO127" i="14"/>
  <c r="BO128" i="14"/>
  <c r="BO129" i="14"/>
  <c r="BO130" i="14"/>
  <c r="BO131" i="14"/>
  <c r="BO132" i="14"/>
  <c r="BO133" i="14"/>
  <c r="BO134" i="14"/>
  <c r="BO135" i="14"/>
  <c r="BO136" i="14"/>
  <c r="BO137" i="14"/>
  <c r="BO138" i="14"/>
  <c r="BO139" i="14"/>
  <c r="BO140" i="14"/>
  <c r="BO141" i="14"/>
  <c r="BO142" i="14"/>
  <c r="BO143" i="14"/>
  <c r="BO144" i="14"/>
  <c r="BO145" i="14"/>
  <c r="BO146" i="14"/>
  <c r="BO147" i="14"/>
  <c r="BO148" i="14"/>
  <c r="BO149" i="14"/>
  <c r="BO150" i="14"/>
  <c r="BO151" i="14"/>
  <c r="BO152" i="14"/>
  <c r="BO153" i="14"/>
  <c r="BO154" i="14"/>
  <c r="BO155" i="14"/>
  <c r="BO156" i="14"/>
  <c r="BO157" i="14"/>
  <c r="BO158" i="14"/>
  <c r="BO159" i="14"/>
  <c r="BO160" i="14"/>
  <c r="BO161" i="14"/>
  <c r="BO162" i="14"/>
  <c r="BO163" i="14"/>
  <c r="BO164" i="14"/>
  <c r="BO165" i="14"/>
  <c r="BO166" i="14"/>
  <c r="BO167" i="14"/>
  <c r="BO168" i="14"/>
  <c r="BO169" i="14"/>
  <c r="BO170" i="14"/>
  <c r="BO171" i="14"/>
  <c r="BO172" i="14"/>
  <c r="BO173" i="14"/>
  <c r="BO174" i="14"/>
  <c r="BO175" i="14"/>
  <c r="BO176" i="14"/>
  <c r="BO177" i="14"/>
  <c r="BO178" i="14"/>
  <c r="BO179" i="14"/>
  <c r="BO180" i="14"/>
  <c r="BO181" i="14"/>
  <c r="BO182" i="14"/>
  <c r="BO183" i="14"/>
  <c r="BO184" i="14"/>
  <c r="BO185" i="14"/>
  <c r="BO186" i="14"/>
  <c r="BO187" i="14"/>
  <c r="BO188" i="14"/>
  <c r="BO189" i="14"/>
  <c r="BO190" i="14"/>
  <c r="BO191" i="14"/>
  <c r="BO192" i="14"/>
  <c r="BO193" i="14"/>
  <c r="BO194" i="14"/>
  <c r="BO195" i="14"/>
  <c r="BO196" i="14"/>
  <c r="BO197" i="14"/>
  <c r="BO198" i="14"/>
  <c r="BO199" i="14"/>
  <c r="BO200" i="14"/>
  <c r="BO201" i="14"/>
  <c r="BO202" i="14"/>
  <c r="BO203" i="14"/>
  <c r="BO204" i="14"/>
  <c r="BO205" i="14"/>
  <c r="BO206" i="14"/>
  <c r="BO207" i="14"/>
  <c r="BO208" i="14"/>
  <c r="BO209" i="14"/>
  <c r="BO210" i="14"/>
  <c r="BO211" i="14"/>
  <c r="BO212" i="14"/>
  <c r="BO213" i="14"/>
  <c r="BO214" i="14"/>
  <c r="BO215" i="14"/>
  <c r="BO216" i="14"/>
  <c r="BO217" i="14"/>
  <c r="BO218" i="14"/>
  <c r="BO219" i="14"/>
  <c r="BO220" i="14"/>
  <c r="BO221" i="14"/>
  <c r="BO222" i="14"/>
  <c r="BO223" i="14"/>
  <c r="BO224" i="14"/>
  <c r="BO225" i="14"/>
  <c r="BO226" i="14"/>
  <c r="BO227" i="14"/>
  <c r="BN2" i="14"/>
  <c r="BN3" i="14"/>
  <c r="BN4" i="14"/>
  <c r="BN5" i="14"/>
  <c r="BN6" i="14"/>
  <c r="BN7" i="14"/>
  <c r="BN8" i="14"/>
  <c r="BN9" i="14"/>
  <c r="BN10" i="14"/>
  <c r="BN11" i="14"/>
  <c r="BN12" i="14"/>
  <c r="BN13" i="14"/>
  <c r="BN14" i="14"/>
  <c r="BN15" i="14"/>
  <c r="BN16" i="14"/>
  <c r="BN17" i="14"/>
  <c r="BN18" i="14"/>
  <c r="BN19" i="14"/>
  <c r="BN20" i="14"/>
  <c r="BN21" i="14"/>
  <c r="BN22" i="14"/>
  <c r="BN23" i="14"/>
  <c r="BN24" i="14"/>
  <c r="BN25" i="14"/>
  <c r="BN26" i="14"/>
  <c r="BN27" i="14"/>
  <c r="BN28" i="14"/>
  <c r="BN29" i="14"/>
  <c r="BN30" i="14"/>
  <c r="BN31" i="14"/>
  <c r="BN32" i="14"/>
  <c r="BN33" i="14"/>
  <c r="BN34" i="14"/>
  <c r="BN35" i="14"/>
  <c r="BN36" i="14"/>
  <c r="BN37" i="14"/>
  <c r="BN38" i="14"/>
  <c r="BN39" i="14"/>
  <c r="BN40" i="14"/>
  <c r="BN41" i="14"/>
  <c r="BN42" i="14"/>
  <c r="BN43" i="14"/>
  <c r="BN44" i="14"/>
  <c r="BN45" i="14"/>
  <c r="BN46" i="14"/>
  <c r="BN47" i="14"/>
  <c r="BN48" i="14"/>
  <c r="BN49" i="14"/>
  <c r="BN50" i="14"/>
  <c r="BN51" i="14"/>
  <c r="BN52" i="14"/>
  <c r="BN53" i="14"/>
  <c r="BN54" i="14"/>
  <c r="BN55" i="14"/>
  <c r="BN56" i="14"/>
  <c r="BN57" i="14"/>
  <c r="BN58" i="14"/>
  <c r="BN59" i="14"/>
  <c r="BN60" i="14"/>
  <c r="BN61" i="14"/>
  <c r="BN62" i="14"/>
  <c r="BN63" i="14"/>
  <c r="BN64" i="14"/>
  <c r="BN65" i="14"/>
  <c r="BN66" i="14"/>
  <c r="BN67" i="14"/>
  <c r="BN68" i="14"/>
  <c r="BN69" i="14"/>
  <c r="BN70" i="14"/>
  <c r="BN71" i="14"/>
  <c r="BN72" i="14"/>
  <c r="BN73" i="14"/>
  <c r="BN74" i="14"/>
  <c r="BN75" i="14"/>
  <c r="BN76" i="14"/>
  <c r="BN77" i="14"/>
  <c r="BN78" i="14"/>
  <c r="BN79" i="14"/>
  <c r="BN80" i="14"/>
  <c r="BN81" i="14"/>
  <c r="BN82" i="14"/>
  <c r="BN83" i="14"/>
  <c r="BN84" i="14"/>
  <c r="BN85" i="14"/>
  <c r="BN86" i="14"/>
  <c r="BN87" i="14"/>
  <c r="BN88" i="14"/>
  <c r="BN89" i="14"/>
  <c r="BN90" i="14"/>
  <c r="BN91" i="14"/>
  <c r="BN92" i="14"/>
  <c r="BN93" i="14"/>
  <c r="BN94" i="14"/>
  <c r="BN95" i="14"/>
  <c r="BN96" i="14"/>
  <c r="BN97" i="14"/>
  <c r="BN98" i="14"/>
  <c r="BN99" i="14"/>
  <c r="BN100" i="14"/>
  <c r="BN101" i="14"/>
  <c r="BN102" i="14"/>
  <c r="BN103" i="14"/>
  <c r="BN104" i="14"/>
  <c r="BN105" i="14"/>
  <c r="BN106" i="14"/>
  <c r="BN107" i="14"/>
  <c r="BN108" i="14"/>
  <c r="BN109" i="14"/>
  <c r="BN110" i="14"/>
  <c r="BN111" i="14"/>
  <c r="BN112" i="14"/>
  <c r="BN113" i="14"/>
  <c r="BN114" i="14"/>
  <c r="BN115" i="14"/>
  <c r="BN116" i="14"/>
  <c r="BN117" i="14"/>
  <c r="BN118" i="14"/>
  <c r="BN119" i="14"/>
  <c r="BN120" i="14"/>
  <c r="BN121" i="14"/>
  <c r="BN122" i="14"/>
  <c r="BN123" i="14"/>
  <c r="BN124" i="14"/>
  <c r="BN125" i="14"/>
  <c r="BN126" i="14"/>
  <c r="BN127" i="14"/>
  <c r="BN128" i="14"/>
  <c r="BN129" i="14"/>
  <c r="BN130" i="14"/>
  <c r="BN131" i="14"/>
  <c r="BN132" i="14"/>
  <c r="BN133" i="14"/>
  <c r="BN134" i="14"/>
  <c r="BN135" i="14"/>
  <c r="BN136" i="14"/>
  <c r="BN137" i="14"/>
  <c r="BN138" i="14"/>
  <c r="BN139" i="14"/>
  <c r="BN140" i="14"/>
  <c r="BN141" i="14"/>
  <c r="BN142" i="14"/>
  <c r="BN143" i="14"/>
  <c r="BN144" i="14"/>
  <c r="BN145" i="14"/>
  <c r="BN146" i="14"/>
  <c r="BN147" i="14"/>
  <c r="BN148" i="14"/>
  <c r="BN149" i="14"/>
  <c r="BN150" i="14"/>
  <c r="BN151" i="14"/>
  <c r="BN152" i="14"/>
  <c r="BN153" i="14"/>
  <c r="BN154" i="14"/>
  <c r="BN155" i="14"/>
  <c r="BN156" i="14"/>
  <c r="BN157" i="14"/>
  <c r="BN158" i="14"/>
  <c r="BN159" i="14"/>
  <c r="BN160" i="14"/>
  <c r="BN161" i="14"/>
  <c r="BN162" i="14"/>
  <c r="BN163" i="14"/>
  <c r="BN164" i="14"/>
  <c r="BN165" i="14"/>
  <c r="BN166" i="14"/>
  <c r="BN167" i="14"/>
  <c r="BN168" i="14"/>
  <c r="BN169" i="14"/>
  <c r="BN170" i="14"/>
  <c r="BN171" i="14"/>
  <c r="BN172" i="14"/>
  <c r="BN173" i="14"/>
  <c r="BN174" i="14"/>
  <c r="BN175" i="14"/>
  <c r="BN176" i="14"/>
  <c r="BN177" i="14"/>
  <c r="BN178" i="14"/>
  <c r="BN179" i="14"/>
  <c r="BN180" i="14"/>
  <c r="BN181" i="14"/>
  <c r="BN182" i="14"/>
  <c r="BN183" i="14"/>
  <c r="BN184" i="14"/>
  <c r="BN185" i="14"/>
  <c r="BN186" i="14"/>
  <c r="BN187" i="14"/>
  <c r="BN188" i="14"/>
  <c r="BN189" i="14"/>
  <c r="BN190" i="14"/>
  <c r="BN191" i="14"/>
  <c r="BN192" i="14"/>
  <c r="BN193" i="14"/>
  <c r="BN194" i="14"/>
  <c r="BN195" i="14"/>
  <c r="BN196" i="14"/>
  <c r="BN197" i="14"/>
  <c r="BN198" i="14"/>
  <c r="BN199" i="14"/>
  <c r="BN200" i="14"/>
  <c r="BN201" i="14"/>
  <c r="BN202" i="14"/>
  <c r="BN203" i="14"/>
  <c r="BN204" i="14"/>
  <c r="BN205" i="14"/>
  <c r="BN206" i="14"/>
  <c r="BN207" i="14"/>
  <c r="BN208" i="14"/>
  <c r="BN209" i="14"/>
  <c r="BN210" i="14"/>
  <c r="BN211" i="14"/>
  <c r="BN212" i="14"/>
  <c r="BN213" i="14"/>
  <c r="BN214" i="14"/>
  <c r="BN215" i="14"/>
  <c r="BN216" i="14"/>
  <c r="BN217" i="14"/>
  <c r="BN218" i="14"/>
  <c r="BN219" i="14"/>
  <c r="BN220" i="14"/>
  <c r="BN221" i="14"/>
  <c r="BN222" i="14"/>
  <c r="BN223" i="14"/>
  <c r="BN224" i="14"/>
  <c r="BN225" i="14"/>
  <c r="BN226" i="14"/>
  <c r="BN227" i="14"/>
  <c r="BM2" i="14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1" i="14"/>
  <c r="BM52" i="14"/>
  <c r="BM53" i="14"/>
  <c r="BM54" i="14"/>
  <c r="BM55" i="14"/>
  <c r="BM56" i="14"/>
  <c r="BM57" i="14"/>
  <c r="BM58" i="14"/>
  <c r="BM59" i="14"/>
  <c r="BM60" i="14"/>
  <c r="BM61" i="14"/>
  <c r="BM62" i="14"/>
  <c r="BM63" i="14"/>
  <c r="BM64" i="14"/>
  <c r="BM65" i="14"/>
  <c r="BM66" i="14"/>
  <c r="BM67" i="14"/>
  <c r="BM68" i="14"/>
  <c r="BM69" i="14"/>
  <c r="BM70" i="14"/>
  <c r="BM71" i="14"/>
  <c r="BM72" i="14"/>
  <c r="BM73" i="14"/>
  <c r="BM74" i="14"/>
  <c r="BM75" i="14"/>
  <c r="BM76" i="14"/>
  <c r="BM77" i="14"/>
  <c r="BM78" i="14"/>
  <c r="BM79" i="14"/>
  <c r="BM80" i="14"/>
  <c r="BM81" i="14"/>
  <c r="BM82" i="14"/>
  <c r="BM83" i="14"/>
  <c r="BM84" i="14"/>
  <c r="BM85" i="14"/>
  <c r="BM86" i="14"/>
  <c r="BM87" i="14"/>
  <c r="BM88" i="14"/>
  <c r="BM89" i="14"/>
  <c r="BM90" i="14"/>
  <c r="BM91" i="14"/>
  <c r="BM92" i="14"/>
  <c r="BM93" i="14"/>
  <c r="BM94" i="14"/>
  <c r="BM95" i="14"/>
  <c r="BM96" i="14"/>
  <c r="BM97" i="14"/>
  <c r="BM98" i="14"/>
  <c r="BM99" i="14"/>
  <c r="BM100" i="14"/>
  <c r="BM101" i="14"/>
  <c r="BM102" i="14"/>
  <c r="BM103" i="14"/>
  <c r="BM104" i="14"/>
  <c r="BM105" i="14"/>
  <c r="BM106" i="14"/>
  <c r="BM107" i="14"/>
  <c r="BM108" i="14"/>
  <c r="BM109" i="14"/>
  <c r="BM110" i="14"/>
  <c r="BM111" i="14"/>
  <c r="BM112" i="14"/>
  <c r="BM113" i="14"/>
  <c r="BM114" i="14"/>
  <c r="BM115" i="14"/>
  <c r="BM116" i="14"/>
  <c r="BM117" i="14"/>
  <c r="BM118" i="14"/>
  <c r="BM119" i="14"/>
  <c r="BM120" i="14"/>
  <c r="BM121" i="14"/>
  <c r="BM122" i="14"/>
  <c r="BM123" i="14"/>
  <c r="BM124" i="14"/>
  <c r="BM125" i="14"/>
  <c r="BM126" i="14"/>
  <c r="BM127" i="14"/>
  <c r="BM128" i="14"/>
  <c r="BM129" i="14"/>
  <c r="BM130" i="14"/>
  <c r="BM131" i="14"/>
  <c r="BM132" i="14"/>
  <c r="BM133" i="14"/>
  <c r="BM134" i="14"/>
  <c r="BM135" i="14"/>
  <c r="BM136" i="14"/>
  <c r="BM137" i="14"/>
  <c r="BM138" i="14"/>
  <c r="BM139" i="14"/>
  <c r="BM140" i="14"/>
  <c r="BM141" i="14"/>
  <c r="BM142" i="14"/>
  <c r="BM143" i="14"/>
  <c r="BM144" i="14"/>
  <c r="BM145" i="14"/>
  <c r="BM146" i="14"/>
  <c r="BM147" i="14"/>
  <c r="BM148" i="14"/>
  <c r="BM149" i="14"/>
  <c r="BM150" i="14"/>
  <c r="BM151" i="14"/>
  <c r="BM152" i="14"/>
  <c r="BM153" i="14"/>
  <c r="BM154" i="14"/>
  <c r="BM155" i="14"/>
  <c r="BM156" i="14"/>
  <c r="BM157" i="14"/>
  <c r="BM158" i="14"/>
  <c r="BM159" i="14"/>
  <c r="BM160" i="14"/>
  <c r="BM161" i="14"/>
  <c r="BM162" i="14"/>
  <c r="BM163" i="14"/>
  <c r="BM164" i="14"/>
  <c r="BM165" i="14"/>
  <c r="BM166" i="14"/>
  <c r="BM167" i="14"/>
  <c r="BM168" i="14"/>
  <c r="BM169" i="14"/>
  <c r="BM170" i="14"/>
  <c r="BM171" i="14"/>
  <c r="BM172" i="14"/>
  <c r="BM173" i="14"/>
  <c r="BM174" i="14"/>
  <c r="BM175" i="14"/>
  <c r="BM176" i="14"/>
  <c r="BM177" i="14"/>
  <c r="BM178" i="14"/>
  <c r="BM179" i="14"/>
  <c r="BM180" i="14"/>
  <c r="BM181" i="14"/>
  <c r="BM182" i="14"/>
  <c r="BM183" i="14"/>
  <c r="BM184" i="14"/>
  <c r="BM185" i="14"/>
  <c r="BM186" i="14"/>
  <c r="BM187" i="14"/>
  <c r="BM188" i="14"/>
  <c r="BM189" i="14"/>
  <c r="BM190" i="14"/>
  <c r="BM191" i="14"/>
  <c r="BM192" i="14"/>
  <c r="BM193" i="14"/>
  <c r="BM194" i="14"/>
  <c r="BM195" i="14"/>
  <c r="BM196" i="14"/>
  <c r="BM197" i="14"/>
  <c r="BM198" i="14"/>
  <c r="BM199" i="14"/>
  <c r="BM200" i="14"/>
  <c r="BM201" i="14"/>
  <c r="BM202" i="14"/>
  <c r="BM203" i="14"/>
  <c r="BM204" i="14"/>
  <c r="BM205" i="14"/>
  <c r="BM206" i="14"/>
  <c r="BM207" i="14"/>
  <c r="BM208" i="14"/>
  <c r="BM209" i="14"/>
  <c r="BM210" i="14"/>
  <c r="BM211" i="14"/>
  <c r="BM212" i="14"/>
  <c r="BM213" i="14"/>
  <c r="BM214" i="14"/>
  <c r="BM215" i="14"/>
  <c r="BM216" i="14"/>
  <c r="BM217" i="14"/>
  <c r="BM218" i="14"/>
  <c r="BM219" i="14"/>
  <c r="BM220" i="14"/>
  <c r="BM221" i="14"/>
  <c r="BM222" i="14"/>
  <c r="BM223" i="14"/>
  <c r="BM224" i="14"/>
  <c r="BM225" i="14"/>
  <c r="BM226" i="14"/>
  <c r="BM227" i="14"/>
  <c r="BL2" i="14"/>
  <c r="BL3" i="14"/>
  <c r="BL4" i="14"/>
  <c r="BL5" i="14"/>
  <c r="BL6" i="14"/>
  <c r="BL7" i="14"/>
  <c r="BL8" i="14"/>
  <c r="BL9" i="14"/>
  <c r="BL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40" i="14"/>
  <c r="BL41" i="14"/>
  <c r="BL42" i="14"/>
  <c r="BL43" i="14"/>
  <c r="BL44" i="14"/>
  <c r="BL45" i="14"/>
  <c r="BL46" i="14"/>
  <c r="BL47" i="14"/>
  <c r="BL48" i="14"/>
  <c r="BL49" i="14"/>
  <c r="BL50" i="14"/>
  <c r="BL51" i="14"/>
  <c r="BL52" i="14"/>
  <c r="BL53" i="14"/>
  <c r="BL54" i="14"/>
  <c r="BL55" i="14"/>
  <c r="BL56" i="14"/>
  <c r="BL57" i="14"/>
  <c r="BL58" i="14"/>
  <c r="BL59" i="14"/>
  <c r="BL60" i="14"/>
  <c r="BL61" i="14"/>
  <c r="BL62" i="14"/>
  <c r="BL63" i="14"/>
  <c r="BL64" i="14"/>
  <c r="BL65" i="14"/>
  <c r="BL66" i="14"/>
  <c r="BL67" i="14"/>
  <c r="BL68" i="14"/>
  <c r="BL69" i="14"/>
  <c r="BL70" i="14"/>
  <c r="BL71" i="14"/>
  <c r="BL72" i="14"/>
  <c r="BL73" i="14"/>
  <c r="BL74" i="14"/>
  <c r="BL75" i="14"/>
  <c r="BL76" i="14"/>
  <c r="BL77" i="14"/>
  <c r="BL78" i="14"/>
  <c r="BL79" i="14"/>
  <c r="BL80" i="14"/>
  <c r="BL81" i="14"/>
  <c r="BL82" i="14"/>
  <c r="BL83" i="14"/>
  <c r="BL84" i="14"/>
  <c r="BL85" i="14"/>
  <c r="BL86" i="14"/>
  <c r="BL87" i="14"/>
  <c r="BL88" i="14"/>
  <c r="BL89" i="14"/>
  <c r="BL90" i="14"/>
  <c r="BL91" i="14"/>
  <c r="BL92" i="14"/>
  <c r="BL93" i="14"/>
  <c r="BL94" i="14"/>
  <c r="BL95" i="14"/>
  <c r="BL96" i="14"/>
  <c r="BL97" i="14"/>
  <c r="BL98" i="14"/>
  <c r="BL99" i="14"/>
  <c r="BL100" i="14"/>
  <c r="BL101" i="14"/>
  <c r="BL102" i="14"/>
  <c r="BL103" i="14"/>
  <c r="BL104" i="14"/>
  <c r="BL105" i="14"/>
  <c r="BL106" i="14"/>
  <c r="BL107" i="14"/>
  <c r="BL108" i="14"/>
  <c r="BL109" i="14"/>
  <c r="BL110" i="14"/>
  <c r="BL111" i="14"/>
  <c r="BL112" i="14"/>
  <c r="BL113" i="14"/>
  <c r="BL114" i="14"/>
  <c r="BL115" i="14"/>
  <c r="BL116" i="14"/>
  <c r="BL117" i="14"/>
  <c r="BL118" i="14"/>
  <c r="BL119" i="14"/>
  <c r="BL120" i="14"/>
  <c r="BL121" i="14"/>
  <c r="BL122" i="14"/>
  <c r="BL123" i="14"/>
  <c r="BL124" i="14"/>
  <c r="BL125" i="14"/>
  <c r="BL126" i="14"/>
  <c r="BL127" i="14"/>
  <c r="BL128" i="14"/>
  <c r="BL129" i="14"/>
  <c r="BL130" i="14"/>
  <c r="BL131" i="14"/>
  <c r="BL132" i="14"/>
  <c r="BL133" i="14"/>
  <c r="BL134" i="14"/>
  <c r="BL135" i="14"/>
  <c r="BL136" i="14"/>
  <c r="BL137" i="14"/>
  <c r="BL138" i="14"/>
  <c r="BL139" i="14"/>
  <c r="BL140" i="14"/>
  <c r="BL141" i="14"/>
  <c r="BL142" i="14"/>
  <c r="BL143" i="14"/>
  <c r="BL144" i="14"/>
  <c r="BL145" i="14"/>
  <c r="BL146" i="14"/>
  <c r="BL147" i="14"/>
  <c r="BL148" i="14"/>
  <c r="BL149" i="14"/>
  <c r="BL150" i="14"/>
  <c r="BL151" i="14"/>
  <c r="BL152" i="14"/>
  <c r="BL153" i="14"/>
  <c r="BL154" i="14"/>
  <c r="BL155" i="14"/>
  <c r="BL156" i="14"/>
  <c r="BL157" i="14"/>
  <c r="BL158" i="14"/>
  <c r="BL159" i="14"/>
  <c r="BL160" i="14"/>
  <c r="BL161" i="14"/>
  <c r="BL162" i="14"/>
  <c r="BL163" i="14"/>
  <c r="BL164" i="14"/>
  <c r="BL165" i="14"/>
  <c r="BL166" i="14"/>
  <c r="BL167" i="14"/>
  <c r="BL168" i="14"/>
  <c r="BL169" i="14"/>
  <c r="BL170" i="14"/>
  <c r="BL171" i="14"/>
  <c r="BL172" i="14"/>
  <c r="BL173" i="14"/>
  <c r="BL174" i="14"/>
  <c r="BL175" i="14"/>
  <c r="BL176" i="14"/>
  <c r="BL177" i="14"/>
  <c r="BL178" i="14"/>
  <c r="BL179" i="14"/>
  <c r="BL180" i="14"/>
  <c r="BL181" i="14"/>
  <c r="BL182" i="14"/>
  <c r="BL183" i="14"/>
  <c r="BL184" i="14"/>
  <c r="BL185" i="14"/>
  <c r="BL186" i="14"/>
  <c r="BL187" i="14"/>
  <c r="BL188" i="14"/>
  <c r="BL189" i="14"/>
  <c r="BL190" i="14"/>
  <c r="BL191" i="14"/>
  <c r="BL192" i="14"/>
  <c r="BL193" i="14"/>
  <c r="BL194" i="14"/>
  <c r="BL195" i="14"/>
  <c r="BL196" i="14"/>
  <c r="BL197" i="14"/>
  <c r="BL198" i="14"/>
  <c r="BL199" i="14"/>
  <c r="BL200" i="14"/>
  <c r="BL201" i="14"/>
  <c r="BL202" i="14"/>
  <c r="BL203" i="14"/>
  <c r="BL204" i="14"/>
  <c r="BL205" i="14"/>
  <c r="BL206" i="14"/>
  <c r="BL207" i="14"/>
  <c r="BL208" i="14"/>
  <c r="BL209" i="14"/>
  <c r="BL210" i="14"/>
  <c r="BL211" i="14"/>
  <c r="BL212" i="14"/>
  <c r="BL213" i="14"/>
  <c r="BL214" i="14"/>
  <c r="BL215" i="14"/>
  <c r="BL216" i="14"/>
  <c r="BL217" i="14"/>
  <c r="BL218" i="14"/>
  <c r="BL219" i="14"/>
  <c r="BL220" i="14"/>
  <c r="BL221" i="14"/>
  <c r="BL222" i="14"/>
  <c r="BL223" i="14"/>
  <c r="BL224" i="14"/>
  <c r="BL225" i="14"/>
  <c r="BL226" i="14"/>
  <c r="BL227" i="14"/>
  <c r="BI2" i="14"/>
  <c r="BI3" i="14"/>
  <c r="BI4" i="14"/>
  <c r="BI5" i="14"/>
  <c r="BI6" i="14"/>
  <c r="BI7" i="14"/>
  <c r="BI8" i="14"/>
  <c r="BI9" i="14"/>
  <c r="BI10" i="14"/>
  <c r="BI11" i="14"/>
  <c r="BI12" i="14"/>
  <c r="BI13" i="14"/>
  <c r="BI14" i="14"/>
  <c r="BI15" i="14"/>
  <c r="BI16" i="14"/>
  <c r="BI17" i="14"/>
  <c r="BI18" i="14"/>
  <c r="BI19" i="14"/>
  <c r="BI20" i="14"/>
  <c r="BI21" i="14"/>
  <c r="BI22" i="14"/>
  <c r="BI23" i="14"/>
  <c r="BI24" i="14"/>
  <c r="BI25" i="14"/>
  <c r="BI26" i="14"/>
  <c r="BI27" i="14"/>
  <c r="BI28" i="14"/>
  <c r="BI29" i="14"/>
  <c r="BI30" i="14"/>
  <c r="BI31" i="14"/>
  <c r="BI32" i="14"/>
  <c r="BI33" i="14"/>
  <c r="BI34" i="14"/>
  <c r="BI35" i="14"/>
  <c r="BI36" i="14"/>
  <c r="BI37" i="14"/>
  <c r="BI38" i="14"/>
  <c r="BI39" i="14"/>
  <c r="BI40" i="14"/>
  <c r="BI41" i="14"/>
  <c r="BI42" i="14"/>
  <c r="BI43" i="14"/>
  <c r="BI44" i="14"/>
  <c r="BI45" i="14"/>
  <c r="BI46" i="14"/>
  <c r="BI47" i="14"/>
  <c r="BI48" i="14"/>
  <c r="BI49" i="14"/>
  <c r="BI50" i="14"/>
  <c r="BI51" i="14"/>
  <c r="BI52" i="14"/>
  <c r="BI53" i="14"/>
  <c r="BI54" i="14"/>
  <c r="BI55" i="14"/>
  <c r="BI56" i="14"/>
  <c r="BI57" i="14"/>
  <c r="BI58" i="14"/>
  <c r="BI59" i="14"/>
  <c r="BI60" i="14"/>
  <c r="BI61" i="14"/>
  <c r="BI62" i="14"/>
  <c r="BI63" i="14"/>
  <c r="BI64" i="14"/>
  <c r="BI65" i="14"/>
  <c r="BI66" i="14"/>
  <c r="BI67" i="14"/>
  <c r="BI68" i="14"/>
  <c r="BI69" i="14"/>
  <c r="BI70" i="14"/>
  <c r="BI71" i="14"/>
  <c r="BI72" i="14"/>
  <c r="BI73" i="14"/>
  <c r="BI74" i="14"/>
  <c r="BI75" i="14"/>
  <c r="BI76" i="14"/>
  <c r="BI77" i="14"/>
  <c r="BI78" i="14"/>
  <c r="BI79" i="14"/>
  <c r="BI80" i="14"/>
  <c r="BI81" i="14"/>
  <c r="BI82" i="14"/>
  <c r="BI83" i="14"/>
  <c r="BI84" i="14"/>
  <c r="BI85" i="14"/>
  <c r="BI86" i="14"/>
  <c r="BI87" i="14"/>
  <c r="BI88" i="14"/>
  <c r="BI89" i="14"/>
  <c r="BI90" i="14"/>
  <c r="BI91" i="14"/>
  <c r="BI92" i="14"/>
  <c r="BI93" i="14"/>
  <c r="BI94" i="14"/>
  <c r="BI95" i="14"/>
  <c r="BI96" i="14"/>
  <c r="BI97" i="14"/>
  <c r="BI98" i="14"/>
  <c r="BI99" i="14"/>
  <c r="BI100" i="14"/>
  <c r="BI101" i="14"/>
  <c r="BI102" i="14"/>
  <c r="BI103" i="14"/>
  <c r="BI104" i="14"/>
  <c r="BI105" i="14"/>
  <c r="BI106" i="14"/>
  <c r="BI107" i="14"/>
  <c r="BI108" i="14"/>
  <c r="BI109" i="14"/>
  <c r="BI110" i="14"/>
  <c r="BI111" i="14"/>
  <c r="BI112" i="14"/>
  <c r="BI113" i="14"/>
  <c r="BI114" i="14"/>
  <c r="BI115" i="14"/>
  <c r="BI116" i="14"/>
  <c r="BI117" i="14"/>
  <c r="BI118" i="14"/>
  <c r="BI119" i="14"/>
  <c r="BI120" i="14"/>
  <c r="BI121" i="14"/>
  <c r="BI122" i="14"/>
  <c r="BI123" i="14"/>
  <c r="BI124" i="14"/>
  <c r="BI125" i="14"/>
  <c r="BI126" i="14"/>
  <c r="BI127" i="14"/>
  <c r="BI128" i="14"/>
  <c r="BI129" i="14"/>
  <c r="BI130" i="14"/>
  <c r="BI131" i="14"/>
  <c r="BI132" i="14"/>
  <c r="BI133" i="14"/>
  <c r="BI134" i="14"/>
  <c r="BI135" i="14"/>
  <c r="BI136" i="14"/>
  <c r="BI137" i="14"/>
  <c r="BI138" i="14"/>
  <c r="BI139" i="14"/>
  <c r="BI140" i="14"/>
  <c r="BI141" i="14"/>
  <c r="BI142" i="14"/>
  <c r="BI143" i="14"/>
  <c r="BI144" i="14"/>
  <c r="BI145" i="14"/>
  <c r="BI146" i="14"/>
  <c r="BI147" i="14"/>
  <c r="BI148" i="14"/>
  <c r="BI149" i="14"/>
  <c r="BI150" i="14"/>
  <c r="BI151" i="14"/>
  <c r="BI152" i="14"/>
  <c r="BI153" i="14"/>
  <c r="BI154" i="14"/>
  <c r="BI155" i="14"/>
  <c r="BI156" i="14"/>
  <c r="BI157" i="14"/>
  <c r="BI158" i="14"/>
  <c r="BI159" i="14"/>
  <c r="BI160" i="14"/>
  <c r="BI161" i="14"/>
  <c r="BI162" i="14"/>
  <c r="BI163" i="14"/>
  <c r="BI164" i="14"/>
  <c r="BI165" i="14"/>
  <c r="BI166" i="14"/>
  <c r="BI167" i="14"/>
  <c r="BI168" i="14"/>
  <c r="BI169" i="14"/>
  <c r="BI170" i="14"/>
  <c r="BI171" i="14"/>
  <c r="BI172" i="14"/>
  <c r="BI173" i="14"/>
  <c r="BI174" i="14"/>
  <c r="BI175" i="14"/>
  <c r="BI176" i="14"/>
  <c r="BI177" i="14"/>
  <c r="BI178" i="14"/>
  <c r="BI179" i="14"/>
  <c r="BI180" i="14"/>
  <c r="BI181" i="14"/>
  <c r="BI182" i="14"/>
  <c r="BI183" i="14"/>
  <c r="BI184" i="14"/>
  <c r="BI185" i="14"/>
  <c r="BI186" i="14"/>
  <c r="BI187" i="14"/>
  <c r="BI188" i="14"/>
  <c r="BI189" i="14"/>
  <c r="BI190" i="14"/>
  <c r="BI191" i="14"/>
  <c r="BI192" i="14"/>
  <c r="BI193" i="14"/>
  <c r="BI194" i="14"/>
  <c r="BI195" i="14"/>
  <c r="BI196" i="14"/>
  <c r="BI197" i="14"/>
  <c r="BI198" i="14"/>
  <c r="BI199" i="14"/>
  <c r="BI200" i="14"/>
  <c r="BI201" i="14"/>
  <c r="BI202" i="14"/>
  <c r="BI203" i="14"/>
  <c r="BI204" i="14"/>
  <c r="BI205" i="14"/>
  <c r="BI206" i="14"/>
  <c r="BI207" i="14"/>
  <c r="BI208" i="14"/>
  <c r="BI209" i="14"/>
  <c r="BI210" i="14"/>
  <c r="BI211" i="14"/>
  <c r="BI212" i="14"/>
  <c r="BI213" i="14"/>
  <c r="BI214" i="14"/>
  <c r="BI215" i="14"/>
  <c r="BI216" i="14"/>
  <c r="BI217" i="14"/>
  <c r="BI218" i="14"/>
  <c r="BI219" i="14"/>
  <c r="BI220" i="14"/>
  <c r="BI221" i="14"/>
  <c r="BI222" i="14"/>
  <c r="BI223" i="14"/>
  <c r="BI224" i="14"/>
  <c r="BI225" i="14"/>
  <c r="BI226" i="14"/>
  <c r="BI227" i="14"/>
  <c r="BH2" i="14"/>
  <c r="BH3" i="14"/>
  <c r="BH4" i="14"/>
  <c r="BH5" i="14"/>
  <c r="BH6" i="14"/>
  <c r="BH7" i="14"/>
  <c r="BH8" i="14"/>
  <c r="BH9" i="14"/>
  <c r="BH10" i="14"/>
  <c r="BH11" i="14"/>
  <c r="BH12" i="14"/>
  <c r="BH13" i="14"/>
  <c r="BH14" i="14"/>
  <c r="BH15" i="14"/>
  <c r="BH16" i="14"/>
  <c r="BH17" i="14"/>
  <c r="BH18" i="14"/>
  <c r="BH19" i="14"/>
  <c r="BH20" i="14"/>
  <c r="BH21" i="14"/>
  <c r="BH22" i="14"/>
  <c r="BH23" i="14"/>
  <c r="BH24" i="14"/>
  <c r="BH25" i="14"/>
  <c r="BH26" i="14"/>
  <c r="BH27" i="14"/>
  <c r="BH28" i="14"/>
  <c r="BH29" i="14"/>
  <c r="BH30" i="14"/>
  <c r="BH31" i="14"/>
  <c r="BH32" i="14"/>
  <c r="BH33" i="14"/>
  <c r="BH34" i="14"/>
  <c r="BH35" i="14"/>
  <c r="BH36" i="14"/>
  <c r="BH37" i="14"/>
  <c r="BH38" i="14"/>
  <c r="BH39" i="14"/>
  <c r="BH40" i="14"/>
  <c r="BH41" i="14"/>
  <c r="BH42" i="14"/>
  <c r="BH43" i="14"/>
  <c r="BH44" i="14"/>
  <c r="BH45" i="14"/>
  <c r="BH46" i="14"/>
  <c r="BH47" i="14"/>
  <c r="BH48" i="14"/>
  <c r="BH49" i="14"/>
  <c r="BH50" i="14"/>
  <c r="BH51" i="14"/>
  <c r="BH52" i="14"/>
  <c r="BH53" i="14"/>
  <c r="BH54" i="14"/>
  <c r="BH55" i="14"/>
  <c r="BH56" i="14"/>
  <c r="BH57" i="14"/>
  <c r="BH58" i="14"/>
  <c r="BH59" i="14"/>
  <c r="BH60" i="14"/>
  <c r="BH61" i="14"/>
  <c r="BH62" i="14"/>
  <c r="BH63" i="14"/>
  <c r="BH64" i="14"/>
  <c r="BH65" i="14"/>
  <c r="BH66" i="14"/>
  <c r="BH67" i="14"/>
  <c r="BH68" i="14"/>
  <c r="BH69" i="14"/>
  <c r="BH70" i="14"/>
  <c r="BH71" i="14"/>
  <c r="BH72" i="14"/>
  <c r="BH73" i="14"/>
  <c r="BH74" i="14"/>
  <c r="BH75" i="14"/>
  <c r="BH76" i="14"/>
  <c r="BH77" i="14"/>
  <c r="BH78" i="14"/>
  <c r="BH79" i="14"/>
  <c r="BH80" i="14"/>
  <c r="BH81" i="14"/>
  <c r="BH82" i="14"/>
  <c r="BH83" i="14"/>
  <c r="BH84" i="14"/>
  <c r="BH85" i="14"/>
  <c r="BH86" i="14"/>
  <c r="BH87" i="14"/>
  <c r="BH88" i="14"/>
  <c r="BH89" i="14"/>
  <c r="BH90" i="14"/>
  <c r="BH91" i="14"/>
  <c r="BH92" i="14"/>
  <c r="BH93" i="14"/>
  <c r="BH94" i="14"/>
  <c r="BH95" i="14"/>
  <c r="BH96" i="14"/>
  <c r="BH97" i="14"/>
  <c r="BH98" i="14"/>
  <c r="BH99" i="14"/>
  <c r="BH100" i="14"/>
  <c r="BH101" i="14"/>
  <c r="BH102" i="14"/>
  <c r="BH103" i="14"/>
  <c r="BH104" i="14"/>
  <c r="BH105" i="14"/>
  <c r="BH106" i="14"/>
  <c r="BH107" i="14"/>
  <c r="BH108" i="14"/>
  <c r="BH109" i="14"/>
  <c r="BH110" i="14"/>
  <c r="BH111" i="14"/>
  <c r="BH112" i="14"/>
  <c r="BH113" i="14"/>
  <c r="BH114" i="14"/>
  <c r="BH115" i="14"/>
  <c r="BH116" i="14"/>
  <c r="BH117" i="14"/>
  <c r="BH118" i="14"/>
  <c r="BH119" i="14"/>
  <c r="BH120" i="14"/>
  <c r="BH121" i="14"/>
  <c r="BH122" i="14"/>
  <c r="BH123" i="14"/>
  <c r="BH124" i="14"/>
  <c r="BH125" i="14"/>
  <c r="BH126" i="14"/>
  <c r="BH127" i="14"/>
  <c r="BH128" i="14"/>
  <c r="BH129" i="14"/>
  <c r="BH130" i="14"/>
  <c r="BH131" i="14"/>
  <c r="BH132" i="14"/>
  <c r="BH133" i="14"/>
  <c r="BH134" i="14"/>
  <c r="BH135" i="14"/>
  <c r="BH136" i="14"/>
  <c r="BH137" i="14"/>
  <c r="BH138" i="14"/>
  <c r="BH139" i="14"/>
  <c r="BH140" i="14"/>
  <c r="BH141" i="14"/>
  <c r="BH142" i="14"/>
  <c r="BH143" i="14"/>
  <c r="BH144" i="14"/>
  <c r="BH145" i="14"/>
  <c r="BH146" i="14"/>
  <c r="BH147" i="14"/>
  <c r="BH148" i="14"/>
  <c r="BH149" i="14"/>
  <c r="BH150" i="14"/>
  <c r="BH151" i="14"/>
  <c r="BH152" i="14"/>
  <c r="BH153" i="14"/>
  <c r="BH154" i="14"/>
  <c r="BH155" i="14"/>
  <c r="BH156" i="14"/>
  <c r="BH157" i="14"/>
  <c r="BH158" i="14"/>
  <c r="BH159" i="14"/>
  <c r="BH160" i="14"/>
  <c r="BH161" i="14"/>
  <c r="BH162" i="14"/>
  <c r="BH163" i="14"/>
  <c r="BH164" i="14"/>
  <c r="BH165" i="14"/>
  <c r="BH166" i="14"/>
  <c r="BH167" i="14"/>
  <c r="BH168" i="14"/>
  <c r="BH169" i="14"/>
  <c r="BH170" i="14"/>
  <c r="BH171" i="14"/>
  <c r="BH172" i="14"/>
  <c r="BH173" i="14"/>
  <c r="BH174" i="14"/>
  <c r="BH175" i="14"/>
  <c r="BH176" i="14"/>
  <c r="BH177" i="14"/>
  <c r="BH178" i="14"/>
  <c r="BH179" i="14"/>
  <c r="BH180" i="14"/>
  <c r="BH181" i="14"/>
  <c r="BH182" i="14"/>
  <c r="BH183" i="14"/>
  <c r="BH184" i="14"/>
  <c r="BH185" i="14"/>
  <c r="BH186" i="14"/>
  <c r="BH187" i="14"/>
  <c r="BH188" i="14"/>
  <c r="BH189" i="14"/>
  <c r="BH190" i="14"/>
  <c r="BH191" i="14"/>
  <c r="BH192" i="14"/>
  <c r="BH193" i="14"/>
  <c r="BH194" i="14"/>
  <c r="BH195" i="14"/>
  <c r="BH196" i="14"/>
  <c r="BH197" i="14"/>
  <c r="BH198" i="14"/>
  <c r="BH199" i="14"/>
  <c r="BH200" i="14"/>
  <c r="BH201" i="14"/>
  <c r="BH202" i="14"/>
  <c r="BH203" i="14"/>
  <c r="BH204" i="14"/>
  <c r="BH205" i="14"/>
  <c r="BH206" i="14"/>
  <c r="BH207" i="14"/>
  <c r="BH208" i="14"/>
  <c r="BH209" i="14"/>
  <c r="BH210" i="14"/>
  <c r="BH211" i="14"/>
  <c r="BH212" i="14"/>
  <c r="BH213" i="14"/>
  <c r="BH214" i="14"/>
  <c r="BH215" i="14"/>
  <c r="BH216" i="14"/>
  <c r="BH217" i="14"/>
  <c r="BH218" i="14"/>
  <c r="BH219" i="14"/>
  <c r="BH220" i="14"/>
  <c r="BH221" i="14"/>
  <c r="BH222" i="14"/>
  <c r="BH223" i="14"/>
  <c r="BH224" i="14"/>
  <c r="BH225" i="14"/>
  <c r="BH226" i="14"/>
  <c r="BH227" i="14"/>
  <c r="BF2" i="14"/>
  <c r="BF3" i="14"/>
  <c r="BF4" i="14"/>
  <c r="BF5" i="14"/>
  <c r="BF6" i="14"/>
  <c r="BF7" i="14"/>
  <c r="BF8" i="14"/>
  <c r="BF9" i="14"/>
  <c r="BF10" i="14"/>
  <c r="BF11" i="14"/>
  <c r="BF12" i="14"/>
  <c r="BF13" i="14"/>
  <c r="BF14" i="14"/>
  <c r="BF15" i="14"/>
  <c r="BF16" i="14"/>
  <c r="BF17" i="14"/>
  <c r="BF18" i="14"/>
  <c r="BF19" i="14"/>
  <c r="BF20" i="14"/>
  <c r="BF21" i="14"/>
  <c r="BF22" i="14"/>
  <c r="BF23" i="14"/>
  <c r="BF24" i="14"/>
  <c r="BF25" i="14"/>
  <c r="BF26" i="14"/>
  <c r="BF27" i="14"/>
  <c r="BF28" i="14"/>
  <c r="BF29" i="14"/>
  <c r="BF30" i="14"/>
  <c r="BF31" i="14"/>
  <c r="BF32" i="14"/>
  <c r="BF33" i="14"/>
  <c r="BF34" i="14"/>
  <c r="BF35" i="14"/>
  <c r="BF36" i="14"/>
  <c r="BF37" i="14"/>
  <c r="BF38" i="14"/>
  <c r="BF39" i="14"/>
  <c r="BF40" i="14"/>
  <c r="BF41" i="14"/>
  <c r="BF42" i="14"/>
  <c r="BF43" i="14"/>
  <c r="BF44" i="14"/>
  <c r="BF45" i="14"/>
  <c r="BF46" i="14"/>
  <c r="BF47" i="14"/>
  <c r="BF48" i="14"/>
  <c r="BF49" i="14"/>
  <c r="BF50" i="14"/>
  <c r="BF51" i="14"/>
  <c r="BF52" i="14"/>
  <c r="BF53" i="14"/>
  <c r="BF54" i="14"/>
  <c r="BF55" i="14"/>
  <c r="BF56" i="14"/>
  <c r="BF57" i="14"/>
  <c r="BF58" i="14"/>
  <c r="BF59" i="14"/>
  <c r="BF60" i="14"/>
  <c r="BF61" i="14"/>
  <c r="BF62" i="14"/>
  <c r="BF63" i="14"/>
  <c r="BF64" i="14"/>
  <c r="BF65" i="14"/>
  <c r="BF66" i="14"/>
  <c r="BF67" i="14"/>
  <c r="BF68" i="14"/>
  <c r="BF69" i="14"/>
  <c r="BF70" i="14"/>
  <c r="BF71" i="14"/>
  <c r="BF72" i="14"/>
  <c r="BF73" i="14"/>
  <c r="BF74" i="14"/>
  <c r="BF75" i="14"/>
  <c r="BF76" i="14"/>
  <c r="BF77" i="14"/>
  <c r="BF78" i="14"/>
  <c r="BF79" i="14"/>
  <c r="BF80" i="14"/>
  <c r="BF81" i="14"/>
  <c r="BF82" i="14"/>
  <c r="BF83" i="14"/>
  <c r="BF84" i="14"/>
  <c r="BF85" i="14"/>
  <c r="BF86" i="14"/>
  <c r="BF87" i="14"/>
  <c r="BF88" i="14"/>
  <c r="BF89" i="14"/>
  <c r="BF90" i="14"/>
  <c r="BF91" i="14"/>
  <c r="BF92" i="14"/>
  <c r="BF93" i="14"/>
  <c r="BF94" i="14"/>
  <c r="BF95" i="14"/>
  <c r="BF96" i="14"/>
  <c r="BF97" i="14"/>
  <c r="BF98" i="14"/>
  <c r="BF99" i="14"/>
  <c r="BF100" i="14"/>
  <c r="BF101" i="14"/>
  <c r="BF102" i="14"/>
  <c r="BF103" i="14"/>
  <c r="BF104" i="14"/>
  <c r="BF105" i="14"/>
  <c r="BF106" i="14"/>
  <c r="BF107" i="14"/>
  <c r="BF108" i="14"/>
  <c r="BF109" i="14"/>
  <c r="BF110" i="14"/>
  <c r="BF111" i="14"/>
  <c r="BF112" i="14"/>
  <c r="BF113" i="14"/>
  <c r="BF114" i="14"/>
  <c r="BF115" i="14"/>
  <c r="BF116" i="14"/>
  <c r="BF117" i="14"/>
  <c r="BF118" i="14"/>
  <c r="BF119" i="14"/>
  <c r="BF120" i="14"/>
  <c r="BF121" i="14"/>
  <c r="BF122" i="14"/>
  <c r="BF123" i="14"/>
  <c r="BF124" i="14"/>
  <c r="BF125" i="14"/>
  <c r="BF126" i="14"/>
  <c r="BF127" i="14"/>
  <c r="BF128" i="14"/>
  <c r="BF129" i="14"/>
  <c r="BF130" i="14"/>
  <c r="BF131" i="14"/>
  <c r="BF132" i="14"/>
  <c r="BF133" i="14"/>
  <c r="BF134" i="14"/>
  <c r="BF135" i="14"/>
  <c r="BF136" i="14"/>
  <c r="BF137" i="14"/>
  <c r="BF138" i="14"/>
  <c r="BF139" i="14"/>
  <c r="BF140" i="14"/>
  <c r="BF141" i="14"/>
  <c r="BF142" i="14"/>
  <c r="BF143" i="14"/>
  <c r="BF144" i="14"/>
  <c r="BF145" i="14"/>
  <c r="BF146" i="14"/>
  <c r="BF147" i="14"/>
  <c r="BF148" i="14"/>
  <c r="BF149" i="14"/>
  <c r="BF150" i="14"/>
  <c r="BF151" i="14"/>
  <c r="BF152" i="14"/>
  <c r="BF153" i="14"/>
  <c r="BF154" i="14"/>
  <c r="BF155" i="14"/>
  <c r="BF156" i="14"/>
  <c r="BF157" i="14"/>
  <c r="BF158" i="14"/>
  <c r="BF159" i="14"/>
  <c r="BF160" i="14"/>
  <c r="BF161" i="14"/>
  <c r="BF162" i="14"/>
  <c r="BF163" i="14"/>
  <c r="BF164" i="14"/>
  <c r="BF165" i="14"/>
  <c r="BF166" i="14"/>
  <c r="BF167" i="14"/>
  <c r="BF168" i="14"/>
  <c r="BF169" i="14"/>
  <c r="BF170" i="14"/>
  <c r="BF171" i="14"/>
  <c r="BF172" i="14"/>
  <c r="BF173" i="14"/>
  <c r="BF174" i="14"/>
  <c r="BF175" i="14"/>
  <c r="BF176" i="14"/>
  <c r="BF177" i="14"/>
  <c r="BF178" i="14"/>
  <c r="BF179" i="14"/>
  <c r="BF180" i="14"/>
  <c r="BF181" i="14"/>
  <c r="BF182" i="14"/>
  <c r="BF183" i="14"/>
  <c r="BF184" i="14"/>
  <c r="BF185" i="14"/>
  <c r="BF186" i="14"/>
  <c r="BF187" i="14"/>
  <c r="BF188" i="14"/>
  <c r="BF189" i="14"/>
  <c r="BF190" i="14"/>
  <c r="BF191" i="14"/>
  <c r="BF192" i="14"/>
  <c r="BF193" i="14"/>
  <c r="BF194" i="14"/>
  <c r="BF195" i="14"/>
  <c r="BF196" i="14"/>
  <c r="BF197" i="14"/>
  <c r="BF198" i="14"/>
  <c r="BF199" i="14"/>
  <c r="BF200" i="14"/>
  <c r="BF201" i="14"/>
  <c r="BF202" i="14"/>
  <c r="BF203" i="14"/>
  <c r="BF204" i="14"/>
  <c r="BF205" i="14"/>
  <c r="BF206" i="14"/>
  <c r="BF207" i="14"/>
  <c r="BF208" i="14"/>
  <c r="BF209" i="14"/>
  <c r="BF210" i="14"/>
  <c r="BF211" i="14"/>
  <c r="BF212" i="14"/>
  <c r="BF213" i="14"/>
  <c r="BF214" i="14"/>
  <c r="BF215" i="14"/>
  <c r="BF216" i="14"/>
  <c r="BF217" i="14"/>
  <c r="BF218" i="14"/>
  <c r="BF219" i="14"/>
  <c r="BF220" i="14"/>
  <c r="BF221" i="14"/>
  <c r="BF222" i="14"/>
  <c r="BF223" i="14"/>
  <c r="BF224" i="14"/>
  <c r="BF225" i="14"/>
  <c r="BF226" i="14"/>
  <c r="BF227" i="14"/>
  <c r="BE2" i="14"/>
  <c r="BE3" i="14"/>
  <c r="BE4" i="14"/>
  <c r="BE5" i="14"/>
  <c r="BE6" i="14"/>
  <c r="BE7" i="14"/>
  <c r="BE8" i="14"/>
  <c r="BE9" i="14"/>
  <c r="BE10" i="14"/>
  <c r="BE11" i="14"/>
  <c r="BE12" i="14"/>
  <c r="BE13" i="14"/>
  <c r="BE14" i="14"/>
  <c r="BE15" i="14"/>
  <c r="BE16" i="14"/>
  <c r="BE17" i="14"/>
  <c r="BE18" i="14"/>
  <c r="BE19" i="14"/>
  <c r="BE20" i="14"/>
  <c r="BE21" i="14"/>
  <c r="BE22" i="14"/>
  <c r="BE23" i="14"/>
  <c r="BE24" i="14"/>
  <c r="BE25" i="14"/>
  <c r="BE26" i="14"/>
  <c r="BE27" i="14"/>
  <c r="BE28" i="14"/>
  <c r="BE29" i="14"/>
  <c r="BE30" i="14"/>
  <c r="BE31" i="14"/>
  <c r="BE32" i="14"/>
  <c r="BE33" i="14"/>
  <c r="BE34" i="14"/>
  <c r="BE35" i="14"/>
  <c r="BE36" i="14"/>
  <c r="BE37" i="14"/>
  <c r="BE38" i="14"/>
  <c r="BE39" i="14"/>
  <c r="BE40" i="14"/>
  <c r="BE41" i="14"/>
  <c r="BE42" i="14"/>
  <c r="BE43" i="14"/>
  <c r="BE44" i="14"/>
  <c r="BE45" i="14"/>
  <c r="BE46" i="14"/>
  <c r="BE47" i="14"/>
  <c r="BE48" i="14"/>
  <c r="BE49" i="14"/>
  <c r="BE50" i="14"/>
  <c r="BE51" i="14"/>
  <c r="BE52" i="14"/>
  <c r="BE53" i="14"/>
  <c r="BE54" i="14"/>
  <c r="BE55" i="14"/>
  <c r="BE56" i="14"/>
  <c r="BE57" i="14"/>
  <c r="BE58" i="14"/>
  <c r="BE59" i="14"/>
  <c r="BE60" i="14"/>
  <c r="BE61" i="14"/>
  <c r="BE62" i="14"/>
  <c r="BE63" i="14"/>
  <c r="BE64" i="14"/>
  <c r="BE65" i="14"/>
  <c r="BE66" i="14"/>
  <c r="BE67" i="14"/>
  <c r="BE68" i="14"/>
  <c r="BE69" i="14"/>
  <c r="BE70" i="14"/>
  <c r="BE71" i="14"/>
  <c r="BE72" i="14"/>
  <c r="BE73" i="14"/>
  <c r="BE74" i="14"/>
  <c r="BE75" i="14"/>
  <c r="BE76" i="14"/>
  <c r="BE77" i="14"/>
  <c r="BE78" i="14"/>
  <c r="BE79" i="14"/>
  <c r="BE80" i="14"/>
  <c r="BE81" i="14"/>
  <c r="BE82" i="14"/>
  <c r="BE83" i="14"/>
  <c r="BE84" i="14"/>
  <c r="BE85" i="14"/>
  <c r="BE86" i="14"/>
  <c r="BE87" i="14"/>
  <c r="BE88" i="14"/>
  <c r="BE89" i="14"/>
  <c r="BE90" i="14"/>
  <c r="BE91" i="14"/>
  <c r="BE92" i="14"/>
  <c r="BE93" i="14"/>
  <c r="BE94" i="14"/>
  <c r="BE95" i="14"/>
  <c r="BE96" i="14"/>
  <c r="BE97" i="14"/>
  <c r="BE98" i="14"/>
  <c r="BE99" i="14"/>
  <c r="BE100" i="14"/>
  <c r="BE101" i="14"/>
  <c r="BE102" i="14"/>
  <c r="BE103" i="14"/>
  <c r="BE104" i="14"/>
  <c r="BE105" i="14"/>
  <c r="BE106" i="14"/>
  <c r="BE107" i="14"/>
  <c r="BE108" i="14"/>
  <c r="BE109" i="14"/>
  <c r="BE110" i="14"/>
  <c r="BE111" i="14"/>
  <c r="BE112" i="14"/>
  <c r="BE113" i="14"/>
  <c r="BE114" i="14"/>
  <c r="BE115" i="14"/>
  <c r="BE116" i="14"/>
  <c r="BE117" i="14"/>
  <c r="BE118" i="14"/>
  <c r="BE119" i="14"/>
  <c r="BE120" i="14"/>
  <c r="BE121" i="14"/>
  <c r="BE122" i="14"/>
  <c r="BE123" i="14"/>
  <c r="BE124" i="14"/>
  <c r="BE125" i="14"/>
  <c r="BE126" i="14"/>
  <c r="BE127" i="14"/>
  <c r="BE128" i="14"/>
  <c r="BE129" i="14"/>
  <c r="BE130" i="14"/>
  <c r="BE131" i="14"/>
  <c r="BE132" i="14"/>
  <c r="BE133" i="14"/>
  <c r="BE134" i="14"/>
  <c r="BE135" i="14"/>
  <c r="BE136" i="14"/>
  <c r="BE137" i="14"/>
  <c r="BE138" i="14"/>
  <c r="BE139" i="14"/>
  <c r="BE140" i="14"/>
  <c r="BE141" i="14"/>
  <c r="BE142" i="14"/>
  <c r="BE143" i="14"/>
  <c r="BE144" i="14"/>
  <c r="BE145" i="14"/>
  <c r="BE146" i="14"/>
  <c r="BE147" i="14"/>
  <c r="BE148" i="14"/>
  <c r="BE149" i="14"/>
  <c r="BE150" i="14"/>
  <c r="BE151" i="14"/>
  <c r="BE152" i="14"/>
  <c r="BE153" i="14"/>
  <c r="BE154" i="14"/>
  <c r="BE155" i="14"/>
  <c r="BE156" i="14"/>
  <c r="BE157" i="14"/>
  <c r="BE158" i="14"/>
  <c r="BE159" i="14"/>
  <c r="BE160" i="14"/>
  <c r="BE161" i="14"/>
  <c r="BE162" i="14"/>
  <c r="BE163" i="14"/>
  <c r="BE164" i="14"/>
  <c r="BE165" i="14"/>
  <c r="BE166" i="14"/>
  <c r="BE167" i="14"/>
  <c r="BE168" i="14"/>
  <c r="BE169" i="14"/>
  <c r="BE170" i="14"/>
  <c r="BE171" i="14"/>
  <c r="BE172" i="14"/>
  <c r="BE173" i="14"/>
  <c r="BE174" i="14"/>
  <c r="BE175" i="14"/>
  <c r="BE176" i="14"/>
  <c r="BE177" i="14"/>
  <c r="BE178" i="14"/>
  <c r="BE179" i="14"/>
  <c r="BE180" i="14"/>
  <c r="BE181" i="14"/>
  <c r="BE182" i="14"/>
  <c r="BE183" i="14"/>
  <c r="BE184" i="14"/>
  <c r="BE185" i="14"/>
  <c r="BE186" i="14"/>
  <c r="BE187" i="14"/>
  <c r="BE188" i="14"/>
  <c r="BE189" i="14"/>
  <c r="BE190" i="14"/>
  <c r="BE191" i="14"/>
  <c r="BE192" i="14"/>
  <c r="BE193" i="14"/>
  <c r="BE194" i="14"/>
  <c r="BE195" i="14"/>
  <c r="BE196" i="14"/>
  <c r="BE197" i="14"/>
  <c r="BE198" i="14"/>
  <c r="BE199" i="14"/>
  <c r="BE200" i="14"/>
  <c r="BE201" i="14"/>
  <c r="BE202" i="14"/>
  <c r="BE203" i="14"/>
  <c r="BE204" i="14"/>
  <c r="BE205" i="14"/>
  <c r="BE206" i="14"/>
  <c r="BE207" i="14"/>
  <c r="BE208" i="14"/>
  <c r="BE209" i="14"/>
  <c r="BE210" i="14"/>
  <c r="BE211" i="14"/>
  <c r="BE212" i="14"/>
  <c r="BE213" i="14"/>
  <c r="BE214" i="14"/>
  <c r="BE215" i="14"/>
  <c r="BE216" i="14"/>
  <c r="BE217" i="14"/>
  <c r="BE218" i="14"/>
  <c r="BE219" i="14"/>
  <c r="BE220" i="14"/>
  <c r="BE221" i="14"/>
  <c r="BE222" i="14"/>
  <c r="BE223" i="14"/>
  <c r="BE224" i="14"/>
  <c r="BE225" i="14"/>
  <c r="BE226" i="14"/>
  <c r="BE227" i="14"/>
  <c r="BD2" i="14"/>
  <c r="BD3" i="14"/>
  <c r="BD4" i="14"/>
  <c r="BD5" i="14"/>
  <c r="BD6" i="14"/>
  <c r="BD7" i="14"/>
  <c r="BD8" i="14"/>
  <c r="BD9" i="14"/>
  <c r="BD10" i="14"/>
  <c r="BD11" i="14"/>
  <c r="BD12" i="14"/>
  <c r="BD13" i="14"/>
  <c r="BD14" i="14"/>
  <c r="BD15" i="14"/>
  <c r="BD16" i="14"/>
  <c r="BD17" i="14"/>
  <c r="BD18" i="14"/>
  <c r="BD19" i="14"/>
  <c r="BD20" i="14"/>
  <c r="BD21" i="14"/>
  <c r="BD22" i="14"/>
  <c r="BD23" i="14"/>
  <c r="BD24" i="14"/>
  <c r="BD25" i="14"/>
  <c r="BD26" i="14"/>
  <c r="BD27" i="14"/>
  <c r="BD28" i="14"/>
  <c r="BD29" i="14"/>
  <c r="BD30" i="14"/>
  <c r="BD31" i="14"/>
  <c r="BD32" i="14"/>
  <c r="BD33" i="14"/>
  <c r="BD34" i="14"/>
  <c r="BD35" i="14"/>
  <c r="BD36" i="14"/>
  <c r="BD37" i="14"/>
  <c r="BD38" i="14"/>
  <c r="BD39" i="14"/>
  <c r="BD40" i="14"/>
  <c r="BD41" i="14"/>
  <c r="BD42" i="14"/>
  <c r="BD43" i="14"/>
  <c r="BD44" i="14"/>
  <c r="BD45" i="14"/>
  <c r="BD46" i="14"/>
  <c r="BD47" i="14"/>
  <c r="BD48" i="14"/>
  <c r="BD49" i="14"/>
  <c r="BD50" i="14"/>
  <c r="BD51" i="14"/>
  <c r="BD52" i="14"/>
  <c r="BD53" i="14"/>
  <c r="BD54" i="14"/>
  <c r="BD55" i="14"/>
  <c r="BD56" i="14"/>
  <c r="BD57" i="14"/>
  <c r="BD58" i="14"/>
  <c r="BD59" i="14"/>
  <c r="BD60" i="14"/>
  <c r="BD61" i="14"/>
  <c r="BD62" i="14"/>
  <c r="BD63" i="14"/>
  <c r="BD64" i="14"/>
  <c r="BD65" i="14"/>
  <c r="BD66" i="14"/>
  <c r="BD67" i="14"/>
  <c r="BD68" i="14"/>
  <c r="BD69" i="14"/>
  <c r="BD70" i="14"/>
  <c r="BD71" i="14"/>
  <c r="BD72" i="14"/>
  <c r="BD73" i="14"/>
  <c r="BD74" i="14"/>
  <c r="BD75" i="14"/>
  <c r="BD76" i="14"/>
  <c r="BD77" i="14"/>
  <c r="BD78" i="14"/>
  <c r="BD79" i="14"/>
  <c r="BD80" i="14"/>
  <c r="BD81" i="14"/>
  <c r="BD82" i="14"/>
  <c r="BD83" i="14"/>
  <c r="BD84" i="14"/>
  <c r="BD85" i="14"/>
  <c r="BD86" i="14"/>
  <c r="BD87" i="14"/>
  <c r="BD88" i="14"/>
  <c r="BD89" i="14"/>
  <c r="BD90" i="14"/>
  <c r="BD91" i="14"/>
  <c r="BD92" i="14"/>
  <c r="BD93" i="14"/>
  <c r="BD94" i="14"/>
  <c r="BD95" i="14"/>
  <c r="BD96" i="14"/>
  <c r="BD97" i="14"/>
  <c r="BD98" i="14"/>
  <c r="BD99" i="14"/>
  <c r="BD100" i="14"/>
  <c r="BD101" i="14"/>
  <c r="BD102" i="14"/>
  <c r="BD103" i="14"/>
  <c r="BD104" i="14"/>
  <c r="BD105" i="14"/>
  <c r="BD106" i="14"/>
  <c r="BD107" i="14"/>
  <c r="BD108" i="14"/>
  <c r="BD109" i="14"/>
  <c r="BD110" i="14"/>
  <c r="BD111" i="14"/>
  <c r="BD112" i="14"/>
  <c r="BD113" i="14"/>
  <c r="BD114" i="14"/>
  <c r="BD115" i="14"/>
  <c r="BD116" i="14"/>
  <c r="BD117" i="14"/>
  <c r="BD118" i="14"/>
  <c r="BD119" i="14"/>
  <c r="BD120" i="14"/>
  <c r="BD121" i="14"/>
  <c r="BD122" i="14"/>
  <c r="BD123" i="14"/>
  <c r="BD124" i="14"/>
  <c r="BD125" i="14"/>
  <c r="BD126" i="14"/>
  <c r="BD127" i="14"/>
  <c r="BD128" i="14"/>
  <c r="BD129" i="14"/>
  <c r="BD130" i="14"/>
  <c r="BD131" i="14"/>
  <c r="BD132" i="14"/>
  <c r="BD133" i="14"/>
  <c r="BD134" i="14"/>
  <c r="BD135" i="14"/>
  <c r="BD136" i="14"/>
  <c r="BD137" i="14"/>
  <c r="BD138" i="14"/>
  <c r="BD139" i="14"/>
  <c r="BD140" i="14"/>
  <c r="BD141" i="14"/>
  <c r="BD142" i="14"/>
  <c r="BD143" i="14"/>
  <c r="BD144" i="14"/>
  <c r="BD145" i="14"/>
  <c r="BD146" i="14"/>
  <c r="BD147" i="14"/>
  <c r="BD148" i="14"/>
  <c r="BD149" i="14"/>
  <c r="BD150" i="14"/>
  <c r="BD151" i="14"/>
  <c r="BD152" i="14"/>
  <c r="BD153" i="14"/>
  <c r="BD154" i="14"/>
  <c r="BD155" i="14"/>
  <c r="BD156" i="14"/>
  <c r="BD157" i="14"/>
  <c r="BD158" i="14"/>
  <c r="BD159" i="14"/>
  <c r="BD160" i="14"/>
  <c r="BD161" i="14"/>
  <c r="BD162" i="14"/>
  <c r="BD163" i="14"/>
  <c r="BD164" i="14"/>
  <c r="BD165" i="14"/>
  <c r="BD166" i="14"/>
  <c r="BD167" i="14"/>
  <c r="BD168" i="14"/>
  <c r="BD169" i="14"/>
  <c r="BD170" i="14"/>
  <c r="BD171" i="14"/>
  <c r="BD172" i="14"/>
  <c r="BD173" i="14"/>
  <c r="BD174" i="14"/>
  <c r="BD175" i="14"/>
  <c r="BD176" i="14"/>
  <c r="BD177" i="14"/>
  <c r="BD178" i="14"/>
  <c r="BD179" i="14"/>
  <c r="BD180" i="14"/>
  <c r="BD181" i="14"/>
  <c r="BD182" i="14"/>
  <c r="BD183" i="14"/>
  <c r="BD184" i="14"/>
  <c r="BD185" i="14"/>
  <c r="BD186" i="14"/>
  <c r="BD187" i="14"/>
  <c r="BD188" i="14"/>
  <c r="BD189" i="14"/>
  <c r="BD190" i="14"/>
  <c r="BD191" i="14"/>
  <c r="BD192" i="14"/>
  <c r="BD193" i="14"/>
  <c r="BD194" i="14"/>
  <c r="BD195" i="14"/>
  <c r="BD196" i="14"/>
  <c r="BD197" i="14"/>
  <c r="BD198" i="14"/>
  <c r="BD199" i="14"/>
  <c r="BD200" i="14"/>
  <c r="BD201" i="14"/>
  <c r="BD202" i="14"/>
  <c r="BD203" i="14"/>
  <c r="BD204" i="14"/>
  <c r="BD205" i="14"/>
  <c r="BD206" i="14"/>
  <c r="BD207" i="14"/>
  <c r="BD208" i="14"/>
  <c r="BD209" i="14"/>
  <c r="BD210" i="14"/>
  <c r="BD211" i="14"/>
  <c r="BD212" i="14"/>
  <c r="BD213" i="14"/>
  <c r="BD214" i="14"/>
  <c r="BD215" i="14"/>
  <c r="BD216" i="14"/>
  <c r="BD217" i="14"/>
  <c r="BD218" i="14"/>
  <c r="BD219" i="14"/>
  <c r="BD220" i="14"/>
  <c r="BD221" i="14"/>
  <c r="BD222" i="14"/>
  <c r="BD223" i="14"/>
  <c r="BD224" i="14"/>
  <c r="BD225" i="14"/>
  <c r="BD226" i="14"/>
  <c r="BD227" i="14"/>
  <c r="BC2" i="14"/>
  <c r="BC3" i="14"/>
  <c r="BC4" i="14"/>
  <c r="BC5" i="14"/>
  <c r="BC6" i="14"/>
  <c r="BC7" i="14"/>
  <c r="BC8" i="14"/>
  <c r="BC9" i="14"/>
  <c r="BC10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C40" i="14"/>
  <c r="BC41" i="14"/>
  <c r="BC42" i="14"/>
  <c r="BC43" i="14"/>
  <c r="BC44" i="14"/>
  <c r="BC45" i="14"/>
  <c r="BC46" i="14"/>
  <c r="BC47" i="14"/>
  <c r="BC48" i="14"/>
  <c r="BC49" i="14"/>
  <c r="BC50" i="14"/>
  <c r="BC51" i="14"/>
  <c r="BC52" i="14"/>
  <c r="BC53" i="14"/>
  <c r="BC54" i="14"/>
  <c r="BC55" i="14"/>
  <c r="BC56" i="14"/>
  <c r="BC57" i="14"/>
  <c r="BC58" i="14"/>
  <c r="BC59" i="14"/>
  <c r="BC60" i="14"/>
  <c r="BC61" i="14"/>
  <c r="BC62" i="14"/>
  <c r="BC63" i="14"/>
  <c r="BC64" i="14"/>
  <c r="BC65" i="14"/>
  <c r="BC66" i="14"/>
  <c r="BC67" i="14"/>
  <c r="BC68" i="14"/>
  <c r="BC69" i="14"/>
  <c r="BC70" i="14"/>
  <c r="BC71" i="14"/>
  <c r="BC72" i="14"/>
  <c r="BC73" i="14"/>
  <c r="BC74" i="14"/>
  <c r="BC75" i="14"/>
  <c r="BC76" i="14"/>
  <c r="BC77" i="14"/>
  <c r="BC78" i="14"/>
  <c r="BC79" i="14"/>
  <c r="BC80" i="14"/>
  <c r="BC81" i="14"/>
  <c r="BC82" i="14"/>
  <c r="BC83" i="14"/>
  <c r="BC84" i="14"/>
  <c r="BC85" i="14"/>
  <c r="BC86" i="14"/>
  <c r="BC87" i="14"/>
  <c r="BC88" i="14"/>
  <c r="BC89" i="14"/>
  <c r="BC90" i="14"/>
  <c r="BC91" i="14"/>
  <c r="BC92" i="14"/>
  <c r="BC93" i="14"/>
  <c r="BC94" i="14"/>
  <c r="BC95" i="14"/>
  <c r="BC96" i="14"/>
  <c r="BC97" i="14"/>
  <c r="BC98" i="14"/>
  <c r="BC99" i="14"/>
  <c r="BC100" i="14"/>
  <c r="BC101" i="14"/>
  <c r="BC102" i="14"/>
  <c r="BC103" i="14"/>
  <c r="BC104" i="14"/>
  <c r="BC105" i="14"/>
  <c r="BC106" i="14"/>
  <c r="BC107" i="14"/>
  <c r="BC108" i="14"/>
  <c r="BC109" i="14"/>
  <c r="BC110" i="14"/>
  <c r="BC111" i="14"/>
  <c r="BC112" i="14"/>
  <c r="BC113" i="14"/>
  <c r="BC114" i="14"/>
  <c r="BC115" i="14"/>
  <c r="BC116" i="14"/>
  <c r="BC117" i="14"/>
  <c r="BC118" i="14"/>
  <c r="BC119" i="14"/>
  <c r="BC120" i="14"/>
  <c r="BC121" i="14"/>
  <c r="BC122" i="14"/>
  <c r="BC123" i="14"/>
  <c r="BC124" i="14"/>
  <c r="BC125" i="14"/>
  <c r="BC126" i="14"/>
  <c r="BC127" i="14"/>
  <c r="BC128" i="14"/>
  <c r="BC129" i="14"/>
  <c r="BC130" i="14"/>
  <c r="BC131" i="14"/>
  <c r="BC132" i="14"/>
  <c r="BC133" i="14"/>
  <c r="BC134" i="14"/>
  <c r="BC135" i="14"/>
  <c r="BC136" i="14"/>
  <c r="BC137" i="14"/>
  <c r="BC138" i="14"/>
  <c r="BC139" i="14"/>
  <c r="BC140" i="14"/>
  <c r="BC141" i="14"/>
  <c r="BC142" i="14"/>
  <c r="BC143" i="14"/>
  <c r="BC144" i="14"/>
  <c r="BC145" i="14"/>
  <c r="BC146" i="14"/>
  <c r="BC147" i="14"/>
  <c r="BC148" i="14"/>
  <c r="BC149" i="14"/>
  <c r="BC150" i="14"/>
  <c r="BC151" i="14"/>
  <c r="BC152" i="14"/>
  <c r="BC153" i="14"/>
  <c r="BC154" i="14"/>
  <c r="BC155" i="14"/>
  <c r="BC156" i="14"/>
  <c r="BC157" i="14"/>
  <c r="BC158" i="14"/>
  <c r="BC159" i="14"/>
  <c r="BC160" i="14"/>
  <c r="BC161" i="14"/>
  <c r="BC162" i="14"/>
  <c r="BC163" i="14"/>
  <c r="BC164" i="14"/>
  <c r="BC165" i="14"/>
  <c r="BC166" i="14"/>
  <c r="BC167" i="14"/>
  <c r="BC168" i="14"/>
  <c r="BC169" i="14"/>
  <c r="BC170" i="14"/>
  <c r="BC171" i="14"/>
  <c r="BC172" i="14"/>
  <c r="BC173" i="14"/>
  <c r="BC174" i="14"/>
  <c r="BC175" i="14"/>
  <c r="BC176" i="14"/>
  <c r="BC177" i="14"/>
  <c r="BC178" i="14"/>
  <c r="BC179" i="14"/>
  <c r="BC180" i="14"/>
  <c r="BC181" i="14"/>
  <c r="BC182" i="14"/>
  <c r="BC183" i="14"/>
  <c r="BC184" i="14"/>
  <c r="BC185" i="14"/>
  <c r="BC186" i="14"/>
  <c r="BC187" i="14"/>
  <c r="BC188" i="14"/>
  <c r="BC189" i="14"/>
  <c r="BC190" i="14"/>
  <c r="BC191" i="14"/>
  <c r="BC192" i="14"/>
  <c r="BC193" i="14"/>
  <c r="BC194" i="14"/>
  <c r="BC195" i="14"/>
  <c r="BC196" i="14"/>
  <c r="BC197" i="14"/>
  <c r="BC198" i="14"/>
  <c r="BC199" i="14"/>
  <c r="BC200" i="14"/>
  <c r="BC201" i="14"/>
  <c r="BC202" i="14"/>
  <c r="BC203" i="14"/>
  <c r="BC204" i="14"/>
  <c r="BC205" i="14"/>
  <c r="BC206" i="14"/>
  <c r="BC207" i="14"/>
  <c r="BC208" i="14"/>
  <c r="BC209" i="14"/>
  <c r="BC210" i="14"/>
  <c r="BC211" i="14"/>
  <c r="BC212" i="14"/>
  <c r="BC213" i="14"/>
  <c r="BC214" i="14"/>
  <c r="BC215" i="14"/>
  <c r="BC216" i="14"/>
  <c r="BC217" i="14"/>
  <c r="BC218" i="14"/>
  <c r="BC219" i="14"/>
  <c r="BC220" i="14"/>
  <c r="BC221" i="14"/>
  <c r="BC222" i="14"/>
  <c r="BC223" i="14"/>
  <c r="BC224" i="14"/>
  <c r="BC225" i="14"/>
  <c r="BC226" i="14"/>
  <c r="BC227" i="14"/>
  <c r="BB2" i="14"/>
  <c r="BB3" i="14"/>
  <c r="BB4" i="14"/>
  <c r="BB5" i="14"/>
  <c r="BB6" i="14"/>
  <c r="BB7" i="14"/>
  <c r="BB8" i="14"/>
  <c r="BB9" i="14"/>
  <c r="BB10" i="14"/>
  <c r="BB11" i="14"/>
  <c r="BB12" i="14"/>
  <c r="BB13" i="14"/>
  <c r="BB14" i="14"/>
  <c r="BB15" i="14"/>
  <c r="BB16" i="14"/>
  <c r="BB17" i="14"/>
  <c r="BB18" i="14"/>
  <c r="BB19" i="14"/>
  <c r="BB20" i="14"/>
  <c r="BB21" i="14"/>
  <c r="BB22" i="14"/>
  <c r="BB23" i="14"/>
  <c r="BB24" i="14"/>
  <c r="BB25" i="14"/>
  <c r="BB26" i="14"/>
  <c r="BB27" i="14"/>
  <c r="BB28" i="14"/>
  <c r="BB29" i="14"/>
  <c r="BB30" i="14"/>
  <c r="BB31" i="14"/>
  <c r="BB32" i="14"/>
  <c r="BB33" i="14"/>
  <c r="BB34" i="14"/>
  <c r="BB35" i="14"/>
  <c r="BB36" i="14"/>
  <c r="BB37" i="14"/>
  <c r="BB38" i="14"/>
  <c r="BB39" i="14"/>
  <c r="BB40" i="14"/>
  <c r="BB41" i="14"/>
  <c r="BB42" i="14"/>
  <c r="BB43" i="14"/>
  <c r="BB44" i="14"/>
  <c r="BB45" i="14"/>
  <c r="BB46" i="14"/>
  <c r="BB47" i="14"/>
  <c r="BB48" i="14"/>
  <c r="BB49" i="14"/>
  <c r="BB50" i="14"/>
  <c r="BB51" i="14"/>
  <c r="BB52" i="14"/>
  <c r="BB53" i="14"/>
  <c r="BB54" i="14"/>
  <c r="BB55" i="14"/>
  <c r="BB56" i="14"/>
  <c r="BB57" i="14"/>
  <c r="BB58" i="14"/>
  <c r="BB59" i="14"/>
  <c r="BB60" i="14"/>
  <c r="BB61" i="14"/>
  <c r="BB62" i="14"/>
  <c r="BB63" i="14"/>
  <c r="BB64" i="14"/>
  <c r="BB65" i="14"/>
  <c r="BB66" i="14"/>
  <c r="BB67" i="14"/>
  <c r="BB68" i="14"/>
  <c r="BB69" i="14"/>
  <c r="BB70" i="14"/>
  <c r="BB71" i="14"/>
  <c r="BB72" i="14"/>
  <c r="BB73" i="14"/>
  <c r="BB74" i="14"/>
  <c r="BB75" i="14"/>
  <c r="BB76" i="14"/>
  <c r="BB77" i="14"/>
  <c r="BB78" i="14"/>
  <c r="BB79" i="14"/>
  <c r="BB80" i="14"/>
  <c r="BB81" i="14"/>
  <c r="BB82" i="14"/>
  <c r="BB83" i="14"/>
  <c r="BB84" i="14"/>
  <c r="BB85" i="14"/>
  <c r="BB86" i="14"/>
  <c r="BB87" i="14"/>
  <c r="BB88" i="14"/>
  <c r="BB89" i="14"/>
  <c r="BB90" i="14"/>
  <c r="BB91" i="14"/>
  <c r="BB92" i="14"/>
  <c r="BB93" i="14"/>
  <c r="BB94" i="14"/>
  <c r="BB95" i="14"/>
  <c r="BB96" i="14"/>
  <c r="BB97" i="14"/>
  <c r="BB98" i="14"/>
  <c r="BB99" i="14"/>
  <c r="BB100" i="14"/>
  <c r="BB101" i="14"/>
  <c r="BB102" i="14"/>
  <c r="BB103" i="14"/>
  <c r="BB104" i="14"/>
  <c r="BB105" i="14"/>
  <c r="BB106" i="14"/>
  <c r="BB107" i="14"/>
  <c r="BB108" i="14"/>
  <c r="BB109" i="14"/>
  <c r="BB110" i="14"/>
  <c r="BB111" i="14"/>
  <c r="BB112" i="14"/>
  <c r="BB113" i="14"/>
  <c r="BB114" i="14"/>
  <c r="BB115" i="14"/>
  <c r="BB116" i="14"/>
  <c r="BB117" i="14"/>
  <c r="BB118" i="14"/>
  <c r="BB119" i="14"/>
  <c r="BB120" i="14"/>
  <c r="BB121" i="14"/>
  <c r="BB122" i="14"/>
  <c r="BB123" i="14"/>
  <c r="BB124" i="14"/>
  <c r="BB125" i="14"/>
  <c r="BB126" i="14"/>
  <c r="BB127" i="14"/>
  <c r="BB128" i="14"/>
  <c r="BB129" i="14"/>
  <c r="BB130" i="14"/>
  <c r="BB131" i="14"/>
  <c r="BB132" i="14"/>
  <c r="BB133" i="14"/>
  <c r="BB134" i="14"/>
  <c r="BB135" i="14"/>
  <c r="BB136" i="14"/>
  <c r="BB137" i="14"/>
  <c r="BB138" i="14"/>
  <c r="BB139" i="14"/>
  <c r="BB140" i="14"/>
  <c r="BB141" i="14"/>
  <c r="BB142" i="14"/>
  <c r="BB143" i="14"/>
  <c r="BB144" i="14"/>
  <c r="BB145" i="14"/>
  <c r="BB146" i="14"/>
  <c r="BB147" i="14"/>
  <c r="BB148" i="14"/>
  <c r="BB149" i="14"/>
  <c r="BB150" i="14"/>
  <c r="BB151" i="14"/>
  <c r="BB152" i="14"/>
  <c r="BB153" i="14"/>
  <c r="BB154" i="14"/>
  <c r="BB155" i="14"/>
  <c r="BB156" i="14"/>
  <c r="BB157" i="14"/>
  <c r="BB158" i="14"/>
  <c r="BB159" i="14"/>
  <c r="BB160" i="14"/>
  <c r="BB161" i="14"/>
  <c r="BB162" i="14"/>
  <c r="BB163" i="14"/>
  <c r="BB164" i="14"/>
  <c r="BB165" i="14"/>
  <c r="BB166" i="14"/>
  <c r="BB167" i="14"/>
  <c r="BB168" i="14"/>
  <c r="BB169" i="14"/>
  <c r="BB170" i="14"/>
  <c r="BB171" i="14"/>
  <c r="BB172" i="14"/>
  <c r="BB173" i="14"/>
  <c r="BB174" i="14"/>
  <c r="BB175" i="14"/>
  <c r="BB176" i="14"/>
  <c r="BB177" i="14"/>
  <c r="BB178" i="14"/>
  <c r="BB179" i="14"/>
  <c r="BB180" i="14"/>
  <c r="BB181" i="14"/>
  <c r="BB182" i="14"/>
  <c r="BB183" i="14"/>
  <c r="BB184" i="14"/>
  <c r="BB185" i="14"/>
  <c r="BB186" i="14"/>
  <c r="BB187" i="14"/>
  <c r="BB188" i="14"/>
  <c r="BB189" i="14"/>
  <c r="BB190" i="14"/>
  <c r="BB191" i="14"/>
  <c r="BB192" i="14"/>
  <c r="BB193" i="14"/>
  <c r="BB194" i="14"/>
  <c r="BB195" i="14"/>
  <c r="BB196" i="14"/>
  <c r="BB197" i="14"/>
  <c r="BB198" i="14"/>
  <c r="BB199" i="14"/>
  <c r="BB200" i="14"/>
  <c r="BB201" i="14"/>
  <c r="BB202" i="14"/>
  <c r="BB203" i="14"/>
  <c r="BB204" i="14"/>
  <c r="BB205" i="14"/>
  <c r="BB206" i="14"/>
  <c r="BB207" i="14"/>
  <c r="BB208" i="14"/>
  <c r="BB209" i="14"/>
  <c r="BB210" i="14"/>
  <c r="BB211" i="14"/>
  <c r="BB212" i="14"/>
  <c r="BB213" i="14"/>
  <c r="BB214" i="14"/>
  <c r="BB215" i="14"/>
  <c r="BB216" i="14"/>
  <c r="BB217" i="14"/>
  <c r="BB218" i="14"/>
  <c r="BB219" i="14"/>
  <c r="BB220" i="14"/>
  <c r="BB221" i="14"/>
  <c r="BB222" i="14"/>
  <c r="BB223" i="14"/>
  <c r="BB224" i="14"/>
  <c r="BB225" i="14"/>
  <c r="BB226" i="14"/>
  <c r="BB227" i="14"/>
  <c r="BA2" i="1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58" i="14"/>
  <c r="BA59" i="14"/>
  <c r="BA60" i="14"/>
  <c r="BA61" i="14"/>
  <c r="BA62" i="14"/>
  <c r="BA63" i="14"/>
  <c r="BA64" i="14"/>
  <c r="BA65" i="14"/>
  <c r="BA66" i="14"/>
  <c r="BA67" i="14"/>
  <c r="BA68" i="14"/>
  <c r="BA69" i="14"/>
  <c r="BA70" i="14"/>
  <c r="BA71" i="14"/>
  <c r="BA72" i="14"/>
  <c r="BA73" i="14"/>
  <c r="BA74" i="14"/>
  <c r="BA75" i="14"/>
  <c r="BA76" i="14"/>
  <c r="BA77" i="14"/>
  <c r="BA78" i="14"/>
  <c r="BA79" i="14"/>
  <c r="BA80" i="14"/>
  <c r="BA81" i="14"/>
  <c r="BA82" i="14"/>
  <c r="BA83" i="14"/>
  <c r="BA84" i="14"/>
  <c r="BA85" i="14"/>
  <c r="BA86" i="14"/>
  <c r="BA87" i="14"/>
  <c r="BA88" i="14"/>
  <c r="BA89" i="14"/>
  <c r="BA90" i="14"/>
  <c r="BA91" i="14"/>
  <c r="BA92" i="14"/>
  <c r="BA93" i="14"/>
  <c r="BA94" i="14"/>
  <c r="BA95" i="14"/>
  <c r="BA96" i="14"/>
  <c r="BA97" i="14"/>
  <c r="BA98" i="14"/>
  <c r="BA99" i="14"/>
  <c r="BA100" i="14"/>
  <c r="BA101" i="14"/>
  <c r="BA102" i="14"/>
  <c r="BA103" i="14"/>
  <c r="BA104" i="14"/>
  <c r="BA105" i="14"/>
  <c r="BA106" i="14"/>
  <c r="BA107" i="14"/>
  <c r="BA108" i="14"/>
  <c r="BA109" i="14"/>
  <c r="BA110" i="14"/>
  <c r="BA111" i="14"/>
  <c r="BA112" i="14"/>
  <c r="BA113" i="14"/>
  <c r="BA114" i="14"/>
  <c r="BA115" i="14"/>
  <c r="BA116" i="14"/>
  <c r="BA117" i="14"/>
  <c r="BA118" i="14"/>
  <c r="BA119" i="14"/>
  <c r="BA120" i="14"/>
  <c r="BA121" i="14"/>
  <c r="BA122" i="14"/>
  <c r="BA123" i="14"/>
  <c r="BA124" i="14"/>
  <c r="BA125" i="14"/>
  <c r="BA126" i="14"/>
  <c r="BA127" i="14"/>
  <c r="BA128" i="14"/>
  <c r="BA129" i="14"/>
  <c r="BA130" i="14"/>
  <c r="BA131" i="14"/>
  <c r="BA132" i="14"/>
  <c r="BA133" i="14"/>
  <c r="BA134" i="14"/>
  <c r="BA135" i="14"/>
  <c r="BA136" i="14"/>
  <c r="BA137" i="14"/>
  <c r="BA138" i="14"/>
  <c r="BA139" i="14"/>
  <c r="BA140" i="14"/>
  <c r="BA141" i="14"/>
  <c r="BA142" i="14"/>
  <c r="BA143" i="14"/>
  <c r="BA144" i="14"/>
  <c r="BA145" i="14"/>
  <c r="BA146" i="14"/>
  <c r="BA147" i="14"/>
  <c r="BA148" i="14"/>
  <c r="BA149" i="14"/>
  <c r="BA150" i="14"/>
  <c r="BA151" i="14"/>
  <c r="BA152" i="14"/>
  <c r="BA153" i="14"/>
  <c r="BA154" i="14"/>
  <c r="BA155" i="14"/>
  <c r="BA156" i="14"/>
  <c r="BA157" i="14"/>
  <c r="BA158" i="14"/>
  <c r="BA159" i="14"/>
  <c r="BA160" i="14"/>
  <c r="BA161" i="14"/>
  <c r="BA162" i="14"/>
  <c r="BA163" i="14"/>
  <c r="BA164" i="14"/>
  <c r="BA165" i="14"/>
  <c r="BA166" i="14"/>
  <c r="BA167" i="14"/>
  <c r="BA168" i="14"/>
  <c r="BA169" i="14"/>
  <c r="BA170" i="14"/>
  <c r="BA171" i="14"/>
  <c r="BA172" i="14"/>
  <c r="BA173" i="14"/>
  <c r="BA174" i="14"/>
  <c r="BA175" i="14"/>
  <c r="BA176" i="14"/>
  <c r="BA177" i="14"/>
  <c r="BA178" i="14"/>
  <c r="BA179" i="14"/>
  <c r="BA180" i="14"/>
  <c r="BA181" i="14"/>
  <c r="BA182" i="14"/>
  <c r="BA183" i="14"/>
  <c r="BA184" i="14"/>
  <c r="BA185" i="14"/>
  <c r="BA186" i="14"/>
  <c r="BA187" i="14"/>
  <c r="BA188" i="14"/>
  <c r="BA189" i="14"/>
  <c r="BA190" i="14"/>
  <c r="BA191" i="14"/>
  <c r="BA192" i="14"/>
  <c r="BA193" i="14"/>
  <c r="BA194" i="14"/>
  <c r="BA195" i="14"/>
  <c r="BA196" i="14"/>
  <c r="BA197" i="14"/>
  <c r="BA198" i="14"/>
  <c r="BA199" i="14"/>
  <c r="BA200" i="14"/>
  <c r="BA201" i="14"/>
  <c r="BA202" i="14"/>
  <c r="BA203" i="14"/>
  <c r="BA204" i="14"/>
  <c r="BA205" i="14"/>
  <c r="BA206" i="14"/>
  <c r="BA207" i="14"/>
  <c r="BA208" i="14"/>
  <c r="BA209" i="14"/>
  <c r="BA210" i="14"/>
  <c r="BA211" i="14"/>
  <c r="BA212" i="14"/>
  <c r="BA213" i="14"/>
  <c r="BA214" i="14"/>
  <c r="BA215" i="14"/>
  <c r="BA216" i="14"/>
  <c r="BA217" i="14"/>
  <c r="BA218" i="14"/>
  <c r="BA219" i="14"/>
  <c r="BA220" i="14"/>
  <c r="BA221" i="14"/>
  <c r="BA222" i="14"/>
  <c r="BA223" i="14"/>
  <c r="BA224" i="14"/>
  <c r="BA225" i="14"/>
  <c r="BA226" i="14"/>
  <c r="BA227" i="14"/>
  <c r="AZ2" i="1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58" i="14"/>
  <c r="AZ59" i="14"/>
  <c r="AZ60" i="14"/>
  <c r="AZ61" i="14"/>
  <c r="AZ62" i="14"/>
  <c r="AZ63" i="14"/>
  <c r="AZ64" i="14"/>
  <c r="AZ65" i="14"/>
  <c r="AZ66" i="14"/>
  <c r="AZ67" i="14"/>
  <c r="AZ68" i="14"/>
  <c r="AZ69" i="14"/>
  <c r="AZ70" i="14"/>
  <c r="AZ71" i="14"/>
  <c r="AZ72" i="14"/>
  <c r="AZ73" i="14"/>
  <c r="AZ74" i="14"/>
  <c r="AZ75" i="14"/>
  <c r="AZ76" i="14"/>
  <c r="AZ77" i="14"/>
  <c r="AZ78" i="14"/>
  <c r="AZ79" i="14"/>
  <c r="AZ80" i="14"/>
  <c r="AZ81" i="14"/>
  <c r="AZ82" i="14"/>
  <c r="AZ83" i="14"/>
  <c r="AZ84" i="14"/>
  <c r="AZ85" i="14"/>
  <c r="AZ86" i="14"/>
  <c r="AZ87" i="14"/>
  <c r="AZ88" i="14"/>
  <c r="AZ89" i="14"/>
  <c r="AZ90" i="14"/>
  <c r="AZ91" i="14"/>
  <c r="AZ92" i="14"/>
  <c r="AZ93" i="14"/>
  <c r="AZ94" i="14"/>
  <c r="AZ95" i="14"/>
  <c r="AZ96" i="14"/>
  <c r="AZ97" i="14"/>
  <c r="AZ98" i="14"/>
  <c r="AZ99" i="14"/>
  <c r="AZ100" i="14"/>
  <c r="AZ101" i="14"/>
  <c r="AZ102" i="14"/>
  <c r="AZ103" i="14"/>
  <c r="AZ104" i="14"/>
  <c r="AZ105" i="14"/>
  <c r="AZ106" i="14"/>
  <c r="AZ107" i="14"/>
  <c r="AZ108" i="14"/>
  <c r="AZ109" i="14"/>
  <c r="AZ110" i="14"/>
  <c r="AZ111" i="14"/>
  <c r="AZ112" i="14"/>
  <c r="AZ113" i="14"/>
  <c r="AZ114" i="14"/>
  <c r="AZ115" i="14"/>
  <c r="AZ116" i="14"/>
  <c r="AZ117" i="14"/>
  <c r="AZ118" i="14"/>
  <c r="AZ119" i="14"/>
  <c r="AZ120" i="14"/>
  <c r="AZ121" i="14"/>
  <c r="AZ122" i="14"/>
  <c r="AZ123" i="14"/>
  <c r="AZ124" i="14"/>
  <c r="AZ125" i="14"/>
  <c r="AZ126" i="14"/>
  <c r="AZ127" i="14"/>
  <c r="AZ128" i="14"/>
  <c r="AZ129" i="14"/>
  <c r="AZ130" i="14"/>
  <c r="AZ131" i="14"/>
  <c r="AZ132" i="14"/>
  <c r="AZ133" i="14"/>
  <c r="AZ134" i="14"/>
  <c r="AZ135" i="14"/>
  <c r="AZ136" i="14"/>
  <c r="AZ137" i="14"/>
  <c r="AZ138" i="14"/>
  <c r="AZ139" i="14"/>
  <c r="AZ140" i="14"/>
  <c r="AZ141" i="14"/>
  <c r="AZ142" i="14"/>
  <c r="AZ143" i="14"/>
  <c r="AZ144" i="14"/>
  <c r="AZ145" i="14"/>
  <c r="AZ146" i="14"/>
  <c r="AZ147" i="14"/>
  <c r="AZ148" i="14"/>
  <c r="AZ149" i="14"/>
  <c r="AZ150" i="14"/>
  <c r="AZ151" i="14"/>
  <c r="AZ152" i="14"/>
  <c r="AZ153" i="14"/>
  <c r="AZ154" i="14"/>
  <c r="AZ155" i="14"/>
  <c r="AZ156" i="14"/>
  <c r="AZ157" i="14"/>
  <c r="AZ158" i="14"/>
  <c r="AZ159" i="14"/>
  <c r="AZ160" i="14"/>
  <c r="AZ161" i="14"/>
  <c r="AZ162" i="14"/>
  <c r="AZ163" i="14"/>
  <c r="AZ164" i="14"/>
  <c r="AZ165" i="14"/>
  <c r="AZ166" i="14"/>
  <c r="AZ167" i="14"/>
  <c r="AZ168" i="14"/>
  <c r="AZ169" i="14"/>
  <c r="AZ170" i="14"/>
  <c r="AZ171" i="14"/>
  <c r="AZ172" i="14"/>
  <c r="AZ173" i="14"/>
  <c r="AZ174" i="14"/>
  <c r="AZ175" i="14"/>
  <c r="AZ176" i="14"/>
  <c r="AZ177" i="14"/>
  <c r="AZ178" i="14"/>
  <c r="AZ179" i="14"/>
  <c r="AZ180" i="14"/>
  <c r="AZ181" i="14"/>
  <c r="AZ182" i="14"/>
  <c r="AZ183" i="14"/>
  <c r="AZ184" i="14"/>
  <c r="AZ185" i="14"/>
  <c r="AZ186" i="14"/>
  <c r="AZ187" i="14"/>
  <c r="AZ188" i="14"/>
  <c r="AZ189" i="14"/>
  <c r="AZ190" i="14"/>
  <c r="AZ191" i="14"/>
  <c r="AZ192" i="14"/>
  <c r="AZ193" i="14"/>
  <c r="AZ194" i="14"/>
  <c r="AZ195" i="14"/>
  <c r="AZ196" i="14"/>
  <c r="AZ197" i="14"/>
  <c r="AZ198" i="14"/>
  <c r="AZ199" i="14"/>
  <c r="AZ200" i="14"/>
  <c r="AZ201" i="14"/>
  <c r="AZ202" i="14"/>
  <c r="AZ203" i="14"/>
  <c r="AZ204" i="14"/>
  <c r="AZ205" i="14"/>
  <c r="AZ206" i="14"/>
  <c r="AZ207" i="14"/>
  <c r="AZ208" i="14"/>
  <c r="AZ209" i="14"/>
  <c r="AZ210" i="14"/>
  <c r="AZ211" i="14"/>
  <c r="AZ212" i="14"/>
  <c r="AZ213" i="14"/>
  <c r="AZ214" i="14"/>
  <c r="AZ215" i="14"/>
  <c r="AZ216" i="14"/>
  <c r="AZ217" i="14"/>
  <c r="AZ218" i="14"/>
  <c r="AZ219" i="14"/>
  <c r="AZ220" i="14"/>
  <c r="AZ221" i="14"/>
  <c r="AZ222" i="14"/>
  <c r="AZ223" i="14"/>
  <c r="AZ224" i="14"/>
  <c r="AZ225" i="14"/>
  <c r="AZ226" i="14"/>
  <c r="AZ227" i="14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57" i="14"/>
  <c r="AY58" i="14"/>
  <c r="AY59" i="14"/>
  <c r="AY60" i="14"/>
  <c r="AY61" i="14"/>
  <c r="AY62" i="14"/>
  <c r="AY63" i="14"/>
  <c r="AY64" i="14"/>
  <c r="AY65" i="14"/>
  <c r="AY66" i="14"/>
  <c r="AY67" i="14"/>
  <c r="AY68" i="14"/>
  <c r="AY69" i="14"/>
  <c r="AY70" i="14"/>
  <c r="AY71" i="14"/>
  <c r="AY72" i="14"/>
  <c r="AY73" i="14"/>
  <c r="AY74" i="14"/>
  <c r="AY75" i="14"/>
  <c r="AY76" i="14"/>
  <c r="AY77" i="14"/>
  <c r="AY78" i="14"/>
  <c r="AY79" i="14"/>
  <c r="AY80" i="14"/>
  <c r="AY81" i="14"/>
  <c r="AY82" i="14"/>
  <c r="AY83" i="14"/>
  <c r="AY84" i="14"/>
  <c r="AY85" i="14"/>
  <c r="AY86" i="14"/>
  <c r="AY87" i="14"/>
  <c r="AY88" i="14"/>
  <c r="AY89" i="14"/>
  <c r="AY90" i="14"/>
  <c r="AY91" i="14"/>
  <c r="AY92" i="14"/>
  <c r="AY93" i="14"/>
  <c r="AY94" i="14"/>
  <c r="AY95" i="14"/>
  <c r="AY96" i="14"/>
  <c r="AY97" i="14"/>
  <c r="AY98" i="14"/>
  <c r="AY99" i="14"/>
  <c r="AY100" i="14"/>
  <c r="AY101" i="14"/>
  <c r="AY102" i="14"/>
  <c r="AY103" i="14"/>
  <c r="AY104" i="14"/>
  <c r="AY105" i="14"/>
  <c r="AY106" i="14"/>
  <c r="AY107" i="14"/>
  <c r="AY108" i="14"/>
  <c r="AY109" i="14"/>
  <c r="AY110" i="14"/>
  <c r="AY111" i="14"/>
  <c r="AY112" i="14"/>
  <c r="AY113" i="14"/>
  <c r="AY114" i="14"/>
  <c r="AY115" i="14"/>
  <c r="AY116" i="14"/>
  <c r="AY117" i="14"/>
  <c r="AY118" i="14"/>
  <c r="AY119" i="14"/>
  <c r="AY120" i="14"/>
  <c r="AY121" i="14"/>
  <c r="AY122" i="14"/>
  <c r="AY123" i="14"/>
  <c r="AY124" i="14"/>
  <c r="AY125" i="14"/>
  <c r="AY126" i="14"/>
  <c r="AY127" i="14"/>
  <c r="AY128" i="14"/>
  <c r="AY129" i="14"/>
  <c r="AY130" i="14"/>
  <c r="AY131" i="14"/>
  <c r="AY132" i="14"/>
  <c r="AY133" i="14"/>
  <c r="AY134" i="14"/>
  <c r="AY135" i="14"/>
  <c r="AY136" i="14"/>
  <c r="AY137" i="14"/>
  <c r="AY138" i="14"/>
  <c r="AY139" i="14"/>
  <c r="AY140" i="14"/>
  <c r="AY141" i="14"/>
  <c r="AY142" i="14"/>
  <c r="AY143" i="14"/>
  <c r="AY144" i="14"/>
  <c r="AY145" i="14"/>
  <c r="AY146" i="14"/>
  <c r="AY147" i="14"/>
  <c r="AY148" i="14"/>
  <c r="AY149" i="14"/>
  <c r="AY150" i="14"/>
  <c r="AY151" i="14"/>
  <c r="AY152" i="14"/>
  <c r="AY153" i="14"/>
  <c r="AY154" i="14"/>
  <c r="AY155" i="14"/>
  <c r="AY156" i="14"/>
  <c r="AY157" i="14"/>
  <c r="AY158" i="14"/>
  <c r="AY159" i="14"/>
  <c r="AY160" i="14"/>
  <c r="AY161" i="14"/>
  <c r="AY162" i="14"/>
  <c r="AY163" i="14"/>
  <c r="AY164" i="14"/>
  <c r="AY165" i="14"/>
  <c r="AY166" i="14"/>
  <c r="AY167" i="14"/>
  <c r="AY168" i="14"/>
  <c r="AY169" i="14"/>
  <c r="AY170" i="14"/>
  <c r="AY171" i="14"/>
  <c r="AY172" i="14"/>
  <c r="AY173" i="14"/>
  <c r="AY174" i="14"/>
  <c r="AY175" i="14"/>
  <c r="AY176" i="14"/>
  <c r="AY177" i="14"/>
  <c r="AY178" i="14"/>
  <c r="AY179" i="14"/>
  <c r="AY180" i="14"/>
  <c r="AY181" i="14"/>
  <c r="AY182" i="14"/>
  <c r="AY183" i="14"/>
  <c r="AY184" i="14"/>
  <c r="AY185" i="14"/>
  <c r="AY186" i="14"/>
  <c r="AY187" i="14"/>
  <c r="AY188" i="14"/>
  <c r="AY189" i="14"/>
  <c r="AY190" i="14"/>
  <c r="AY191" i="14"/>
  <c r="AY192" i="14"/>
  <c r="AY193" i="14"/>
  <c r="AY194" i="14"/>
  <c r="AY195" i="14"/>
  <c r="AY196" i="14"/>
  <c r="AY197" i="14"/>
  <c r="AY198" i="14"/>
  <c r="AY199" i="14"/>
  <c r="AY200" i="14"/>
  <c r="AY201" i="14"/>
  <c r="AY202" i="14"/>
  <c r="AY203" i="14"/>
  <c r="AY204" i="14"/>
  <c r="AY205" i="14"/>
  <c r="AY206" i="14"/>
  <c r="AY207" i="14"/>
  <c r="AY208" i="14"/>
  <c r="AY209" i="14"/>
  <c r="AY210" i="14"/>
  <c r="AY211" i="14"/>
  <c r="AY212" i="14"/>
  <c r="AY213" i="14"/>
  <c r="AY214" i="14"/>
  <c r="AY215" i="14"/>
  <c r="AY216" i="14"/>
  <c r="AY217" i="14"/>
  <c r="AY218" i="14"/>
  <c r="AY219" i="14"/>
  <c r="AY220" i="14"/>
  <c r="AY221" i="14"/>
  <c r="AY222" i="14"/>
  <c r="AY223" i="14"/>
  <c r="AY224" i="14"/>
  <c r="AY225" i="14"/>
  <c r="AY226" i="14"/>
  <c r="AY227" i="14"/>
  <c r="AX2" i="14"/>
  <c r="AX3" i="14"/>
  <c r="AX4" i="14"/>
  <c r="AX5" i="14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26" i="14"/>
  <c r="AX27" i="14"/>
  <c r="AX28" i="14"/>
  <c r="AX29" i="14"/>
  <c r="AX30" i="14"/>
  <c r="AX31" i="14"/>
  <c r="AX32" i="14"/>
  <c r="AX33" i="14"/>
  <c r="AX34" i="14"/>
  <c r="AX35" i="14"/>
  <c r="AX36" i="14"/>
  <c r="AX37" i="14"/>
  <c r="AX38" i="14"/>
  <c r="AX39" i="14"/>
  <c r="AX40" i="14"/>
  <c r="AX41" i="14"/>
  <c r="AX42" i="14"/>
  <c r="AX43" i="14"/>
  <c r="AX44" i="14"/>
  <c r="AX45" i="14"/>
  <c r="AX46" i="14"/>
  <c r="AX47" i="14"/>
  <c r="AX48" i="14"/>
  <c r="AX49" i="14"/>
  <c r="AX50" i="14"/>
  <c r="AX51" i="14"/>
  <c r="AX52" i="14"/>
  <c r="AX53" i="14"/>
  <c r="AX54" i="14"/>
  <c r="AX55" i="14"/>
  <c r="AX56" i="14"/>
  <c r="AX57" i="14"/>
  <c r="AX58" i="14"/>
  <c r="AX59" i="14"/>
  <c r="AX60" i="14"/>
  <c r="AX61" i="14"/>
  <c r="AX62" i="14"/>
  <c r="AX63" i="14"/>
  <c r="AX64" i="14"/>
  <c r="AX65" i="14"/>
  <c r="AX66" i="14"/>
  <c r="AX67" i="14"/>
  <c r="AX68" i="14"/>
  <c r="AX69" i="14"/>
  <c r="AX70" i="14"/>
  <c r="AX71" i="14"/>
  <c r="AX72" i="14"/>
  <c r="AX73" i="14"/>
  <c r="AX74" i="14"/>
  <c r="AX75" i="14"/>
  <c r="AX76" i="14"/>
  <c r="AX77" i="14"/>
  <c r="AX78" i="14"/>
  <c r="AX79" i="14"/>
  <c r="AX80" i="14"/>
  <c r="AX81" i="14"/>
  <c r="AX82" i="14"/>
  <c r="AX83" i="14"/>
  <c r="AX84" i="14"/>
  <c r="AX85" i="14"/>
  <c r="AX86" i="14"/>
  <c r="AX87" i="14"/>
  <c r="AX88" i="14"/>
  <c r="AX89" i="14"/>
  <c r="AX90" i="14"/>
  <c r="AX91" i="14"/>
  <c r="AX92" i="14"/>
  <c r="AX93" i="14"/>
  <c r="AX94" i="14"/>
  <c r="AX95" i="14"/>
  <c r="AX96" i="14"/>
  <c r="AX97" i="14"/>
  <c r="AX98" i="14"/>
  <c r="AX99" i="14"/>
  <c r="AX100" i="14"/>
  <c r="AX101" i="14"/>
  <c r="AX102" i="14"/>
  <c r="AX103" i="14"/>
  <c r="AX104" i="14"/>
  <c r="AX105" i="14"/>
  <c r="AX106" i="14"/>
  <c r="AX107" i="14"/>
  <c r="AX108" i="14"/>
  <c r="AX109" i="14"/>
  <c r="AX110" i="14"/>
  <c r="AX111" i="14"/>
  <c r="AX112" i="14"/>
  <c r="AX113" i="14"/>
  <c r="AX114" i="14"/>
  <c r="AX115" i="14"/>
  <c r="AX116" i="14"/>
  <c r="AX117" i="14"/>
  <c r="AX118" i="14"/>
  <c r="AX119" i="14"/>
  <c r="AX120" i="14"/>
  <c r="AX121" i="14"/>
  <c r="AX122" i="14"/>
  <c r="AX123" i="14"/>
  <c r="AX124" i="14"/>
  <c r="AX125" i="14"/>
  <c r="AX126" i="14"/>
  <c r="AX127" i="14"/>
  <c r="AX128" i="14"/>
  <c r="AX129" i="14"/>
  <c r="AX130" i="14"/>
  <c r="AX131" i="14"/>
  <c r="AX132" i="14"/>
  <c r="AX133" i="14"/>
  <c r="AX134" i="14"/>
  <c r="AX135" i="14"/>
  <c r="AX136" i="14"/>
  <c r="AX137" i="14"/>
  <c r="AX138" i="14"/>
  <c r="AX139" i="14"/>
  <c r="AX140" i="14"/>
  <c r="AX141" i="14"/>
  <c r="AX142" i="14"/>
  <c r="AX143" i="14"/>
  <c r="AX144" i="14"/>
  <c r="AX145" i="14"/>
  <c r="AX146" i="14"/>
  <c r="AX147" i="14"/>
  <c r="AX148" i="14"/>
  <c r="AX149" i="14"/>
  <c r="AX150" i="14"/>
  <c r="AX151" i="14"/>
  <c r="AX152" i="14"/>
  <c r="AX153" i="14"/>
  <c r="AX154" i="14"/>
  <c r="AX155" i="14"/>
  <c r="AX156" i="14"/>
  <c r="AX157" i="14"/>
  <c r="AX158" i="14"/>
  <c r="AX159" i="14"/>
  <c r="AX160" i="14"/>
  <c r="AX161" i="14"/>
  <c r="AX162" i="14"/>
  <c r="AX163" i="14"/>
  <c r="AX164" i="14"/>
  <c r="AX165" i="14"/>
  <c r="AX166" i="14"/>
  <c r="AX167" i="14"/>
  <c r="AX168" i="14"/>
  <c r="AX169" i="14"/>
  <c r="AX170" i="14"/>
  <c r="AX171" i="14"/>
  <c r="AX172" i="14"/>
  <c r="AX173" i="14"/>
  <c r="AX174" i="14"/>
  <c r="AX175" i="14"/>
  <c r="AX176" i="14"/>
  <c r="AX177" i="14"/>
  <c r="AX178" i="14"/>
  <c r="AX179" i="14"/>
  <c r="AX180" i="14"/>
  <c r="AX181" i="14"/>
  <c r="AX182" i="14"/>
  <c r="AX183" i="14"/>
  <c r="AX184" i="14"/>
  <c r="AX185" i="14"/>
  <c r="AX186" i="14"/>
  <c r="AX187" i="14"/>
  <c r="AX188" i="14"/>
  <c r="AX189" i="14"/>
  <c r="AX190" i="14"/>
  <c r="AX191" i="14"/>
  <c r="AX192" i="14"/>
  <c r="AX193" i="14"/>
  <c r="AX194" i="14"/>
  <c r="AX195" i="14"/>
  <c r="AX196" i="14"/>
  <c r="AX197" i="14"/>
  <c r="AX198" i="14"/>
  <c r="AX199" i="14"/>
  <c r="AX200" i="14"/>
  <c r="AX201" i="14"/>
  <c r="AX202" i="14"/>
  <c r="AX203" i="14"/>
  <c r="AX204" i="14"/>
  <c r="AX205" i="14"/>
  <c r="AX206" i="14"/>
  <c r="AX207" i="14"/>
  <c r="AX208" i="14"/>
  <c r="AX209" i="14"/>
  <c r="AX210" i="14"/>
  <c r="AX211" i="14"/>
  <c r="AX212" i="14"/>
  <c r="AX213" i="14"/>
  <c r="AX214" i="14"/>
  <c r="AX215" i="14"/>
  <c r="AX216" i="14"/>
  <c r="AX217" i="14"/>
  <c r="AX218" i="14"/>
  <c r="AX219" i="14"/>
  <c r="AX220" i="14"/>
  <c r="AX221" i="14"/>
  <c r="AX222" i="14"/>
  <c r="AX223" i="14"/>
  <c r="AX224" i="14"/>
  <c r="AX225" i="14"/>
  <c r="AX226" i="14"/>
  <c r="AX227" i="14"/>
  <c r="AV2" i="14"/>
  <c r="AV3" i="14"/>
  <c r="AV4" i="14"/>
  <c r="AV5" i="14"/>
  <c r="AV6" i="14"/>
  <c r="AV7" i="14"/>
  <c r="AV8" i="14"/>
  <c r="AV9" i="14"/>
  <c r="AV10" i="14"/>
  <c r="AV11" i="14"/>
  <c r="AV12" i="14"/>
  <c r="AV13" i="14"/>
  <c r="AV14" i="14"/>
  <c r="AV15" i="14"/>
  <c r="AV16" i="14"/>
  <c r="AV17" i="14"/>
  <c r="AV18" i="14"/>
  <c r="AV19" i="14"/>
  <c r="AV20" i="14"/>
  <c r="AV21" i="14"/>
  <c r="AV22" i="14"/>
  <c r="AV23" i="14"/>
  <c r="AV24" i="14"/>
  <c r="AV25" i="14"/>
  <c r="AV26" i="14"/>
  <c r="AV27" i="14"/>
  <c r="AV28" i="14"/>
  <c r="AV29" i="14"/>
  <c r="AV30" i="14"/>
  <c r="AV31" i="14"/>
  <c r="AV32" i="14"/>
  <c r="AV33" i="14"/>
  <c r="AV34" i="14"/>
  <c r="AV35" i="14"/>
  <c r="AV36" i="14"/>
  <c r="AV37" i="14"/>
  <c r="AV38" i="14"/>
  <c r="AV39" i="14"/>
  <c r="AV40" i="14"/>
  <c r="AV41" i="14"/>
  <c r="AV42" i="14"/>
  <c r="AV43" i="14"/>
  <c r="AV44" i="14"/>
  <c r="AV45" i="14"/>
  <c r="AV46" i="14"/>
  <c r="AV47" i="14"/>
  <c r="AV48" i="14"/>
  <c r="AV49" i="14"/>
  <c r="AV50" i="14"/>
  <c r="AV51" i="14"/>
  <c r="AV52" i="14"/>
  <c r="AV53" i="14"/>
  <c r="AV54" i="14"/>
  <c r="AV55" i="14"/>
  <c r="AV56" i="14"/>
  <c r="AV57" i="14"/>
  <c r="AV58" i="14"/>
  <c r="AV59" i="14"/>
  <c r="AV60" i="14"/>
  <c r="AV61" i="14"/>
  <c r="AV62" i="14"/>
  <c r="AV63" i="14"/>
  <c r="AV64" i="14"/>
  <c r="AV65" i="14"/>
  <c r="AV66" i="14"/>
  <c r="AV67" i="14"/>
  <c r="AV68" i="14"/>
  <c r="AV69" i="14"/>
  <c r="AV70" i="14"/>
  <c r="AV71" i="14"/>
  <c r="AV72" i="14"/>
  <c r="AV73" i="14"/>
  <c r="AV74" i="14"/>
  <c r="AV75" i="14"/>
  <c r="AV76" i="14"/>
  <c r="AV77" i="14"/>
  <c r="AV78" i="14"/>
  <c r="AV79" i="14"/>
  <c r="AV80" i="14"/>
  <c r="AV81" i="14"/>
  <c r="AV82" i="14"/>
  <c r="AV83" i="14"/>
  <c r="AV84" i="14"/>
  <c r="AV85" i="14"/>
  <c r="AV86" i="14"/>
  <c r="AV87" i="14"/>
  <c r="AV88" i="14"/>
  <c r="AV89" i="14"/>
  <c r="AV90" i="14"/>
  <c r="AV91" i="14"/>
  <c r="AV92" i="14"/>
  <c r="AV93" i="14"/>
  <c r="AV94" i="14"/>
  <c r="AV95" i="14"/>
  <c r="AV96" i="14"/>
  <c r="AV97" i="14"/>
  <c r="AV98" i="14"/>
  <c r="AV99" i="14"/>
  <c r="AV100" i="14"/>
  <c r="AV101" i="14"/>
  <c r="AV102" i="14"/>
  <c r="AV103" i="14"/>
  <c r="AV104" i="14"/>
  <c r="AV105" i="14"/>
  <c r="AV106" i="14"/>
  <c r="AV107" i="14"/>
  <c r="AV108" i="14"/>
  <c r="AV109" i="14"/>
  <c r="AV110" i="14"/>
  <c r="AV111" i="14"/>
  <c r="AV112" i="14"/>
  <c r="AV113" i="14"/>
  <c r="AV114" i="14"/>
  <c r="AV115" i="14"/>
  <c r="AV116" i="14"/>
  <c r="AV117" i="14"/>
  <c r="AV118" i="14"/>
  <c r="AV119" i="14"/>
  <c r="AV120" i="14"/>
  <c r="AV121" i="14"/>
  <c r="AV122" i="14"/>
  <c r="AV123" i="14"/>
  <c r="AV124" i="14"/>
  <c r="AV125" i="14"/>
  <c r="AV126" i="14"/>
  <c r="AV127" i="14"/>
  <c r="AV128" i="14"/>
  <c r="AV129" i="14"/>
  <c r="AV130" i="14"/>
  <c r="AV131" i="14"/>
  <c r="AV132" i="14"/>
  <c r="AV133" i="14"/>
  <c r="AV134" i="14"/>
  <c r="AV135" i="14"/>
  <c r="AV136" i="14"/>
  <c r="AV137" i="14"/>
  <c r="AV138" i="14"/>
  <c r="AV139" i="14"/>
  <c r="AV140" i="14"/>
  <c r="AV141" i="14"/>
  <c r="AV142" i="14"/>
  <c r="AV143" i="14"/>
  <c r="AV144" i="14"/>
  <c r="AV145" i="14"/>
  <c r="AV146" i="14"/>
  <c r="AV147" i="14"/>
  <c r="AV148" i="14"/>
  <c r="AV149" i="14"/>
  <c r="AV150" i="14"/>
  <c r="AV151" i="14"/>
  <c r="AV152" i="14"/>
  <c r="AV153" i="14"/>
  <c r="AV154" i="14"/>
  <c r="AV155" i="14"/>
  <c r="AV156" i="14"/>
  <c r="AV157" i="14"/>
  <c r="AV158" i="14"/>
  <c r="AV159" i="14"/>
  <c r="AV160" i="14"/>
  <c r="AV161" i="14"/>
  <c r="AV162" i="14"/>
  <c r="AV163" i="14"/>
  <c r="AV164" i="14"/>
  <c r="AV165" i="14"/>
  <c r="AV166" i="14"/>
  <c r="AV167" i="14"/>
  <c r="AV168" i="14"/>
  <c r="AV169" i="14"/>
  <c r="AV170" i="14"/>
  <c r="AV171" i="14"/>
  <c r="AV172" i="14"/>
  <c r="AV173" i="14"/>
  <c r="AV174" i="14"/>
  <c r="AV175" i="14"/>
  <c r="AV176" i="14"/>
  <c r="AV177" i="14"/>
  <c r="AV178" i="14"/>
  <c r="AV179" i="14"/>
  <c r="AV180" i="14"/>
  <c r="AV181" i="14"/>
  <c r="AV182" i="14"/>
  <c r="AV183" i="14"/>
  <c r="AV184" i="14"/>
  <c r="AV185" i="14"/>
  <c r="AV186" i="14"/>
  <c r="AV187" i="14"/>
  <c r="AV188" i="14"/>
  <c r="AV189" i="14"/>
  <c r="AV190" i="14"/>
  <c r="AV191" i="14"/>
  <c r="AV192" i="14"/>
  <c r="AV193" i="14"/>
  <c r="AV194" i="14"/>
  <c r="AV195" i="14"/>
  <c r="AV196" i="14"/>
  <c r="AV197" i="14"/>
  <c r="AV198" i="14"/>
  <c r="AV199" i="14"/>
  <c r="AV200" i="14"/>
  <c r="AV201" i="14"/>
  <c r="AV202" i="14"/>
  <c r="AV203" i="14"/>
  <c r="AV204" i="14"/>
  <c r="AV205" i="14"/>
  <c r="AV206" i="14"/>
  <c r="AV207" i="14"/>
  <c r="AV208" i="14"/>
  <c r="AV209" i="14"/>
  <c r="AV210" i="14"/>
  <c r="AV211" i="14"/>
  <c r="AV212" i="14"/>
  <c r="AV213" i="14"/>
  <c r="AV214" i="14"/>
  <c r="AV215" i="14"/>
  <c r="AV216" i="14"/>
  <c r="AV217" i="14"/>
  <c r="AV218" i="14"/>
  <c r="AV219" i="14"/>
  <c r="AV220" i="14"/>
  <c r="AV221" i="14"/>
  <c r="AV222" i="14"/>
  <c r="AV223" i="14"/>
  <c r="AV224" i="14"/>
  <c r="AV225" i="14"/>
  <c r="AV226" i="14"/>
  <c r="AV227" i="14"/>
  <c r="AT2" i="14"/>
  <c r="AT3" i="14"/>
  <c r="AT4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40" i="14"/>
  <c r="AT41" i="14"/>
  <c r="AT42" i="14"/>
  <c r="AT43" i="14"/>
  <c r="AT44" i="14"/>
  <c r="AT45" i="14"/>
  <c r="AT46" i="14"/>
  <c r="AT47" i="14"/>
  <c r="AT48" i="14"/>
  <c r="AT49" i="14"/>
  <c r="AT50" i="14"/>
  <c r="AT51" i="14"/>
  <c r="AT52" i="14"/>
  <c r="AT53" i="14"/>
  <c r="AT54" i="14"/>
  <c r="AT55" i="14"/>
  <c r="AT56" i="14"/>
  <c r="AT57" i="14"/>
  <c r="AT58" i="14"/>
  <c r="AT59" i="14"/>
  <c r="AT60" i="14"/>
  <c r="AT61" i="14"/>
  <c r="AT62" i="14"/>
  <c r="AT63" i="14"/>
  <c r="AT64" i="14"/>
  <c r="AT65" i="14"/>
  <c r="AT66" i="14"/>
  <c r="AT67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T80" i="14"/>
  <c r="AT81" i="14"/>
  <c r="AT82" i="14"/>
  <c r="AT83" i="14"/>
  <c r="AT84" i="14"/>
  <c r="AT85" i="14"/>
  <c r="AT86" i="14"/>
  <c r="AT87" i="14"/>
  <c r="AT88" i="14"/>
  <c r="AT89" i="14"/>
  <c r="AT90" i="14"/>
  <c r="AT91" i="14"/>
  <c r="AT92" i="14"/>
  <c r="AT93" i="14"/>
  <c r="AT94" i="14"/>
  <c r="AT95" i="14"/>
  <c r="AT96" i="14"/>
  <c r="AT97" i="14"/>
  <c r="AT98" i="14"/>
  <c r="AT99" i="14"/>
  <c r="AT100" i="14"/>
  <c r="AT101" i="14"/>
  <c r="AT102" i="14"/>
  <c r="AT103" i="14"/>
  <c r="AT104" i="14"/>
  <c r="AT105" i="14"/>
  <c r="AT106" i="14"/>
  <c r="AT107" i="14"/>
  <c r="AT108" i="14"/>
  <c r="AT109" i="14"/>
  <c r="AT110" i="14"/>
  <c r="AT111" i="14"/>
  <c r="AT112" i="14"/>
  <c r="AT113" i="14"/>
  <c r="AT114" i="14"/>
  <c r="AT115" i="14"/>
  <c r="AT116" i="14"/>
  <c r="AT117" i="14"/>
  <c r="AT118" i="14"/>
  <c r="AT119" i="14"/>
  <c r="AT120" i="14"/>
  <c r="AT121" i="14"/>
  <c r="AT122" i="14"/>
  <c r="AT123" i="14"/>
  <c r="AT124" i="14"/>
  <c r="AT125" i="14"/>
  <c r="AT126" i="14"/>
  <c r="AT127" i="14"/>
  <c r="AT128" i="14"/>
  <c r="AT129" i="14"/>
  <c r="AT130" i="14"/>
  <c r="AT131" i="14"/>
  <c r="AT132" i="14"/>
  <c r="AT133" i="14"/>
  <c r="AT134" i="14"/>
  <c r="AT135" i="14"/>
  <c r="AT136" i="14"/>
  <c r="AT137" i="14"/>
  <c r="AT138" i="14"/>
  <c r="AT139" i="14"/>
  <c r="AT140" i="14"/>
  <c r="AT141" i="14"/>
  <c r="AT142" i="14"/>
  <c r="AT143" i="14"/>
  <c r="AT144" i="14"/>
  <c r="AT145" i="14"/>
  <c r="AT146" i="14"/>
  <c r="AT147" i="14"/>
  <c r="AT148" i="14"/>
  <c r="AT149" i="14"/>
  <c r="AT150" i="14"/>
  <c r="AT151" i="14"/>
  <c r="AT152" i="14"/>
  <c r="AT153" i="14"/>
  <c r="AT154" i="14"/>
  <c r="AT155" i="14"/>
  <c r="AT156" i="14"/>
  <c r="AT157" i="14"/>
  <c r="AT158" i="14"/>
  <c r="AT159" i="14"/>
  <c r="AT160" i="14"/>
  <c r="AT161" i="14"/>
  <c r="AT162" i="14"/>
  <c r="AT163" i="14"/>
  <c r="AT164" i="14"/>
  <c r="AT165" i="14"/>
  <c r="AT166" i="14"/>
  <c r="AT167" i="14"/>
  <c r="AT168" i="14"/>
  <c r="AT169" i="14"/>
  <c r="AT170" i="14"/>
  <c r="AT171" i="14"/>
  <c r="AT172" i="14"/>
  <c r="AT173" i="14"/>
  <c r="AT174" i="14"/>
  <c r="AT175" i="14"/>
  <c r="AT176" i="14"/>
  <c r="AT177" i="14"/>
  <c r="AT178" i="14"/>
  <c r="AT179" i="14"/>
  <c r="AT180" i="14"/>
  <c r="AT181" i="14"/>
  <c r="AT182" i="14"/>
  <c r="AT183" i="14"/>
  <c r="AT184" i="14"/>
  <c r="AT185" i="14"/>
  <c r="AT186" i="14"/>
  <c r="AT187" i="14"/>
  <c r="AT188" i="14"/>
  <c r="AT189" i="14"/>
  <c r="AT190" i="14"/>
  <c r="AT191" i="14"/>
  <c r="AT192" i="14"/>
  <c r="AT193" i="14"/>
  <c r="AT194" i="14"/>
  <c r="AT195" i="14"/>
  <c r="AT196" i="14"/>
  <c r="AT197" i="14"/>
  <c r="AT198" i="14"/>
  <c r="AT199" i="14"/>
  <c r="AT200" i="14"/>
  <c r="AT201" i="14"/>
  <c r="AT202" i="14"/>
  <c r="AT203" i="14"/>
  <c r="AT204" i="14"/>
  <c r="AT205" i="14"/>
  <c r="AT206" i="14"/>
  <c r="AT207" i="14"/>
  <c r="AT208" i="14"/>
  <c r="AT209" i="14"/>
  <c r="AT210" i="14"/>
  <c r="AT211" i="14"/>
  <c r="AT212" i="14"/>
  <c r="AT213" i="14"/>
  <c r="AT214" i="14"/>
  <c r="AT215" i="14"/>
  <c r="AT216" i="14"/>
  <c r="AT217" i="14"/>
  <c r="AT218" i="14"/>
  <c r="AT219" i="14"/>
  <c r="AT220" i="14"/>
  <c r="AT221" i="14"/>
  <c r="AT222" i="14"/>
  <c r="AT223" i="14"/>
  <c r="AT224" i="14"/>
  <c r="AT225" i="14"/>
  <c r="AT226" i="14"/>
  <c r="AT227" i="14"/>
  <c r="AR2" i="14"/>
  <c r="AR3" i="14"/>
  <c r="AR4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30" i="14"/>
  <c r="AR31" i="14"/>
  <c r="AR32" i="14"/>
  <c r="AR33" i="14"/>
  <c r="AR34" i="14"/>
  <c r="AR35" i="14"/>
  <c r="AR36" i="14"/>
  <c r="AR37" i="14"/>
  <c r="AR38" i="14"/>
  <c r="AR39" i="14"/>
  <c r="AR40" i="14"/>
  <c r="AR41" i="14"/>
  <c r="AR42" i="14"/>
  <c r="AR43" i="14"/>
  <c r="AR44" i="14"/>
  <c r="AR45" i="14"/>
  <c r="AR46" i="14"/>
  <c r="AR47" i="14"/>
  <c r="AR48" i="14"/>
  <c r="AR49" i="14"/>
  <c r="AR50" i="14"/>
  <c r="AR51" i="14"/>
  <c r="AR52" i="14"/>
  <c r="AR53" i="14"/>
  <c r="AR54" i="14"/>
  <c r="AR55" i="14"/>
  <c r="AR56" i="14"/>
  <c r="AR57" i="14"/>
  <c r="AR58" i="14"/>
  <c r="AR59" i="14"/>
  <c r="AR60" i="14"/>
  <c r="AR61" i="14"/>
  <c r="AR62" i="14"/>
  <c r="AR63" i="14"/>
  <c r="AR64" i="14"/>
  <c r="AR65" i="14"/>
  <c r="AR66" i="14"/>
  <c r="AR67" i="14"/>
  <c r="AR68" i="14"/>
  <c r="AR69" i="14"/>
  <c r="AR70" i="14"/>
  <c r="AR71" i="14"/>
  <c r="AR72" i="14"/>
  <c r="AR73" i="14"/>
  <c r="AR74" i="14"/>
  <c r="AR75" i="14"/>
  <c r="AR76" i="14"/>
  <c r="AR77" i="14"/>
  <c r="AR78" i="14"/>
  <c r="AR79" i="14"/>
  <c r="AR80" i="14"/>
  <c r="AR81" i="14"/>
  <c r="AR82" i="14"/>
  <c r="AR83" i="14"/>
  <c r="AR84" i="14"/>
  <c r="AR85" i="14"/>
  <c r="AR86" i="14"/>
  <c r="AR87" i="14"/>
  <c r="AR88" i="14"/>
  <c r="AR89" i="14"/>
  <c r="AR90" i="14"/>
  <c r="AR91" i="14"/>
  <c r="AR92" i="14"/>
  <c r="AR93" i="14"/>
  <c r="AR94" i="14"/>
  <c r="AR95" i="14"/>
  <c r="AR96" i="14"/>
  <c r="AR97" i="14"/>
  <c r="AR98" i="14"/>
  <c r="AR99" i="14"/>
  <c r="AR100" i="14"/>
  <c r="AR101" i="14"/>
  <c r="AR102" i="14"/>
  <c r="AR103" i="14"/>
  <c r="AR104" i="14"/>
  <c r="AR105" i="14"/>
  <c r="AR106" i="14"/>
  <c r="AR107" i="14"/>
  <c r="AR108" i="14"/>
  <c r="AR109" i="14"/>
  <c r="AR110" i="14"/>
  <c r="AR111" i="14"/>
  <c r="AR112" i="14"/>
  <c r="AR113" i="14"/>
  <c r="AR114" i="14"/>
  <c r="AR115" i="14"/>
  <c r="AR116" i="14"/>
  <c r="AR117" i="14"/>
  <c r="AR118" i="14"/>
  <c r="AR119" i="14"/>
  <c r="AR120" i="14"/>
  <c r="AR121" i="14"/>
  <c r="AR122" i="14"/>
  <c r="AR123" i="14"/>
  <c r="AR124" i="14"/>
  <c r="AR125" i="14"/>
  <c r="AR126" i="14"/>
  <c r="AR127" i="14"/>
  <c r="AR128" i="14"/>
  <c r="AR129" i="14"/>
  <c r="AR130" i="14"/>
  <c r="AR131" i="14"/>
  <c r="AR132" i="14"/>
  <c r="AR133" i="14"/>
  <c r="AR134" i="14"/>
  <c r="AR135" i="14"/>
  <c r="AR136" i="14"/>
  <c r="AR137" i="14"/>
  <c r="AR138" i="14"/>
  <c r="AR139" i="14"/>
  <c r="AR140" i="14"/>
  <c r="AR141" i="14"/>
  <c r="AR142" i="14"/>
  <c r="AR143" i="14"/>
  <c r="AR144" i="14"/>
  <c r="AR145" i="14"/>
  <c r="AR146" i="14"/>
  <c r="AR147" i="14"/>
  <c r="AR148" i="14"/>
  <c r="AR149" i="14"/>
  <c r="AR150" i="14"/>
  <c r="AR151" i="14"/>
  <c r="AR152" i="14"/>
  <c r="AR153" i="14"/>
  <c r="AR154" i="14"/>
  <c r="AR155" i="14"/>
  <c r="AR156" i="14"/>
  <c r="AR157" i="14"/>
  <c r="AR158" i="14"/>
  <c r="AR159" i="14"/>
  <c r="AR160" i="14"/>
  <c r="AR161" i="14"/>
  <c r="AR162" i="14"/>
  <c r="AR163" i="14"/>
  <c r="AR164" i="14"/>
  <c r="AR165" i="14"/>
  <c r="AR166" i="14"/>
  <c r="AR167" i="14"/>
  <c r="AR168" i="14"/>
  <c r="AR169" i="14"/>
  <c r="AR170" i="14"/>
  <c r="AR171" i="14"/>
  <c r="AR172" i="14"/>
  <c r="AR173" i="14"/>
  <c r="AR174" i="14"/>
  <c r="AR175" i="14"/>
  <c r="AR176" i="14"/>
  <c r="AR177" i="14"/>
  <c r="AR178" i="14"/>
  <c r="AR179" i="14"/>
  <c r="AR180" i="14"/>
  <c r="AR181" i="14"/>
  <c r="AR182" i="14"/>
  <c r="AR183" i="14"/>
  <c r="AR184" i="14"/>
  <c r="AR185" i="14"/>
  <c r="AR186" i="14"/>
  <c r="AR187" i="14"/>
  <c r="AR188" i="14"/>
  <c r="AR189" i="14"/>
  <c r="AR190" i="14"/>
  <c r="AR191" i="14"/>
  <c r="AR192" i="14"/>
  <c r="AR193" i="14"/>
  <c r="AR194" i="14"/>
  <c r="AR195" i="14"/>
  <c r="AR196" i="14"/>
  <c r="AR197" i="14"/>
  <c r="AR198" i="14"/>
  <c r="AR199" i="14"/>
  <c r="AR200" i="14"/>
  <c r="AR201" i="14"/>
  <c r="AR202" i="14"/>
  <c r="AR203" i="14"/>
  <c r="AR204" i="14"/>
  <c r="AR205" i="14"/>
  <c r="AR206" i="14"/>
  <c r="AR207" i="14"/>
  <c r="AR208" i="14"/>
  <c r="AR209" i="14"/>
  <c r="AR210" i="14"/>
  <c r="AR211" i="14"/>
  <c r="AR212" i="14"/>
  <c r="AR213" i="14"/>
  <c r="AR214" i="14"/>
  <c r="AR215" i="14"/>
  <c r="AR216" i="14"/>
  <c r="AR217" i="14"/>
  <c r="AR218" i="14"/>
  <c r="AR219" i="14"/>
  <c r="AR220" i="14"/>
  <c r="AR221" i="14"/>
  <c r="AR222" i="14"/>
  <c r="AR223" i="14"/>
  <c r="AR224" i="14"/>
  <c r="AR225" i="14"/>
  <c r="AR226" i="14"/>
  <c r="AR227" i="14"/>
  <c r="AP2" i="14"/>
  <c r="AP3" i="14"/>
  <c r="AP4" i="14"/>
  <c r="AP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109" i="14"/>
  <c r="AP110" i="14"/>
  <c r="AP111" i="14"/>
  <c r="AP112" i="14"/>
  <c r="AP113" i="14"/>
  <c r="AP114" i="14"/>
  <c r="AP115" i="14"/>
  <c r="AP116" i="14"/>
  <c r="AP117" i="14"/>
  <c r="AP118" i="14"/>
  <c r="AP119" i="14"/>
  <c r="AP120" i="14"/>
  <c r="AP121" i="14"/>
  <c r="AP122" i="14"/>
  <c r="AP123" i="14"/>
  <c r="AP124" i="14"/>
  <c r="AP125" i="14"/>
  <c r="AP126" i="14"/>
  <c r="AP127" i="14"/>
  <c r="AP128" i="14"/>
  <c r="AP129" i="14"/>
  <c r="AP130" i="14"/>
  <c r="AP131" i="14"/>
  <c r="AP132" i="14"/>
  <c r="AP133" i="14"/>
  <c r="AP134" i="14"/>
  <c r="AP135" i="14"/>
  <c r="AP136" i="14"/>
  <c r="AP137" i="14"/>
  <c r="AP138" i="14"/>
  <c r="AP139" i="14"/>
  <c r="AP140" i="14"/>
  <c r="AP141" i="14"/>
  <c r="AP142" i="14"/>
  <c r="AP143" i="14"/>
  <c r="AP144" i="14"/>
  <c r="AP145" i="14"/>
  <c r="AP146" i="14"/>
  <c r="AP147" i="14"/>
  <c r="AP148" i="14"/>
  <c r="AP149" i="14"/>
  <c r="AP150" i="14"/>
  <c r="AP151" i="14"/>
  <c r="AP152" i="14"/>
  <c r="AP153" i="14"/>
  <c r="AP154" i="14"/>
  <c r="AP155" i="14"/>
  <c r="AP156" i="14"/>
  <c r="AP157" i="14"/>
  <c r="AP158" i="14"/>
  <c r="AP159" i="14"/>
  <c r="AP160" i="14"/>
  <c r="AP161" i="14"/>
  <c r="AP162" i="14"/>
  <c r="AP163" i="14"/>
  <c r="AP164" i="14"/>
  <c r="AP165" i="14"/>
  <c r="AP166" i="14"/>
  <c r="AP167" i="14"/>
  <c r="AP168" i="14"/>
  <c r="AP169" i="14"/>
  <c r="AP170" i="14"/>
  <c r="AP171" i="14"/>
  <c r="AP172" i="14"/>
  <c r="AP173" i="14"/>
  <c r="AP174" i="14"/>
  <c r="AP175" i="14"/>
  <c r="AP176" i="14"/>
  <c r="AP177" i="14"/>
  <c r="AP178" i="14"/>
  <c r="AP179" i="14"/>
  <c r="AP180" i="14"/>
  <c r="AP181" i="14"/>
  <c r="AP182" i="14"/>
  <c r="AP183" i="14"/>
  <c r="AP184" i="14"/>
  <c r="AP185" i="14"/>
  <c r="AP186" i="14"/>
  <c r="AP187" i="14"/>
  <c r="AP188" i="14"/>
  <c r="AP189" i="14"/>
  <c r="AP190" i="14"/>
  <c r="AP191" i="14"/>
  <c r="AP192" i="14"/>
  <c r="AP193" i="14"/>
  <c r="AP194" i="14"/>
  <c r="AP195" i="14"/>
  <c r="AP196" i="14"/>
  <c r="AP197" i="14"/>
  <c r="AP198" i="14"/>
  <c r="AP199" i="14"/>
  <c r="AP200" i="14"/>
  <c r="AP201" i="14"/>
  <c r="AP202" i="14"/>
  <c r="AP203" i="14"/>
  <c r="AP204" i="14"/>
  <c r="AP205" i="14"/>
  <c r="AP206" i="14"/>
  <c r="AP207" i="14"/>
  <c r="AP208" i="14"/>
  <c r="AP209" i="14"/>
  <c r="AP210" i="14"/>
  <c r="AP211" i="14"/>
  <c r="AP212" i="14"/>
  <c r="AP213" i="14"/>
  <c r="AP214" i="14"/>
  <c r="AP215" i="14"/>
  <c r="AP216" i="14"/>
  <c r="AP217" i="14"/>
  <c r="AP218" i="14"/>
  <c r="AP219" i="14"/>
  <c r="AP220" i="14"/>
  <c r="AP221" i="14"/>
  <c r="AP222" i="14"/>
  <c r="AP223" i="14"/>
  <c r="AP224" i="14"/>
  <c r="AP225" i="14"/>
  <c r="AP226" i="14"/>
  <c r="AP227" i="14"/>
  <c r="AN2" i="14"/>
  <c r="AN3" i="14"/>
  <c r="AN4" i="14"/>
  <c r="AN5" i="14"/>
  <c r="AN6" i="14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N80" i="14"/>
  <c r="AN81" i="14"/>
  <c r="AN82" i="14"/>
  <c r="AN83" i="14"/>
  <c r="AN84" i="14"/>
  <c r="AN85" i="14"/>
  <c r="AN86" i="14"/>
  <c r="AN87" i="14"/>
  <c r="AN88" i="14"/>
  <c r="AN89" i="14"/>
  <c r="AN90" i="14"/>
  <c r="AN91" i="14"/>
  <c r="AN92" i="14"/>
  <c r="AN93" i="14"/>
  <c r="AN94" i="14"/>
  <c r="AN95" i="14"/>
  <c r="AN96" i="14"/>
  <c r="AN97" i="14"/>
  <c r="AN98" i="14"/>
  <c r="AN99" i="14"/>
  <c r="AN100" i="14"/>
  <c r="AN101" i="14"/>
  <c r="AN102" i="14"/>
  <c r="AN103" i="14"/>
  <c r="AN104" i="14"/>
  <c r="AN105" i="14"/>
  <c r="AN106" i="14"/>
  <c r="AN107" i="14"/>
  <c r="AN108" i="14"/>
  <c r="AN109" i="14"/>
  <c r="AN110" i="14"/>
  <c r="AN111" i="14"/>
  <c r="AN112" i="14"/>
  <c r="AN113" i="14"/>
  <c r="AN114" i="14"/>
  <c r="AN115" i="14"/>
  <c r="AN116" i="14"/>
  <c r="AN117" i="14"/>
  <c r="AN118" i="14"/>
  <c r="AN119" i="14"/>
  <c r="AN120" i="14"/>
  <c r="AN121" i="14"/>
  <c r="AN122" i="14"/>
  <c r="AN123" i="14"/>
  <c r="AN124" i="14"/>
  <c r="AN125" i="14"/>
  <c r="AN126" i="14"/>
  <c r="AN127" i="14"/>
  <c r="AN128" i="14"/>
  <c r="AN129" i="14"/>
  <c r="AN130" i="14"/>
  <c r="AN131" i="14"/>
  <c r="AN132" i="14"/>
  <c r="AN133" i="14"/>
  <c r="AN134" i="14"/>
  <c r="AN135" i="14"/>
  <c r="AN136" i="14"/>
  <c r="AN137" i="14"/>
  <c r="AN138" i="14"/>
  <c r="AN139" i="14"/>
  <c r="AN140" i="14"/>
  <c r="AN141" i="14"/>
  <c r="AN142" i="14"/>
  <c r="AN143" i="14"/>
  <c r="AN144" i="14"/>
  <c r="AN145" i="14"/>
  <c r="AN146" i="14"/>
  <c r="AN147" i="14"/>
  <c r="AN148" i="14"/>
  <c r="AN149" i="14"/>
  <c r="AN150" i="14"/>
  <c r="AN151" i="14"/>
  <c r="AN152" i="14"/>
  <c r="AN153" i="14"/>
  <c r="AN154" i="14"/>
  <c r="AN155" i="14"/>
  <c r="AN156" i="14"/>
  <c r="AN157" i="14"/>
  <c r="AN158" i="14"/>
  <c r="AN159" i="14"/>
  <c r="AN160" i="14"/>
  <c r="AN161" i="14"/>
  <c r="AN162" i="14"/>
  <c r="AN163" i="14"/>
  <c r="AN164" i="14"/>
  <c r="AN165" i="14"/>
  <c r="AN166" i="14"/>
  <c r="AN167" i="14"/>
  <c r="AN168" i="14"/>
  <c r="AN169" i="14"/>
  <c r="AN170" i="14"/>
  <c r="AN171" i="14"/>
  <c r="AN172" i="14"/>
  <c r="AN173" i="14"/>
  <c r="AN174" i="14"/>
  <c r="AN175" i="14"/>
  <c r="AN176" i="14"/>
  <c r="AN177" i="14"/>
  <c r="AN178" i="14"/>
  <c r="AN179" i="14"/>
  <c r="AN180" i="14"/>
  <c r="AN181" i="14"/>
  <c r="AN182" i="14"/>
  <c r="AN183" i="14"/>
  <c r="AN184" i="14"/>
  <c r="AN185" i="14"/>
  <c r="AN186" i="14"/>
  <c r="AN187" i="14"/>
  <c r="AN188" i="14"/>
  <c r="AN189" i="14"/>
  <c r="AN190" i="14"/>
  <c r="AN191" i="14"/>
  <c r="AN192" i="14"/>
  <c r="AN193" i="14"/>
  <c r="AN194" i="14"/>
  <c r="AN195" i="14"/>
  <c r="AN196" i="14"/>
  <c r="AN197" i="14"/>
  <c r="AN198" i="14"/>
  <c r="AN199" i="14"/>
  <c r="AN200" i="14"/>
  <c r="AN201" i="14"/>
  <c r="AN202" i="14"/>
  <c r="AN203" i="14"/>
  <c r="AN204" i="14"/>
  <c r="AN205" i="14"/>
  <c r="AN206" i="14"/>
  <c r="AN207" i="14"/>
  <c r="AN208" i="14"/>
  <c r="AN209" i="14"/>
  <c r="AN210" i="14"/>
  <c r="AN211" i="14"/>
  <c r="AN212" i="14"/>
  <c r="AN213" i="14"/>
  <c r="AN214" i="14"/>
  <c r="AN215" i="14"/>
  <c r="AN216" i="14"/>
  <c r="AN217" i="14"/>
  <c r="AN218" i="14"/>
  <c r="AN219" i="14"/>
  <c r="AN220" i="14"/>
  <c r="AN221" i="14"/>
  <c r="AN222" i="14"/>
  <c r="AN223" i="14"/>
  <c r="AN224" i="14"/>
  <c r="AN225" i="14"/>
  <c r="AN226" i="14"/>
  <c r="AN227" i="14"/>
  <c r="AL2" i="14"/>
  <c r="AL3" i="14"/>
  <c r="AL4" i="14"/>
  <c r="AL5" i="14"/>
  <c r="AL6" i="14"/>
  <c r="AL7" i="14"/>
  <c r="AL8" i="14"/>
  <c r="AL9" i="14"/>
  <c r="AL10" i="14"/>
  <c r="AL11" i="14"/>
  <c r="AL12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AL30" i="14"/>
  <c r="AL31" i="14"/>
  <c r="AL32" i="14"/>
  <c r="AL33" i="14"/>
  <c r="AL34" i="14"/>
  <c r="AL35" i="14"/>
  <c r="AL36" i="14"/>
  <c r="AL37" i="14"/>
  <c r="AL38" i="14"/>
  <c r="AL39" i="14"/>
  <c r="AL40" i="14"/>
  <c r="AL41" i="14"/>
  <c r="AL42" i="14"/>
  <c r="AL43" i="14"/>
  <c r="AL44" i="14"/>
  <c r="AL45" i="14"/>
  <c r="AL46" i="14"/>
  <c r="AL47" i="14"/>
  <c r="AL48" i="14"/>
  <c r="AL49" i="14"/>
  <c r="AL50" i="14"/>
  <c r="AL51" i="14"/>
  <c r="AL52" i="14"/>
  <c r="AL53" i="14"/>
  <c r="AL54" i="14"/>
  <c r="AL55" i="14"/>
  <c r="AL56" i="14"/>
  <c r="AL57" i="14"/>
  <c r="AL58" i="14"/>
  <c r="AL59" i="14"/>
  <c r="AL60" i="14"/>
  <c r="AL61" i="14"/>
  <c r="AL62" i="14"/>
  <c r="AL63" i="14"/>
  <c r="AL64" i="14"/>
  <c r="AL65" i="14"/>
  <c r="AL66" i="14"/>
  <c r="AL67" i="14"/>
  <c r="AL68" i="14"/>
  <c r="AL69" i="14"/>
  <c r="AL70" i="14"/>
  <c r="AL71" i="14"/>
  <c r="AL72" i="14"/>
  <c r="AL73" i="14"/>
  <c r="AL74" i="14"/>
  <c r="AL75" i="14"/>
  <c r="AL76" i="14"/>
  <c r="AL77" i="14"/>
  <c r="AL78" i="14"/>
  <c r="AL79" i="14"/>
  <c r="AL80" i="14"/>
  <c r="AL81" i="14"/>
  <c r="AL82" i="14"/>
  <c r="AL83" i="14"/>
  <c r="AL84" i="14"/>
  <c r="AL85" i="14"/>
  <c r="AL86" i="14"/>
  <c r="AL87" i="14"/>
  <c r="AL88" i="14"/>
  <c r="AL89" i="14"/>
  <c r="AL90" i="14"/>
  <c r="AL91" i="14"/>
  <c r="AL92" i="14"/>
  <c r="AL93" i="14"/>
  <c r="AL94" i="14"/>
  <c r="AL95" i="14"/>
  <c r="AL96" i="14"/>
  <c r="AL97" i="14"/>
  <c r="AL98" i="14"/>
  <c r="AL99" i="14"/>
  <c r="AL100" i="14"/>
  <c r="AL101" i="14"/>
  <c r="AL102" i="14"/>
  <c r="AL103" i="14"/>
  <c r="AL104" i="14"/>
  <c r="AL105" i="14"/>
  <c r="AL106" i="14"/>
  <c r="AL107" i="14"/>
  <c r="AL108" i="14"/>
  <c r="AL109" i="14"/>
  <c r="AL110" i="14"/>
  <c r="AL111" i="14"/>
  <c r="AL112" i="14"/>
  <c r="AL113" i="14"/>
  <c r="AL114" i="14"/>
  <c r="AL115" i="14"/>
  <c r="AL116" i="14"/>
  <c r="AL117" i="14"/>
  <c r="AL118" i="14"/>
  <c r="AL119" i="14"/>
  <c r="AL120" i="14"/>
  <c r="AL121" i="14"/>
  <c r="AL122" i="14"/>
  <c r="AL123" i="14"/>
  <c r="AL124" i="14"/>
  <c r="AL125" i="14"/>
  <c r="AL126" i="14"/>
  <c r="AL127" i="14"/>
  <c r="AL128" i="14"/>
  <c r="AL129" i="14"/>
  <c r="AL130" i="14"/>
  <c r="AL131" i="14"/>
  <c r="AL132" i="14"/>
  <c r="AL133" i="14"/>
  <c r="AL134" i="14"/>
  <c r="AL135" i="14"/>
  <c r="AL136" i="14"/>
  <c r="AL137" i="14"/>
  <c r="AL138" i="14"/>
  <c r="AL139" i="14"/>
  <c r="AL140" i="14"/>
  <c r="AL141" i="14"/>
  <c r="AL142" i="14"/>
  <c r="AL143" i="14"/>
  <c r="AL144" i="14"/>
  <c r="AL145" i="14"/>
  <c r="AL146" i="14"/>
  <c r="AL147" i="14"/>
  <c r="AL148" i="14"/>
  <c r="AL149" i="14"/>
  <c r="AL150" i="14"/>
  <c r="AL151" i="14"/>
  <c r="AL152" i="14"/>
  <c r="AL153" i="14"/>
  <c r="AL154" i="14"/>
  <c r="AL155" i="14"/>
  <c r="AL156" i="14"/>
  <c r="AL157" i="14"/>
  <c r="AL158" i="14"/>
  <c r="AL159" i="14"/>
  <c r="AL160" i="14"/>
  <c r="AL161" i="14"/>
  <c r="AL162" i="14"/>
  <c r="AL163" i="14"/>
  <c r="AL164" i="14"/>
  <c r="AL165" i="14"/>
  <c r="AL166" i="14"/>
  <c r="AL167" i="14"/>
  <c r="AL168" i="14"/>
  <c r="AL169" i="14"/>
  <c r="AL170" i="14"/>
  <c r="AL171" i="14"/>
  <c r="AL172" i="14"/>
  <c r="AL173" i="14"/>
  <c r="AL174" i="14"/>
  <c r="AL175" i="14"/>
  <c r="AL176" i="14"/>
  <c r="AL177" i="14"/>
  <c r="AL178" i="14"/>
  <c r="AL179" i="14"/>
  <c r="AL180" i="14"/>
  <c r="AL181" i="14"/>
  <c r="AL182" i="14"/>
  <c r="AL183" i="14"/>
  <c r="AL184" i="14"/>
  <c r="AL185" i="14"/>
  <c r="AL186" i="14"/>
  <c r="AL187" i="14"/>
  <c r="AL188" i="14"/>
  <c r="AL189" i="14"/>
  <c r="AL190" i="14"/>
  <c r="AL191" i="14"/>
  <c r="AL192" i="14"/>
  <c r="AL193" i="14"/>
  <c r="AL194" i="14"/>
  <c r="AL195" i="14"/>
  <c r="AL196" i="14"/>
  <c r="AL197" i="14"/>
  <c r="AL198" i="14"/>
  <c r="AL199" i="14"/>
  <c r="AL200" i="14"/>
  <c r="AL201" i="14"/>
  <c r="AL202" i="14"/>
  <c r="AL203" i="14"/>
  <c r="AL204" i="14"/>
  <c r="AL205" i="14"/>
  <c r="AL206" i="14"/>
  <c r="AL207" i="14"/>
  <c r="AL208" i="14"/>
  <c r="AL209" i="14"/>
  <c r="AL210" i="14"/>
  <c r="AL211" i="14"/>
  <c r="AL212" i="14"/>
  <c r="AL213" i="14"/>
  <c r="AL214" i="14"/>
  <c r="AL215" i="14"/>
  <c r="AL216" i="14"/>
  <c r="AL217" i="14"/>
  <c r="AL218" i="14"/>
  <c r="AL219" i="14"/>
  <c r="AL220" i="14"/>
  <c r="AL221" i="14"/>
  <c r="AL222" i="14"/>
  <c r="AL223" i="14"/>
  <c r="AL224" i="14"/>
  <c r="AL225" i="14"/>
  <c r="AL226" i="14"/>
  <c r="AL227" i="14"/>
  <c r="AJ2" i="14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75" i="14"/>
  <c r="AJ76" i="14"/>
  <c r="AJ77" i="14"/>
  <c r="AJ78" i="14"/>
  <c r="AJ79" i="14"/>
  <c r="AJ80" i="14"/>
  <c r="AJ81" i="14"/>
  <c r="AJ82" i="14"/>
  <c r="AJ83" i="14"/>
  <c r="AJ84" i="14"/>
  <c r="AJ85" i="14"/>
  <c r="AJ86" i="14"/>
  <c r="AJ87" i="14"/>
  <c r="AJ88" i="14"/>
  <c r="AJ89" i="14"/>
  <c r="AJ90" i="14"/>
  <c r="AJ91" i="14"/>
  <c r="AJ92" i="14"/>
  <c r="AJ93" i="14"/>
  <c r="AJ94" i="14"/>
  <c r="AJ95" i="14"/>
  <c r="AJ96" i="14"/>
  <c r="AJ97" i="14"/>
  <c r="AJ98" i="14"/>
  <c r="AJ99" i="14"/>
  <c r="AJ100" i="14"/>
  <c r="AJ101" i="14"/>
  <c r="AJ102" i="14"/>
  <c r="AJ103" i="14"/>
  <c r="AJ104" i="14"/>
  <c r="AJ105" i="14"/>
  <c r="AJ106" i="14"/>
  <c r="AJ107" i="14"/>
  <c r="AJ108" i="14"/>
  <c r="AJ109" i="14"/>
  <c r="AJ110" i="14"/>
  <c r="AJ111" i="14"/>
  <c r="AJ112" i="14"/>
  <c r="AJ113" i="14"/>
  <c r="AJ114" i="14"/>
  <c r="AJ115" i="14"/>
  <c r="AJ116" i="14"/>
  <c r="AJ117" i="14"/>
  <c r="AJ118" i="14"/>
  <c r="AJ119" i="14"/>
  <c r="AJ120" i="14"/>
  <c r="AJ121" i="14"/>
  <c r="AJ122" i="14"/>
  <c r="AJ123" i="14"/>
  <c r="AJ124" i="14"/>
  <c r="AJ125" i="14"/>
  <c r="AJ126" i="14"/>
  <c r="AJ127" i="14"/>
  <c r="AJ128" i="14"/>
  <c r="AJ129" i="14"/>
  <c r="AJ130" i="14"/>
  <c r="AJ131" i="14"/>
  <c r="AJ132" i="14"/>
  <c r="AJ133" i="14"/>
  <c r="AJ134" i="14"/>
  <c r="AJ135" i="14"/>
  <c r="AJ136" i="14"/>
  <c r="AJ137" i="14"/>
  <c r="AJ138" i="14"/>
  <c r="AJ139" i="14"/>
  <c r="AJ140" i="14"/>
  <c r="AJ141" i="14"/>
  <c r="AJ142" i="14"/>
  <c r="AJ143" i="14"/>
  <c r="AJ144" i="14"/>
  <c r="AJ145" i="14"/>
  <c r="AJ146" i="14"/>
  <c r="AJ147" i="14"/>
  <c r="AJ148" i="14"/>
  <c r="AJ149" i="14"/>
  <c r="AJ150" i="14"/>
  <c r="AJ151" i="14"/>
  <c r="AJ152" i="14"/>
  <c r="AJ153" i="14"/>
  <c r="AJ154" i="14"/>
  <c r="AJ155" i="14"/>
  <c r="AJ156" i="14"/>
  <c r="AJ157" i="14"/>
  <c r="AJ158" i="14"/>
  <c r="AJ159" i="14"/>
  <c r="AJ160" i="14"/>
  <c r="AJ161" i="14"/>
  <c r="AJ162" i="14"/>
  <c r="AJ163" i="14"/>
  <c r="AJ164" i="14"/>
  <c r="AJ165" i="14"/>
  <c r="AJ166" i="14"/>
  <c r="AJ167" i="14"/>
  <c r="AJ168" i="14"/>
  <c r="AJ169" i="14"/>
  <c r="AJ170" i="14"/>
  <c r="AJ171" i="14"/>
  <c r="AJ172" i="14"/>
  <c r="AJ173" i="14"/>
  <c r="AJ174" i="14"/>
  <c r="AJ175" i="14"/>
  <c r="AJ176" i="14"/>
  <c r="AJ177" i="14"/>
  <c r="AJ178" i="14"/>
  <c r="AJ179" i="14"/>
  <c r="AJ180" i="14"/>
  <c r="AJ181" i="14"/>
  <c r="AJ182" i="14"/>
  <c r="AJ183" i="14"/>
  <c r="AJ184" i="14"/>
  <c r="AJ185" i="14"/>
  <c r="AJ186" i="14"/>
  <c r="AJ187" i="14"/>
  <c r="AJ188" i="14"/>
  <c r="AJ189" i="14"/>
  <c r="AJ190" i="14"/>
  <c r="AJ191" i="14"/>
  <c r="AJ192" i="14"/>
  <c r="AJ193" i="14"/>
  <c r="AJ194" i="14"/>
  <c r="AJ195" i="14"/>
  <c r="AJ196" i="14"/>
  <c r="AJ197" i="14"/>
  <c r="AJ198" i="14"/>
  <c r="AJ199" i="14"/>
  <c r="AJ200" i="14"/>
  <c r="AJ201" i="14"/>
  <c r="AJ202" i="14"/>
  <c r="AJ203" i="14"/>
  <c r="AJ204" i="14"/>
  <c r="AJ205" i="14"/>
  <c r="AJ206" i="14"/>
  <c r="AJ207" i="14"/>
  <c r="AJ208" i="14"/>
  <c r="AJ209" i="14"/>
  <c r="AJ210" i="14"/>
  <c r="AJ211" i="14"/>
  <c r="AJ212" i="14"/>
  <c r="AJ213" i="14"/>
  <c r="AJ214" i="14"/>
  <c r="AJ215" i="14"/>
  <c r="AJ216" i="14"/>
  <c r="AJ217" i="14"/>
  <c r="AJ218" i="14"/>
  <c r="AJ219" i="14"/>
  <c r="AJ220" i="14"/>
  <c r="AJ221" i="14"/>
  <c r="AJ222" i="14"/>
  <c r="AJ223" i="14"/>
  <c r="AJ224" i="14"/>
  <c r="AJ225" i="14"/>
  <c r="AJ226" i="14"/>
  <c r="AJ227" i="14"/>
  <c r="AH2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12" i="14"/>
  <c r="AH113" i="14"/>
  <c r="AH114" i="14"/>
  <c r="AH115" i="14"/>
  <c r="AH116" i="14"/>
  <c r="AH117" i="14"/>
  <c r="AH118" i="14"/>
  <c r="AH119" i="14"/>
  <c r="AH120" i="14"/>
  <c r="AH121" i="14"/>
  <c r="AH122" i="14"/>
  <c r="AH123" i="14"/>
  <c r="AH124" i="14"/>
  <c r="AH125" i="14"/>
  <c r="AH126" i="14"/>
  <c r="AH127" i="14"/>
  <c r="AH128" i="14"/>
  <c r="AH129" i="14"/>
  <c r="AH130" i="14"/>
  <c r="AH131" i="14"/>
  <c r="AH132" i="14"/>
  <c r="AH133" i="14"/>
  <c r="AH134" i="14"/>
  <c r="AH135" i="14"/>
  <c r="AH136" i="14"/>
  <c r="AH137" i="14"/>
  <c r="AH138" i="14"/>
  <c r="AH139" i="14"/>
  <c r="AH140" i="14"/>
  <c r="AH141" i="14"/>
  <c r="AH142" i="14"/>
  <c r="AH143" i="14"/>
  <c r="AH144" i="14"/>
  <c r="AH145" i="14"/>
  <c r="AH146" i="14"/>
  <c r="AH147" i="14"/>
  <c r="AH148" i="14"/>
  <c r="AH149" i="14"/>
  <c r="AH150" i="14"/>
  <c r="AH151" i="14"/>
  <c r="AH152" i="14"/>
  <c r="AH153" i="14"/>
  <c r="AH154" i="14"/>
  <c r="AH155" i="14"/>
  <c r="AH156" i="14"/>
  <c r="AH157" i="14"/>
  <c r="AH158" i="14"/>
  <c r="AH159" i="14"/>
  <c r="AH160" i="14"/>
  <c r="AH161" i="14"/>
  <c r="AH162" i="14"/>
  <c r="AH163" i="14"/>
  <c r="AH164" i="14"/>
  <c r="AH165" i="14"/>
  <c r="AH166" i="14"/>
  <c r="AH167" i="14"/>
  <c r="AH168" i="14"/>
  <c r="AH169" i="14"/>
  <c r="AH170" i="14"/>
  <c r="AH171" i="14"/>
  <c r="AH172" i="14"/>
  <c r="AH173" i="14"/>
  <c r="AH174" i="14"/>
  <c r="AH175" i="14"/>
  <c r="AH176" i="14"/>
  <c r="AH177" i="14"/>
  <c r="AH178" i="14"/>
  <c r="AH179" i="14"/>
  <c r="AH180" i="14"/>
  <c r="AH181" i="14"/>
  <c r="AH182" i="14"/>
  <c r="AH183" i="14"/>
  <c r="AH184" i="14"/>
  <c r="AH185" i="14"/>
  <c r="AH186" i="14"/>
  <c r="AH187" i="14"/>
  <c r="AH188" i="14"/>
  <c r="AH189" i="14"/>
  <c r="AH190" i="14"/>
  <c r="AH191" i="14"/>
  <c r="AH192" i="14"/>
  <c r="AH193" i="14"/>
  <c r="AH194" i="14"/>
  <c r="AH195" i="14"/>
  <c r="AH196" i="14"/>
  <c r="AH197" i="14"/>
  <c r="AH198" i="14"/>
  <c r="AH199" i="14"/>
  <c r="AH200" i="14"/>
  <c r="AH201" i="14"/>
  <c r="AH202" i="14"/>
  <c r="AH203" i="14"/>
  <c r="AH204" i="14"/>
  <c r="AH205" i="14"/>
  <c r="AH206" i="14"/>
  <c r="AH207" i="14"/>
  <c r="AH208" i="14"/>
  <c r="AH209" i="14"/>
  <c r="AH210" i="14"/>
  <c r="AH211" i="14"/>
  <c r="AH212" i="14"/>
  <c r="AH213" i="14"/>
  <c r="AH214" i="14"/>
  <c r="AH215" i="14"/>
  <c r="AH216" i="14"/>
  <c r="AH217" i="14"/>
  <c r="AH218" i="14"/>
  <c r="AH219" i="14"/>
  <c r="AH220" i="14"/>
  <c r="AH221" i="14"/>
  <c r="AH222" i="14"/>
  <c r="AH223" i="14"/>
  <c r="AH224" i="14"/>
  <c r="AH225" i="14"/>
  <c r="AH226" i="14"/>
  <c r="AH227" i="14"/>
  <c r="AF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55" i="14"/>
  <c r="AF56" i="14"/>
  <c r="AF57" i="14"/>
  <c r="AF58" i="14"/>
  <c r="AF59" i="14"/>
  <c r="AF60" i="14"/>
  <c r="AF61" i="14"/>
  <c r="AF62" i="14"/>
  <c r="AF63" i="14"/>
  <c r="AF64" i="14"/>
  <c r="AF65" i="14"/>
  <c r="AF66" i="14"/>
  <c r="AF67" i="14"/>
  <c r="AF68" i="14"/>
  <c r="AF69" i="14"/>
  <c r="AF70" i="14"/>
  <c r="AF71" i="14"/>
  <c r="AF72" i="14"/>
  <c r="AF73" i="14"/>
  <c r="AF74" i="14"/>
  <c r="AF75" i="14"/>
  <c r="AF76" i="14"/>
  <c r="AF77" i="14"/>
  <c r="AF78" i="14"/>
  <c r="AF79" i="14"/>
  <c r="AF80" i="14"/>
  <c r="AF81" i="14"/>
  <c r="AF82" i="14"/>
  <c r="AF83" i="14"/>
  <c r="AF84" i="14"/>
  <c r="AF85" i="14"/>
  <c r="AF86" i="14"/>
  <c r="AF87" i="14"/>
  <c r="AF88" i="14"/>
  <c r="AF89" i="14"/>
  <c r="AF90" i="14"/>
  <c r="AF91" i="14"/>
  <c r="AF92" i="14"/>
  <c r="AF93" i="14"/>
  <c r="AF94" i="14"/>
  <c r="AF95" i="14"/>
  <c r="AF96" i="14"/>
  <c r="AF97" i="14"/>
  <c r="AF98" i="14"/>
  <c r="AF99" i="14"/>
  <c r="AF100" i="14"/>
  <c r="AF101" i="14"/>
  <c r="AF102" i="14"/>
  <c r="AF103" i="14"/>
  <c r="AF104" i="14"/>
  <c r="AF105" i="14"/>
  <c r="AF106" i="14"/>
  <c r="AF107" i="14"/>
  <c r="AF108" i="14"/>
  <c r="AF109" i="14"/>
  <c r="AF110" i="14"/>
  <c r="AF111" i="14"/>
  <c r="AF112" i="14"/>
  <c r="AF113" i="14"/>
  <c r="AF114" i="14"/>
  <c r="AF115" i="14"/>
  <c r="AF116" i="14"/>
  <c r="AF117" i="14"/>
  <c r="AF118" i="14"/>
  <c r="AF119" i="14"/>
  <c r="AF120" i="14"/>
  <c r="AF121" i="14"/>
  <c r="AF122" i="14"/>
  <c r="AF123" i="14"/>
  <c r="AF124" i="14"/>
  <c r="AF125" i="14"/>
  <c r="AF126" i="14"/>
  <c r="AF127" i="14"/>
  <c r="AF128" i="14"/>
  <c r="AF129" i="14"/>
  <c r="AF130" i="14"/>
  <c r="AF131" i="14"/>
  <c r="AF132" i="14"/>
  <c r="AF133" i="14"/>
  <c r="AF134" i="14"/>
  <c r="AF135" i="14"/>
  <c r="AF136" i="14"/>
  <c r="AF137" i="14"/>
  <c r="AF138" i="14"/>
  <c r="AF139" i="14"/>
  <c r="AF140" i="14"/>
  <c r="AF141" i="14"/>
  <c r="AF142" i="14"/>
  <c r="AF143" i="14"/>
  <c r="AF144" i="14"/>
  <c r="AF145" i="14"/>
  <c r="AF146" i="14"/>
  <c r="AF147" i="14"/>
  <c r="AF148" i="14"/>
  <c r="AF149" i="14"/>
  <c r="AF150" i="14"/>
  <c r="AF151" i="14"/>
  <c r="AF152" i="14"/>
  <c r="AF153" i="14"/>
  <c r="AF154" i="14"/>
  <c r="AF155" i="14"/>
  <c r="AF156" i="14"/>
  <c r="AF157" i="14"/>
  <c r="AF158" i="14"/>
  <c r="AF159" i="14"/>
  <c r="AF160" i="14"/>
  <c r="AF161" i="14"/>
  <c r="AF162" i="14"/>
  <c r="AF163" i="14"/>
  <c r="AF164" i="14"/>
  <c r="AF165" i="14"/>
  <c r="AF166" i="14"/>
  <c r="AF167" i="14"/>
  <c r="AF168" i="14"/>
  <c r="AF169" i="14"/>
  <c r="AF170" i="14"/>
  <c r="AF171" i="14"/>
  <c r="AF172" i="14"/>
  <c r="AF173" i="14"/>
  <c r="AF174" i="14"/>
  <c r="AF175" i="14"/>
  <c r="AF176" i="14"/>
  <c r="AF177" i="14"/>
  <c r="AF178" i="14"/>
  <c r="AF179" i="14"/>
  <c r="AF180" i="14"/>
  <c r="AF181" i="14"/>
  <c r="AF182" i="14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D2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D84" i="14"/>
  <c r="AD85" i="14"/>
  <c r="AD86" i="14"/>
  <c r="AD87" i="14"/>
  <c r="AD88" i="14"/>
  <c r="AD89" i="14"/>
  <c r="AD90" i="14"/>
  <c r="AD91" i="14"/>
  <c r="AD92" i="14"/>
  <c r="AD93" i="14"/>
  <c r="AD94" i="14"/>
  <c r="AD95" i="14"/>
  <c r="AD96" i="14"/>
  <c r="AD97" i="14"/>
  <c r="AD98" i="14"/>
  <c r="AD99" i="14"/>
  <c r="AD100" i="14"/>
  <c r="AD101" i="14"/>
  <c r="AD102" i="14"/>
  <c r="AD103" i="14"/>
  <c r="AD104" i="14"/>
  <c r="AD105" i="14"/>
  <c r="AD106" i="14"/>
  <c r="AD107" i="14"/>
  <c r="AD108" i="14"/>
  <c r="AD109" i="14"/>
  <c r="AD110" i="14"/>
  <c r="AD111" i="14"/>
  <c r="AD112" i="14"/>
  <c r="AD113" i="14"/>
  <c r="AD114" i="14"/>
  <c r="AD115" i="14"/>
  <c r="AD116" i="14"/>
  <c r="AD117" i="14"/>
  <c r="AD118" i="14"/>
  <c r="AD119" i="14"/>
  <c r="AD120" i="14"/>
  <c r="AD121" i="14"/>
  <c r="AD122" i="14"/>
  <c r="AD123" i="14"/>
  <c r="AD124" i="14"/>
  <c r="AD125" i="14"/>
  <c r="AD126" i="14"/>
  <c r="AD127" i="14"/>
  <c r="AD128" i="14"/>
  <c r="AD129" i="14"/>
  <c r="AD130" i="14"/>
  <c r="AD131" i="14"/>
  <c r="AD132" i="14"/>
  <c r="AD133" i="14"/>
  <c r="AD134" i="14"/>
  <c r="AD135" i="14"/>
  <c r="AD136" i="14"/>
  <c r="AD137" i="14"/>
  <c r="AD138" i="14"/>
  <c r="AD139" i="14"/>
  <c r="AD140" i="14"/>
  <c r="AD141" i="14"/>
  <c r="AD142" i="14"/>
  <c r="AD143" i="14"/>
  <c r="AD144" i="14"/>
  <c r="AD145" i="14"/>
  <c r="AD146" i="14"/>
  <c r="AD147" i="14"/>
  <c r="AD148" i="14"/>
  <c r="AD149" i="14"/>
  <c r="AD150" i="14"/>
  <c r="AD151" i="14"/>
  <c r="AD152" i="14"/>
  <c r="AD153" i="14"/>
  <c r="AD154" i="14"/>
  <c r="AD155" i="14"/>
  <c r="AD156" i="14"/>
  <c r="AD157" i="14"/>
  <c r="AD158" i="14"/>
  <c r="AD159" i="14"/>
  <c r="AD160" i="14"/>
  <c r="AD161" i="14"/>
  <c r="AD162" i="14"/>
  <c r="AD163" i="14"/>
  <c r="AD164" i="14"/>
  <c r="AD165" i="14"/>
  <c r="AD166" i="14"/>
  <c r="AD167" i="14"/>
  <c r="AD168" i="14"/>
  <c r="AD169" i="14"/>
  <c r="AD170" i="14"/>
  <c r="AD171" i="14"/>
  <c r="AD172" i="14"/>
  <c r="AD173" i="14"/>
  <c r="AD174" i="14"/>
  <c r="AD175" i="14"/>
  <c r="AD176" i="14"/>
  <c r="AD177" i="14"/>
  <c r="AD178" i="14"/>
  <c r="AD179" i="14"/>
  <c r="AD180" i="14"/>
  <c r="AD181" i="14"/>
  <c r="AD182" i="14"/>
  <c r="AD183" i="14"/>
  <c r="AD184" i="14"/>
  <c r="AD185" i="14"/>
  <c r="AD186" i="14"/>
  <c r="AD187" i="14"/>
  <c r="AD188" i="14"/>
  <c r="AD189" i="14"/>
  <c r="AD190" i="14"/>
  <c r="AD191" i="14"/>
  <c r="AD192" i="14"/>
  <c r="AD193" i="14"/>
  <c r="AD194" i="14"/>
  <c r="AD195" i="14"/>
  <c r="AD196" i="14"/>
  <c r="AD197" i="14"/>
  <c r="AD198" i="14"/>
  <c r="AD199" i="14"/>
  <c r="AD200" i="14"/>
  <c r="AD201" i="14"/>
  <c r="AD202" i="14"/>
  <c r="AD203" i="14"/>
  <c r="AD204" i="14"/>
  <c r="AD205" i="14"/>
  <c r="AD206" i="14"/>
  <c r="AD207" i="14"/>
  <c r="AD208" i="14"/>
  <c r="AD209" i="14"/>
  <c r="AD210" i="14"/>
  <c r="AD211" i="14"/>
  <c r="AD212" i="14"/>
  <c r="AD213" i="14"/>
  <c r="AD214" i="14"/>
  <c r="AD215" i="14"/>
  <c r="AD216" i="14"/>
  <c r="AD217" i="14"/>
  <c r="AD218" i="14"/>
  <c r="AD219" i="14"/>
  <c r="AD220" i="14"/>
  <c r="AD221" i="14"/>
  <c r="AD222" i="14"/>
  <c r="AD223" i="14"/>
  <c r="AD224" i="14"/>
  <c r="AD225" i="14"/>
  <c r="AD226" i="14"/>
  <c r="AD227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X221" i="14"/>
  <c r="X222" i="14"/>
  <c r="X223" i="14"/>
  <c r="X224" i="14"/>
  <c r="X225" i="14"/>
  <c r="X226" i="14"/>
  <c r="X227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AA227" i="14"/>
  <c r="AB227" i="14" s="1"/>
  <c r="Y227" i="14"/>
  <c r="AA226" i="14"/>
  <c r="Y226" i="14"/>
  <c r="AA225" i="14"/>
  <c r="AB225" i="14" s="1"/>
  <c r="Y225" i="14"/>
  <c r="Z225" i="14" s="1"/>
  <c r="AA224" i="14"/>
  <c r="AB224" i="14" s="1"/>
  <c r="Y224" i="14"/>
  <c r="AA223" i="14"/>
  <c r="AB223" i="14" s="1"/>
  <c r="Y223" i="14"/>
  <c r="AA222" i="14"/>
  <c r="Y222" i="14"/>
  <c r="AA221" i="14"/>
  <c r="AB221" i="14" s="1"/>
  <c r="Y221" i="14"/>
  <c r="AA220" i="14"/>
  <c r="AB220" i="14" s="1"/>
  <c r="Y220" i="14"/>
  <c r="Z220" i="14" s="1"/>
  <c r="AA219" i="14"/>
  <c r="AB219" i="14" s="1"/>
  <c r="Y219" i="14"/>
  <c r="AA218" i="14"/>
  <c r="Y218" i="14"/>
  <c r="AA217" i="14"/>
  <c r="AB217" i="14" s="1"/>
  <c r="Y217" i="14"/>
  <c r="AA216" i="14"/>
  <c r="AB216" i="14" s="1"/>
  <c r="Y216" i="14"/>
  <c r="AA215" i="14"/>
  <c r="AB215" i="14" s="1"/>
  <c r="Y215" i="14"/>
  <c r="AA214" i="14"/>
  <c r="Y214" i="14"/>
  <c r="Z214" i="14" s="1"/>
  <c r="AA213" i="14"/>
  <c r="AB213" i="14" s="1"/>
  <c r="Y213" i="14"/>
  <c r="AA212" i="14"/>
  <c r="AB212" i="14" s="1"/>
  <c r="Y212" i="14"/>
  <c r="AA211" i="14"/>
  <c r="AB211" i="14" s="1"/>
  <c r="Y211" i="14"/>
  <c r="AA210" i="14"/>
  <c r="Y210" i="14"/>
  <c r="AA209" i="14"/>
  <c r="AB209" i="14" s="1"/>
  <c r="Y209" i="14"/>
  <c r="Z209" i="14" s="1"/>
  <c r="AA208" i="14"/>
  <c r="AB208" i="14" s="1"/>
  <c r="Y208" i="14"/>
  <c r="AA207" i="14"/>
  <c r="AB207" i="14" s="1"/>
  <c r="Y207" i="14"/>
  <c r="AA206" i="14"/>
  <c r="Y206" i="14"/>
  <c r="AA205" i="14"/>
  <c r="AB205" i="14" s="1"/>
  <c r="Y205" i="14"/>
  <c r="AA204" i="14"/>
  <c r="AB204" i="14" s="1"/>
  <c r="Y204" i="14"/>
  <c r="Z204" i="14" s="1"/>
  <c r="AA203" i="14"/>
  <c r="AB203" i="14" s="1"/>
  <c r="Y203" i="14"/>
  <c r="AA202" i="14"/>
  <c r="Y202" i="14"/>
  <c r="AA201" i="14"/>
  <c r="AB201" i="14" s="1"/>
  <c r="Y201" i="14"/>
  <c r="AA200" i="14"/>
  <c r="AB200" i="14" s="1"/>
  <c r="Y200" i="14"/>
  <c r="AA199" i="14"/>
  <c r="AB199" i="14" s="1"/>
  <c r="Y199" i="14"/>
  <c r="AA198" i="14"/>
  <c r="Y198" i="14"/>
  <c r="Z198" i="14" s="1"/>
  <c r="AA197" i="14"/>
  <c r="Y197" i="14"/>
  <c r="AA196" i="14"/>
  <c r="AB196" i="14" s="1"/>
  <c r="Y196" i="14"/>
  <c r="AA195" i="14"/>
  <c r="AB195" i="14" s="1"/>
  <c r="Y195" i="14"/>
  <c r="AA194" i="14"/>
  <c r="Y194" i="14"/>
  <c r="AA193" i="14"/>
  <c r="Y193" i="14"/>
  <c r="Z193" i="14" s="1"/>
  <c r="AA192" i="14"/>
  <c r="AB192" i="14" s="1"/>
  <c r="Y192" i="14"/>
  <c r="AA191" i="14"/>
  <c r="AB191" i="14" s="1"/>
  <c r="Y191" i="14"/>
  <c r="AA190" i="14"/>
  <c r="Y190" i="14"/>
  <c r="AA189" i="14"/>
  <c r="Y189" i="14"/>
  <c r="AA188" i="14"/>
  <c r="AB188" i="14" s="1"/>
  <c r="Y188" i="14"/>
  <c r="Z188" i="14" s="1"/>
  <c r="AA187" i="14"/>
  <c r="AB187" i="14" s="1"/>
  <c r="Y187" i="14"/>
  <c r="AA186" i="14"/>
  <c r="Y186" i="14"/>
  <c r="AA185" i="14"/>
  <c r="Y185" i="14"/>
  <c r="AA184" i="14"/>
  <c r="AB184" i="14" s="1"/>
  <c r="Y184" i="14"/>
  <c r="AA183" i="14"/>
  <c r="AB183" i="14" s="1"/>
  <c r="Y183" i="14"/>
  <c r="AA182" i="14"/>
  <c r="Y182" i="14"/>
  <c r="Z182" i="14" s="1"/>
  <c r="AA181" i="14"/>
  <c r="Y181" i="14"/>
  <c r="AA180" i="14"/>
  <c r="AB180" i="14" s="1"/>
  <c r="Y180" i="14"/>
  <c r="AA179" i="14"/>
  <c r="AB179" i="14" s="1"/>
  <c r="Y179" i="14"/>
  <c r="AA178" i="14"/>
  <c r="Y178" i="14"/>
  <c r="AA177" i="14"/>
  <c r="Y177" i="14"/>
  <c r="Z177" i="14" s="1"/>
  <c r="AA176" i="14"/>
  <c r="AB176" i="14" s="1"/>
  <c r="Y176" i="14"/>
  <c r="AA175" i="14"/>
  <c r="AB175" i="14" s="1"/>
  <c r="Y175" i="14"/>
  <c r="AA174" i="14"/>
  <c r="Y174" i="14"/>
  <c r="AA173" i="14"/>
  <c r="Y173" i="14"/>
  <c r="AA172" i="14"/>
  <c r="AB172" i="14" s="1"/>
  <c r="Y172" i="14"/>
  <c r="Z172" i="14" s="1"/>
  <c r="AA171" i="14"/>
  <c r="AB171" i="14" s="1"/>
  <c r="Y171" i="14"/>
  <c r="AA170" i="14"/>
  <c r="Y170" i="14"/>
  <c r="AA169" i="14"/>
  <c r="Y169" i="14"/>
  <c r="AA168" i="14"/>
  <c r="AB168" i="14" s="1"/>
  <c r="Y168" i="14"/>
  <c r="AA167" i="14"/>
  <c r="Y167" i="14"/>
  <c r="AA166" i="14"/>
  <c r="Y166" i="14"/>
  <c r="Z166" i="14" s="1"/>
  <c r="AA165" i="14"/>
  <c r="Y165" i="14"/>
  <c r="AA164" i="14"/>
  <c r="AB164" i="14" s="1"/>
  <c r="Y164" i="14"/>
  <c r="AA163" i="14"/>
  <c r="Y163" i="14"/>
  <c r="AA162" i="14"/>
  <c r="Y162" i="14"/>
  <c r="AA161" i="14"/>
  <c r="Y161" i="14"/>
  <c r="Z161" i="14" s="1"/>
  <c r="AA160" i="14"/>
  <c r="AB160" i="14" s="1"/>
  <c r="Y160" i="14"/>
  <c r="AA159" i="14"/>
  <c r="Y159" i="14"/>
  <c r="AA158" i="14"/>
  <c r="Y158" i="14"/>
  <c r="AA157" i="14"/>
  <c r="Y157" i="14"/>
  <c r="AA156" i="14"/>
  <c r="AB156" i="14" s="1"/>
  <c r="Y156" i="14"/>
  <c r="Z156" i="14" s="1"/>
  <c r="AA155" i="14"/>
  <c r="Y155" i="14"/>
  <c r="AA154" i="14"/>
  <c r="Y154" i="14"/>
  <c r="AA153" i="14"/>
  <c r="Y153" i="14"/>
  <c r="AA152" i="14"/>
  <c r="AB152" i="14" s="1"/>
  <c r="Y152" i="14"/>
  <c r="AA151" i="14"/>
  <c r="Y151" i="14"/>
  <c r="AA150" i="14"/>
  <c r="Y150" i="14"/>
  <c r="Z150" i="14" s="1"/>
  <c r="AA149" i="14"/>
  <c r="Y149" i="14"/>
  <c r="AA148" i="14"/>
  <c r="AB148" i="14" s="1"/>
  <c r="Y148" i="14"/>
  <c r="AA147" i="14"/>
  <c r="Y147" i="14"/>
  <c r="AA146" i="14"/>
  <c r="Y146" i="14"/>
  <c r="AA145" i="14"/>
  <c r="Y145" i="14"/>
  <c r="Z145" i="14" s="1"/>
  <c r="AA144" i="14"/>
  <c r="AB144" i="14" s="1"/>
  <c r="Y144" i="14"/>
  <c r="AA143" i="14"/>
  <c r="Y143" i="14"/>
  <c r="AA142" i="14"/>
  <c r="Y142" i="14"/>
  <c r="AA141" i="14"/>
  <c r="Y141" i="14"/>
  <c r="AA140" i="14"/>
  <c r="AB140" i="14" s="1"/>
  <c r="Y140" i="14"/>
  <c r="Z140" i="14" s="1"/>
  <c r="AA139" i="14"/>
  <c r="Y139" i="14"/>
  <c r="AA138" i="14"/>
  <c r="Y138" i="14"/>
  <c r="AA137" i="14"/>
  <c r="Y137" i="14"/>
  <c r="AA136" i="14"/>
  <c r="AB136" i="14" s="1"/>
  <c r="Y136" i="14"/>
  <c r="AA135" i="14"/>
  <c r="Y135" i="14"/>
  <c r="AA134" i="14"/>
  <c r="Y134" i="14"/>
  <c r="Z134" i="14" s="1"/>
  <c r="AA133" i="14"/>
  <c r="Y133" i="14"/>
  <c r="AA132" i="14"/>
  <c r="AB132" i="14" s="1"/>
  <c r="Y132" i="14"/>
  <c r="AA131" i="14"/>
  <c r="Y131" i="14"/>
  <c r="AA130" i="14"/>
  <c r="Y130" i="14"/>
  <c r="AA129" i="14"/>
  <c r="Y129" i="14"/>
  <c r="Z129" i="14" s="1"/>
  <c r="AA128" i="14"/>
  <c r="AB128" i="14" s="1"/>
  <c r="Y128" i="14"/>
  <c r="AA127" i="14"/>
  <c r="Y127" i="14"/>
  <c r="AA126" i="14"/>
  <c r="Y126" i="14"/>
  <c r="AA125" i="14"/>
  <c r="Y125" i="14"/>
  <c r="AA124" i="14"/>
  <c r="AB124" i="14" s="1"/>
  <c r="Y124" i="14"/>
  <c r="Z124" i="14" s="1"/>
  <c r="AA123" i="14"/>
  <c r="Y123" i="14"/>
  <c r="AA122" i="14"/>
  <c r="Y122" i="14"/>
  <c r="AA121" i="14"/>
  <c r="Y121" i="14"/>
  <c r="AA120" i="14"/>
  <c r="AB120" i="14" s="1"/>
  <c r="Y120" i="14"/>
  <c r="AA119" i="14"/>
  <c r="Y119" i="14"/>
  <c r="AA118" i="14"/>
  <c r="Y118" i="14"/>
  <c r="Z118" i="14" s="1"/>
  <c r="AA117" i="14"/>
  <c r="Y117" i="14"/>
  <c r="AA116" i="14"/>
  <c r="AB116" i="14" s="1"/>
  <c r="Y116" i="14"/>
  <c r="AA115" i="14"/>
  <c r="Y115" i="14"/>
  <c r="AA114" i="14"/>
  <c r="Y114" i="14"/>
  <c r="AA113" i="14"/>
  <c r="Y113" i="14"/>
  <c r="AA112" i="14"/>
  <c r="Y112" i="14"/>
  <c r="AA111" i="14"/>
  <c r="AB111" i="14" s="1"/>
  <c r="Y111" i="14"/>
  <c r="AA110" i="14"/>
  <c r="Y110" i="14"/>
  <c r="AA109" i="14"/>
  <c r="Y109" i="14"/>
  <c r="AA108" i="14"/>
  <c r="Y108" i="14"/>
  <c r="Z108" i="14" s="1"/>
  <c r="AA107" i="14"/>
  <c r="Y107" i="14"/>
  <c r="AA106" i="14"/>
  <c r="AB106" i="14" s="1"/>
  <c r="Y106" i="14"/>
  <c r="AA105" i="14"/>
  <c r="Y105" i="14"/>
  <c r="AA104" i="14"/>
  <c r="Y104" i="14"/>
  <c r="AA103" i="14"/>
  <c r="Y103" i="14"/>
  <c r="AA102" i="14"/>
  <c r="Y102" i="14"/>
  <c r="Z102" i="14" s="1"/>
  <c r="AA101" i="14"/>
  <c r="Y101" i="14"/>
  <c r="AA100" i="14"/>
  <c r="AB100" i="14" s="1"/>
  <c r="Y100" i="14"/>
  <c r="AA99" i="14"/>
  <c r="Y99" i="14"/>
  <c r="AA98" i="14"/>
  <c r="Y98" i="14"/>
  <c r="AA97" i="14"/>
  <c r="Y97" i="14"/>
  <c r="AA96" i="14"/>
  <c r="Y96" i="14"/>
  <c r="AA95" i="14"/>
  <c r="AB95" i="14" s="1"/>
  <c r="Y95" i="14"/>
  <c r="AA94" i="14"/>
  <c r="Y94" i="14"/>
  <c r="AA93" i="14"/>
  <c r="Y93" i="14"/>
  <c r="AA92" i="14"/>
  <c r="Y92" i="14"/>
  <c r="Z92" i="14" s="1"/>
  <c r="AA91" i="14"/>
  <c r="Y91" i="14"/>
  <c r="AA90" i="14"/>
  <c r="AB90" i="14" s="1"/>
  <c r="Y90" i="14"/>
  <c r="AA89" i="14"/>
  <c r="Y89" i="14"/>
  <c r="AA88" i="14"/>
  <c r="Y88" i="14"/>
  <c r="AA87" i="14"/>
  <c r="Y87" i="14"/>
  <c r="AA86" i="14"/>
  <c r="Y86" i="14"/>
  <c r="Z86" i="14" s="1"/>
  <c r="AA85" i="14"/>
  <c r="Y85" i="14"/>
  <c r="AA84" i="14"/>
  <c r="AB84" i="14" s="1"/>
  <c r="Y84" i="14"/>
  <c r="AA83" i="14"/>
  <c r="Y83" i="14"/>
  <c r="AA82" i="14"/>
  <c r="Y82" i="14"/>
  <c r="AA81" i="14"/>
  <c r="Y81" i="14"/>
  <c r="AA80" i="14"/>
  <c r="Y80" i="14"/>
  <c r="AA79" i="14"/>
  <c r="AB79" i="14" s="1"/>
  <c r="Y79" i="14"/>
  <c r="AA78" i="14"/>
  <c r="Y78" i="14"/>
  <c r="AA77" i="14"/>
  <c r="Y77" i="14"/>
  <c r="AA76" i="14"/>
  <c r="Y76" i="14"/>
  <c r="Z76" i="14" s="1"/>
  <c r="AA75" i="14"/>
  <c r="Y75" i="14"/>
  <c r="AA74" i="14"/>
  <c r="AB74" i="14" s="1"/>
  <c r="Y74" i="14"/>
  <c r="AA73" i="14"/>
  <c r="Y73" i="14"/>
  <c r="AA72" i="14"/>
  <c r="Y72" i="14"/>
  <c r="AA71" i="14"/>
  <c r="Y71" i="14"/>
  <c r="AA70" i="14"/>
  <c r="Y70" i="14"/>
  <c r="Z70" i="14" s="1"/>
  <c r="AA69" i="14"/>
  <c r="Y69" i="14"/>
  <c r="AA68" i="14"/>
  <c r="AB68" i="14" s="1"/>
  <c r="Y68" i="14"/>
  <c r="AA67" i="14"/>
  <c r="Y67" i="14"/>
  <c r="AA66" i="14"/>
  <c r="Y66" i="14"/>
  <c r="AA65" i="14"/>
  <c r="Y65" i="14"/>
  <c r="AA64" i="14"/>
  <c r="Y64" i="14"/>
  <c r="AA63" i="14"/>
  <c r="AB63" i="14" s="1"/>
  <c r="Y63" i="14"/>
  <c r="AA62" i="14"/>
  <c r="Y62" i="14"/>
  <c r="AA61" i="14"/>
  <c r="Y61" i="14"/>
  <c r="AA60" i="14"/>
  <c r="Y60" i="14"/>
  <c r="Z60" i="14" s="1"/>
  <c r="AA59" i="14"/>
  <c r="Y59" i="14"/>
  <c r="AA58" i="14"/>
  <c r="AB58" i="14" s="1"/>
  <c r="Y58" i="14"/>
  <c r="AA57" i="14"/>
  <c r="Y57" i="14"/>
  <c r="AA56" i="14"/>
  <c r="Y56" i="14"/>
  <c r="AA55" i="14"/>
  <c r="Y55" i="14"/>
  <c r="AA54" i="14"/>
  <c r="Y54" i="14"/>
  <c r="Z54" i="14" s="1"/>
  <c r="AA53" i="14"/>
  <c r="Y53" i="14"/>
  <c r="AA52" i="14"/>
  <c r="AB52" i="14" s="1"/>
  <c r="Y52" i="14"/>
  <c r="AA51" i="14"/>
  <c r="Y51" i="14"/>
  <c r="AA50" i="14"/>
  <c r="Y50" i="14"/>
  <c r="AA49" i="14"/>
  <c r="Y49" i="14"/>
  <c r="AA48" i="14"/>
  <c r="Y48" i="14"/>
  <c r="AA47" i="14"/>
  <c r="AB47" i="14" s="1"/>
  <c r="Y47" i="14"/>
  <c r="AA46" i="14"/>
  <c r="Y46" i="14"/>
  <c r="AA45" i="14"/>
  <c r="Y45" i="14"/>
  <c r="AA44" i="14"/>
  <c r="Y44" i="14"/>
  <c r="Z44" i="14" s="1"/>
  <c r="AA43" i="14"/>
  <c r="Y43" i="14"/>
  <c r="AA42" i="14"/>
  <c r="AB42" i="14" s="1"/>
  <c r="Y42" i="14"/>
  <c r="AA41" i="14"/>
  <c r="Y41" i="14"/>
  <c r="AA40" i="14"/>
  <c r="Y40" i="14"/>
  <c r="AA39" i="14"/>
  <c r="Y39" i="14"/>
  <c r="AA38" i="14"/>
  <c r="Y38" i="14"/>
  <c r="Z38" i="14" s="1"/>
  <c r="AA37" i="14"/>
  <c r="Y37" i="14"/>
  <c r="AA36" i="14"/>
  <c r="AB36" i="14" s="1"/>
  <c r="Y36" i="14"/>
  <c r="AA35" i="14"/>
  <c r="Y35" i="14"/>
  <c r="AA34" i="14"/>
  <c r="Y34" i="14"/>
  <c r="AA33" i="14"/>
  <c r="Y33" i="14"/>
  <c r="AA32" i="14"/>
  <c r="Y32" i="14"/>
  <c r="AA31" i="14"/>
  <c r="AB31" i="14" s="1"/>
  <c r="Y31" i="14"/>
  <c r="AA30" i="14"/>
  <c r="Y30" i="14"/>
  <c r="AA29" i="14"/>
  <c r="Y29" i="14"/>
  <c r="AA28" i="14"/>
  <c r="Y28" i="14"/>
  <c r="Z28" i="14" s="1"/>
  <c r="AA27" i="14"/>
  <c r="Y27" i="14"/>
  <c r="AA26" i="14"/>
  <c r="AB26" i="14" s="1"/>
  <c r="Y26" i="14"/>
  <c r="AA25" i="14"/>
  <c r="Y25" i="14"/>
  <c r="AA24" i="14"/>
  <c r="Y24" i="14"/>
  <c r="AA23" i="14"/>
  <c r="Y23" i="14"/>
  <c r="AA22" i="14"/>
  <c r="Y22" i="14"/>
  <c r="Z22" i="14" s="1"/>
  <c r="AA21" i="14"/>
  <c r="Y21" i="14"/>
  <c r="AA20" i="14"/>
  <c r="AB20" i="14" s="1"/>
  <c r="Y20" i="14"/>
  <c r="AA19" i="14"/>
  <c r="Y19" i="14"/>
  <c r="AA18" i="14"/>
  <c r="Y18" i="14"/>
  <c r="AA17" i="14"/>
  <c r="Y17" i="14"/>
  <c r="AA16" i="14"/>
  <c r="Y16" i="14"/>
  <c r="AA15" i="14"/>
  <c r="AB15" i="14" s="1"/>
  <c r="Y15" i="14"/>
  <c r="AA14" i="14"/>
  <c r="Y14" i="14"/>
  <c r="AA13" i="14"/>
  <c r="Y13" i="14"/>
  <c r="AA12" i="14"/>
  <c r="Y12" i="14"/>
  <c r="Z12" i="14" s="1"/>
  <c r="AA11" i="14"/>
  <c r="Y11" i="14"/>
  <c r="AA10" i="14"/>
  <c r="AB10" i="14" s="1"/>
  <c r="Y10" i="14"/>
  <c r="AA9" i="14"/>
  <c r="Y9" i="14"/>
  <c r="AA8" i="14"/>
  <c r="Y8" i="14"/>
  <c r="AA7" i="14"/>
  <c r="Y7" i="14"/>
  <c r="AA6" i="14"/>
  <c r="Y6" i="14"/>
  <c r="Z6" i="14" s="1"/>
  <c r="AA5" i="14"/>
  <c r="Y5" i="14"/>
  <c r="AA4" i="14"/>
  <c r="AB4" i="14" s="1"/>
  <c r="Y4" i="14"/>
  <c r="AA3" i="14"/>
  <c r="Y3" i="14"/>
  <c r="AA2" i="14"/>
  <c r="Y2" i="14"/>
  <c r="E10" i="4" l="1"/>
  <c r="E11" i="4" s="1"/>
  <c r="U10" i="4"/>
  <c r="U11" i="4"/>
  <c r="P10" i="4"/>
  <c r="F10" i="4"/>
  <c r="F11" i="4" s="1"/>
  <c r="J29" i="4"/>
  <c r="J30" i="4" s="1"/>
  <c r="G29" i="4"/>
  <c r="O10" i="4"/>
  <c r="AN152" i="15" s="1"/>
  <c r="AO152" i="15" s="1"/>
  <c r="AP152" i="15" s="1"/>
  <c r="L29" i="4"/>
  <c r="L30" i="4" s="1"/>
  <c r="D29" i="4"/>
  <c r="D30" i="4" s="1"/>
  <c r="W29" i="4"/>
  <c r="I29" i="4"/>
  <c r="Y29" i="4"/>
  <c r="Y30" i="4" s="1"/>
  <c r="Y10" i="4"/>
  <c r="Q10" i="4"/>
  <c r="L10" i="4"/>
  <c r="R10" i="4"/>
  <c r="AW10" i="15" s="1"/>
  <c r="AX10" i="15" s="1"/>
  <c r="AY10" i="15" s="1"/>
  <c r="F29" i="4"/>
  <c r="V29" i="4"/>
  <c r="EC190" i="15" s="1"/>
  <c r="ED190" i="15" s="1"/>
  <c r="EE190" i="15" s="1"/>
  <c r="K10" i="4"/>
  <c r="K11" i="4" s="1"/>
  <c r="H29" i="4"/>
  <c r="CM17" i="15" s="1"/>
  <c r="CN17" i="15" s="1"/>
  <c r="CO17" i="15" s="1"/>
  <c r="X29" i="4"/>
  <c r="S29" i="4"/>
  <c r="S30" i="4" s="1"/>
  <c r="E29" i="4"/>
  <c r="E30" i="4" s="1"/>
  <c r="U29" i="4"/>
  <c r="B17" i="4"/>
  <c r="B18" i="4" s="1"/>
  <c r="I10" i="4"/>
  <c r="I11" i="4" s="1"/>
  <c r="D10" i="4"/>
  <c r="T10" i="4"/>
  <c r="J10" i="4"/>
  <c r="J11" i="4" s="1"/>
  <c r="N29" i="4"/>
  <c r="N30" i="4"/>
  <c r="C10" i="4"/>
  <c r="D185" i="15" s="1"/>
  <c r="E185" i="15" s="1"/>
  <c r="F185" i="15" s="1"/>
  <c r="S10" i="4"/>
  <c r="S11" i="4" s="1"/>
  <c r="P29" i="4"/>
  <c r="P30" i="4" s="1"/>
  <c r="K29" i="4"/>
  <c r="C29" i="4"/>
  <c r="M29" i="4"/>
  <c r="M30" i="4" s="1"/>
  <c r="M10" i="4"/>
  <c r="M11" i="4" s="1"/>
  <c r="H10" i="4"/>
  <c r="H11" i="4"/>
  <c r="X10" i="4"/>
  <c r="X11" i="4" s="1"/>
  <c r="N10" i="4"/>
  <c r="N11" i="4" s="1"/>
  <c r="R29" i="4"/>
  <c r="G10" i="4"/>
  <c r="W10" i="4"/>
  <c r="W11" i="4" s="1"/>
  <c r="T29" i="4"/>
  <c r="T30" i="4" s="1"/>
  <c r="O29" i="4"/>
  <c r="V10" i="4"/>
  <c r="V11" i="4" s="1"/>
  <c r="Q29" i="4"/>
  <c r="Q30" i="4" s="1"/>
  <c r="B28" i="4"/>
  <c r="B36" i="4"/>
  <c r="B37" i="4" s="1"/>
  <c r="AT44" i="15"/>
  <c r="AU44" i="15" s="1"/>
  <c r="AV44" i="15" s="1"/>
  <c r="AE4" i="15"/>
  <c r="AF4" i="15" s="1"/>
  <c r="AG4" i="15" s="1"/>
  <c r="AE20" i="15"/>
  <c r="AF20" i="15" s="1"/>
  <c r="AG20" i="15" s="1"/>
  <c r="AE36" i="15"/>
  <c r="AF36" i="15" s="1"/>
  <c r="AG36" i="15" s="1"/>
  <c r="AE52" i="15"/>
  <c r="AF52" i="15" s="1"/>
  <c r="AG52" i="15" s="1"/>
  <c r="AE68" i="15"/>
  <c r="AF68" i="15" s="1"/>
  <c r="AG68" i="15" s="1"/>
  <c r="AE84" i="15"/>
  <c r="AF84" i="15" s="1"/>
  <c r="AG84" i="15" s="1"/>
  <c r="AE100" i="15"/>
  <c r="AF100" i="15" s="1"/>
  <c r="AG100" i="15" s="1"/>
  <c r="AE116" i="15"/>
  <c r="AF116" i="15" s="1"/>
  <c r="AG116" i="15" s="1"/>
  <c r="AE132" i="15"/>
  <c r="AF132" i="15" s="1"/>
  <c r="AG132" i="15" s="1"/>
  <c r="AE148" i="15"/>
  <c r="AF148" i="15" s="1"/>
  <c r="AG148" i="15" s="1"/>
  <c r="AE164" i="15"/>
  <c r="AF164" i="15" s="1"/>
  <c r="AG164" i="15" s="1"/>
  <c r="AE180" i="15"/>
  <c r="AF180" i="15" s="1"/>
  <c r="AG180" i="15" s="1"/>
  <c r="AE196" i="15"/>
  <c r="AF196" i="15" s="1"/>
  <c r="AG196" i="15" s="1"/>
  <c r="AE212" i="15"/>
  <c r="AF212" i="15" s="1"/>
  <c r="AG212" i="15" s="1"/>
  <c r="AE2" i="15"/>
  <c r="AF2" i="15" s="1"/>
  <c r="AE23" i="15"/>
  <c r="AF23" i="15" s="1"/>
  <c r="AG23" i="15" s="1"/>
  <c r="AE55" i="15"/>
  <c r="AF55" i="15" s="1"/>
  <c r="AG55" i="15" s="1"/>
  <c r="AE87" i="15"/>
  <c r="AF87" i="15" s="1"/>
  <c r="AG87" i="15" s="1"/>
  <c r="AE111" i="15"/>
  <c r="AF111" i="15" s="1"/>
  <c r="AG111" i="15" s="1"/>
  <c r="AE143" i="15"/>
  <c r="AF143" i="15" s="1"/>
  <c r="AG143" i="15" s="1"/>
  <c r="AE175" i="15"/>
  <c r="AF175" i="15" s="1"/>
  <c r="AG175" i="15" s="1"/>
  <c r="AE207" i="15"/>
  <c r="AF207" i="15" s="1"/>
  <c r="AG207" i="15" s="1"/>
  <c r="AE9" i="15"/>
  <c r="AF9" i="15" s="1"/>
  <c r="AG9" i="15" s="1"/>
  <c r="AE25" i="15"/>
  <c r="AF25" i="15" s="1"/>
  <c r="AG25" i="15" s="1"/>
  <c r="AE41" i="15"/>
  <c r="AF41" i="15" s="1"/>
  <c r="AG41" i="15" s="1"/>
  <c r="AE57" i="15"/>
  <c r="AF57" i="15" s="1"/>
  <c r="AG57" i="15" s="1"/>
  <c r="AE73" i="15"/>
  <c r="AF73" i="15" s="1"/>
  <c r="AG73" i="15" s="1"/>
  <c r="AE89" i="15"/>
  <c r="AF89" i="15" s="1"/>
  <c r="AG89" i="15" s="1"/>
  <c r="AE105" i="15"/>
  <c r="AF105" i="15" s="1"/>
  <c r="AG105" i="15" s="1"/>
  <c r="AE121" i="15"/>
  <c r="AF121" i="15" s="1"/>
  <c r="AG121" i="15" s="1"/>
  <c r="AE137" i="15"/>
  <c r="AF137" i="15" s="1"/>
  <c r="AG137" i="15" s="1"/>
  <c r="AE153" i="15"/>
  <c r="AF153" i="15" s="1"/>
  <c r="AG153" i="15" s="1"/>
  <c r="AE169" i="15"/>
  <c r="AF169" i="15" s="1"/>
  <c r="AG169" i="15" s="1"/>
  <c r="AE185" i="15"/>
  <c r="AF185" i="15" s="1"/>
  <c r="AG185" i="15" s="1"/>
  <c r="AE201" i="15"/>
  <c r="AF201" i="15" s="1"/>
  <c r="AG201" i="15" s="1"/>
  <c r="AE217" i="15"/>
  <c r="AF217" i="15" s="1"/>
  <c r="AG217" i="15" s="1"/>
  <c r="AE10" i="15"/>
  <c r="AF10" i="15" s="1"/>
  <c r="AG10" i="15" s="1"/>
  <c r="AE26" i="15"/>
  <c r="AF26" i="15" s="1"/>
  <c r="AG26" i="15" s="1"/>
  <c r="AE42" i="15"/>
  <c r="AF42" i="15" s="1"/>
  <c r="AG42" i="15" s="1"/>
  <c r="AE58" i="15"/>
  <c r="AF58" i="15" s="1"/>
  <c r="AG58" i="15" s="1"/>
  <c r="AE74" i="15"/>
  <c r="AF74" i="15" s="1"/>
  <c r="AG74" i="15" s="1"/>
  <c r="AE90" i="15"/>
  <c r="AF90" i="15" s="1"/>
  <c r="AG90" i="15" s="1"/>
  <c r="AE106" i="15"/>
  <c r="AF106" i="15" s="1"/>
  <c r="AG106" i="15" s="1"/>
  <c r="AE122" i="15"/>
  <c r="AF122" i="15" s="1"/>
  <c r="AG122" i="15" s="1"/>
  <c r="AE138" i="15"/>
  <c r="AF138" i="15" s="1"/>
  <c r="AG138" i="15" s="1"/>
  <c r="AE154" i="15"/>
  <c r="AF154" i="15" s="1"/>
  <c r="AG154" i="15" s="1"/>
  <c r="AE170" i="15"/>
  <c r="AF170" i="15" s="1"/>
  <c r="AG170" i="15" s="1"/>
  <c r="AE186" i="15"/>
  <c r="AF186" i="15" s="1"/>
  <c r="AG186" i="15" s="1"/>
  <c r="AE202" i="15"/>
  <c r="AF202" i="15" s="1"/>
  <c r="AG202" i="15" s="1"/>
  <c r="AE218" i="15"/>
  <c r="AF218" i="15" s="1"/>
  <c r="AG218" i="15" s="1"/>
  <c r="AE19" i="15"/>
  <c r="AF19" i="15" s="1"/>
  <c r="AG19" i="15" s="1"/>
  <c r="AE51" i="15"/>
  <c r="AF51" i="15" s="1"/>
  <c r="AG51" i="15" s="1"/>
  <c r="AE83" i="15"/>
  <c r="AF83" i="15" s="1"/>
  <c r="AG83" i="15" s="1"/>
  <c r="AE119" i="15"/>
  <c r="AF119" i="15" s="1"/>
  <c r="AG119" i="15" s="1"/>
  <c r="AE155" i="15"/>
  <c r="AF155" i="15" s="1"/>
  <c r="AG155" i="15" s="1"/>
  <c r="AE187" i="15"/>
  <c r="AF187" i="15" s="1"/>
  <c r="AG187" i="15" s="1"/>
  <c r="AE219" i="15"/>
  <c r="AF219" i="15" s="1"/>
  <c r="AG219" i="15" s="1"/>
  <c r="AW14" i="15"/>
  <c r="AX14" i="15" s="1"/>
  <c r="AY14" i="15" s="1"/>
  <c r="AW18" i="15"/>
  <c r="AX18" i="15" s="1"/>
  <c r="AY18" i="15" s="1"/>
  <c r="AW30" i="15"/>
  <c r="AX30" i="15" s="1"/>
  <c r="AY30" i="15" s="1"/>
  <c r="AW46" i="15"/>
  <c r="AX46" i="15" s="1"/>
  <c r="AY46" i="15" s="1"/>
  <c r="AW50" i="15"/>
  <c r="AX50" i="15" s="1"/>
  <c r="AY50" i="15" s="1"/>
  <c r="AW62" i="15"/>
  <c r="AX62" i="15" s="1"/>
  <c r="AY62" i="15" s="1"/>
  <c r="AW78" i="15"/>
  <c r="AX78" i="15" s="1"/>
  <c r="AY78" i="15" s="1"/>
  <c r="AW82" i="15"/>
  <c r="AX82" i="15" s="1"/>
  <c r="AY82" i="15" s="1"/>
  <c r="AW94" i="15"/>
  <c r="AX94" i="15" s="1"/>
  <c r="AY94" i="15" s="1"/>
  <c r="AW110" i="15"/>
  <c r="AX110" i="15" s="1"/>
  <c r="AY110" i="15" s="1"/>
  <c r="AW114" i="15"/>
  <c r="AX114" i="15" s="1"/>
  <c r="AY114" i="15" s="1"/>
  <c r="AW126" i="15"/>
  <c r="AX126" i="15" s="1"/>
  <c r="AY126" i="15" s="1"/>
  <c r="AW142" i="15"/>
  <c r="AX142" i="15" s="1"/>
  <c r="AY142" i="15" s="1"/>
  <c r="AW146" i="15"/>
  <c r="AX146" i="15" s="1"/>
  <c r="AY146" i="15" s="1"/>
  <c r="AW158" i="15"/>
  <c r="AX158" i="15" s="1"/>
  <c r="AY158" i="15" s="1"/>
  <c r="AW174" i="15"/>
  <c r="AX174" i="15" s="1"/>
  <c r="AY174" i="15" s="1"/>
  <c r="AW178" i="15"/>
  <c r="AX178" i="15" s="1"/>
  <c r="AY178" i="15" s="1"/>
  <c r="AW190" i="15"/>
  <c r="AX190" i="15" s="1"/>
  <c r="AY190" i="15" s="1"/>
  <c r="AW206" i="15"/>
  <c r="AX206" i="15" s="1"/>
  <c r="AY206" i="15" s="1"/>
  <c r="AW210" i="15"/>
  <c r="AX210" i="15" s="1"/>
  <c r="AY210" i="15" s="1"/>
  <c r="AW222" i="15"/>
  <c r="AX222" i="15" s="1"/>
  <c r="AY222" i="15" s="1"/>
  <c r="AW11" i="15"/>
  <c r="AX11" i="15" s="1"/>
  <c r="AY11" i="15" s="1"/>
  <c r="AW15" i="15"/>
  <c r="AX15" i="15" s="1"/>
  <c r="AY15" i="15" s="1"/>
  <c r="AW27" i="15"/>
  <c r="AX27" i="15" s="1"/>
  <c r="AY27" i="15" s="1"/>
  <c r="AW43" i="15"/>
  <c r="AX43" i="15" s="1"/>
  <c r="AY43" i="15" s="1"/>
  <c r="AW47" i="15"/>
  <c r="AX47" i="15" s="1"/>
  <c r="AY47" i="15" s="1"/>
  <c r="AW59" i="15"/>
  <c r="AX59" i="15" s="1"/>
  <c r="AY59" i="15" s="1"/>
  <c r="AW75" i="15"/>
  <c r="AX75" i="15" s="1"/>
  <c r="AY75" i="15" s="1"/>
  <c r="AW79" i="15"/>
  <c r="AX79" i="15" s="1"/>
  <c r="AY79" i="15" s="1"/>
  <c r="AW91" i="15"/>
  <c r="AX91" i="15" s="1"/>
  <c r="AY91" i="15" s="1"/>
  <c r="AW107" i="15"/>
  <c r="AX107" i="15" s="1"/>
  <c r="AY107" i="15" s="1"/>
  <c r="AW111" i="15"/>
  <c r="AX111" i="15" s="1"/>
  <c r="AY111" i="15" s="1"/>
  <c r="AW123" i="15"/>
  <c r="AX123" i="15" s="1"/>
  <c r="AY123" i="15" s="1"/>
  <c r="AW139" i="15"/>
  <c r="AX139" i="15" s="1"/>
  <c r="AY139" i="15" s="1"/>
  <c r="AW143" i="15"/>
  <c r="AX143" i="15" s="1"/>
  <c r="AY143" i="15" s="1"/>
  <c r="AW155" i="15"/>
  <c r="AX155" i="15" s="1"/>
  <c r="AY155" i="15" s="1"/>
  <c r="AW171" i="15"/>
  <c r="AX171" i="15" s="1"/>
  <c r="AY171" i="15" s="1"/>
  <c r="AW175" i="15"/>
  <c r="AX175" i="15" s="1"/>
  <c r="AY175" i="15" s="1"/>
  <c r="AW187" i="15"/>
  <c r="AX187" i="15" s="1"/>
  <c r="AY187" i="15" s="1"/>
  <c r="AW203" i="15"/>
  <c r="AX203" i="15" s="1"/>
  <c r="AY203" i="15" s="1"/>
  <c r="AW207" i="15"/>
  <c r="AX207" i="15" s="1"/>
  <c r="AY207" i="15" s="1"/>
  <c r="AW219" i="15"/>
  <c r="AX219" i="15" s="1"/>
  <c r="AY219" i="15" s="1"/>
  <c r="AW8" i="15"/>
  <c r="AX8" i="15" s="1"/>
  <c r="AY8" i="15" s="1"/>
  <c r="AW12" i="15"/>
  <c r="AX12" i="15" s="1"/>
  <c r="AY12" i="15" s="1"/>
  <c r="AW24" i="15"/>
  <c r="AX24" i="15" s="1"/>
  <c r="AY24" i="15" s="1"/>
  <c r="AW40" i="15"/>
  <c r="AX40" i="15" s="1"/>
  <c r="AY40" i="15" s="1"/>
  <c r="AW44" i="15"/>
  <c r="AX44" i="15" s="1"/>
  <c r="AY44" i="15" s="1"/>
  <c r="AW56" i="15"/>
  <c r="AX56" i="15" s="1"/>
  <c r="AY56" i="15" s="1"/>
  <c r="AW72" i="15"/>
  <c r="AX72" i="15" s="1"/>
  <c r="AY72" i="15" s="1"/>
  <c r="AW76" i="15"/>
  <c r="AX76" i="15" s="1"/>
  <c r="AY76" i="15" s="1"/>
  <c r="AW88" i="15"/>
  <c r="AX88" i="15" s="1"/>
  <c r="AY88" i="15" s="1"/>
  <c r="AW104" i="15"/>
  <c r="AX104" i="15" s="1"/>
  <c r="AY104" i="15" s="1"/>
  <c r="AW108" i="15"/>
  <c r="AX108" i="15" s="1"/>
  <c r="AY108" i="15" s="1"/>
  <c r="AW120" i="15"/>
  <c r="AX120" i="15" s="1"/>
  <c r="AY120" i="15" s="1"/>
  <c r="AW136" i="15"/>
  <c r="AX136" i="15" s="1"/>
  <c r="AY136" i="15" s="1"/>
  <c r="AW140" i="15"/>
  <c r="AX140" i="15" s="1"/>
  <c r="AY140" i="15" s="1"/>
  <c r="AW152" i="15"/>
  <c r="AX152" i="15" s="1"/>
  <c r="AY152" i="15" s="1"/>
  <c r="AW168" i="15"/>
  <c r="AX168" i="15" s="1"/>
  <c r="AY168" i="15" s="1"/>
  <c r="AW172" i="15"/>
  <c r="AX172" i="15" s="1"/>
  <c r="AY172" i="15" s="1"/>
  <c r="AW184" i="15"/>
  <c r="AX184" i="15" s="1"/>
  <c r="AY184" i="15" s="1"/>
  <c r="AW200" i="15"/>
  <c r="AX200" i="15" s="1"/>
  <c r="AY200" i="15" s="1"/>
  <c r="AW204" i="15"/>
  <c r="AX204" i="15" s="1"/>
  <c r="AY204" i="15" s="1"/>
  <c r="AW216" i="15"/>
  <c r="AX216" i="15" s="1"/>
  <c r="AY216" i="15" s="1"/>
  <c r="AW13" i="15"/>
  <c r="AX13" i="15" s="1"/>
  <c r="AY13" i="15" s="1"/>
  <c r="AW29" i="15"/>
  <c r="AX29" i="15" s="1"/>
  <c r="AY29" i="15" s="1"/>
  <c r="AW77" i="15"/>
  <c r="AX77" i="15" s="1"/>
  <c r="AY77" i="15" s="1"/>
  <c r="AW141" i="15"/>
  <c r="AX141" i="15" s="1"/>
  <c r="AY141" i="15" s="1"/>
  <c r="AW157" i="15"/>
  <c r="AX157" i="15" s="1"/>
  <c r="AY157" i="15" s="1"/>
  <c r="AW205" i="15"/>
  <c r="AX205" i="15" s="1"/>
  <c r="AY205" i="15" s="1"/>
  <c r="AW105" i="15"/>
  <c r="AX105" i="15" s="1"/>
  <c r="AY105" i="15" s="1"/>
  <c r="AW137" i="15"/>
  <c r="AX137" i="15" s="1"/>
  <c r="AY137" i="15" s="1"/>
  <c r="AW17" i="15"/>
  <c r="AX17" i="15" s="1"/>
  <c r="AY17" i="15" s="1"/>
  <c r="AW81" i="15"/>
  <c r="AX81" i="15" s="1"/>
  <c r="AY81" i="15" s="1"/>
  <c r="AW97" i="15"/>
  <c r="AX97" i="15" s="1"/>
  <c r="AY97" i="15" s="1"/>
  <c r="AW145" i="15"/>
  <c r="AX145" i="15" s="1"/>
  <c r="AY145" i="15" s="1"/>
  <c r="AW209" i="15"/>
  <c r="AX209" i="15" s="1"/>
  <c r="AY209" i="15" s="1"/>
  <c r="AW225" i="15"/>
  <c r="AX225" i="15" s="1"/>
  <c r="AY225" i="15" s="1"/>
  <c r="AW153" i="15"/>
  <c r="AX153" i="15" s="1"/>
  <c r="AY153" i="15" s="1"/>
  <c r="AW37" i="15"/>
  <c r="AX37" i="15" s="1"/>
  <c r="AY37" i="15" s="1"/>
  <c r="AW53" i="15"/>
  <c r="AX53" i="15" s="1"/>
  <c r="AY53" i="15" s="1"/>
  <c r="AW101" i="15"/>
  <c r="AX101" i="15" s="1"/>
  <c r="AY101" i="15" s="1"/>
  <c r="AW165" i="15"/>
  <c r="AX165" i="15" s="1"/>
  <c r="AY165" i="15" s="1"/>
  <c r="AW181" i="15"/>
  <c r="AX181" i="15" s="1"/>
  <c r="AY181" i="15" s="1"/>
  <c r="AW25" i="15"/>
  <c r="AX25" i="15" s="1"/>
  <c r="AY25" i="15" s="1"/>
  <c r="CM5" i="15"/>
  <c r="CN5" i="15" s="1"/>
  <c r="CO5" i="15" s="1"/>
  <c r="CM9" i="15"/>
  <c r="CN9" i="15" s="1"/>
  <c r="CO9" i="15" s="1"/>
  <c r="CM13" i="15"/>
  <c r="CN13" i="15" s="1"/>
  <c r="CO13" i="15" s="1"/>
  <c r="CM21" i="15"/>
  <c r="CN21" i="15" s="1"/>
  <c r="CO21" i="15" s="1"/>
  <c r="CM25" i="15"/>
  <c r="CN25" i="15" s="1"/>
  <c r="CO25" i="15" s="1"/>
  <c r="CM29" i="15"/>
  <c r="CN29" i="15" s="1"/>
  <c r="CO29" i="15" s="1"/>
  <c r="CM37" i="15"/>
  <c r="CN37" i="15" s="1"/>
  <c r="CO37" i="15" s="1"/>
  <c r="CM41" i="15"/>
  <c r="CN41" i="15" s="1"/>
  <c r="CO41" i="15" s="1"/>
  <c r="CM45" i="15"/>
  <c r="CN45" i="15" s="1"/>
  <c r="CO45" i="15" s="1"/>
  <c r="CM53" i="15"/>
  <c r="CN53" i="15" s="1"/>
  <c r="CO53" i="15" s="1"/>
  <c r="CM57" i="15"/>
  <c r="CN57" i="15" s="1"/>
  <c r="CO57" i="15" s="1"/>
  <c r="CM61" i="15"/>
  <c r="CN61" i="15" s="1"/>
  <c r="CO61" i="15" s="1"/>
  <c r="CM69" i="15"/>
  <c r="CN69" i="15" s="1"/>
  <c r="CO69" i="15" s="1"/>
  <c r="CM73" i="15"/>
  <c r="CN73" i="15" s="1"/>
  <c r="CO73" i="15" s="1"/>
  <c r="CM77" i="15"/>
  <c r="CN77" i="15" s="1"/>
  <c r="CO77" i="15" s="1"/>
  <c r="CM85" i="15"/>
  <c r="CN85" i="15" s="1"/>
  <c r="CO85" i="15" s="1"/>
  <c r="CM89" i="15"/>
  <c r="CN89" i="15" s="1"/>
  <c r="CO89" i="15" s="1"/>
  <c r="CM93" i="15"/>
  <c r="CN93" i="15" s="1"/>
  <c r="CO93" i="15" s="1"/>
  <c r="CM3" i="15"/>
  <c r="CN3" i="15" s="1"/>
  <c r="CO3" i="15" s="1"/>
  <c r="CM8" i="15"/>
  <c r="CN8" i="15" s="1"/>
  <c r="CO8" i="15" s="1"/>
  <c r="CM14" i="15"/>
  <c r="CN14" i="15" s="1"/>
  <c r="CO14" i="15" s="1"/>
  <c r="CM24" i="15"/>
  <c r="CN24" i="15" s="1"/>
  <c r="CO24" i="15" s="1"/>
  <c r="CM30" i="15"/>
  <c r="CN30" i="15" s="1"/>
  <c r="CO30" i="15" s="1"/>
  <c r="CM35" i="15"/>
  <c r="CN35" i="15" s="1"/>
  <c r="CO35" i="15" s="1"/>
  <c r="CM40" i="15"/>
  <c r="CN40" i="15" s="1"/>
  <c r="CO40" i="15" s="1"/>
  <c r="CM46" i="15"/>
  <c r="CN46" i="15" s="1"/>
  <c r="CO46" i="15" s="1"/>
  <c r="CM51" i="15"/>
  <c r="CN51" i="15" s="1"/>
  <c r="CO51" i="15" s="1"/>
  <c r="CM56" i="15"/>
  <c r="CN56" i="15" s="1"/>
  <c r="CO56" i="15" s="1"/>
  <c r="CM62" i="15"/>
  <c r="CN62" i="15" s="1"/>
  <c r="CO62" i="15" s="1"/>
  <c r="CM67" i="15"/>
  <c r="CN67" i="15" s="1"/>
  <c r="CO67" i="15" s="1"/>
  <c r="CM72" i="15"/>
  <c r="CN72" i="15" s="1"/>
  <c r="CO72" i="15" s="1"/>
  <c r="CM78" i="15"/>
  <c r="CN78" i="15" s="1"/>
  <c r="CO78" i="15" s="1"/>
  <c r="CM83" i="15"/>
  <c r="CN83" i="15" s="1"/>
  <c r="CO83" i="15" s="1"/>
  <c r="CM88" i="15"/>
  <c r="CN88" i="15" s="1"/>
  <c r="CO88" i="15" s="1"/>
  <c r="CM94" i="15"/>
  <c r="CN94" i="15" s="1"/>
  <c r="CO94" i="15" s="1"/>
  <c r="CM99" i="15"/>
  <c r="CN99" i="15" s="1"/>
  <c r="CO99" i="15" s="1"/>
  <c r="CM103" i="15"/>
  <c r="CN103" i="15" s="1"/>
  <c r="CO103" i="15" s="1"/>
  <c r="CM107" i="15"/>
  <c r="CN107" i="15" s="1"/>
  <c r="CO107" i="15" s="1"/>
  <c r="CM111" i="15"/>
  <c r="CN111" i="15" s="1"/>
  <c r="CO111" i="15" s="1"/>
  <c r="CM115" i="15"/>
  <c r="CN115" i="15" s="1"/>
  <c r="CO115" i="15" s="1"/>
  <c r="CM119" i="15"/>
  <c r="CN119" i="15" s="1"/>
  <c r="CO119" i="15" s="1"/>
  <c r="CM123" i="15"/>
  <c r="CN123" i="15" s="1"/>
  <c r="CO123" i="15" s="1"/>
  <c r="CM127" i="15"/>
  <c r="CN127" i="15" s="1"/>
  <c r="CO127" i="15" s="1"/>
  <c r="CM131" i="15"/>
  <c r="CN131" i="15" s="1"/>
  <c r="CO131" i="15" s="1"/>
  <c r="CM135" i="15"/>
  <c r="CN135" i="15" s="1"/>
  <c r="CO135" i="15" s="1"/>
  <c r="CM139" i="15"/>
  <c r="CN139" i="15" s="1"/>
  <c r="CO139" i="15" s="1"/>
  <c r="CM143" i="15"/>
  <c r="CN143" i="15" s="1"/>
  <c r="CO143" i="15" s="1"/>
  <c r="CM147" i="15"/>
  <c r="CN147" i="15" s="1"/>
  <c r="CO147" i="15" s="1"/>
  <c r="CM151" i="15"/>
  <c r="CN151" i="15" s="1"/>
  <c r="CO151" i="15" s="1"/>
  <c r="CM155" i="15"/>
  <c r="CN155" i="15" s="1"/>
  <c r="CO155" i="15" s="1"/>
  <c r="CM159" i="15"/>
  <c r="CN159" i="15" s="1"/>
  <c r="CO159" i="15" s="1"/>
  <c r="CM163" i="15"/>
  <c r="CN163" i="15" s="1"/>
  <c r="CO163" i="15" s="1"/>
  <c r="CM167" i="15"/>
  <c r="CN167" i="15" s="1"/>
  <c r="CO167" i="15" s="1"/>
  <c r="CM171" i="15"/>
  <c r="CN171" i="15" s="1"/>
  <c r="CO171" i="15" s="1"/>
  <c r="CM175" i="15"/>
  <c r="CN175" i="15" s="1"/>
  <c r="CO175" i="15" s="1"/>
  <c r="CM179" i="15"/>
  <c r="CN179" i="15" s="1"/>
  <c r="CO179" i="15" s="1"/>
  <c r="CM183" i="15"/>
  <c r="CN183" i="15" s="1"/>
  <c r="CO183" i="15" s="1"/>
  <c r="CM187" i="15"/>
  <c r="CN187" i="15" s="1"/>
  <c r="CO187" i="15" s="1"/>
  <c r="CM191" i="15"/>
  <c r="CN191" i="15" s="1"/>
  <c r="CO191" i="15" s="1"/>
  <c r="CM195" i="15"/>
  <c r="CN195" i="15" s="1"/>
  <c r="CO195" i="15" s="1"/>
  <c r="CM199" i="15"/>
  <c r="CN199" i="15" s="1"/>
  <c r="CO199" i="15" s="1"/>
  <c r="CM203" i="15"/>
  <c r="CN203" i="15" s="1"/>
  <c r="CO203" i="15" s="1"/>
  <c r="CM207" i="15"/>
  <c r="CN207" i="15" s="1"/>
  <c r="CO207" i="15" s="1"/>
  <c r="CM211" i="15"/>
  <c r="CN211" i="15" s="1"/>
  <c r="CO211" i="15" s="1"/>
  <c r="CM215" i="15"/>
  <c r="CN215" i="15" s="1"/>
  <c r="CO215" i="15" s="1"/>
  <c r="CM219" i="15"/>
  <c r="CN219" i="15" s="1"/>
  <c r="CO219" i="15" s="1"/>
  <c r="CM223" i="15"/>
  <c r="CN223" i="15" s="1"/>
  <c r="CO223" i="15" s="1"/>
  <c r="CM227" i="15"/>
  <c r="CN227" i="15" s="1"/>
  <c r="CO227" i="15" s="1"/>
  <c r="CM4" i="15"/>
  <c r="CN4" i="15" s="1"/>
  <c r="CO4" i="15" s="1"/>
  <c r="CM10" i="15"/>
  <c r="CN10" i="15" s="1"/>
  <c r="CO10" i="15" s="1"/>
  <c r="CM15" i="15"/>
  <c r="CN15" i="15" s="1"/>
  <c r="CO15" i="15" s="1"/>
  <c r="CM20" i="15"/>
  <c r="CN20" i="15" s="1"/>
  <c r="CO20" i="15" s="1"/>
  <c r="CM26" i="15"/>
  <c r="CN26" i="15" s="1"/>
  <c r="CO26" i="15" s="1"/>
  <c r="CM31" i="15"/>
  <c r="CN31" i="15" s="1"/>
  <c r="CO31" i="15" s="1"/>
  <c r="CM36" i="15"/>
  <c r="CN36" i="15" s="1"/>
  <c r="CO36" i="15" s="1"/>
  <c r="CM42" i="15"/>
  <c r="CN42" i="15" s="1"/>
  <c r="CO42" i="15" s="1"/>
  <c r="CM47" i="15"/>
  <c r="CN47" i="15" s="1"/>
  <c r="CO47" i="15" s="1"/>
  <c r="CM52" i="15"/>
  <c r="CN52" i="15" s="1"/>
  <c r="CO52" i="15" s="1"/>
  <c r="CM58" i="15"/>
  <c r="CN58" i="15" s="1"/>
  <c r="CO58" i="15" s="1"/>
  <c r="CM63" i="15"/>
  <c r="CN63" i="15" s="1"/>
  <c r="CO63" i="15" s="1"/>
  <c r="CM68" i="15"/>
  <c r="CN68" i="15" s="1"/>
  <c r="CO68" i="15" s="1"/>
  <c r="CM74" i="15"/>
  <c r="CN74" i="15" s="1"/>
  <c r="CO74" i="15" s="1"/>
  <c r="CM79" i="15"/>
  <c r="CN79" i="15" s="1"/>
  <c r="CO79" i="15" s="1"/>
  <c r="CM84" i="15"/>
  <c r="CN84" i="15" s="1"/>
  <c r="CO84" i="15" s="1"/>
  <c r="CM90" i="15"/>
  <c r="CN90" i="15" s="1"/>
  <c r="CO90" i="15" s="1"/>
  <c r="CM95" i="15"/>
  <c r="CN95" i="15" s="1"/>
  <c r="CO95" i="15" s="1"/>
  <c r="CM100" i="15"/>
  <c r="CN100" i="15" s="1"/>
  <c r="CO100" i="15" s="1"/>
  <c r="CM104" i="15"/>
  <c r="CN104" i="15" s="1"/>
  <c r="CO104" i="15" s="1"/>
  <c r="CM108" i="15"/>
  <c r="CN108" i="15" s="1"/>
  <c r="CO108" i="15" s="1"/>
  <c r="CM112" i="15"/>
  <c r="CN112" i="15" s="1"/>
  <c r="CO112" i="15" s="1"/>
  <c r="CM116" i="15"/>
  <c r="CN116" i="15" s="1"/>
  <c r="CO116" i="15" s="1"/>
  <c r="CM120" i="15"/>
  <c r="CN120" i="15" s="1"/>
  <c r="CO120" i="15" s="1"/>
  <c r="CM124" i="15"/>
  <c r="CN124" i="15" s="1"/>
  <c r="CO124" i="15" s="1"/>
  <c r="CM128" i="15"/>
  <c r="CN128" i="15" s="1"/>
  <c r="CO128" i="15" s="1"/>
  <c r="CM132" i="15"/>
  <c r="CN132" i="15" s="1"/>
  <c r="CO132" i="15" s="1"/>
  <c r="CM136" i="15"/>
  <c r="CN136" i="15" s="1"/>
  <c r="CO136" i="15" s="1"/>
  <c r="CM140" i="15"/>
  <c r="CN140" i="15" s="1"/>
  <c r="CO140" i="15" s="1"/>
  <c r="CM144" i="15"/>
  <c r="CN144" i="15" s="1"/>
  <c r="CO144" i="15" s="1"/>
  <c r="CM148" i="15"/>
  <c r="CN148" i="15" s="1"/>
  <c r="CO148" i="15" s="1"/>
  <c r="CM152" i="15"/>
  <c r="CN152" i="15" s="1"/>
  <c r="CO152" i="15" s="1"/>
  <c r="CM156" i="15"/>
  <c r="CN156" i="15" s="1"/>
  <c r="CO156" i="15" s="1"/>
  <c r="CM160" i="15"/>
  <c r="CN160" i="15" s="1"/>
  <c r="CO160" i="15" s="1"/>
  <c r="CM164" i="15"/>
  <c r="CN164" i="15" s="1"/>
  <c r="CO164" i="15" s="1"/>
  <c r="CM168" i="15"/>
  <c r="CN168" i="15" s="1"/>
  <c r="CO168" i="15" s="1"/>
  <c r="CM172" i="15"/>
  <c r="CN172" i="15" s="1"/>
  <c r="CO172" i="15" s="1"/>
  <c r="CM176" i="15"/>
  <c r="CN176" i="15" s="1"/>
  <c r="CO176" i="15" s="1"/>
  <c r="CM180" i="15"/>
  <c r="CN180" i="15" s="1"/>
  <c r="CO180" i="15" s="1"/>
  <c r="CM184" i="15"/>
  <c r="CN184" i="15" s="1"/>
  <c r="CO184" i="15" s="1"/>
  <c r="CM188" i="15"/>
  <c r="CN188" i="15" s="1"/>
  <c r="CO188" i="15" s="1"/>
  <c r="CM192" i="15"/>
  <c r="CN192" i="15" s="1"/>
  <c r="CO192" i="15" s="1"/>
  <c r="CM196" i="15"/>
  <c r="CN196" i="15" s="1"/>
  <c r="CO196" i="15" s="1"/>
  <c r="CM200" i="15"/>
  <c r="CN200" i="15" s="1"/>
  <c r="CO200" i="15" s="1"/>
  <c r="CM204" i="15"/>
  <c r="CN204" i="15" s="1"/>
  <c r="CO204" i="15" s="1"/>
  <c r="CM208" i="15"/>
  <c r="CN208" i="15" s="1"/>
  <c r="CO208" i="15" s="1"/>
  <c r="CM212" i="15"/>
  <c r="CN212" i="15" s="1"/>
  <c r="CO212" i="15" s="1"/>
  <c r="CM216" i="15"/>
  <c r="CN216" i="15" s="1"/>
  <c r="CO216" i="15" s="1"/>
  <c r="CM220" i="15"/>
  <c r="CN220" i="15" s="1"/>
  <c r="CO220" i="15" s="1"/>
  <c r="CM224" i="15"/>
  <c r="CN224" i="15" s="1"/>
  <c r="CO224" i="15" s="1"/>
  <c r="CM6" i="15"/>
  <c r="CN6" i="15" s="1"/>
  <c r="CO6" i="15" s="1"/>
  <c r="CM11" i="15"/>
  <c r="CN11" i="15" s="1"/>
  <c r="CO11" i="15" s="1"/>
  <c r="CM16" i="15"/>
  <c r="CN16" i="15" s="1"/>
  <c r="CO16" i="15" s="1"/>
  <c r="CM22" i="15"/>
  <c r="CN22" i="15" s="1"/>
  <c r="CO22" i="15" s="1"/>
  <c r="CM27" i="15"/>
  <c r="CN27" i="15" s="1"/>
  <c r="CO27" i="15" s="1"/>
  <c r="CM32" i="15"/>
  <c r="CN32" i="15" s="1"/>
  <c r="CO32" i="15" s="1"/>
  <c r="CM38" i="15"/>
  <c r="CN38" i="15" s="1"/>
  <c r="CO38" i="15" s="1"/>
  <c r="CM43" i="15"/>
  <c r="CN43" i="15" s="1"/>
  <c r="CO43" i="15" s="1"/>
  <c r="CM48" i="15"/>
  <c r="CN48" i="15" s="1"/>
  <c r="CO48" i="15" s="1"/>
  <c r="CM54" i="15"/>
  <c r="CN54" i="15" s="1"/>
  <c r="CO54" i="15" s="1"/>
  <c r="CM59" i="15"/>
  <c r="CN59" i="15" s="1"/>
  <c r="CO59" i="15" s="1"/>
  <c r="CM64" i="15"/>
  <c r="CN64" i="15" s="1"/>
  <c r="CO64" i="15" s="1"/>
  <c r="CM70" i="15"/>
  <c r="CN70" i="15" s="1"/>
  <c r="CO70" i="15" s="1"/>
  <c r="CM75" i="15"/>
  <c r="CN75" i="15" s="1"/>
  <c r="CO75" i="15" s="1"/>
  <c r="CM80" i="15"/>
  <c r="CN80" i="15" s="1"/>
  <c r="CO80" i="15" s="1"/>
  <c r="CM86" i="15"/>
  <c r="CN86" i="15" s="1"/>
  <c r="CO86" i="15" s="1"/>
  <c r="CM91" i="15"/>
  <c r="CN91" i="15" s="1"/>
  <c r="CO91" i="15" s="1"/>
  <c r="CM96" i="15"/>
  <c r="CN96" i="15" s="1"/>
  <c r="CO96" i="15" s="1"/>
  <c r="CM101" i="15"/>
  <c r="CN101" i="15" s="1"/>
  <c r="CO101" i="15" s="1"/>
  <c r="CM105" i="15"/>
  <c r="CN105" i="15" s="1"/>
  <c r="CO105" i="15" s="1"/>
  <c r="CM109" i="15"/>
  <c r="CN109" i="15" s="1"/>
  <c r="CO109" i="15" s="1"/>
  <c r="CM113" i="15"/>
  <c r="CN113" i="15" s="1"/>
  <c r="CO113" i="15" s="1"/>
  <c r="CM117" i="15"/>
  <c r="CN117" i="15" s="1"/>
  <c r="CO117" i="15" s="1"/>
  <c r="CM121" i="15"/>
  <c r="CN121" i="15" s="1"/>
  <c r="CO121" i="15" s="1"/>
  <c r="CM125" i="15"/>
  <c r="CN125" i="15" s="1"/>
  <c r="CO125" i="15" s="1"/>
  <c r="CM129" i="15"/>
  <c r="CN129" i="15" s="1"/>
  <c r="CO129" i="15" s="1"/>
  <c r="CM133" i="15"/>
  <c r="CN133" i="15" s="1"/>
  <c r="CO133" i="15" s="1"/>
  <c r="CM137" i="15"/>
  <c r="CN137" i="15" s="1"/>
  <c r="CO137" i="15" s="1"/>
  <c r="CM141" i="15"/>
  <c r="CN141" i="15" s="1"/>
  <c r="CO141" i="15" s="1"/>
  <c r="CM145" i="15"/>
  <c r="CN145" i="15" s="1"/>
  <c r="CO145" i="15" s="1"/>
  <c r="CM149" i="15"/>
  <c r="CN149" i="15" s="1"/>
  <c r="CO149" i="15" s="1"/>
  <c r="CM153" i="15"/>
  <c r="CN153" i="15" s="1"/>
  <c r="CO153" i="15" s="1"/>
  <c r="CM157" i="15"/>
  <c r="CN157" i="15" s="1"/>
  <c r="CO157" i="15" s="1"/>
  <c r="CM161" i="15"/>
  <c r="CN161" i="15" s="1"/>
  <c r="CO161" i="15" s="1"/>
  <c r="CM165" i="15"/>
  <c r="CN165" i="15" s="1"/>
  <c r="CO165" i="15" s="1"/>
  <c r="CM169" i="15"/>
  <c r="CN169" i="15" s="1"/>
  <c r="CO169" i="15" s="1"/>
  <c r="CM173" i="15"/>
  <c r="CN173" i="15" s="1"/>
  <c r="CO173" i="15" s="1"/>
  <c r="CM177" i="15"/>
  <c r="CN177" i="15" s="1"/>
  <c r="CO177" i="15" s="1"/>
  <c r="CM181" i="15"/>
  <c r="CN181" i="15" s="1"/>
  <c r="CO181" i="15" s="1"/>
  <c r="CM185" i="15"/>
  <c r="CN185" i="15" s="1"/>
  <c r="CO185" i="15" s="1"/>
  <c r="CM189" i="15"/>
  <c r="CN189" i="15" s="1"/>
  <c r="CO189" i="15" s="1"/>
  <c r="CM193" i="15"/>
  <c r="CN193" i="15" s="1"/>
  <c r="CO193" i="15" s="1"/>
  <c r="CM197" i="15"/>
  <c r="CN197" i="15" s="1"/>
  <c r="CO197" i="15" s="1"/>
  <c r="CM201" i="15"/>
  <c r="CN201" i="15" s="1"/>
  <c r="CO201" i="15" s="1"/>
  <c r="CM205" i="15"/>
  <c r="CN205" i="15" s="1"/>
  <c r="CO205" i="15" s="1"/>
  <c r="CM209" i="15"/>
  <c r="CN209" i="15" s="1"/>
  <c r="CO209" i="15" s="1"/>
  <c r="CM213" i="15"/>
  <c r="CN213" i="15" s="1"/>
  <c r="CO213" i="15" s="1"/>
  <c r="CM217" i="15"/>
  <c r="CN217" i="15" s="1"/>
  <c r="CO217" i="15" s="1"/>
  <c r="CM221" i="15"/>
  <c r="CN221" i="15" s="1"/>
  <c r="CO221" i="15" s="1"/>
  <c r="CM225" i="15"/>
  <c r="CN225" i="15" s="1"/>
  <c r="CO225" i="15" s="1"/>
  <c r="CM2" i="15"/>
  <c r="CN2" i="15" s="1"/>
  <c r="CM18" i="15"/>
  <c r="CN18" i="15" s="1"/>
  <c r="CO18" i="15" s="1"/>
  <c r="CM39" i="15"/>
  <c r="CN39" i="15" s="1"/>
  <c r="CO39" i="15" s="1"/>
  <c r="CM60" i="15"/>
  <c r="CN60" i="15" s="1"/>
  <c r="CO60" i="15" s="1"/>
  <c r="CM82" i="15"/>
  <c r="CN82" i="15" s="1"/>
  <c r="CO82" i="15" s="1"/>
  <c r="CM102" i="15"/>
  <c r="CN102" i="15" s="1"/>
  <c r="CO102" i="15" s="1"/>
  <c r="CM118" i="15"/>
  <c r="CN118" i="15" s="1"/>
  <c r="CO118" i="15" s="1"/>
  <c r="CM134" i="15"/>
  <c r="CN134" i="15" s="1"/>
  <c r="CO134" i="15" s="1"/>
  <c r="CM150" i="15"/>
  <c r="CN150" i="15" s="1"/>
  <c r="CO150" i="15" s="1"/>
  <c r="CM166" i="15"/>
  <c r="CN166" i="15" s="1"/>
  <c r="CO166" i="15" s="1"/>
  <c r="CM182" i="15"/>
  <c r="CN182" i="15" s="1"/>
  <c r="CO182" i="15" s="1"/>
  <c r="CM198" i="15"/>
  <c r="CN198" i="15" s="1"/>
  <c r="CO198" i="15" s="1"/>
  <c r="CM214" i="15"/>
  <c r="CN214" i="15" s="1"/>
  <c r="CO214" i="15" s="1"/>
  <c r="CM23" i="15"/>
  <c r="CN23" i="15" s="1"/>
  <c r="CO23" i="15" s="1"/>
  <c r="CM44" i="15"/>
  <c r="CN44" i="15" s="1"/>
  <c r="CO44" i="15" s="1"/>
  <c r="CM66" i="15"/>
  <c r="CN66" i="15" s="1"/>
  <c r="CO66" i="15" s="1"/>
  <c r="CM87" i="15"/>
  <c r="CN87" i="15" s="1"/>
  <c r="CO87" i="15" s="1"/>
  <c r="CM106" i="15"/>
  <c r="CN106" i="15" s="1"/>
  <c r="CO106" i="15" s="1"/>
  <c r="CM122" i="15"/>
  <c r="CN122" i="15" s="1"/>
  <c r="CO122" i="15" s="1"/>
  <c r="CM138" i="15"/>
  <c r="CN138" i="15" s="1"/>
  <c r="CO138" i="15" s="1"/>
  <c r="CM154" i="15"/>
  <c r="CN154" i="15" s="1"/>
  <c r="CO154" i="15" s="1"/>
  <c r="CM170" i="15"/>
  <c r="CN170" i="15" s="1"/>
  <c r="CO170" i="15" s="1"/>
  <c r="CM186" i="15"/>
  <c r="CN186" i="15" s="1"/>
  <c r="CO186" i="15" s="1"/>
  <c r="CM202" i="15"/>
  <c r="CN202" i="15" s="1"/>
  <c r="CO202" i="15" s="1"/>
  <c r="CM218" i="15"/>
  <c r="CN218" i="15" s="1"/>
  <c r="CO218" i="15" s="1"/>
  <c r="CM7" i="15"/>
  <c r="CN7" i="15" s="1"/>
  <c r="CO7" i="15" s="1"/>
  <c r="CM28" i="15"/>
  <c r="CN28" i="15" s="1"/>
  <c r="CO28" i="15" s="1"/>
  <c r="CM50" i="15"/>
  <c r="CN50" i="15" s="1"/>
  <c r="CO50" i="15" s="1"/>
  <c r="CM71" i="15"/>
  <c r="CN71" i="15" s="1"/>
  <c r="CO71" i="15" s="1"/>
  <c r="CM92" i="15"/>
  <c r="CN92" i="15" s="1"/>
  <c r="CO92" i="15" s="1"/>
  <c r="CM110" i="15"/>
  <c r="CN110" i="15" s="1"/>
  <c r="CO110" i="15" s="1"/>
  <c r="CM126" i="15"/>
  <c r="CN126" i="15" s="1"/>
  <c r="CO126" i="15" s="1"/>
  <c r="CM142" i="15"/>
  <c r="CN142" i="15" s="1"/>
  <c r="CO142" i="15" s="1"/>
  <c r="CM158" i="15"/>
  <c r="CN158" i="15" s="1"/>
  <c r="CO158" i="15" s="1"/>
  <c r="CM174" i="15"/>
  <c r="CN174" i="15" s="1"/>
  <c r="CO174" i="15" s="1"/>
  <c r="CM190" i="15"/>
  <c r="CN190" i="15" s="1"/>
  <c r="CO190" i="15" s="1"/>
  <c r="CM206" i="15"/>
  <c r="CN206" i="15" s="1"/>
  <c r="CO206" i="15" s="1"/>
  <c r="CM222" i="15"/>
  <c r="CN222" i="15" s="1"/>
  <c r="CO222" i="15" s="1"/>
  <c r="CM12" i="15"/>
  <c r="CN12" i="15" s="1"/>
  <c r="CO12" i="15" s="1"/>
  <c r="CM98" i="15"/>
  <c r="CN98" i="15" s="1"/>
  <c r="CO98" i="15" s="1"/>
  <c r="CM162" i="15"/>
  <c r="CN162" i="15" s="1"/>
  <c r="CO162" i="15" s="1"/>
  <c r="CM226" i="15"/>
  <c r="CN226" i="15" s="1"/>
  <c r="CO226" i="15" s="1"/>
  <c r="CM146" i="15"/>
  <c r="CN146" i="15" s="1"/>
  <c r="CO146" i="15" s="1"/>
  <c r="CM210" i="15"/>
  <c r="CN210" i="15" s="1"/>
  <c r="CO210" i="15" s="1"/>
  <c r="CM34" i="15"/>
  <c r="CN34" i="15" s="1"/>
  <c r="CO34" i="15" s="1"/>
  <c r="CM114" i="15"/>
  <c r="CN114" i="15" s="1"/>
  <c r="CO114" i="15" s="1"/>
  <c r="CM178" i="15"/>
  <c r="CN178" i="15" s="1"/>
  <c r="CO178" i="15" s="1"/>
  <c r="CM55" i="15"/>
  <c r="CN55" i="15" s="1"/>
  <c r="CO55" i="15" s="1"/>
  <c r="CM130" i="15"/>
  <c r="CN130" i="15" s="1"/>
  <c r="CO130" i="15" s="1"/>
  <c r="CM194" i="15"/>
  <c r="CN194" i="15" s="1"/>
  <c r="CO194" i="15" s="1"/>
  <c r="CM76" i="15"/>
  <c r="CN76" i="15" s="1"/>
  <c r="CO76" i="15" s="1"/>
  <c r="J2" i="15"/>
  <c r="K2" i="15" s="1"/>
  <c r="J4" i="15"/>
  <c r="K4" i="15" s="1"/>
  <c r="L4" i="15" s="1"/>
  <c r="J8" i="15"/>
  <c r="K8" i="15" s="1"/>
  <c r="L8" i="15" s="1"/>
  <c r="J12" i="15"/>
  <c r="K12" i="15" s="1"/>
  <c r="L12" i="15" s="1"/>
  <c r="J16" i="15"/>
  <c r="K16" i="15" s="1"/>
  <c r="L16" i="15" s="1"/>
  <c r="J20" i="15"/>
  <c r="K20" i="15" s="1"/>
  <c r="L20" i="15" s="1"/>
  <c r="J24" i="15"/>
  <c r="K24" i="15" s="1"/>
  <c r="L24" i="15" s="1"/>
  <c r="J28" i="15"/>
  <c r="K28" i="15" s="1"/>
  <c r="L28" i="15" s="1"/>
  <c r="J32" i="15"/>
  <c r="K32" i="15" s="1"/>
  <c r="L32" i="15" s="1"/>
  <c r="J36" i="15"/>
  <c r="K36" i="15" s="1"/>
  <c r="L36" i="15" s="1"/>
  <c r="J40" i="15"/>
  <c r="K40" i="15" s="1"/>
  <c r="L40" i="15" s="1"/>
  <c r="J44" i="15"/>
  <c r="K44" i="15" s="1"/>
  <c r="L44" i="15" s="1"/>
  <c r="J48" i="15"/>
  <c r="K48" i="15" s="1"/>
  <c r="L48" i="15" s="1"/>
  <c r="J52" i="15"/>
  <c r="K52" i="15" s="1"/>
  <c r="L52" i="15" s="1"/>
  <c r="J56" i="15"/>
  <c r="K56" i="15" s="1"/>
  <c r="L56" i="15" s="1"/>
  <c r="J60" i="15"/>
  <c r="K60" i="15" s="1"/>
  <c r="L60" i="15" s="1"/>
  <c r="J64" i="15"/>
  <c r="K64" i="15" s="1"/>
  <c r="L64" i="15" s="1"/>
  <c r="J68" i="15"/>
  <c r="K68" i="15" s="1"/>
  <c r="L68" i="15" s="1"/>
  <c r="J72" i="15"/>
  <c r="K72" i="15" s="1"/>
  <c r="L72" i="15" s="1"/>
  <c r="J76" i="15"/>
  <c r="K76" i="15" s="1"/>
  <c r="L76" i="15" s="1"/>
  <c r="J80" i="15"/>
  <c r="K80" i="15" s="1"/>
  <c r="L80" i="15" s="1"/>
  <c r="J84" i="15"/>
  <c r="K84" i="15" s="1"/>
  <c r="L84" i="15" s="1"/>
  <c r="J88" i="15"/>
  <c r="K88" i="15" s="1"/>
  <c r="L88" i="15" s="1"/>
  <c r="J92" i="15"/>
  <c r="K92" i="15" s="1"/>
  <c r="L92" i="15" s="1"/>
  <c r="J96" i="15"/>
  <c r="K96" i="15" s="1"/>
  <c r="L96" i="15" s="1"/>
  <c r="J100" i="15"/>
  <c r="K100" i="15" s="1"/>
  <c r="L100" i="15" s="1"/>
  <c r="J104" i="15"/>
  <c r="K104" i="15" s="1"/>
  <c r="L104" i="15" s="1"/>
  <c r="J108" i="15"/>
  <c r="K108" i="15" s="1"/>
  <c r="L108" i="15" s="1"/>
  <c r="J112" i="15"/>
  <c r="K112" i="15" s="1"/>
  <c r="L112" i="15" s="1"/>
  <c r="J116" i="15"/>
  <c r="K116" i="15" s="1"/>
  <c r="L116" i="15" s="1"/>
  <c r="J120" i="15"/>
  <c r="K120" i="15" s="1"/>
  <c r="L120" i="15" s="1"/>
  <c r="J124" i="15"/>
  <c r="K124" i="15" s="1"/>
  <c r="L124" i="15" s="1"/>
  <c r="J128" i="15"/>
  <c r="K128" i="15" s="1"/>
  <c r="L128" i="15" s="1"/>
  <c r="J132" i="15"/>
  <c r="K132" i="15" s="1"/>
  <c r="L132" i="15" s="1"/>
  <c r="J136" i="15"/>
  <c r="K136" i="15" s="1"/>
  <c r="L136" i="15" s="1"/>
  <c r="J140" i="15"/>
  <c r="K140" i="15" s="1"/>
  <c r="L140" i="15" s="1"/>
  <c r="J144" i="15"/>
  <c r="K144" i="15" s="1"/>
  <c r="L144" i="15" s="1"/>
  <c r="J148" i="15"/>
  <c r="K148" i="15" s="1"/>
  <c r="L148" i="15" s="1"/>
  <c r="J152" i="15"/>
  <c r="K152" i="15" s="1"/>
  <c r="L152" i="15" s="1"/>
  <c r="J156" i="15"/>
  <c r="K156" i="15" s="1"/>
  <c r="L156" i="15" s="1"/>
  <c r="J160" i="15"/>
  <c r="K160" i="15" s="1"/>
  <c r="L160" i="15" s="1"/>
  <c r="J164" i="15"/>
  <c r="K164" i="15" s="1"/>
  <c r="L164" i="15" s="1"/>
  <c r="J168" i="15"/>
  <c r="K168" i="15" s="1"/>
  <c r="L168" i="15" s="1"/>
  <c r="J172" i="15"/>
  <c r="K172" i="15" s="1"/>
  <c r="L172" i="15" s="1"/>
  <c r="J176" i="15"/>
  <c r="K176" i="15" s="1"/>
  <c r="L176" i="15" s="1"/>
  <c r="J180" i="15"/>
  <c r="K180" i="15" s="1"/>
  <c r="L180" i="15" s="1"/>
  <c r="J184" i="15"/>
  <c r="K184" i="15" s="1"/>
  <c r="L184" i="15" s="1"/>
  <c r="J188" i="15"/>
  <c r="K188" i="15" s="1"/>
  <c r="L188" i="15" s="1"/>
  <c r="J192" i="15"/>
  <c r="K192" i="15" s="1"/>
  <c r="L192" i="15" s="1"/>
  <c r="J196" i="15"/>
  <c r="K196" i="15" s="1"/>
  <c r="L196" i="15" s="1"/>
  <c r="J200" i="15"/>
  <c r="K200" i="15" s="1"/>
  <c r="L200" i="15" s="1"/>
  <c r="J204" i="15"/>
  <c r="K204" i="15" s="1"/>
  <c r="L204" i="15" s="1"/>
  <c r="J208" i="15"/>
  <c r="K208" i="15" s="1"/>
  <c r="L208" i="15" s="1"/>
  <c r="J212" i="15"/>
  <c r="K212" i="15" s="1"/>
  <c r="L212" i="15" s="1"/>
  <c r="J216" i="15"/>
  <c r="K216" i="15" s="1"/>
  <c r="L216" i="15" s="1"/>
  <c r="J220" i="15"/>
  <c r="K220" i="15" s="1"/>
  <c r="L220" i="15" s="1"/>
  <c r="J224" i="15"/>
  <c r="K224" i="15" s="1"/>
  <c r="L224" i="15" s="1"/>
  <c r="J5" i="15"/>
  <c r="K5" i="15" s="1"/>
  <c r="L5" i="15" s="1"/>
  <c r="J9" i="15"/>
  <c r="K9" i="15" s="1"/>
  <c r="L9" i="15" s="1"/>
  <c r="J13" i="15"/>
  <c r="K13" i="15" s="1"/>
  <c r="L13" i="15" s="1"/>
  <c r="J17" i="15"/>
  <c r="K17" i="15" s="1"/>
  <c r="L17" i="15" s="1"/>
  <c r="J21" i="15"/>
  <c r="K21" i="15" s="1"/>
  <c r="L21" i="15" s="1"/>
  <c r="J25" i="15"/>
  <c r="K25" i="15" s="1"/>
  <c r="L25" i="15" s="1"/>
  <c r="J29" i="15"/>
  <c r="K29" i="15" s="1"/>
  <c r="L29" i="15" s="1"/>
  <c r="J33" i="15"/>
  <c r="K33" i="15" s="1"/>
  <c r="L33" i="15" s="1"/>
  <c r="J37" i="15"/>
  <c r="K37" i="15" s="1"/>
  <c r="L37" i="15" s="1"/>
  <c r="J41" i="15"/>
  <c r="K41" i="15" s="1"/>
  <c r="L41" i="15" s="1"/>
  <c r="J45" i="15"/>
  <c r="K45" i="15" s="1"/>
  <c r="L45" i="15" s="1"/>
  <c r="J49" i="15"/>
  <c r="K49" i="15" s="1"/>
  <c r="L49" i="15" s="1"/>
  <c r="J53" i="15"/>
  <c r="K53" i="15" s="1"/>
  <c r="L53" i="15" s="1"/>
  <c r="J57" i="15"/>
  <c r="K57" i="15" s="1"/>
  <c r="L57" i="15" s="1"/>
  <c r="J61" i="15"/>
  <c r="K61" i="15" s="1"/>
  <c r="L61" i="15" s="1"/>
  <c r="J65" i="15"/>
  <c r="K65" i="15" s="1"/>
  <c r="L65" i="15" s="1"/>
  <c r="J69" i="15"/>
  <c r="K69" i="15" s="1"/>
  <c r="L69" i="15" s="1"/>
  <c r="J73" i="15"/>
  <c r="K73" i="15" s="1"/>
  <c r="L73" i="15" s="1"/>
  <c r="J77" i="15"/>
  <c r="K77" i="15" s="1"/>
  <c r="L77" i="15" s="1"/>
  <c r="J81" i="15"/>
  <c r="K81" i="15" s="1"/>
  <c r="L81" i="15" s="1"/>
  <c r="J85" i="15"/>
  <c r="K85" i="15" s="1"/>
  <c r="L85" i="15" s="1"/>
  <c r="J89" i="15"/>
  <c r="K89" i="15" s="1"/>
  <c r="L89" i="15" s="1"/>
  <c r="J93" i="15"/>
  <c r="K93" i="15" s="1"/>
  <c r="L93" i="15" s="1"/>
  <c r="J97" i="15"/>
  <c r="K97" i="15" s="1"/>
  <c r="L97" i="15" s="1"/>
  <c r="J101" i="15"/>
  <c r="K101" i="15" s="1"/>
  <c r="L101" i="15" s="1"/>
  <c r="J105" i="15"/>
  <c r="K105" i="15" s="1"/>
  <c r="L105" i="15" s="1"/>
  <c r="J109" i="15"/>
  <c r="K109" i="15" s="1"/>
  <c r="L109" i="15" s="1"/>
  <c r="J113" i="15"/>
  <c r="K113" i="15" s="1"/>
  <c r="L113" i="15" s="1"/>
  <c r="J117" i="15"/>
  <c r="K117" i="15" s="1"/>
  <c r="L117" i="15" s="1"/>
  <c r="J121" i="15"/>
  <c r="K121" i="15" s="1"/>
  <c r="L121" i="15" s="1"/>
  <c r="J125" i="15"/>
  <c r="K125" i="15" s="1"/>
  <c r="L125" i="15" s="1"/>
  <c r="J129" i="15"/>
  <c r="K129" i="15" s="1"/>
  <c r="L129" i="15" s="1"/>
  <c r="J133" i="15"/>
  <c r="K133" i="15" s="1"/>
  <c r="L133" i="15" s="1"/>
  <c r="J137" i="15"/>
  <c r="K137" i="15" s="1"/>
  <c r="L137" i="15" s="1"/>
  <c r="J141" i="15"/>
  <c r="K141" i="15" s="1"/>
  <c r="L141" i="15" s="1"/>
  <c r="J145" i="15"/>
  <c r="K145" i="15" s="1"/>
  <c r="L145" i="15" s="1"/>
  <c r="J149" i="15"/>
  <c r="K149" i="15" s="1"/>
  <c r="L149" i="15" s="1"/>
  <c r="J153" i="15"/>
  <c r="K153" i="15" s="1"/>
  <c r="L153" i="15" s="1"/>
  <c r="J157" i="15"/>
  <c r="K157" i="15" s="1"/>
  <c r="L157" i="15" s="1"/>
  <c r="J161" i="15"/>
  <c r="K161" i="15" s="1"/>
  <c r="L161" i="15" s="1"/>
  <c r="J165" i="15"/>
  <c r="K165" i="15" s="1"/>
  <c r="L165" i="15" s="1"/>
  <c r="J169" i="15"/>
  <c r="K169" i="15" s="1"/>
  <c r="L169" i="15" s="1"/>
  <c r="J173" i="15"/>
  <c r="K173" i="15" s="1"/>
  <c r="L173" i="15" s="1"/>
  <c r="J177" i="15"/>
  <c r="K177" i="15" s="1"/>
  <c r="L177" i="15" s="1"/>
  <c r="J181" i="15"/>
  <c r="K181" i="15" s="1"/>
  <c r="L181" i="15" s="1"/>
  <c r="J185" i="15"/>
  <c r="K185" i="15" s="1"/>
  <c r="L185" i="15" s="1"/>
  <c r="J189" i="15"/>
  <c r="K189" i="15" s="1"/>
  <c r="L189" i="15" s="1"/>
  <c r="J193" i="15"/>
  <c r="K193" i="15" s="1"/>
  <c r="L193" i="15" s="1"/>
  <c r="J197" i="15"/>
  <c r="K197" i="15" s="1"/>
  <c r="L197" i="15" s="1"/>
  <c r="J201" i="15"/>
  <c r="K201" i="15" s="1"/>
  <c r="L201" i="15" s="1"/>
  <c r="J205" i="15"/>
  <c r="K205" i="15" s="1"/>
  <c r="L205" i="15" s="1"/>
  <c r="J209" i="15"/>
  <c r="K209" i="15" s="1"/>
  <c r="L209" i="15" s="1"/>
  <c r="J213" i="15"/>
  <c r="K213" i="15" s="1"/>
  <c r="L213" i="15" s="1"/>
  <c r="J217" i="15"/>
  <c r="K217" i="15" s="1"/>
  <c r="L217" i="15" s="1"/>
  <c r="J221" i="15"/>
  <c r="K221" i="15" s="1"/>
  <c r="L221" i="15" s="1"/>
  <c r="J225" i="15"/>
  <c r="K225" i="15" s="1"/>
  <c r="L225" i="15" s="1"/>
  <c r="J6" i="15"/>
  <c r="K6" i="15" s="1"/>
  <c r="L6" i="15" s="1"/>
  <c r="J10" i="15"/>
  <c r="K10" i="15" s="1"/>
  <c r="L10" i="15" s="1"/>
  <c r="J14" i="15"/>
  <c r="K14" i="15" s="1"/>
  <c r="L14" i="15" s="1"/>
  <c r="J18" i="15"/>
  <c r="K18" i="15" s="1"/>
  <c r="L18" i="15" s="1"/>
  <c r="J22" i="15"/>
  <c r="K22" i="15" s="1"/>
  <c r="L22" i="15" s="1"/>
  <c r="J26" i="15"/>
  <c r="K26" i="15" s="1"/>
  <c r="L26" i="15" s="1"/>
  <c r="J30" i="15"/>
  <c r="K30" i="15" s="1"/>
  <c r="L30" i="15" s="1"/>
  <c r="J34" i="15"/>
  <c r="K34" i="15" s="1"/>
  <c r="L34" i="15" s="1"/>
  <c r="J38" i="15"/>
  <c r="K38" i="15" s="1"/>
  <c r="L38" i="15" s="1"/>
  <c r="J42" i="15"/>
  <c r="K42" i="15" s="1"/>
  <c r="L42" i="15" s="1"/>
  <c r="J46" i="15"/>
  <c r="K46" i="15" s="1"/>
  <c r="L46" i="15" s="1"/>
  <c r="J50" i="15"/>
  <c r="K50" i="15" s="1"/>
  <c r="L50" i="15" s="1"/>
  <c r="J54" i="15"/>
  <c r="K54" i="15" s="1"/>
  <c r="L54" i="15" s="1"/>
  <c r="J58" i="15"/>
  <c r="K58" i="15" s="1"/>
  <c r="L58" i="15" s="1"/>
  <c r="J62" i="15"/>
  <c r="K62" i="15" s="1"/>
  <c r="L62" i="15" s="1"/>
  <c r="J66" i="15"/>
  <c r="K66" i="15" s="1"/>
  <c r="L66" i="15" s="1"/>
  <c r="J70" i="15"/>
  <c r="K70" i="15" s="1"/>
  <c r="L70" i="15" s="1"/>
  <c r="J74" i="15"/>
  <c r="K74" i="15" s="1"/>
  <c r="L74" i="15" s="1"/>
  <c r="J78" i="15"/>
  <c r="K78" i="15" s="1"/>
  <c r="L78" i="15" s="1"/>
  <c r="J82" i="15"/>
  <c r="K82" i="15" s="1"/>
  <c r="L82" i="15" s="1"/>
  <c r="J86" i="15"/>
  <c r="K86" i="15" s="1"/>
  <c r="L86" i="15" s="1"/>
  <c r="J90" i="15"/>
  <c r="K90" i="15" s="1"/>
  <c r="L90" i="15" s="1"/>
  <c r="J94" i="15"/>
  <c r="K94" i="15" s="1"/>
  <c r="L94" i="15" s="1"/>
  <c r="J98" i="15"/>
  <c r="K98" i="15" s="1"/>
  <c r="L98" i="15" s="1"/>
  <c r="J102" i="15"/>
  <c r="K102" i="15" s="1"/>
  <c r="L102" i="15" s="1"/>
  <c r="J106" i="15"/>
  <c r="K106" i="15" s="1"/>
  <c r="L106" i="15" s="1"/>
  <c r="J110" i="15"/>
  <c r="K110" i="15" s="1"/>
  <c r="L110" i="15" s="1"/>
  <c r="J114" i="15"/>
  <c r="K114" i="15" s="1"/>
  <c r="L114" i="15" s="1"/>
  <c r="J118" i="15"/>
  <c r="K118" i="15" s="1"/>
  <c r="L118" i="15" s="1"/>
  <c r="J122" i="15"/>
  <c r="K122" i="15" s="1"/>
  <c r="L122" i="15" s="1"/>
  <c r="J126" i="15"/>
  <c r="K126" i="15" s="1"/>
  <c r="L126" i="15" s="1"/>
  <c r="J130" i="15"/>
  <c r="K130" i="15" s="1"/>
  <c r="L130" i="15" s="1"/>
  <c r="J134" i="15"/>
  <c r="K134" i="15" s="1"/>
  <c r="L134" i="15" s="1"/>
  <c r="J138" i="15"/>
  <c r="K138" i="15" s="1"/>
  <c r="L138" i="15" s="1"/>
  <c r="J142" i="15"/>
  <c r="K142" i="15" s="1"/>
  <c r="L142" i="15" s="1"/>
  <c r="J146" i="15"/>
  <c r="K146" i="15" s="1"/>
  <c r="L146" i="15" s="1"/>
  <c r="J150" i="15"/>
  <c r="K150" i="15" s="1"/>
  <c r="L150" i="15" s="1"/>
  <c r="J154" i="15"/>
  <c r="K154" i="15" s="1"/>
  <c r="L154" i="15" s="1"/>
  <c r="J158" i="15"/>
  <c r="K158" i="15" s="1"/>
  <c r="L158" i="15" s="1"/>
  <c r="J162" i="15"/>
  <c r="K162" i="15" s="1"/>
  <c r="L162" i="15" s="1"/>
  <c r="J166" i="15"/>
  <c r="K166" i="15" s="1"/>
  <c r="L166" i="15" s="1"/>
  <c r="J170" i="15"/>
  <c r="K170" i="15" s="1"/>
  <c r="L170" i="15" s="1"/>
  <c r="J174" i="15"/>
  <c r="K174" i="15" s="1"/>
  <c r="L174" i="15" s="1"/>
  <c r="J178" i="15"/>
  <c r="K178" i="15" s="1"/>
  <c r="L178" i="15" s="1"/>
  <c r="J182" i="15"/>
  <c r="K182" i="15" s="1"/>
  <c r="L182" i="15" s="1"/>
  <c r="J186" i="15"/>
  <c r="K186" i="15" s="1"/>
  <c r="L186" i="15" s="1"/>
  <c r="J190" i="15"/>
  <c r="K190" i="15" s="1"/>
  <c r="L190" i="15" s="1"/>
  <c r="J194" i="15"/>
  <c r="K194" i="15" s="1"/>
  <c r="L194" i="15" s="1"/>
  <c r="J198" i="15"/>
  <c r="K198" i="15" s="1"/>
  <c r="L198" i="15" s="1"/>
  <c r="J202" i="15"/>
  <c r="K202" i="15" s="1"/>
  <c r="L202" i="15" s="1"/>
  <c r="J206" i="15"/>
  <c r="K206" i="15" s="1"/>
  <c r="L206" i="15" s="1"/>
  <c r="J210" i="15"/>
  <c r="K210" i="15" s="1"/>
  <c r="L210" i="15" s="1"/>
  <c r="J214" i="15"/>
  <c r="K214" i="15" s="1"/>
  <c r="L214" i="15" s="1"/>
  <c r="J218" i="15"/>
  <c r="K218" i="15" s="1"/>
  <c r="L218" i="15" s="1"/>
  <c r="J222" i="15"/>
  <c r="K222" i="15" s="1"/>
  <c r="L222" i="15" s="1"/>
  <c r="J226" i="15"/>
  <c r="K226" i="15" s="1"/>
  <c r="L226" i="15" s="1"/>
  <c r="J3" i="15"/>
  <c r="K3" i="15" s="1"/>
  <c r="L3" i="15" s="1"/>
  <c r="J19" i="15"/>
  <c r="K19" i="15" s="1"/>
  <c r="L19" i="15" s="1"/>
  <c r="J35" i="15"/>
  <c r="K35" i="15" s="1"/>
  <c r="L35" i="15" s="1"/>
  <c r="J51" i="15"/>
  <c r="K51" i="15" s="1"/>
  <c r="L51" i="15" s="1"/>
  <c r="J67" i="15"/>
  <c r="K67" i="15" s="1"/>
  <c r="L67" i="15" s="1"/>
  <c r="J83" i="15"/>
  <c r="K83" i="15" s="1"/>
  <c r="L83" i="15" s="1"/>
  <c r="J99" i="15"/>
  <c r="K99" i="15" s="1"/>
  <c r="L99" i="15" s="1"/>
  <c r="J115" i="15"/>
  <c r="K115" i="15" s="1"/>
  <c r="L115" i="15" s="1"/>
  <c r="J131" i="15"/>
  <c r="K131" i="15" s="1"/>
  <c r="L131" i="15" s="1"/>
  <c r="J147" i="15"/>
  <c r="K147" i="15" s="1"/>
  <c r="L147" i="15" s="1"/>
  <c r="J163" i="15"/>
  <c r="K163" i="15" s="1"/>
  <c r="L163" i="15" s="1"/>
  <c r="J179" i="15"/>
  <c r="K179" i="15" s="1"/>
  <c r="L179" i="15" s="1"/>
  <c r="J195" i="15"/>
  <c r="K195" i="15" s="1"/>
  <c r="L195" i="15" s="1"/>
  <c r="J211" i="15"/>
  <c r="K211" i="15" s="1"/>
  <c r="L211" i="15" s="1"/>
  <c r="J227" i="15"/>
  <c r="K227" i="15" s="1"/>
  <c r="L227" i="15" s="1"/>
  <c r="J47" i="15"/>
  <c r="K47" i="15" s="1"/>
  <c r="L47" i="15" s="1"/>
  <c r="J95" i="15"/>
  <c r="K95" i="15" s="1"/>
  <c r="L95" i="15" s="1"/>
  <c r="J143" i="15"/>
  <c r="K143" i="15" s="1"/>
  <c r="L143" i="15" s="1"/>
  <c r="J191" i="15"/>
  <c r="K191" i="15" s="1"/>
  <c r="L191" i="15" s="1"/>
  <c r="J207" i="15"/>
  <c r="K207" i="15" s="1"/>
  <c r="L207" i="15" s="1"/>
  <c r="J7" i="15"/>
  <c r="K7" i="15" s="1"/>
  <c r="L7" i="15" s="1"/>
  <c r="J23" i="15"/>
  <c r="K23" i="15" s="1"/>
  <c r="L23" i="15" s="1"/>
  <c r="J39" i="15"/>
  <c r="K39" i="15" s="1"/>
  <c r="L39" i="15" s="1"/>
  <c r="J55" i="15"/>
  <c r="K55" i="15" s="1"/>
  <c r="L55" i="15" s="1"/>
  <c r="J71" i="15"/>
  <c r="K71" i="15" s="1"/>
  <c r="L71" i="15" s="1"/>
  <c r="J87" i="15"/>
  <c r="K87" i="15" s="1"/>
  <c r="L87" i="15" s="1"/>
  <c r="J103" i="15"/>
  <c r="K103" i="15" s="1"/>
  <c r="L103" i="15" s="1"/>
  <c r="J119" i="15"/>
  <c r="K119" i="15" s="1"/>
  <c r="L119" i="15" s="1"/>
  <c r="J135" i="15"/>
  <c r="K135" i="15" s="1"/>
  <c r="L135" i="15" s="1"/>
  <c r="J151" i="15"/>
  <c r="K151" i="15" s="1"/>
  <c r="L151" i="15" s="1"/>
  <c r="J167" i="15"/>
  <c r="K167" i="15" s="1"/>
  <c r="L167" i="15" s="1"/>
  <c r="J183" i="15"/>
  <c r="K183" i="15" s="1"/>
  <c r="L183" i="15" s="1"/>
  <c r="J199" i="15"/>
  <c r="K199" i="15" s="1"/>
  <c r="L199" i="15" s="1"/>
  <c r="J215" i="15"/>
  <c r="K215" i="15" s="1"/>
  <c r="L215" i="15" s="1"/>
  <c r="J31" i="15"/>
  <c r="K31" i="15" s="1"/>
  <c r="L31" i="15" s="1"/>
  <c r="J79" i="15"/>
  <c r="K79" i="15" s="1"/>
  <c r="L79" i="15" s="1"/>
  <c r="J127" i="15"/>
  <c r="K127" i="15" s="1"/>
  <c r="L127" i="15" s="1"/>
  <c r="J175" i="15"/>
  <c r="K175" i="15" s="1"/>
  <c r="L175" i="15" s="1"/>
  <c r="J11" i="15"/>
  <c r="K11" i="15" s="1"/>
  <c r="L11" i="15" s="1"/>
  <c r="J27" i="15"/>
  <c r="K27" i="15" s="1"/>
  <c r="L27" i="15" s="1"/>
  <c r="J43" i="15"/>
  <c r="K43" i="15" s="1"/>
  <c r="L43" i="15" s="1"/>
  <c r="J59" i="15"/>
  <c r="K59" i="15" s="1"/>
  <c r="L59" i="15" s="1"/>
  <c r="J75" i="15"/>
  <c r="K75" i="15" s="1"/>
  <c r="L75" i="15" s="1"/>
  <c r="J91" i="15"/>
  <c r="K91" i="15" s="1"/>
  <c r="L91" i="15" s="1"/>
  <c r="J107" i="15"/>
  <c r="K107" i="15" s="1"/>
  <c r="L107" i="15" s="1"/>
  <c r="J123" i="15"/>
  <c r="K123" i="15" s="1"/>
  <c r="L123" i="15" s="1"/>
  <c r="J139" i="15"/>
  <c r="K139" i="15" s="1"/>
  <c r="L139" i="15" s="1"/>
  <c r="J155" i="15"/>
  <c r="K155" i="15" s="1"/>
  <c r="L155" i="15" s="1"/>
  <c r="J171" i="15"/>
  <c r="K171" i="15" s="1"/>
  <c r="L171" i="15" s="1"/>
  <c r="J187" i="15"/>
  <c r="K187" i="15" s="1"/>
  <c r="L187" i="15" s="1"/>
  <c r="J203" i="15"/>
  <c r="K203" i="15" s="1"/>
  <c r="L203" i="15" s="1"/>
  <c r="J219" i="15"/>
  <c r="K219" i="15" s="1"/>
  <c r="L219" i="15" s="1"/>
  <c r="J15" i="15"/>
  <c r="K15" i="15" s="1"/>
  <c r="L15" i="15" s="1"/>
  <c r="J63" i="15"/>
  <c r="K63" i="15" s="1"/>
  <c r="L63" i="15" s="1"/>
  <c r="J111" i="15"/>
  <c r="K111" i="15" s="1"/>
  <c r="L111" i="15" s="1"/>
  <c r="J159" i="15"/>
  <c r="K159" i="15" s="1"/>
  <c r="L159" i="15" s="1"/>
  <c r="J223" i="15"/>
  <c r="K223" i="15" s="1"/>
  <c r="L223" i="15" s="1"/>
  <c r="BF4" i="15"/>
  <c r="BG4" i="15" s="1"/>
  <c r="BH4" i="15" s="1"/>
  <c r="BF8" i="15"/>
  <c r="BG8" i="15" s="1"/>
  <c r="BH8" i="15" s="1"/>
  <c r="BF12" i="15"/>
  <c r="BG12" i="15" s="1"/>
  <c r="BH12" i="15" s="1"/>
  <c r="BF16" i="15"/>
  <c r="BG16" i="15" s="1"/>
  <c r="BH16" i="15" s="1"/>
  <c r="BF20" i="15"/>
  <c r="BG20" i="15" s="1"/>
  <c r="BH20" i="15" s="1"/>
  <c r="BF24" i="15"/>
  <c r="BG24" i="15" s="1"/>
  <c r="BH24" i="15" s="1"/>
  <c r="BF28" i="15"/>
  <c r="BG28" i="15" s="1"/>
  <c r="BH28" i="15" s="1"/>
  <c r="BF32" i="15"/>
  <c r="BG32" i="15" s="1"/>
  <c r="BH32" i="15" s="1"/>
  <c r="BF36" i="15"/>
  <c r="BG36" i="15" s="1"/>
  <c r="BH36" i="15" s="1"/>
  <c r="BF40" i="15"/>
  <c r="BG40" i="15" s="1"/>
  <c r="BH40" i="15" s="1"/>
  <c r="BF44" i="15"/>
  <c r="BG44" i="15" s="1"/>
  <c r="BH44" i="15" s="1"/>
  <c r="BF48" i="15"/>
  <c r="BG48" i="15" s="1"/>
  <c r="BH48" i="15" s="1"/>
  <c r="BF52" i="15"/>
  <c r="BG52" i="15" s="1"/>
  <c r="BH52" i="15" s="1"/>
  <c r="BF56" i="15"/>
  <c r="BG56" i="15" s="1"/>
  <c r="BH56" i="15" s="1"/>
  <c r="BF60" i="15"/>
  <c r="BG60" i="15" s="1"/>
  <c r="BH60" i="15" s="1"/>
  <c r="BF64" i="15"/>
  <c r="BG64" i="15" s="1"/>
  <c r="BH64" i="15" s="1"/>
  <c r="BF68" i="15"/>
  <c r="BG68" i="15" s="1"/>
  <c r="BH68" i="15" s="1"/>
  <c r="BF72" i="15"/>
  <c r="BG72" i="15" s="1"/>
  <c r="BH72" i="15" s="1"/>
  <c r="BF76" i="15"/>
  <c r="BG76" i="15" s="1"/>
  <c r="BH76" i="15" s="1"/>
  <c r="BF80" i="15"/>
  <c r="BG80" i="15" s="1"/>
  <c r="BH80" i="15" s="1"/>
  <c r="BF84" i="15"/>
  <c r="BG84" i="15" s="1"/>
  <c r="BH84" i="15" s="1"/>
  <c r="BF88" i="15"/>
  <c r="BG88" i="15" s="1"/>
  <c r="BH88" i="15" s="1"/>
  <c r="BF92" i="15"/>
  <c r="BG92" i="15" s="1"/>
  <c r="BH92" i="15" s="1"/>
  <c r="BF96" i="15"/>
  <c r="BG96" i="15" s="1"/>
  <c r="BH96" i="15" s="1"/>
  <c r="BF100" i="15"/>
  <c r="BG100" i="15" s="1"/>
  <c r="BH100" i="15" s="1"/>
  <c r="BF104" i="15"/>
  <c r="BG104" i="15" s="1"/>
  <c r="BH104" i="15" s="1"/>
  <c r="BF108" i="15"/>
  <c r="BG108" i="15" s="1"/>
  <c r="BH108" i="15" s="1"/>
  <c r="BF112" i="15"/>
  <c r="BG112" i="15" s="1"/>
  <c r="BH112" i="15" s="1"/>
  <c r="BF116" i="15"/>
  <c r="BG116" i="15" s="1"/>
  <c r="BH116" i="15" s="1"/>
  <c r="BF120" i="15"/>
  <c r="BG120" i="15" s="1"/>
  <c r="BH120" i="15" s="1"/>
  <c r="BF124" i="15"/>
  <c r="BG124" i="15" s="1"/>
  <c r="BH124" i="15" s="1"/>
  <c r="BF128" i="15"/>
  <c r="BG128" i="15" s="1"/>
  <c r="BH128" i="15" s="1"/>
  <c r="BF132" i="15"/>
  <c r="BG132" i="15" s="1"/>
  <c r="BH132" i="15" s="1"/>
  <c r="BF136" i="15"/>
  <c r="BG136" i="15" s="1"/>
  <c r="BH136" i="15" s="1"/>
  <c r="BF140" i="15"/>
  <c r="BG140" i="15" s="1"/>
  <c r="BH140" i="15" s="1"/>
  <c r="BF144" i="15"/>
  <c r="BG144" i="15" s="1"/>
  <c r="BH144" i="15" s="1"/>
  <c r="BF148" i="15"/>
  <c r="BG148" i="15" s="1"/>
  <c r="BH148" i="15" s="1"/>
  <c r="BF152" i="15"/>
  <c r="BG152" i="15" s="1"/>
  <c r="BH152" i="15" s="1"/>
  <c r="BF156" i="15"/>
  <c r="BG156" i="15" s="1"/>
  <c r="BH156" i="15" s="1"/>
  <c r="BF160" i="15"/>
  <c r="BG160" i="15" s="1"/>
  <c r="BH160" i="15" s="1"/>
  <c r="BF164" i="15"/>
  <c r="BG164" i="15" s="1"/>
  <c r="BH164" i="15" s="1"/>
  <c r="BF168" i="15"/>
  <c r="BG168" i="15" s="1"/>
  <c r="BH168" i="15" s="1"/>
  <c r="BF172" i="15"/>
  <c r="BG172" i="15" s="1"/>
  <c r="BH172" i="15" s="1"/>
  <c r="BF176" i="15"/>
  <c r="BG176" i="15" s="1"/>
  <c r="BH176" i="15" s="1"/>
  <c r="BF180" i="15"/>
  <c r="BG180" i="15" s="1"/>
  <c r="BH180" i="15" s="1"/>
  <c r="BF184" i="15"/>
  <c r="BG184" i="15" s="1"/>
  <c r="BH184" i="15" s="1"/>
  <c r="BF188" i="15"/>
  <c r="BG188" i="15" s="1"/>
  <c r="BH188" i="15" s="1"/>
  <c r="BF192" i="15"/>
  <c r="BG192" i="15" s="1"/>
  <c r="BH192" i="15" s="1"/>
  <c r="BF196" i="15"/>
  <c r="BG196" i="15" s="1"/>
  <c r="BH196" i="15" s="1"/>
  <c r="BF200" i="15"/>
  <c r="BG200" i="15" s="1"/>
  <c r="BH200" i="15" s="1"/>
  <c r="BF204" i="15"/>
  <c r="BG204" i="15" s="1"/>
  <c r="BH204" i="15" s="1"/>
  <c r="BF208" i="15"/>
  <c r="BG208" i="15" s="1"/>
  <c r="BH208" i="15" s="1"/>
  <c r="BF212" i="15"/>
  <c r="BG212" i="15" s="1"/>
  <c r="BH212" i="15" s="1"/>
  <c r="BF216" i="15"/>
  <c r="BG216" i="15" s="1"/>
  <c r="BH216" i="15" s="1"/>
  <c r="BF220" i="15"/>
  <c r="BG220" i="15" s="1"/>
  <c r="BH220" i="15" s="1"/>
  <c r="BF224" i="15"/>
  <c r="BG224" i="15" s="1"/>
  <c r="BH224" i="15" s="1"/>
  <c r="BF2" i="15"/>
  <c r="BF5" i="15"/>
  <c r="BG5" i="15" s="1"/>
  <c r="BH5" i="15" s="1"/>
  <c r="BF9" i="15"/>
  <c r="BG9" i="15" s="1"/>
  <c r="BH9" i="15" s="1"/>
  <c r="BF13" i="15"/>
  <c r="BG13" i="15" s="1"/>
  <c r="BH13" i="15" s="1"/>
  <c r="BF17" i="15"/>
  <c r="BG17" i="15" s="1"/>
  <c r="BH17" i="15" s="1"/>
  <c r="BF21" i="15"/>
  <c r="BG21" i="15" s="1"/>
  <c r="BH21" i="15" s="1"/>
  <c r="BF25" i="15"/>
  <c r="BG25" i="15" s="1"/>
  <c r="BH25" i="15" s="1"/>
  <c r="BF29" i="15"/>
  <c r="BG29" i="15" s="1"/>
  <c r="BH29" i="15" s="1"/>
  <c r="BF33" i="15"/>
  <c r="BG33" i="15" s="1"/>
  <c r="BH33" i="15" s="1"/>
  <c r="BF37" i="15"/>
  <c r="BG37" i="15" s="1"/>
  <c r="BH37" i="15" s="1"/>
  <c r="BF41" i="15"/>
  <c r="BG41" i="15" s="1"/>
  <c r="BH41" i="15" s="1"/>
  <c r="BF45" i="15"/>
  <c r="BG45" i="15" s="1"/>
  <c r="BH45" i="15" s="1"/>
  <c r="BF49" i="15"/>
  <c r="BG49" i="15" s="1"/>
  <c r="BH49" i="15" s="1"/>
  <c r="BF53" i="15"/>
  <c r="BG53" i="15" s="1"/>
  <c r="BH53" i="15" s="1"/>
  <c r="BF57" i="15"/>
  <c r="BG57" i="15" s="1"/>
  <c r="BH57" i="15" s="1"/>
  <c r="BF61" i="15"/>
  <c r="BG61" i="15" s="1"/>
  <c r="BH61" i="15" s="1"/>
  <c r="BF65" i="15"/>
  <c r="BG65" i="15" s="1"/>
  <c r="BH65" i="15" s="1"/>
  <c r="BF69" i="15"/>
  <c r="BG69" i="15" s="1"/>
  <c r="BH69" i="15" s="1"/>
  <c r="BF73" i="15"/>
  <c r="BG73" i="15" s="1"/>
  <c r="BH73" i="15" s="1"/>
  <c r="BF77" i="15"/>
  <c r="BG77" i="15" s="1"/>
  <c r="BH77" i="15" s="1"/>
  <c r="BF81" i="15"/>
  <c r="BG81" i="15" s="1"/>
  <c r="BH81" i="15" s="1"/>
  <c r="BF85" i="15"/>
  <c r="BG85" i="15" s="1"/>
  <c r="BH85" i="15" s="1"/>
  <c r="BF89" i="15"/>
  <c r="BG89" i="15" s="1"/>
  <c r="BH89" i="15" s="1"/>
  <c r="BF93" i="15"/>
  <c r="BG93" i="15" s="1"/>
  <c r="BH93" i="15" s="1"/>
  <c r="BF97" i="15"/>
  <c r="BG97" i="15" s="1"/>
  <c r="BH97" i="15" s="1"/>
  <c r="BF101" i="15"/>
  <c r="BG101" i="15" s="1"/>
  <c r="BH101" i="15" s="1"/>
  <c r="BF105" i="15"/>
  <c r="BG105" i="15" s="1"/>
  <c r="BH105" i="15" s="1"/>
  <c r="BF109" i="15"/>
  <c r="BG109" i="15" s="1"/>
  <c r="BH109" i="15" s="1"/>
  <c r="BF113" i="15"/>
  <c r="BG113" i="15" s="1"/>
  <c r="BH113" i="15" s="1"/>
  <c r="BF117" i="15"/>
  <c r="BG117" i="15" s="1"/>
  <c r="BH117" i="15" s="1"/>
  <c r="BF121" i="15"/>
  <c r="BG121" i="15" s="1"/>
  <c r="BH121" i="15" s="1"/>
  <c r="BF125" i="15"/>
  <c r="BG125" i="15" s="1"/>
  <c r="BH125" i="15" s="1"/>
  <c r="BF129" i="15"/>
  <c r="BG129" i="15" s="1"/>
  <c r="BH129" i="15" s="1"/>
  <c r="BF133" i="15"/>
  <c r="BG133" i="15" s="1"/>
  <c r="BH133" i="15" s="1"/>
  <c r="BF137" i="15"/>
  <c r="BG137" i="15" s="1"/>
  <c r="BH137" i="15" s="1"/>
  <c r="BF141" i="15"/>
  <c r="BG141" i="15" s="1"/>
  <c r="BH141" i="15" s="1"/>
  <c r="BF145" i="15"/>
  <c r="BG145" i="15" s="1"/>
  <c r="BH145" i="15" s="1"/>
  <c r="BF149" i="15"/>
  <c r="BG149" i="15" s="1"/>
  <c r="BH149" i="15" s="1"/>
  <c r="BF153" i="15"/>
  <c r="BG153" i="15" s="1"/>
  <c r="BH153" i="15" s="1"/>
  <c r="BF157" i="15"/>
  <c r="BG157" i="15" s="1"/>
  <c r="BH157" i="15" s="1"/>
  <c r="BF161" i="15"/>
  <c r="BG161" i="15" s="1"/>
  <c r="BH161" i="15" s="1"/>
  <c r="BF165" i="15"/>
  <c r="BG165" i="15" s="1"/>
  <c r="BH165" i="15" s="1"/>
  <c r="BF169" i="15"/>
  <c r="BG169" i="15" s="1"/>
  <c r="BH169" i="15" s="1"/>
  <c r="BF173" i="15"/>
  <c r="BG173" i="15" s="1"/>
  <c r="BH173" i="15" s="1"/>
  <c r="BF177" i="15"/>
  <c r="BG177" i="15" s="1"/>
  <c r="BH177" i="15" s="1"/>
  <c r="BF181" i="15"/>
  <c r="BG181" i="15" s="1"/>
  <c r="BH181" i="15" s="1"/>
  <c r="BF185" i="15"/>
  <c r="BG185" i="15" s="1"/>
  <c r="BH185" i="15" s="1"/>
  <c r="BF189" i="15"/>
  <c r="BG189" i="15" s="1"/>
  <c r="BH189" i="15" s="1"/>
  <c r="BF193" i="15"/>
  <c r="BG193" i="15" s="1"/>
  <c r="BH193" i="15" s="1"/>
  <c r="BF197" i="15"/>
  <c r="BG197" i="15" s="1"/>
  <c r="BH197" i="15" s="1"/>
  <c r="BF201" i="15"/>
  <c r="BG201" i="15" s="1"/>
  <c r="BH201" i="15" s="1"/>
  <c r="BF205" i="15"/>
  <c r="BG205" i="15" s="1"/>
  <c r="BH205" i="15" s="1"/>
  <c r="BF209" i="15"/>
  <c r="BG209" i="15" s="1"/>
  <c r="BH209" i="15" s="1"/>
  <c r="BF213" i="15"/>
  <c r="BG213" i="15" s="1"/>
  <c r="BH213" i="15" s="1"/>
  <c r="BF217" i="15"/>
  <c r="BG217" i="15" s="1"/>
  <c r="BH217" i="15" s="1"/>
  <c r="BF221" i="15"/>
  <c r="BG221" i="15" s="1"/>
  <c r="BH221" i="15" s="1"/>
  <c r="BF225" i="15"/>
  <c r="BG225" i="15" s="1"/>
  <c r="BH225" i="15" s="1"/>
  <c r="BF6" i="15"/>
  <c r="BG6" i="15" s="1"/>
  <c r="BH6" i="15" s="1"/>
  <c r="BF10" i="15"/>
  <c r="BG10" i="15" s="1"/>
  <c r="BH10" i="15" s="1"/>
  <c r="BF14" i="15"/>
  <c r="BG14" i="15" s="1"/>
  <c r="BH14" i="15" s="1"/>
  <c r="BF18" i="15"/>
  <c r="BG18" i="15" s="1"/>
  <c r="BH18" i="15" s="1"/>
  <c r="BF22" i="15"/>
  <c r="BG22" i="15" s="1"/>
  <c r="BH22" i="15" s="1"/>
  <c r="BF26" i="15"/>
  <c r="BG26" i="15" s="1"/>
  <c r="BH26" i="15" s="1"/>
  <c r="BF30" i="15"/>
  <c r="BG30" i="15" s="1"/>
  <c r="BH30" i="15" s="1"/>
  <c r="BF34" i="15"/>
  <c r="BG34" i="15" s="1"/>
  <c r="BH34" i="15" s="1"/>
  <c r="BF38" i="15"/>
  <c r="BG38" i="15" s="1"/>
  <c r="BH38" i="15" s="1"/>
  <c r="BF42" i="15"/>
  <c r="BG42" i="15" s="1"/>
  <c r="BH42" i="15" s="1"/>
  <c r="BF46" i="15"/>
  <c r="BG46" i="15" s="1"/>
  <c r="BH46" i="15" s="1"/>
  <c r="BF50" i="15"/>
  <c r="BG50" i="15" s="1"/>
  <c r="BH50" i="15" s="1"/>
  <c r="BF54" i="15"/>
  <c r="BG54" i="15" s="1"/>
  <c r="BH54" i="15" s="1"/>
  <c r="BF58" i="15"/>
  <c r="BG58" i="15" s="1"/>
  <c r="BH58" i="15" s="1"/>
  <c r="BF62" i="15"/>
  <c r="BG62" i="15" s="1"/>
  <c r="BH62" i="15" s="1"/>
  <c r="BF66" i="15"/>
  <c r="BG66" i="15" s="1"/>
  <c r="BH66" i="15" s="1"/>
  <c r="BF70" i="15"/>
  <c r="BG70" i="15" s="1"/>
  <c r="BH70" i="15" s="1"/>
  <c r="BF74" i="15"/>
  <c r="BG74" i="15" s="1"/>
  <c r="BH74" i="15" s="1"/>
  <c r="BF78" i="15"/>
  <c r="BG78" i="15" s="1"/>
  <c r="BH78" i="15" s="1"/>
  <c r="BF82" i="15"/>
  <c r="BG82" i="15" s="1"/>
  <c r="BH82" i="15" s="1"/>
  <c r="BF86" i="15"/>
  <c r="BG86" i="15" s="1"/>
  <c r="BH86" i="15" s="1"/>
  <c r="BF90" i="15"/>
  <c r="BG90" i="15" s="1"/>
  <c r="BH90" i="15" s="1"/>
  <c r="BF94" i="15"/>
  <c r="BG94" i="15" s="1"/>
  <c r="BH94" i="15" s="1"/>
  <c r="BF98" i="15"/>
  <c r="BG98" i="15" s="1"/>
  <c r="BH98" i="15" s="1"/>
  <c r="BF102" i="15"/>
  <c r="BG102" i="15" s="1"/>
  <c r="BH102" i="15" s="1"/>
  <c r="BF106" i="15"/>
  <c r="BG106" i="15" s="1"/>
  <c r="BH106" i="15" s="1"/>
  <c r="BF110" i="15"/>
  <c r="BG110" i="15" s="1"/>
  <c r="BH110" i="15" s="1"/>
  <c r="BF114" i="15"/>
  <c r="BG114" i="15" s="1"/>
  <c r="BH114" i="15" s="1"/>
  <c r="BF118" i="15"/>
  <c r="BG118" i="15" s="1"/>
  <c r="BH118" i="15" s="1"/>
  <c r="BF122" i="15"/>
  <c r="BG122" i="15" s="1"/>
  <c r="BH122" i="15" s="1"/>
  <c r="BF126" i="15"/>
  <c r="BG126" i="15" s="1"/>
  <c r="BH126" i="15" s="1"/>
  <c r="BF130" i="15"/>
  <c r="BG130" i="15" s="1"/>
  <c r="BH130" i="15" s="1"/>
  <c r="BF134" i="15"/>
  <c r="BG134" i="15" s="1"/>
  <c r="BH134" i="15" s="1"/>
  <c r="BF138" i="15"/>
  <c r="BG138" i="15" s="1"/>
  <c r="BH138" i="15" s="1"/>
  <c r="BF142" i="15"/>
  <c r="BG142" i="15" s="1"/>
  <c r="BH142" i="15" s="1"/>
  <c r="BF146" i="15"/>
  <c r="BG146" i="15" s="1"/>
  <c r="BH146" i="15" s="1"/>
  <c r="BF150" i="15"/>
  <c r="BG150" i="15" s="1"/>
  <c r="BH150" i="15" s="1"/>
  <c r="BF154" i="15"/>
  <c r="BG154" i="15" s="1"/>
  <c r="BH154" i="15" s="1"/>
  <c r="BF158" i="15"/>
  <c r="BG158" i="15" s="1"/>
  <c r="BH158" i="15" s="1"/>
  <c r="BF162" i="15"/>
  <c r="BG162" i="15" s="1"/>
  <c r="BH162" i="15" s="1"/>
  <c r="BF166" i="15"/>
  <c r="BG166" i="15" s="1"/>
  <c r="BH166" i="15" s="1"/>
  <c r="BF170" i="15"/>
  <c r="BG170" i="15" s="1"/>
  <c r="BH170" i="15" s="1"/>
  <c r="BF174" i="15"/>
  <c r="BG174" i="15" s="1"/>
  <c r="BH174" i="15" s="1"/>
  <c r="BF178" i="15"/>
  <c r="BG178" i="15" s="1"/>
  <c r="BH178" i="15" s="1"/>
  <c r="BF182" i="15"/>
  <c r="BG182" i="15" s="1"/>
  <c r="BH182" i="15" s="1"/>
  <c r="BF186" i="15"/>
  <c r="BG186" i="15" s="1"/>
  <c r="BH186" i="15" s="1"/>
  <c r="BF190" i="15"/>
  <c r="BG190" i="15" s="1"/>
  <c r="BH190" i="15" s="1"/>
  <c r="BF194" i="15"/>
  <c r="BG194" i="15" s="1"/>
  <c r="BH194" i="15" s="1"/>
  <c r="BF198" i="15"/>
  <c r="BG198" i="15" s="1"/>
  <c r="BH198" i="15" s="1"/>
  <c r="BF202" i="15"/>
  <c r="BG202" i="15" s="1"/>
  <c r="BH202" i="15" s="1"/>
  <c r="BF206" i="15"/>
  <c r="BG206" i="15" s="1"/>
  <c r="BH206" i="15" s="1"/>
  <c r="BF210" i="15"/>
  <c r="BG210" i="15" s="1"/>
  <c r="BH210" i="15" s="1"/>
  <c r="BF214" i="15"/>
  <c r="BG214" i="15" s="1"/>
  <c r="BH214" i="15" s="1"/>
  <c r="BF218" i="15"/>
  <c r="BG218" i="15" s="1"/>
  <c r="BH218" i="15" s="1"/>
  <c r="BF222" i="15"/>
  <c r="BG222" i="15" s="1"/>
  <c r="BH222" i="15" s="1"/>
  <c r="BF226" i="15"/>
  <c r="BG226" i="15" s="1"/>
  <c r="BH226" i="15" s="1"/>
  <c r="BF3" i="15"/>
  <c r="BG3" i="15" s="1"/>
  <c r="BH3" i="15" s="1"/>
  <c r="BF19" i="15"/>
  <c r="BG19" i="15" s="1"/>
  <c r="BH19" i="15" s="1"/>
  <c r="BF35" i="15"/>
  <c r="BG35" i="15" s="1"/>
  <c r="BH35" i="15" s="1"/>
  <c r="BF51" i="15"/>
  <c r="BG51" i="15" s="1"/>
  <c r="BH51" i="15" s="1"/>
  <c r="BF67" i="15"/>
  <c r="BG67" i="15" s="1"/>
  <c r="BH67" i="15" s="1"/>
  <c r="BF83" i="15"/>
  <c r="BG83" i="15" s="1"/>
  <c r="BH83" i="15" s="1"/>
  <c r="BF99" i="15"/>
  <c r="BG99" i="15" s="1"/>
  <c r="BH99" i="15" s="1"/>
  <c r="BF115" i="15"/>
  <c r="BG115" i="15" s="1"/>
  <c r="BH115" i="15" s="1"/>
  <c r="BF131" i="15"/>
  <c r="BG131" i="15" s="1"/>
  <c r="BH131" i="15" s="1"/>
  <c r="BF147" i="15"/>
  <c r="BG147" i="15" s="1"/>
  <c r="BH147" i="15" s="1"/>
  <c r="BF163" i="15"/>
  <c r="BG163" i="15" s="1"/>
  <c r="BH163" i="15" s="1"/>
  <c r="BF179" i="15"/>
  <c r="BG179" i="15" s="1"/>
  <c r="BH179" i="15" s="1"/>
  <c r="BF195" i="15"/>
  <c r="BG195" i="15" s="1"/>
  <c r="BH195" i="15" s="1"/>
  <c r="BF211" i="15"/>
  <c r="BG211" i="15" s="1"/>
  <c r="BH211" i="15" s="1"/>
  <c r="BF227" i="15"/>
  <c r="BG227" i="15" s="1"/>
  <c r="BH227" i="15" s="1"/>
  <c r="BF15" i="15"/>
  <c r="BG15" i="15" s="1"/>
  <c r="BH15" i="15" s="1"/>
  <c r="BF63" i="15"/>
  <c r="BG63" i="15" s="1"/>
  <c r="BH63" i="15" s="1"/>
  <c r="BF111" i="15"/>
  <c r="BG111" i="15" s="1"/>
  <c r="BH111" i="15" s="1"/>
  <c r="BF143" i="15"/>
  <c r="BG143" i="15" s="1"/>
  <c r="BH143" i="15" s="1"/>
  <c r="BF191" i="15"/>
  <c r="BG191" i="15" s="1"/>
  <c r="BH191" i="15" s="1"/>
  <c r="BF7" i="15"/>
  <c r="BG7" i="15" s="1"/>
  <c r="BH7" i="15" s="1"/>
  <c r="BF23" i="15"/>
  <c r="BG23" i="15" s="1"/>
  <c r="BH23" i="15" s="1"/>
  <c r="BF39" i="15"/>
  <c r="BG39" i="15" s="1"/>
  <c r="BH39" i="15" s="1"/>
  <c r="BF55" i="15"/>
  <c r="BG55" i="15" s="1"/>
  <c r="BH55" i="15" s="1"/>
  <c r="BF71" i="15"/>
  <c r="BG71" i="15" s="1"/>
  <c r="BH71" i="15" s="1"/>
  <c r="BF87" i="15"/>
  <c r="BG87" i="15" s="1"/>
  <c r="BH87" i="15" s="1"/>
  <c r="BF103" i="15"/>
  <c r="BG103" i="15" s="1"/>
  <c r="BH103" i="15" s="1"/>
  <c r="BF119" i="15"/>
  <c r="BG119" i="15" s="1"/>
  <c r="BH119" i="15" s="1"/>
  <c r="BF135" i="15"/>
  <c r="BG135" i="15" s="1"/>
  <c r="BH135" i="15" s="1"/>
  <c r="BF151" i="15"/>
  <c r="BG151" i="15" s="1"/>
  <c r="BH151" i="15" s="1"/>
  <c r="BF167" i="15"/>
  <c r="BG167" i="15" s="1"/>
  <c r="BH167" i="15" s="1"/>
  <c r="BF183" i="15"/>
  <c r="BG183" i="15" s="1"/>
  <c r="BH183" i="15" s="1"/>
  <c r="BF199" i="15"/>
  <c r="BG199" i="15" s="1"/>
  <c r="BH199" i="15" s="1"/>
  <c r="BF215" i="15"/>
  <c r="BG215" i="15" s="1"/>
  <c r="BH215" i="15" s="1"/>
  <c r="BF31" i="15"/>
  <c r="BG31" i="15" s="1"/>
  <c r="BH31" i="15" s="1"/>
  <c r="BF79" i="15"/>
  <c r="BG79" i="15" s="1"/>
  <c r="BH79" i="15" s="1"/>
  <c r="BF127" i="15"/>
  <c r="BG127" i="15" s="1"/>
  <c r="BH127" i="15" s="1"/>
  <c r="BF175" i="15"/>
  <c r="BG175" i="15" s="1"/>
  <c r="BH175" i="15" s="1"/>
  <c r="BF223" i="15"/>
  <c r="BG223" i="15" s="1"/>
  <c r="BH223" i="15" s="1"/>
  <c r="BF11" i="15"/>
  <c r="BG11" i="15" s="1"/>
  <c r="BH11" i="15" s="1"/>
  <c r="BF27" i="15"/>
  <c r="BG27" i="15" s="1"/>
  <c r="BH27" i="15" s="1"/>
  <c r="BF43" i="15"/>
  <c r="BG43" i="15" s="1"/>
  <c r="BH43" i="15" s="1"/>
  <c r="BF59" i="15"/>
  <c r="BG59" i="15" s="1"/>
  <c r="BH59" i="15" s="1"/>
  <c r="BF75" i="15"/>
  <c r="BG75" i="15" s="1"/>
  <c r="BH75" i="15" s="1"/>
  <c r="BF91" i="15"/>
  <c r="BG91" i="15" s="1"/>
  <c r="BH91" i="15" s="1"/>
  <c r="BF107" i="15"/>
  <c r="BG107" i="15" s="1"/>
  <c r="BH107" i="15" s="1"/>
  <c r="BF123" i="15"/>
  <c r="BG123" i="15" s="1"/>
  <c r="BH123" i="15" s="1"/>
  <c r="BF139" i="15"/>
  <c r="BG139" i="15" s="1"/>
  <c r="BH139" i="15" s="1"/>
  <c r="BF155" i="15"/>
  <c r="BG155" i="15" s="1"/>
  <c r="BH155" i="15" s="1"/>
  <c r="BF171" i="15"/>
  <c r="BG171" i="15" s="1"/>
  <c r="BH171" i="15" s="1"/>
  <c r="BF187" i="15"/>
  <c r="BG187" i="15" s="1"/>
  <c r="BH187" i="15" s="1"/>
  <c r="BF203" i="15"/>
  <c r="BG203" i="15" s="1"/>
  <c r="BH203" i="15" s="1"/>
  <c r="BF219" i="15"/>
  <c r="BG219" i="15" s="1"/>
  <c r="BH219" i="15" s="1"/>
  <c r="BF47" i="15"/>
  <c r="BG47" i="15" s="1"/>
  <c r="BH47" i="15" s="1"/>
  <c r="BF95" i="15"/>
  <c r="BG95" i="15" s="1"/>
  <c r="BH95" i="15" s="1"/>
  <c r="BF159" i="15"/>
  <c r="BG159" i="15" s="1"/>
  <c r="BH159" i="15" s="1"/>
  <c r="BF207" i="15"/>
  <c r="BG207" i="15" s="1"/>
  <c r="BH207" i="15" s="1"/>
  <c r="M5" i="15"/>
  <c r="N5" i="15" s="1"/>
  <c r="O5" i="15" s="1"/>
  <c r="M9" i="15"/>
  <c r="N9" i="15" s="1"/>
  <c r="O9" i="15" s="1"/>
  <c r="M13" i="15"/>
  <c r="N13" i="15" s="1"/>
  <c r="O13" i="15" s="1"/>
  <c r="M17" i="15"/>
  <c r="N17" i="15" s="1"/>
  <c r="O17" i="15" s="1"/>
  <c r="M21" i="15"/>
  <c r="N21" i="15" s="1"/>
  <c r="O21" i="15" s="1"/>
  <c r="M25" i="15"/>
  <c r="N25" i="15" s="1"/>
  <c r="O25" i="15" s="1"/>
  <c r="M29" i="15"/>
  <c r="N29" i="15" s="1"/>
  <c r="O29" i="15" s="1"/>
  <c r="M33" i="15"/>
  <c r="N33" i="15" s="1"/>
  <c r="O33" i="15" s="1"/>
  <c r="M37" i="15"/>
  <c r="N37" i="15" s="1"/>
  <c r="O37" i="15" s="1"/>
  <c r="M41" i="15"/>
  <c r="N41" i="15" s="1"/>
  <c r="O41" i="15" s="1"/>
  <c r="M45" i="15"/>
  <c r="N45" i="15" s="1"/>
  <c r="O45" i="15" s="1"/>
  <c r="M49" i="15"/>
  <c r="N49" i="15" s="1"/>
  <c r="O49" i="15" s="1"/>
  <c r="M53" i="15"/>
  <c r="N53" i="15" s="1"/>
  <c r="O53" i="15" s="1"/>
  <c r="M57" i="15"/>
  <c r="N57" i="15" s="1"/>
  <c r="O57" i="15" s="1"/>
  <c r="M61" i="15"/>
  <c r="N61" i="15" s="1"/>
  <c r="O61" i="15" s="1"/>
  <c r="M65" i="15"/>
  <c r="N65" i="15" s="1"/>
  <c r="O65" i="15" s="1"/>
  <c r="M69" i="15"/>
  <c r="N69" i="15" s="1"/>
  <c r="O69" i="15" s="1"/>
  <c r="M73" i="15"/>
  <c r="N73" i="15" s="1"/>
  <c r="O73" i="15" s="1"/>
  <c r="M77" i="15"/>
  <c r="N77" i="15" s="1"/>
  <c r="O77" i="15" s="1"/>
  <c r="M81" i="15"/>
  <c r="N81" i="15" s="1"/>
  <c r="O81" i="15" s="1"/>
  <c r="M85" i="15"/>
  <c r="N85" i="15" s="1"/>
  <c r="O85" i="15" s="1"/>
  <c r="M89" i="15"/>
  <c r="N89" i="15" s="1"/>
  <c r="O89" i="15" s="1"/>
  <c r="M93" i="15"/>
  <c r="N93" i="15" s="1"/>
  <c r="O93" i="15" s="1"/>
  <c r="M97" i="15"/>
  <c r="N97" i="15" s="1"/>
  <c r="O97" i="15" s="1"/>
  <c r="M101" i="15"/>
  <c r="N101" i="15" s="1"/>
  <c r="O101" i="15" s="1"/>
  <c r="M105" i="15"/>
  <c r="N105" i="15" s="1"/>
  <c r="O105" i="15" s="1"/>
  <c r="M109" i="15"/>
  <c r="N109" i="15" s="1"/>
  <c r="O109" i="15" s="1"/>
  <c r="M113" i="15"/>
  <c r="N113" i="15" s="1"/>
  <c r="O113" i="15" s="1"/>
  <c r="M117" i="15"/>
  <c r="N117" i="15" s="1"/>
  <c r="O117" i="15" s="1"/>
  <c r="M121" i="15"/>
  <c r="N121" i="15" s="1"/>
  <c r="O121" i="15" s="1"/>
  <c r="M125" i="15"/>
  <c r="N125" i="15" s="1"/>
  <c r="O125" i="15" s="1"/>
  <c r="M129" i="15"/>
  <c r="N129" i="15" s="1"/>
  <c r="O129" i="15" s="1"/>
  <c r="M133" i="15"/>
  <c r="N133" i="15" s="1"/>
  <c r="O133" i="15" s="1"/>
  <c r="M137" i="15"/>
  <c r="N137" i="15" s="1"/>
  <c r="O137" i="15" s="1"/>
  <c r="M141" i="15"/>
  <c r="N141" i="15" s="1"/>
  <c r="O141" i="15" s="1"/>
  <c r="M145" i="15"/>
  <c r="N145" i="15" s="1"/>
  <c r="O145" i="15" s="1"/>
  <c r="M149" i="15"/>
  <c r="N149" i="15" s="1"/>
  <c r="O149" i="15" s="1"/>
  <c r="M153" i="15"/>
  <c r="N153" i="15" s="1"/>
  <c r="O153" i="15" s="1"/>
  <c r="M157" i="15"/>
  <c r="N157" i="15" s="1"/>
  <c r="O157" i="15" s="1"/>
  <c r="M161" i="15"/>
  <c r="N161" i="15" s="1"/>
  <c r="O161" i="15" s="1"/>
  <c r="M165" i="15"/>
  <c r="N165" i="15" s="1"/>
  <c r="O165" i="15" s="1"/>
  <c r="M169" i="15"/>
  <c r="N169" i="15" s="1"/>
  <c r="O169" i="15" s="1"/>
  <c r="M173" i="15"/>
  <c r="N173" i="15" s="1"/>
  <c r="O173" i="15" s="1"/>
  <c r="M177" i="15"/>
  <c r="N177" i="15" s="1"/>
  <c r="O177" i="15" s="1"/>
  <c r="M181" i="15"/>
  <c r="N181" i="15" s="1"/>
  <c r="O181" i="15" s="1"/>
  <c r="M185" i="15"/>
  <c r="N185" i="15" s="1"/>
  <c r="O185" i="15" s="1"/>
  <c r="M189" i="15"/>
  <c r="N189" i="15" s="1"/>
  <c r="O189" i="15" s="1"/>
  <c r="M193" i="15"/>
  <c r="N193" i="15" s="1"/>
  <c r="O193" i="15" s="1"/>
  <c r="M197" i="15"/>
  <c r="N197" i="15" s="1"/>
  <c r="O197" i="15" s="1"/>
  <c r="M201" i="15"/>
  <c r="N201" i="15" s="1"/>
  <c r="O201" i="15" s="1"/>
  <c r="M205" i="15"/>
  <c r="N205" i="15" s="1"/>
  <c r="O205" i="15" s="1"/>
  <c r="M209" i="15"/>
  <c r="N209" i="15" s="1"/>
  <c r="O209" i="15" s="1"/>
  <c r="M213" i="15"/>
  <c r="N213" i="15" s="1"/>
  <c r="O213" i="15" s="1"/>
  <c r="M217" i="15"/>
  <c r="N217" i="15" s="1"/>
  <c r="O217" i="15" s="1"/>
  <c r="M221" i="15"/>
  <c r="N221" i="15" s="1"/>
  <c r="O221" i="15" s="1"/>
  <c r="M225" i="15"/>
  <c r="N225" i="15" s="1"/>
  <c r="O225" i="15" s="1"/>
  <c r="M2" i="15"/>
  <c r="N2" i="15" s="1"/>
  <c r="M6" i="15"/>
  <c r="N6" i="15" s="1"/>
  <c r="O6" i="15" s="1"/>
  <c r="M10" i="15"/>
  <c r="N10" i="15" s="1"/>
  <c r="O10" i="15" s="1"/>
  <c r="M14" i="15"/>
  <c r="N14" i="15" s="1"/>
  <c r="O14" i="15" s="1"/>
  <c r="M18" i="15"/>
  <c r="N18" i="15" s="1"/>
  <c r="O18" i="15" s="1"/>
  <c r="M22" i="15"/>
  <c r="N22" i="15" s="1"/>
  <c r="O22" i="15" s="1"/>
  <c r="M26" i="15"/>
  <c r="N26" i="15" s="1"/>
  <c r="O26" i="15" s="1"/>
  <c r="M30" i="15"/>
  <c r="N30" i="15" s="1"/>
  <c r="O30" i="15" s="1"/>
  <c r="M34" i="15"/>
  <c r="N34" i="15" s="1"/>
  <c r="O34" i="15" s="1"/>
  <c r="M38" i="15"/>
  <c r="N38" i="15" s="1"/>
  <c r="O38" i="15" s="1"/>
  <c r="M42" i="15"/>
  <c r="N42" i="15" s="1"/>
  <c r="O42" i="15" s="1"/>
  <c r="M46" i="15"/>
  <c r="N46" i="15" s="1"/>
  <c r="O46" i="15" s="1"/>
  <c r="M50" i="15"/>
  <c r="N50" i="15" s="1"/>
  <c r="O50" i="15" s="1"/>
  <c r="M54" i="15"/>
  <c r="N54" i="15" s="1"/>
  <c r="O54" i="15" s="1"/>
  <c r="M58" i="15"/>
  <c r="N58" i="15" s="1"/>
  <c r="O58" i="15" s="1"/>
  <c r="M62" i="15"/>
  <c r="N62" i="15" s="1"/>
  <c r="O62" i="15" s="1"/>
  <c r="M66" i="15"/>
  <c r="N66" i="15" s="1"/>
  <c r="O66" i="15" s="1"/>
  <c r="M70" i="15"/>
  <c r="N70" i="15" s="1"/>
  <c r="O70" i="15" s="1"/>
  <c r="M74" i="15"/>
  <c r="N74" i="15" s="1"/>
  <c r="O74" i="15" s="1"/>
  <c r="M78" i="15"/>
  <c r="N78" i="15" s="1"/>
  <c r="O78" i="15" s="1"/>
  <c r="M82" i="15"/>
  <c r="N82" i="15" s="1"/>
  <c r="O82" i="15" s="1"/>
  <c r="M86" i="15"/>
  <c r="N86" i="15" s="1"/>
  <c r="O86" i="15" s="1"/>
  <c r="M90" i="15"/>
  <c r="N90" i="15" s="1"/>
  <c r="O90" i="15" s="1"/>
  <c r="M94" i="15"/>
  <c r="N94" i="15" s="1"/>
  <c r="O94" i="15" s="1"/>
  <c r="M98" i="15"/>
  <c r="N98" i="15" s="1"/>
  <c r="O98" i="15" s="1"/>
  <c r="M102" i="15"/>
  <c r="N102" i="15" s="1"/>
  <c r="O102" i="15" s="1"/>
  <c r="M106" i="15"/>
  <c r="N106" i="15" s="1"/>
  <c r="O106" i="15" s="1"/>
  <c r="M110" i="15"/>
  <c r="N110" i="15" s="1"/>
  <c r="O110" i="15" s="1"/>
  <c r="M114" i="15"/>
  <c r="N114" i="15" s="1"/>
  <c r="O114" i="15" s="1"/>
  <c r="M118" i="15"/>
  <c r="N118" i="15" s="1"/>
  <c r="O118" i="15" s="1"/>
  <c r="M122" i="15"/>
  <c r="N122" i="15" s="1"/>
  <c r="O122" i="15" s="1"/>
  <c r="M126" i="15"/>
  <c r="N126" i="15" s="1"/>
  <c r="O126" i="15" s="1"/>
  <c r="M130" i="15"/>
  <c r="N130" i="15" s="1"/>
  <c r="O130" i="15" s="1"/>
  <c r="M134" i="15"/>
  <c r="N134" i="15" s="1"/>
  <c r="O134" i="15" s="1"/>
  <c r="M138" i="15"/>
  <c r="N138" i="15" s="1"/>
  <c r="O138" i="15" s="1"/>
  <c r="M142" i="15"/>
  <c r="N142" i="15" s="1"/>
  <c r="O142" i="15" s="1"/>
  <c r="M146" i="15"/>
  <c r="N146" i="15" s="1"/>
  <c r="O146" i="15" s="1"/>
  <c r="M150" i="15"/>
  <c r="N150" i="15" s="1"/>
  <c r="O150" i="15" s="1"/>
  <c r="M154" i="15"/>
  <c r="N154" i="15" s="1"/>
  <c r="O154" i="15" s="1"/>
  <c r="M158" i="15"/>
  <c r="N158" i="15" s="1"/>
  <c r="O158" i="15" s="1"/>
  <c r="M162" i="15"/>
  <c r="N162" i="15" s="1"/>
  <c r="O162" i="15" s="1"/>
  <c r="M166" i="15"/>
  <c r="N166" i="15" s="1"/>
  <c r="O166" i="15" s="1"/>
  <c r="M170" i="15"/>
  <c r="N170" i="15" s="1"/>
  <c r="O170" i="15" s="1"/>
  <c r="M174" i="15"/>
  <c r="N174" i="15" s="1"/>
  <c r="O174" i="15" s="1"/>
  <c r="M178" i="15"/>
  <c r="N178" i="15" s="1"/>
  <c r="O178" i="15" s="1"/>
  <c r="M182" i="15"/>
  <c r="N182" i="15" s="1"/>
  <c r="O182" i="15" s="1"/>
  <c r="M186" i="15"/>
  <c r="N186" i="15" s="1"/>
  <c r="O186" i="15" s="1"/>
  <c r="M190" i="15"/>
  <c r="N190" i="15" s="1"/>
  <c r="O190" i="15" s="1"/>
  <c r="M194" i="15"/>
  <c r="N194" i="15" s="1"/>
  <c r="O194" i="15" s="1"/>
  <c r="M198" i="15"/>
  <c r="N198" i="15" s="1"/>
  <c r="O198" i="15" s="1"/>
  <c r="M202" i="15"/>
  <c r="N202" i="15" s="1"/>
  <c r="O202" i="15" s="1"/>
  <c r="M206" i="15"/>
  <c r="N206" i="15" s="1"/>
  <c r="O206" i="15" s="1"/>
  <c r="M210" i="15"/>
  <c r="N210" i="15" s="1"/>
  <c r="O210" i="15" s="1"/>
  <c r="M214" i="15"/>
  <c r="N214" i="15" s="1"/>
  <c r="O214" i="15" s="1"/>
  <c r="M218" i="15"/>
  <c r="N218" i="15" s="1"/>
  <c r="O218" i="15" s="1"/>
  <c r="M222" i="15"/>
  <c r="N222" i="15" s="1"/>
  <c r="O222" i="15" s="1"/>
  <c r="M226" i="15"/>
  <c r="N226" i="15" s="1"/>
  <c r="O226" i="15" s="1"/>
  <c r="M3" i="15"/>
  <c r="N3" i="15" s="1"/>
  <c r="O3" i="15" s="1"/>
  <c r="M7" i="15"/>
  <c r="N7" i="15" s="1"/>
  <c r="O7" i="15" s="1"/>
  <c r="M11" i="15"/>
  <c r="N11" i="15" s="1"/>
  <c r="O11" i="15" s="1"/>
  <c r="M15" i="15"/>
  <c r="N15" i="15" s="1"/>
  <c r="O15" i="15" s="1"/>
  <c r="M19" i="15"/>
  <c r="N19" i="15" s="1"/>
  <c r="O19" i="15" s="1"/>
  <c r="M23" i="15"/>
  <c r="N23" i="15" s="1"/>
  <c r="O23" i="15" s="1"/>
  <c r="M27" i="15"/>
  <c r="N27" i="15" s="1"/>
  <c r="O27" i="15" s="1"/>
  <c r="M31" i="15"/>
  <c r="N31" i="15" s="1"/>
  <c r="O31" i="15" s="1"/>
  <c r="M35" i="15"/>
  <c r="N35" i="15" s="1"/>
  <c r="O35" i="15" s="1"/>
  <c r="M39" i="15"/>
  <c r="N39" i="15" s="1"/>
  <c r="O39" i="15" s="1"/>
  <c r="M43" i="15"/>
  <c r="N43" i="15" s="1"/>
  <c r="O43" i="15" s="1"/>
  <c r="M47" i="15"/>
  <c r="N47" i="15" s="1"/>
  <c r="O47" i="15" s="1"/>
  <c r="M51" i="15"/>
  <c r="N51" i="15" s="1"/>
  <c r="O51" i="15" s="1"/>
  <c r="M55" i="15"/>
  <c r="N55" i="15" s="1"/>
  <c r="O55" i="15" s="1"/>
  <c r="M59" i="15"/>
  <c r="N59" i="15" s="1"/>
  <c r="O59" i="15" s="1"/>
  <c r="M63" i="15"/>
  <c r="N63" i="15" s="1"/>
  <c r="O63" i="15" s="1"/>
  <c r="M67" i="15"/>
  <c r="N67" i="15" s="1"/>
  <c r="O67" i="15" s="1"/>
  <c r="M71" i="15"/>
  <c r="N71" i="15" s="1"/>
  <c r="O71" i="15" s="1"/>
  <c r="M75" i="15"/>
  <c r="N75" i="15" s="1"/>
  <c r="O75" i="15" s="1"/>
  <c r="M79" i="15"/>
  <c r="N79" i="15" s="1"/>
  <c r="O79" i="15" s="1"/>
  <c r="M83" i="15"/>
  <c r="N83" i="15" s="1"/>
  <c r="O83" i="15" s="1"/>
  <c r="M87" i="15"/>
  <c r="N87" i="15" s="1"/>
  <c r="O87" i="15" s="1"/>
  <c r="M91" i="15"/>
  <c r="N91" i="15" s="1"/>
  <c r="O91" i="15" s="1"/>
  <c r="M95" i="15"/>
  <c r="N95" i="15" s="1"/>
  <c r="O95" i="15" s="1"/>
  <c r="M99" i="15"/>
  <c r="N99" i="15" s="1"/>
  <c r="O99" i="15" s="1"/>
  <c r="M103" i="15"/>
  <c r="N103" i="15" s="1"/>
  <c r="O103" i="15" s="1"/>
  <c r="M107" i="15"/>
  <c r="N107" i="15" s="1"/>
  <c r="O107" i="15" s="1"/>
  <c r="M111" i="15"/>
  <c r="N111" i="15" s="1"/>
  <c r="O111" i="15" s="1"/>
  <c r="M115" i="15"/>
  <c r="N115" i="15" s="1"/>
  <c r="O115" i="15" s="1"/>
  <c r="M119" i="15"/>
  <c r="N119" i="15" s="1"/>
  <c r="O119" i="15" s="1"/>
  <c r="M123" i="15"/>
  <c r="N123" i="15" s="1"/>
  <c r="O123" i="15" s="1"/>
  <c r="M127" i="15"/>
  <c r="N127" i="15" s="1"/>
  <c r="O127" i="15" s="1"/>
  <c r="M131" i="15"/>
  <c r="N131" i="15" s="1"/>
  <c r="O131" i="15" s="1"/>
  <c r="M135" i="15"/>
  <c r="N135" i="15" s="1"/>
  <c r="O135" i="15" s="1"/>
  <c r="M139" i="15"/>
  <c r="N139" i="15" s="1"/>
  <c r="O139" i="15" s="1"/>
  <c r="M143" i="15"/>
  <c r="N143" i="15" s="1"/>
  <c r="O143" i="15" s="1"/>
  <c r="M147" i="15"/>
  <c r="N147" i="15" s="1"/>
  <c r="O147" i="15" s="1"/>
  <c r="M151" i="15"/>
  <c r="N151" i="15" s="1"/>
  <c r="O151" i="15" s="1"/>
  <c r="M155" i="15"/>
  <c r="N155" i="15" s="1"/>
  <c r="O155" i="15" s="1"/>
  <c r="M159" i="15"/>
  <c r="N159" i="15" s="1"/>
  <c r="O159" i="15" s="1"/>
  <c r="M163" i="15"/>
  <c r="N163" i="15" s="1"/>
  <c r="O163" i="15" s="1"/>
  <c r="M167" i="15"/>
  <c r="N167" i="15" s="1"/>
  <c r="O167" i="15" s="1"/>
  <c r="M171" i="15"/>
  <c r="N171" i="15" s="1"/>
  <c r="O171" i="15" s="1"/>
  <c r="M175" i="15"/>
  <c r="N175" i="15" s="1"/>
  <c r="O175" i="15" s="1"/>
  <c r="M179" i="15"/>
  <c r="N179" i="15" s="1"/>
  <c r="O179" i="15" s="1"/>
  <c r="M183" i="15"/>
  <c r="N183" i="15" s="1"/>
  <c r="O183" i="15" s="1"/>
  <c r="M187" i="15"/>
  <c r="N187" i="15" s="1"/>
  <c r="O187" i="15" s="1"/>
  <c r="M191" i="15"/>
  <c r="N191" i="15" s="1"/>
  <c r="O191" i="15" s="1"/>
  <c r="M195" i="15"/>
  <c r="N195" i="15" s="1"/>
  <c r="O195" i="15" s="1"/>
  <c r="M199" i="15"/>
  <c r="N199" i="15" s="1"/>
  <c r="O199" i="15" s="1"/>
  <c r="M203" i="15"/>
  <c r="N203" i="15" s="1"/>
  <c r="O203" i="15" s="1"/>
  <c r="M207" i="15"/>
  <c r="N207" i="15" s="1"/>
  <c r="O207" i="15" s="1"/>
  <c r="M211" i="15"/>
  <c r="N211" i="15" s="1"/>
  <c r="O211" i="15" s="1"/>
  <c r="M215" i="15"/>
  <c r="N215" i="15" s="1"/>
  <c r="O215" i="15" s="1"/>
  <c r="M219" i="15"/>
  <c r="N219" i="15" s="1"/>
  <c r="O219" i="15" s="1"/>
  <c r="M223" i="15"/>
  <c r="N223" i="15" s="1"/>
  <c r="O223" i="15" s="1"/>
  <c r="M227" i="15"/>
  <c r="N227" i="15" s="1"/>
  <c r="O227" i="15" s="1"/>
  <c r="M4" i="15"/>
  <c r="N4" i="15" s="1"/>
  <c r="O4" i="15" s="1"/>
  <c r="M20" i="15"/>
  <c r="N20" i="15" s="1"/>
  <c r="O20" i="15" s="1"/>
  <c r="M36" i="15"/>
  <c r="N36" i="15" s="1"/>
  <c r="O36" i="15" s="1"/>
  <c r="M52" i="15"/>
  <c r="N52" i="15" s="1"/>
  <c r="O52" i="15" s="1"/>
  <c r="M68" i="15"/>
  <c r="N68" i="15" s="1"/>
  <c r="O68" i="15" s="1"/>
  <c r="M84" i="15"/>
  <c r="N84" i="15" s="1"/>
  <c r="O84" i="15" s="1"/>
  <c r="M100" i="15"/>
  <c r="N100" i="15" s="1"/>
  <c r="O100" i="15" s="1"/>
  <c r="M116" i="15"/>
  <c r="N116" i="15" s="1"/>
  <c r="O116" i="15" s="1"/>
  <c r="M132" i="15"/>
  <c r="N132" i="15" s="1"/>
  <c r="O132" i="15" s="1"/>
  <c r="M148" i="15"/>
  <c r="N148" i="15" s="1"/>
  <c r="O148" i="15" s="1"/>
  <c r="M164" i="15"/>
  <c r="N164" i="15" s="1"/>
  <c r="O164" i="15" s="1"/>
  <c r="M180" i="15"/>
  <c r="N180" i="15" s="1"/>
  <c r="O180" i="15" s="1"/>
  <c r="M196" i="15"/>
  <c r="N196" i="15" s="1"/>
  <c r="O196" i="15" s="1"/>
  <c r="M212" i="15"/>
  <c r="N212" i="15" s="1"/>
  <c r="O212" i="15" s="1"/>
  <c r="M80" i="15"/>
  <c r="N80" i="15" s="1"/>
  <c r="O80" i="15" s="1"/>
  <c r="M112" i="15"/>
  <c r="N112" i="15" s="1"/>
  <c r="O112" i="15" s="1"/>
  <c r="M128" i="15"/>
  <c r="N128" i="15" s="1"/>
  <c r="O128" i="15" s="1"/>
  <c r="M176" i="15"/>
  <c r="N176" i="15" s="1"/>
  <c r="O176" i="15" s="1"/>
  <c r="M8" i="15"/>
  <c r="N8" i="15" s="1"/>
  <c r="O8" i="15" s="1"/>
  <c r="M24" i="15"/>
  <c r="N24" i="15" s="1"/>
  <c r="O24" i="15" s="1"/>
  <c r="M40" i="15"/>
  <c r="N40" i="15" s="1"/>
  <c r="O40" i="15" s="1"/>
  <c r="M56" i="15"/>
  <c r="N56" i="15" s="1"/>
  <c r="O56" i="15" s="1"/>
  <c r="M72" i="15"/>
  <c r="N72" i="15" s="1"/>
  <c r="O72" i="15" s="1"/>
  <c r="M88" i="15"/>
  <c r="N88" i="15" s="1"/>
  <c r="O88" i="15" s="1"/>
  <c r="M104" i="15"/>
  <c r="N104" i="15" s="1"/>
  <c r="O104" i="15" s="1"/>
  <c r="M120" i="15"/>
  <c r="N120" i="15" s="1"/>
  <c r="O120" i="15" s="1"/>
  <c r="M136" i="15"/>
  <c r="N136" i="15" s="1"/>
  <c r="O136" i="15" s="1"/>
  <c r="M152" i="15"/>
  <c r="N152" i="15" s="1"/>
  <c r="O152" i="15" s="1"/>
  <c r="M168" i="15"/>
  <c r="N168" i="15" s="1"/>
  <c r="O168" i="15" s="1"/>
  <c r="M184" i="15"/>
  <c r="N184" i="15" s="1"/>
  <c r="O184" i="15" s="1"/>
  <c r="M200" i="15"/>
  <c r="N200" i="15" s="1"/>
  <c r="O200" i="15" s="1"/>
  <c r="M216" i="15"/>
  <c r="N216" i="15" s="1"/>
  <c r="O216" i="15" s="1"/>
  <c r="M32" i="15"/>
  <c r="N32" i="15" s="1"/>
  <c r="O32" i="15" s="1"/>
  <c r="M48" i="15"/>
  <c r="N48" i="15" s="1"/>
  <c r="O48" i="15" s="1"/>
  <c r="M96" i="15"/>
  <c r="N96" i="15" s="1"/>
  <c r="O96" i="15" s="1"/>
  <c r="M160" i="15"/>
  <c r="N160" i="15" s="1"/>
  <c r="O160" i="15" s="1"/>
  <c r="M192" i="15"/>
  <c r="N192" i="15" s="1"/>
  <c r="O192" i="15" s="1"/>
  <c r="M224" i="15"/>
  <c r="N224" i="15" s="1"/>
  <c r="O224" i="15" s="1"/>
  <c r="M12" i="15"/>
  <c r="N12" i="15" s="1"/>
  <c r="O12" i="15" s="1"/>
  <c r="M28" i="15"/>
  <c r="N28" i="15" s="1"/>
  <c r="O28" i="15" s="1"/>
  <c r="M44" i="15"/>
  <c r="N44" i="15" s="1"/>
  <c r="O44" i="15" s="1"/>
  <c r="M60" i="15"/>
  <c r="N60" i="15" s="1"/>
  <c r="O60" i="15" s="1"/>
  <c r="M76" i="15"/>
  <c r="N76" i="15" s="1"/>
  <c r="O76" i="15" s="1"/>
  <c r="M92" i="15"/>
  <c r="N92" i="15" s="1"/>
  <c r="O92" i="15" s="1"/>
  <c r="M108" i="15"/>
  <c r="N108" i="15" s="1"/>
  <c r="O108" i="15" s="1"/>
  <c r="M124" i="15"/>
  <c r="N124" i="15" s="1"/>
  <c r="O124" i="15" s="1"/>
  <c r="M140" i="15"/>
  <c r="N140" i="15" s="1"/>
  <c r="O140" i="15" s="1"/>
  <c r="M156" i="15"/>
  <c r="N156" i="15" s="1"/>
  <c r="O156" i="15" s="1"/>
  <c r="M172" i="15"/>
  <c r="N172" i="15" s="1"/>
  <c r="O172" i="15" s="1"/>
  <c r="M188" i="15"/>
  <c r="N188" i="15" s="1"/>
  <c r="O188" i="15" s="1"/>
  <c r="M204" i="15"/>
  <c r="N204" i="15" s="1"/>
  <c r="O204" i="15" s="1"/>
  <c r="M220" i="15"/>
  <c r="N220" i="15" s="1"/>
  <c r="O220" i="15" s="1"/>
  <c r="M16" i="15"/>
  <c r="N16" i="15" s="1"/>
  <c r="O16" i="15" s="1"/>
  <c r="M64" i="15"/>
  <c r="N64" i="15" s="1"/>
  <c r="O64" i="15" s="1"/>
  <c r="M144" i="15"/>
  <c r="N144" i="15" s="1"/>
  <c r="O144" i="15" s="1"/>
  <c r="M208" i="15"/>
  <c r="N208" i="15" s="1"/>
  <c r="O208" i="15" s="1"/>
  <c r="CS6" i="15"/>
  <c r="CT6" i="15" s="1"/>
  <c r="CU6" i="15" s="1"/>
  <c r="CS10" i="15"/>
  <c r="CT10" i="15" s="1"/>
  <c r="CU10" i="15" s="1"/>
  <c r="CS14" i="15"/>
  <c r="CT14" i="15" s="1"/>
  <c r="CU14" i="15" s="1"/>
  <c r="CS18" i="15"/>
  <c r="CT18" i="15" s="1"/>
  <c r="CU18" i="15" s="1"/>
  <c r="CS22" i="15"/>
  <c r="CT22" i="15" s="1"/>
  <c r="CU22" i="15" s="1"/>
  <c r="CS26" i="15"/>
  <c r="CT26" i="15" s="1"/>
  <c r="CU26" i="15" s="1"/>
  <c r="CS30" i="15"/>
  <c r="CT30" i="15" s="1"/>
  <c r="CU30" i="15" s="1"/>
  <c r="CS34" i="15"/>
  <c r="CT34" i="15" s="1"/>
  <c r="CU34" i="15" s="1"/>
  <c r="CS38" i="15"/>
  <c r="CT38" i="15" s="1"/>
  <c r="CU38" i="15" s="1"/>
  <c r="CS42" i="15"/>
  <c r="CT42" i="15" s="1"/>
  <c r="CU42" i="15" s="1"/>
  <c r="CS46" i="15"/>
  <c r="CT46" i="15" s="1"/>
  <c r="CU46" i="15" s="1"/>
  <c r="CS50" i="15"/>
  <c r="CT50" i="15" s="1"/>
  <c r="CU50" i="15" s="1"/>
  <c r="CS54" i="15"/>
  <c r="CT54" i="15" s="1"/>
  <c r="CU54" i="15" s="1"/>
  <c r="CS58" i="15"/>
  <c r="CT58" i="15" s="1"/>
  <c r="CU58" i="15" s="1"/>
  <c r="CS62" i="15"/>
  <c r="CT62" i="15" s="1"/>
  <c r="CU62" i="15" s="1"/>
  <c r="CS66" i="15"/>
  <c r="CT66" i="15" s="1"/>
  <c r="CU66" i="15" s="1"/>
  <c r="CS70" i="15"/>
  <c r="CT70" i="15" s="1"/>
  <c r="CU70" i="15" s="1"/>
  <c r="CS74" i="15"/>
  <c r="CT74" i="15" s="1"/>
  <c r="CU74" i="15" s="1"/>
  <c r="CS78" i="15"/>
  <c r="CT78" i="15" s="1"/>
  <c r="CU78" i="15" s="1"/>
  <c r="CS82" i="15"/>
  <c r="CT82" i="15" s="1"/>
  <c r="CU82" i="15" s="1"/>
  <c r="CS86" i="15"/>
  <c r="CT86" i="15" s="1"/>
  <c r="CU86" i="15" s="1"/>
  <c r="CS90" i="15"/>
  <c r="CT90" i="15" s="1"/>
  <c r="CU90" i="15" s="1"/>
  <c r="CS94" i="15"/>
  <c r="CT94" i="15" s="1"/>
  <c r="CU94" i="15" s="1"/>
  <c r="CS98" i="15"/>
  <c r="CT98" i="15" s="1"/>
  <c r="CU98" i="15" s="1"/>
  <c r="CS102" i="15"/>
  <c r="CT102" i="15" s="1"/>
  <c r="CU102" i="15" s="1"/>
  <c r="CS106" i="15"/>
  <c r="CT106" i="15" s="1"/>
  <c r="CU106" i="15" s="1"/>
  <c r="CS110" i="15"/>
  <c r="CT110" i="15" s="1"/>
  <c r="CU110" i="15" s="1"/>
  <c r="CS114" i="15"/>
  <c r="CT114" i="15" s="1"/>
  <c r="CU114" i="15" s="1"/>
  <c r="CS118" i="15"/>
  <c r="CT118" i="15" s="1"/>
  <c r="CU118" i="15" s="1"/>
  <c r="CS122" i="15"/>
  <c r="CT122" i="15" s="1"/>
  <c r="CU122" i="15" s="1"/>
  <c r="CS126" i="15"/>
  <c r="CT126" i="15" s="1"/>
  <c r="CU126" i="15" s="1"/>
  <c r="CS130" i="15"/>
  <c r="CT130" i="15" s="1"/>
  <c r="CU130" i="15" s="1"/>
  <c r="CS134" i="15"/>
  <c r="CT134" i="15" s="1"/>
  <c r="CU134" i="15" s="1"/>
  <c r="CS138" i="15"/>
  <c r="CT138" i="15" s="1"/>
  <c r="CU138" i="15" s="1"/>
  <c r="CS142" i="15"/>
  <c r="CT142" i="15" s="1"/>
  <c r="CU142" i="15" s="1"/>
  <c r="CS146" i="15"/>
  <c r="CT146" i="15" s="1"/>
  <c r="CU146" i="15" s="1"/>
  <c r="CS150" i="15"/>
  <c r="CT150" i="15" s="1"/>
  <c r="CU150" i="15" s="1"/>
  <c r="CS154" i="15"/>
  <c r="CT154" i="15" s="1"/>
  <c r="CU154" i="15" s="1"/>
  <c r="CS158" i="15"/>
  <c r="CT158" i="15" s="1"/>
  <c r="CU158" i="15" s="1"/>
  <c r="CS162" i="15"/>
  <c r="CT162" i="15" s="1"/>
  <c r="CU162" i="15" s="1"/>
  <c r="CS166" i="15"/>
  <c r="CT166" i="15" s="1"/>
  <c r="CU166" i="15" s="1"/>
  <c r="CS170" i="15"/>
  <c r="CT170" i="15" s="1"/>
  <c r="CU170" i="15" s="1"/>
  <c r="CS174" i="15"/>
  <c r="CT174" i="15" s="1"/>
  <c r="CU174" i="15" s="1"/>
  <c r="CS178" i="15"/>
  <c r="CT178" i="15" s="1"/>
  <c r="CU178" i="15" s="1"/>
  <c r="CS182" i="15"/>
  <c r="CT182" i="15" s="1"/>
  <c r="CU182" i="15" s="1"/>
  <c r="CS186" i="15"/>
  <c r="CT186" i="15" s="1"/>
  <c r="CU186" i="15" s="1"/>
  <c r="CS190" i="15"/>
  <c r="CT190" i="15" s="1"/>
  <c r="CU190" i="15" s="1"/>
  <c r="CS194" i="15"/>
  <c r="CT194" i="15" s="1"/>
  <c r="CU194" i="15" s="1"/>
  <c r="CS198" i="15"/>
  <c r="CT198" i="15" s="1"/>
  <c r="CU198" i="15" s="1"/>
  <c r="CS202" i="15"/>
  <c r="CT202" i="15" s="1"/>
  <c r="CU202" i="15" s="1"/>
  <c r="CS206" i="15"/>
  <c r="CT206" i="15" s="1"/>
  <c r="CU206" i="15" s="1"/>
  <c r="CS210" i="15"/>
  <c r="CT210" i="15" s="1"/>
  <c r="CU210" i="15" s="1"/>
  <c r="CS214" i="15"/>
  <c r="CT214" i="15" s="1"/>
  <c r="CU214" i="15" s="1"/>
  <c r="CS218" i="15"/>
  <c r="CT218" i="15" s="1"/>
  <c r="CU218" i="15" s="1"/>
  <c r="CS222" i="15"/>
  <c r="CT222" i="15" s="1"/>
  <c r="CU222" i="15" s="1"/>
  <c r="CS226" i="15"/>
  <c r="CT226" i="15" s="1"/>
  <c r="CU226" i="15" s="1"/>
  <c r="CS3" i="15"/>
  <c r="CT3" i="15" s="1"/>
  <c r="CU3" i="15" s="1"/>
  <c r="CS7" i="15"/>
  <c r="CT7" i="15" s="1"/>
  <c r="CU7" i="15" s="1"/>
  <c r="CS11" i="15"/>
  <c r="CT11" i="15" s="1"/>
  <c r="CU11" i="15" s="1"/>
  <c r="CS15" i="15"/>
  <c r="CT15" i="15" s="1"/>
  <c r="CU15" i="15" s="1"/>
  <c r="CS19" i="15"/>
  <c r="CT19" i="15" s="1"/>
  <c r="CU19" i="15" s="1"/>
  <c r="CS23" i="15"/>
  <c r="CT23" i="15" s="1"/>
  <c r="CU23" i="15" s="1"/>
  <c r="CS27" i="15"/>
  <c r="CT27" i="15" s="1"/>
  <c r="CU27" i="15" s="1"/>
  <c r="CS31" i="15"/>
  <c r="CT31" i="15" s="1"/>
  <c r="CU31" i="15" s="1"/>
  <c r="CS35" i="15"/>
  <c r="CT35" i="15" s="1"/>
  <c r="CU35" i="15" s="1"/>
  <c r="CS39" i="15"/>
  <c r="CT39" i="15" s="1"/>
  <c r="CU39" i="15" s="1"/>
  <c r="CS43" i="15"/>
  <c r="CT43" i="15" s="1"/>
  <c r="CU43" i="15" s="1"/>
  <c r="CS47" i="15"/>
  <c r="CT47" i="15" s="1"/>
  <c r="CU47" i="15" s="1"/>
  <c r="CS51" i="15"/>
  <c r="CT51" i="15" s="1"/>
  <c r="CU51" i="15" s="1"/>
  <c r="CS55" i="15"/>
  <c r="CT55" i="15" s="1"/>
  <c r="CU55" i="15" s="1"/>
  <c r="CS59" i="15"/>
  <c r="CT59" i="15" s="1"/>
  <c r="CU59" i="15" s="1"/>
  <c r="CS63" i="15"/>
  <c r="CT63" i="15" s="1"/>
  <c r="CU63" i="15" s="1"/>
  <c r="CS67" i="15"/>
  <c r="CT67" i="15" s="1"/>
  <c r="CU67" i="15" s="1"/>
  <c r="CS71" i="15"/>
  <c r="CT71" i="15" s="1"/>
  <c r="CU71" i="15" s="1"/>
  <c r="CS75" i="15"/>
  <c r="CT75" i="15" s="1"/>
  <c r="CU75" i="15" s="1"/>
  <c r="CS79" i="15"/>
  <c r="CT79" i="15" s="1"/>
  <c r="CU79" i="15" s="1"/>
  <c r="CS83" i="15"/>
  <c r="CT83" i="15" s="1"/>
  <c r="CU83" i="15" s="1"/>
  <c r="CS87" i="15"/>
  <c r="CT87" i="15" s="1"/>
  <c r="CU87" i="15" s="1"/>
  <c r="CS91" i="15"/>
  <c r="CT91" i="15" s="1"/>
  <c r="CU91" i="15" s="1"/>
  <c r="CS95" i="15"/>
  <c r="CT95" i="15" s="1"/>
  <c r="CU95" i="15" s="1"/>
  <c r="CS99" i="15"/>
  <c r="CT99" i="15" s="1"/>
  <c r="CU99" i="15" s="1"/>
  <c r="CS103" i="15"/>
  <c r="CT103" i="15" s="1"/>
  <c r="CU103" i="15" s="1"/>
  <c r="CS107" i="15"/>
  <c r="CT107" i="15" s="1"/>
  <c r="CU107" i="15" s="1"/>
  <c r="CS111" i="15"/>
  <c r="CT111" i="15" s="1"/>
  <c r="CU111" i="15" s="1"/>
  <c r="CS115" i="15"/>
  <c r="CT115" i="15" s="1"/>
  <c r="CU115" i="15" s="1"/>
  <c r="CS119" i="15"/>
  <c r="CT119" i="15" s="1"/>
  <c r="CU119" i="15" s="1"/>
  <c r="CS123" i="15"/>
  <c r="CT123" i="15" s="1"/>
  <c r="CU123" i="15" s="1"/>
  <c r="CS127" i="15"/>
  <c r="CT127" i="15" s="1"/>
  <c r="CU127" i="15" s="1"/>
  <c r="CS131" i="15"/>
  <c r="CT131" i="15" s="1"/>
  <c r="CU131" i="15" s="1"/>
  <c r="CS135" i="15"/>
  <c r="CT135" i="15" s="1"/>
  <c r="CU135" i="15" s="1"/>
  <c r="CS139" i="15"/>
  <c r="CT139" i="15" s="1"/>
  <c r="CU139" i="15" s="1"/>
  <c r="CS143" i="15"/>
  <c r="CT143" i="15" s="1"/>
  <c r="CU143" i="15" s="1"/>
  <c r="CS147" i="15"/>
  <c r="CT147" i="15" s="1"/>
  <c r="CU147" i="15" s="1"/>
  <c r="CS151" i="15"/>
  <c r="CT151" i="15" s="1"/>
  <c r="CU151" i="15" s="1"/>
  <c r="CS155" i="15"/>
  <c r="CT155" i="15" s="1"/>
  <c r="CU155" i="15" s="1"/>
  <c r="CS159" i="15"/>
  <c r="CT159" i="15" s="1"/>
  <c r="CU159" i="15" s="1"/>
  <c r="CS163" i="15"/>
  <c r="CT163" i="15" s="1"/>
  <c r="CU163" i="15" s="1"/>
  <c r="CS167" i="15"/>
  <c r="CT167" i="15" s="1"/>
  <c r="CU167" i="15" s="1"/>
  <c r="CS171" i="15"/>
  <c r="CT171" i="15" s="1"/>
  <c r="CU171" i="15" s="1"/>
  <c r="CS175" i="15"/>
  <c r="CT175" i="15" s="1"/>
  <c r="CU175" i="15" s="1"/>
  <c r="CS179" i="15"/>
  <c r="CT179" i="15" s="1"/>
  <c r="CU179" i="15" s="1"/>
  <c r="CS183" i="15"/>
  <c r="CT183" i="15" s="1"/>
  <c r="CU183" i="15" s="1"/>
  <c r="CS187" i="15"/>
  <c r="CT187" i="15" s="1"/>
  <c r="CU187" i="15" s="1"/>
  <c r="CS191" i="15"/>
  <c r="CT191" i="15" s="1"/>
  <c r="CU191" i="15" s="1"/>
  <c r="CS195" i="15"/>
  <c r="CT195" i="15" s="1"/>
  <c r="CU195" i="15" s="1"/>
  <c r="CS199" i="15"/>
  <c r="CT199" i="15" s="1"/>
  <c r="CU199" i="15" s="1"/>
  <c r="CS203" i="15"/>
  <c r="CT203" i="15" s="1"/>
  <c r="CU203" i="15" s="1"/>
  <c r="CS207" i="15"/>
  <c r="CT207" i="15" s="1"/>
  <c r="CU207" i="15" s="1"/>
  <c r="CS211" i="15"/>
  <c r="CT211" i="15" s="1"/>
  <c r="CU211" i="15" s="1"/>
  <c r="CS215" i="15"/>
  <c r="CT215" i="15" s="1"/>
  <c r="CU215" i="15" s="1"/>
  <c r="CS219" i="15"/>
  <c r="CT219" i="15" s="1"/>
  <c r="CU219" i="15" s="1"/>
  <c r="CS223" i="15"/>
  <c r="CT223" i="15" s="1"/>
  <c r="CU223" i="15" s="1"/>
  <c r="CS227" i="15"/>
  <c r="CT227" i="15" s="1"/>
  <c r="CU227" i="15" s="1"/>
  <c r="CS4" i="15"/>
  <c r="CT4" i="15" s="1"/>
  <c r="CU4" i="15" s="1"/>
  <c r="CS8" i="15"/>
  <c r="CT8" i="15" s="1"/>
  <c r="CU8" i="15" s="1"/>
  <c r="CS12" i="15"/>
  <c r="CT12" i="15" s="1"/>
  <c r="CU12" i="15" s="1"/>
  <c r="CS16" i="15"/>
  <c r="CT16" i="15" s="1"/>
  <c r="CU16" i="15" s="1"/>
  <c r="CS20" i="15"/>
  <c r="CT20" i="15" s="1"/>
  <c r="CU20" i="15" s="1"/>
  <c r="CS24" i="15"/>
  <c r="CT24" i="15" s="1"/>
  <c r="CU24" i="15" s="1"/>
  <c r="CS28" i="15"/>
  <c r="CT28" i="15" s="1"/>
  <c r="CU28" i="15" s="1"/>
  <c r="CS32" i="15"/>
  <c r="CT32" i="15" s="1"/>
  <c r="CU32" i="15" s="1"/>
  <c r="CS36" i="15"/>
  <c r="CT36" i="15" s="1"/>
  <c r="CU36" i="15" s="1"/>
  <c r="CS40" i="15"/>
  <c r="CT40" i="15" s="1"/>
  <c r="CU40" i="15" s="1"/>
  <c r="CS44" i="15"/>
  <c r="CT44" i="15" s="1"/>
  <c r="CU44" i="15" s="1"/>
  <c r="CS48" i="15"/>
  <c r="CT48" i="15" s="1"/>
  <c r="CU48" i="15" s="1"/>
  <c r="CS52" i="15"/>
  <c r="CT52" i="15" s="1"/>
  <c r="CU52" i="15" s="1"/>
  <c r="CS5" i="15"/>
  <c r="CT5" i="15" s="1"/>
  <c r="CU5" i="15" s="1"/>
  <c r="CS21" i="15"/>
  <c r="CT21" i="15" s="1"/>
  <c r="CU21" i="15" s="1"/>
  <c r="CS37" i="15"/>
  <c r="CT37" i="15" s="1"/>
  <c r="CU37" i="15" s="1"/>
  <c r="CS53" i="15"/>
  <c r="CT53" i="15" s="1"/>
  <c r="CU53" i="15" s="1"/>
  <c r="CS61" i="15"/>
  <c r="CT61" i="15" s="1"/>
  <c r="CU61" i="15" s="1"/>
  <c r="CS69" i="15"/>
  <c r="CT69" i="15" s="1"/>
  <c r="CU69" i="15" s="1"/>
  <c r="CS77" i="15"/>
  <c r="CT77" i="15" s="1"/>
  <c r="CU77" i="15" s="1"/>
  <c r="CS85" i="15"/>
  <c r="CT85" i="15" s="1"/>
  <c r="CU85" i="15" s="1"/>
  <c r="CS93" i="15"/>
  <c r="CT93" i="15" s="1"/>
  <c r="CU93" i="15" s="1"/>
  <c r="CS101" i="15"/>
  <c r="CT101" i="15" s="1"/>
  <c r="CU101" i="15" s="1"/>
  <c r="CS109" i="15"/>
  <c r="CT109" i="15" s="1"/>
  <c r="CU109" i="15" s="1"/>
  <c r="CS117" i="15"/>
  <c r="CT117" i="15" s="1"/>
  <c r="CU117" i="15" s="1"/>
  <c r="CS125" i="15"/>
  <c r="CT125" i="15" s="1"/>
  <c r="CU125" i="15" s="1"/>
  <c r="CS133" i="15"/>
  <c r="CT133" i="15" s="1"/>
  <c r="CU133" i="15" s="1"/>
  <c r="CS141" i="15"/>
  <c r="CT141" i="15" s="1"/>
  <c r="CU141" i="15" s="1"/>
  <c r="CS149" i="15"/>
  <c r="CT149" i="15" s="1"/>
  <c r="CU149" i="15" s="1"/>
  <c r="CS157" i="15"/>
  <c r="CT157" i="15" s="1"/>
  <c r="CU157" i="15" s="1"/>
  <c r="CS165" i="15"/>
  <c r="CT165" i="15" s="1"/>
  <c r="CU165" i="15" s="1"/>
  <c r="CS173" i="15"/>
  <c r="CT173" i="15" s="1"/>
  <c r="CU173" i="15" s="1"/>
  <c r="CS181" i="15"/>
  <c r="CT181" i="15" s="1"/>
  <c r="CU181" i="15" s="1"/>
  <c r="CS189" i="15"/>
  <c r="CT189" i="15" s="1"/>
  <c r="CU189" i="15" s="1"/>
  <c r="CS197" i="15"/>
  <c r="CT197" i="15" s="1"/>
  <c r="CU197" i="15" s="1"/>
  <c r="CS205" i="15"/>
  <c r="CT205" i="15" s="1"/>
  <c r="CU205" i="15" s="1"/>
  <c r="CS213" i="15"/>
  <c r="CT213" i="15" s="1"/>
  <c r="CU213" i="15" s="1"/>
  <c r="CS221" i="15"/>
  <c r="CT221" i="15" s="1"/>
  <c r="CU221" i="15" s="1"/>
  <c r="CS9" i="15"/>
  <c r="CT9" i="15" s="1"/>
  <c r="CU9" i="15" s="1"/>
  <c r="CS25" i="15"/>
  <c r="CT25" i="15" s="1"/>
  <c r="CU25" i="15" s="1"/>
  <c r="CS41" i="15"/>
  <c r="CT41" i="15" s="1"/>
  <c r="CU41" i="15" s="1"/>
  <c r="CS56" i="15"/>
  <c r="CT56" i="15" s="1"/>
  <c r="CU56" i="15" s="1"/>
  <c r="CS64" i="15"/>
  <c r="CT64" i="15" s="1"/>
  <c r="CU64" i="15" s="1"/>
  <c r="CS72" i="15"/>
  <c r="CT72" i="15" s="1"/>
  <c r="CU72" i="15" s="1"/>
  <c r="CS80" i="15"/>
  <c r="CT80" i="15" s="1"/>
  <c r="CU80" i="15" s="1"/>
  <c r="CS88" i="15"/>
  <c r="CT88" i="15" s="1"/>
  <c r="CU88" i="15" s="1"/>
  <c r="CS96" i="15"/>
  <c r="CT96" i="15" s="1"/>
  <c r="CU96" i="15" s="1"/>
  <c r="CS104" i="15"/>
  <c r="CT104" i="15" s="1"/>
  <c r="CU104" i="15" s="1"/>
  <c r="CS112" i="15"/>
  <c r="CT112" i="15" s="1"/>
  <c r="CU112" i="15" s="1"/>
  <c r="CS120" i="15"/>
  <c r="CT120" i="15" s="1"/>
  <c r="CU120" i="15" s="1"/>
  <c r="CS128" i="15"/>
  <c r="CT128" i="15" s="1"/>
  <c r="CU128" i="15" s="1"/>
  <c r="CS136" i="15"/>
  <c r="CT136" i="15" s="1"/>
  <c r="CU136" i="15" s="1"/>
  <c r="CS144" i="15"/>
  <c r="CT144" i="15" s="1"/>
  <c r="CU144" i="15" s="1"/>
  <c r="CS152" i="15"/>
  <c r="CT152" i="15" s="1"/>
  <c r="CU152" i="15" s="1"/>
  <c r="CS160" i="15"/>
  <c r="CT160" i="15" s="1"/>
  <c r="CU160" i="15" s="1"/>
  <c r="CS168" i="15"/>
  <c r="CT168" i="15" s="1"/>
  <c r="CU168" i="15" s="1"/>
  <c r="CS176" i="15"/>
  <c r="CT176" i="15" s="1"/>
  <c r="CU176" i="15" s="1"/>
  <c r="CS184" i="15"/>
  <c r="CT184" i="15" s="1"/>
  <c r="CU184" i="15" s="1"/>
  <c r="CS192" i="15"/>
  <c r="CT192" i="15" s="1"/>
  <c r="CU192" i="15" s="1"/>
  <c r="CS200" i="15"/>
  <c r="CT200" i="15" s="1"/>
  <c r="CU200" i="15" s="1"/>
  <c r="CS208" i="15"/>
  <c r="CT208" i="15" s="1"/>
  <c r="CU208" i="15" s="1"/>
  <c r="CS216" i="15"/>
  <c r="CT216" i="15" s="1"/>
  <c r="CU216" i="15" s="1"/>
  <c r="CS224" i="15"/>
  <c r="CT224" i="15" s="1"/>
  <c r="CU224" i="15" s="1"/>
  <c r="CS13" i="15"/>
  <c r="CT13" i="15" s="1"/>
  <c r="CU13" i="15" s="1"/>
  <c r="CS29" i="15"/>
  <c r="CT29" i="15" s="1"/>
  <c r="CU29" i="15" s="1"/>
  <c r="CS45" i="15"/>
  <c r="CT45" i="15" s="1"/>
  <c r="CU45" i="15" s="1"/>
  <c r="CS57" i="15"/>
  <c r="CT57" i="15" s="1"/>
  <c r="CU57" i="15" s="1"/>
  <c r="CS65" i="15"/>
  <c r="CT65" i="15" s="1"/>
  <c r="CU65" i="15" s="1"/>
  <c r="CS73" i="15"/>
  <c r="CT73" i="15" s="1"/>
  <c r="CU73" i="15" s="1"/>
  <c r="CS81" i="15"/>
  <c r="CT81" i="15" s="1"/>
  <c r="CU81" i="15" s="1"/>
  <c r="CS89" i="15"/>
  <c r="CT89" i="15" s="1"/>
  <c r="CU89" i="15" s="1"/>
  <c r="CS97" i="15"/>
  <c r="CT97" i="15" s="1"/>
  <c r="CU97" i="15" s="1"/>
  <c r="CS105" i="15"/>
  <c r="CT105" i="15" s="1"/>
  <c r="CU105" i="15" s="1"/>
  <c r="CS113" i="15"/>
  <c r="CT113" i="15" s="1"/>
  <c r="CU113" i="15" s="1"/>
  <c r="CS121" i="15"/>
  <c r="CT121" i="15" s="1"/>
  <c r="CU121" i="15" s="1"/>
  <c r="CS129" i="15"/>
  <c r="CT129" i="15" s="1"/>
  <c r="CU129" i="15" s="1"/>
  <c r="CS137" i="15"/>
  <c r="CT137" i="15" s="1"/>
  <c r="CU137" i="15" s="1"/>
  <c r="CS145" i="15"/>
  <c r="CT145" i="15" s="1"/>
  <c r="CU145" i="15" s="1"/>
  <c r="CS153" i="15"/>
  <c r="CT153" i="15" s="1"/>
  <c r="CU153" i="15" s="1"/>
  <c r="CS161" i="15"/>
  <c r="CT161" i="15" s="1"/>
  <c r="CU161" i="15" s="1"/>
  <c r="CS169" i="15"/>
  <c r="CT169" i="15" s="1"/>
  <c r="CU169" i="15" s="1"/>
  <c r="CS177" i="15"/>
  <c r="CT177" i="15" s="1"/>
  <c r="CU177" i="15" s="1"/>
  <c r="CS185" i="15"/>
  <c r="CT185" i="15" s="1"/>
  <c r="CU185" i="15" s="1"/>
  <c r="CS193" i="15"/>
  <c r="CT193" i="15" s="1"/>
  <c r="CU193" i="15" s="1"/>
  <c r="CS201" i="15"/>
  <c r="CT201" i="15" s="1"/>
  <c r="CU201" i="15" s="1"/>
  <c r="CS209" i="15"/>
  <c r="CT209" i="15" s="1"/>
  <c r="CU209" i="15" s="1"/>
  <c r="CS217" i="15"/>
  <c r="CT217" i="15" s="1"/>
  <c r="CU217" i="15" s="1"/>
  <c r="CS225" i="15"/>
  <c r="CT225" i="15" s="1"/>
  <c r="CU225" i="15" s="1"/>
  <c r="CS49" i="15"/>
  <c r="CT49" i="15" s="1"/>
  <c r="CU49" i="15" s="1"/>
  <c r="CS84" i="15"/>
  <c r="CT84" i="15" s="1"/>
  <c r="CU84" i="15" s="1"/>
  <c r="CS116" i="15"/>
  <c r="CT116" i="15" s="1"/>
  <c r="CU116" i="15" s="1"/>
  <c r="CS148" i="15"/>
  <c r="CT148" i="15" s="1"/>
  <c r="CU148" i="15" s="1"/>
  <c r="CS180" i="15"/>
  <c r="CT180" i="15" s="1"/>
  <c r="CU180" i="15" s="1"/>
  <c r="CS212" i="15"/>
  <c r="CT212" i="15" s="1"/>
  <c r="CU212" i="15" s="1"/>
  <c r="CS60" i="15"/>
  <c r="CT60" i="15" s="1"/>
  <c r="CU60" i="15" s="1"/>
  <c r="CS92" i="15"/>
  <c r="CT92" i="15" s="1"/>
  <c r="CU92" i="15" s="1"/>
  <c r="CS124" i="15"/>
  <c r="CT124" i="15" s="1"/>
  <c r="CU124" i="15" s="1"/>
  <c r="CS156" i="15"/>
  <c r="CT156" i="15" s="1"/>
  <c r="CU156" i="15" s="1"/>
  <c r="CS188" i="15"/>
  <c r="CT188" i="15" s="1"/>
  <c r="CU188" i="15" s="1"/>
  <c r="CS220" i="15"/>
  <c r="CT220" i="15" s="1"/>
  <c r="CU220" i="15" s="1"/>
  <c r="CS17" i="15"/>
  <c r="CT17" i="15" s="1"/>
  <c r="CU17" i="15" s="1"/>
  <c r="CS68" i="15"/>
  <c r="CT68" i="15" s="1"/>
  <c r="CU68" i="15" s="1"/>
  <c r="CS100" i="15"/>
  <c r="CT100" i="15" s="1"/>
  <c r="CU100" i="15" s="1"/>
  <c r="CS132" i="15"/>
  <c r="CT132" i="15" s="1"/>
  <c r="CU132" i="15" s="1"/>
  <c r="CS164" i="15"/>
  <c r="CT164" i="15" s="1"/>
  <c r="CU164" i="15" s="1"/>
  <c r="CS196" i="15"/>
  <c r="CT196" i="15" s="1"/>
  <c r="CU196" i="15" s="1"/>
  <c r="CS2" i="15"/>
  <c r="CT2" i="15" s="1"/>
  <c r="CS108" i="15"/>
  <c r="CT108" i="15" s="1"/>
  <c r="CU108" i="15" s="1"/>
  <c r="CS204" i="15"/>
  <c r="CT204" i="15" s="1"/>
  <c r="CU204" i="15" s="1"/>
  <c r="CS140" i="15"/>
  <c r="CT140" i="15" s="1"/>
  <c r="CU140" i="15" s="1"/>
  <c r="CS33" i="15"/>
  <c r="CT33" i="15" s="1"/>
  <c r="CU33" i="15" s="1"/>
  <c r="CS172" i="15"/>
  <c r="CT172" i="15" s="1"/>
  <c r="CU172" i="15" s="1"/>
  <c r="CS76" i="15"/>
  <c r="CT76" i="15" s="1"/>
  <c r="CU76" i="15" s="1"/>
  <c r="CJ108" i="15"/>
  <c r="CK108" i="15" s="1"/>
  <c r="CL108" i="15" s="1"/>
  <c r="CJ112" i="15"/>
  <c r="CK112" i="15" s="1"/>
  <c r="CL112" i="15" s="1"/>
  <c r="CY5" i="15"/>
  <c r="CZ5" i="15" s="1"/>
  <c r="DA5" i="15" s="1"/>
  <c r="CY9" i="15"/>
  <c r="CZ9" i="15" s="1"/>
  <c r="DA9" i="15" s="1"/>
  <c r="CY13" i="15"/>
  <c r="CZ13" i="15" s="1"/>
  <c r="DA13" i="15" s="1"/>
  <c r="CY17" i="15"/>
  <c r="CZ17" i="15" s="1"/>
  <c r="DA17" i="15" s="1"/>
  <c r="CY21" i="15"/>
  <c r="CZ21" i="15" s="1"/>
  <c r="DA21" i="15" s="1"/>
  <c r="CY25" i="15"/>
  <c r="CZ25" i="15" s="1"/>
  <c r="DA25" i="15" s="1"/>
  <c r="CY29" i="15"/>
  <c r="CZ29" i="15" s="1"/>
  <c r="DA29" i="15" s="1"/>
  <c r="CY33" i="15"/>
  <c r="CZ33" i="15" s="1"/>
  <c r="DA33" i="15" s="1"/>
  <c r="CY37" i="15"/>
  <c r="CZ37" i="15" s="1"/>
  <c r="DA37" i="15" s="1"/>
  <c r="CY41" i="15"/>
  <c r="CZ41" i="15" s="1"/>
  <c r="DA41" i="15" s="1"/>
  <c r="CY45" i="15"/>
  <c r="CZ45" i="15" s="1"/>
  <c r="DA45" i="15" s="1"/>
  <c r="CY49" i="15"/>
  <c r="CZ49" i="15" s="1"/>
  <c r="DA49" i="15" s="1"/>
  <c r="CY53" i="15"/>
  <c r="CZ53" i="15" s="1"/>
  <c r="DA53" i="15" s="1"/>
  <c r="CY57" i="15"/>
  <c r="CZ57" i="15" s="1"/>
  <c r="DA57" i="15" s="1"/>
  <c r="CY61" i="15"/>
  <c r="CZ61" i="15" s="1"/>
  <c r="DA61" i="15" s="1"/>
  <c r="CY65" i="15"/>
  <c r="CZ65" i="15" s="1"/>
  <c r="DA65" i="15" s="1"/>
  <c r="CY69" i="15"/>
  <c r="CZ69" i="15" s="1"/>
  <c r="DA69" i="15" s="1"/>
  <c r="CY73" i="15"/>
  <c r="CZ73" i="15" s="1"/>
  <c r="DA73" i="15" s="1"/>
  <c r="CY77" i="15"/>
  <c r="CZ77" i="15" s="1"/>
  <c r="DA77" i="15" s="1"/>
  <c r="CY81" i="15"/>
  <c r="CZ81" i="15" s="1"/>
  <c r="DA81" i="15" s="1"/>
  <c r="CY85" i="15"/>
  <c r="CZ85" i="15" s="1"/>
  <c r="DA85" i="15" s="1"/>
  <c r="CY89" i="15"/>
  <c r="CZ89" i="15" s="1"/>
  <c r="DA89" i="15" s="1"/>
  <c r="CY93" i="15"/>
  <c r="CZ93" i="15" s="1"/>
  <c r="DA93" i="15" s="1"/>
  <c r="CY97" i="15"/>
  <c r="CZ97" i="15" s="1"/>
  <c r="DA97" i="15" s="1"/>
  <c r="CY101" i="15"/>
  <c r="CZ101" i="15" s="1"/>
  <c r="DA101" i="15" s="1"/>
  <c r="CY105" i="15"/>
  <c r="CZ105" i="15" s="1"/>
  <c r="DA105" i="15" s="1"/>
  <c r="CY109" i="15"/>
  <c r="CZ109" i="15" s="1"/>
  <c r="DA109" i="15" s="1"/>
  <c r="CY113" i="15"/>
  <c r="CZ113" i="15" s="1"/>
  <c r="DA113" i="15" s="1"/>
  <c r="CY117" i="15"/>
  <c r="CZ117" i="15" s="1"/>
  <c r="DA117" i="15" s="1"/>
  <c r="CY121" i="15"/>
  <c r="CZ121" i="15" s="1"/>
  <c r="DA121" i="15" s="1"/>
  <c r="CY125" i="15"/>
  <c r="CZ125" i="15" s="1"/>
  <c r="DA125" i="15" s="1"/>
  <c r="CY129" i="15"/>
  <c r="CZ129" i="15" s="1"/>
  <c r="DA129" i="15" s="1"/>
  <c r="CY133" i="15"/>
  <c r="CZ133" i="15" s="1"/>
  <c r="DA133" i="15" s="1"/>
  <c r="CY137" i="15"/>
  <c r="CZ137" i="15" s="1"/>
  <c r="DA137" i="15" s="1"/>
  <c r="CY141" i="15"/>
  <c r="CZ141" i="15" s="1"/>
  <c r="DA141" i="15" s="1"/>
  <c r="CY145" i="15"/>
  <c r="CZ145" i="15" s="1"/>
  <c r="DA145" i="15" s="1"/>
  <c r="CY149" i="15"/>
  <c r="CZ149" i="15" s="1"/>
  <c r="DA149" i="15" s="1"/>
  <c r="CY153" i="15"/>
  <c r="CZ153" i="15" s="1"/>
  <c r="DA153" i="15" s="1"/>
  <c r="CY157" i="15"/>
  <c r="CZ157" i="15" s="1"/>
  <c r="DA157" i="15" s="1"/>
  <c r="CY161" i="15"/>
  <c r="CZ161" i="15" s="1"/>
  <c r="DA161" i="15" s="1"/>
  <c r="CY165" i="15"/>
  <c r="CZ165" i="15" s="1"/>
  <c r="DA165" i="15" s="1"/>
  <c r="CY169" i="15"/>
  <c r="CZ169" i="15" s="1"/>
  <c r="DA169" i="15" s="1"/>
  <c r="CY173" i="15"/>
  <c r="CZ173" i="15" s="1"/>
  <c r="DA173" i="15" s="1"/>
  <c r="CY177" i="15"/>
  <c r="CZ177" i="15" s="1"/>
  <c r="DA177" i="15" s="1"/>
  <c r="CY181" i="15"/>
  <c r="CZ181" i="15" s="1"/>
  <c r="DA181" i="15" s="1"/>
  <c r="CY185" i="15"/>
  <c r="CZ185" i="15" s="1"/>
  <c r="DA185" i="15" s="1"/>
  <c r="CY189" i="15"/>
  <c r="CZ189" i="15" s="1"/>
  <c r="DA189" i="15" s="1"/>
  <c r="CY193" i="15"/>
  <c r="CZ193" i="15" s="1"/>
  <c r="DA193" i="15" s="1"/>
  <c r="CY197" i="15"/>
  <c r="CZ197" i="15" s="1"/>
  <c r="DA197" i="15" s="1"/>
  <c r="CY201" i="15"/>
  <c r="CZ201" i="15" s="1"/>
  <c r="DA201" i="15" s="1"/>
  <c r="CY205" i="15"/>
  <c r="CZ205" i="15" s="1"/>
  <c r="DA205" i="15" s="1"/>
  <c r="CY209" i="15"/>
  <c r="CZ209" i="15" s="1"/>
  <c r="DA209" i="15" s="1"/>
  <c r="CY213" i="15"/>
  <c r="CZ213" i="15" s="1"/>
  <c r="DA213" i="15" s="1"/>
  <c r="CY217" i="15"/>
  <c r="CZ217" i="15" s="1"/>
  <c r="DA217" i="15" s="1"/>
  <c r="CY221" i="15"/>
  <c r="CZ221" i="15" s="1"/>
  <c r="DA221" i="15" s="1"/>
  <c r="CY225" i="15"/>
  <c r="CZ225" i="15" s="1"/>
  <c r="DA225" i="15" s="1"/>
  <c r="CY6" i="15"/>
  <c r="CZ6" i="15" s="1"/>
  <c r="DA6" i="15" s="1"/>
  <c r="CY10" i="15"/>
  <c r="CZ10" i="15" s="1"/>
  <c r="DA10" i="15" s="1"/>
  <c r="CY14" i="15"/>
  <c r="CZ14" i="15" s="1"/>
  <c r="DA14" i="15" s="1"/>
  <c r="CY18" i="15"/>
  <c r="CZ18" i="15" s="1"/>
  <c r="DA18" i="15" s="1"/>
  <c r="CY22" i="15"/>
  <c r="CZ22" i="15" s="1"/>
  <c r="DA22" i="15" s="1"/>
  <c r="CY26" i="15"/>
  <c r="CZ26" i="15" s="1"/>
  <c r="DA26" i="15" s="1"/>
  <c r="CY30" i="15"/>
  <c r="CZ30" i="15" s="1"/>
  <c r="DA30" i="15" s="1"/>
  <c r="CY34" i="15"/>
  <c r="CZ34" i="15" s="1"/>
  <c r="DA34" i="15" s="1"/>
  <c r="CY38" i="15"/>
  <c r="CZ38" i="15" s="1"/>
  <c r="DA38" i="15" s="1"/>
  <c r="CY42" i="15"/>
  <c r="CZ42" i="15" s="1"/>
  <c r="DA42" i="15" s="1"/>
  <c r="CY46" i="15"/>
  <c r="CZ46" i="15" s="1"/>
  <c r="DA46" i="15" s="1"/>
  <c r="CY50" i="15"/>
  <c r="CZ50" i="15" s="1"/>
  <c r="DA50" i="15" s="1"/>
  <c r="CY54" i="15"/>
  <c r="CZ54" i="15" s="1"/>
  <c r="DA54" i="15" s="1"/>
  <c r="CY58" i="15"/>
  <c r="CZ58" i="15" s="1"/>
  <c r="DA58" i="15" s="1"/>
  <c r="CY62" i="15"/>
  <c r="CZ62" i="15" s="1"/>
  <c r="DA62" i="15" s="1"/>
  <c r="CY66" i="15"/>
  <c r="CZ66" i="15" s="1"/>
  <c r="DA66" i="15" s="1"/>
  <c r="CY70" i="15"/>
  <c r="CZ70" i="15" s="1"/>
  <c r="DA70" i="15" s="1"/>
  <c r="CY74" i="15"/>
  <c r="CZ74" i="15" s="1"/>
  <c r="DA74" i="15" s="1"/>
  <c r="CY78" i="15"/>
  <c r="CZ78" i="15" s="1"/>
  <c r="DA78" i="15" s="1"/>
  <c r="CY82" i="15"/>
  <c r="CZ82" i="15" s="1"/>
  <c r="DA82" i="15" s="1"/>
  <c r="CY86" i="15"/>
  <c r="CZ86" i="15" s="1"/>
  <c r="DA86" i="15" s="1"/>
  <c r="CY90" i="15"/>
  <c r="CZ90" i="15" s="1"/>
  <c r="DA90" i="15" s="1"/>
  <c r="CY94" i="15"/>
  <c r="CZ94" i="15" s="1"/>
  <c r="DA94" i="15" s="1"/>
  <c r="CY98" i="15"/>
  <c r="CZ98" i="15" s="1"/>
  <c r="DA98" i="15" s="1"/>
  <c r="CY102" i="15"/>
  <c r="CZ102" i="15" s="1"/>
  <c r="DA102" i="15" s="1"/>
  <c r="CY106" i="15"/>
  <c r="CZ106" i="15" s="1"/>
  <c r="DA106" i="15" s="1"/>
  <c r="CY110" i="15"/>
  <c r="CZ110" i="15" s="1"/>
  <c r="DA110" i="15" s="1"/>
  <c r="CY114" i="15"/>
  <c r="CZ114" i="15" s="1"/>
  <c r="DA114" i="15" s="1"/>
  <c r="CY118" i="15"/>
  <c r="CZ118" i="15" s="1"/>
  <c r="DA118" i="15" s="1"/>
  <c r="CY122" i="15"/>
  <c r="CZ122" i="15" s="1"/>
  <c r="DA122" i="15" s="1"/>
  <c r="CY126" i="15"/>
  <c r="CZ126" i="15" s="1"/>
  <c r="DA126" i="15" s="1"/>
  <c r="CY130" i="15"/>
  <c r="CZ130" i="15" s="1"/>
  <c r="DA130" i="15" s="1"/>
  <c r="CY134" i="15"/>
  <c r="CZ134" i="15" s="1"/>
  <c r="DA134" i="15" s="1"/>
  <c r="CY138" i="15"/>
  <c r="CZ138" i="15" s="1"/>
  <c r="DA138" i="15" s="1"/>
  <c r="CY142" i="15"/>
  <c r="CZ142" i="15" s="1"/>
  <c r="DA142" i="15" s="1"/>
  <c r="CY146" i="15"/>
  <c r="CZ146" i="15" s="1"/>
  <c r="DA146" i="15" s="1"/>
  <c r="CY150" i="15"/>
  <c r="CZ150" i="15" s="1"/>
  <c r="DA150" i="15" s="1"/>
  <c r="CY154" i="15"/>
  <c r="CZ154" i="15" s="1"/>
  <c r="DA154" i="15" s="1"/>
  <c r="CY158" i="15"/>
  <c r="CZ158" i="15" s="1"/>
  <c r="DA158" i="15" s="1"/>
  <c r="CY162" i="15"/>
  <c r="CZ162" i="15" s="1"/>
  <c r="DA162" i="15" s="1"/>
  <c r="CY166" i="15"/>
  <c r="CZ166" i="15" s="1"/>
  <c r="DA166" i="15" s="1"/>
  <c r="CY170" i="15"/>
  <c r="CZ170" i="15" s="1"/>
  <c r="DA170" i="15" s="1"/>
  <c r="CY174" i="15"/>
  <c r="CZ174" i="15" s="1"/>
  <c r="DA174" i="15" s="1"/>
  <c r="CY178" i="15"/>
  <c r="CZ178" i="15" s="1"/>
  <c r="DA178" i="15" s="1"/>
  <c r="CY182" i="15"/>
  <c r="CZ182" i="15" s="1"/>
  <c r="DA182" i="15" s="1"/>
  <c r="CY186" i="15"/>
  <c r="CZ186" i="15" s="1"/>
  <c r="DA186" i="15" s="1"/>
  <c r="CY190" i="15"/>
  <c r="CZ190" i="15" s="1"/>
  <c r="DA190" i="15" s="1"/>
  <c r="CY194" i="15"/>
  <c r="CZ194" i="15" s="1"/>
  <c r="DA194" i="15" s="1"/>
  <c r="CY198" i="15"/>
  <c r="CZ198" i="15" s="1"/>
  <c r="DA198" i="15" s="1"/>
  <c r="CY202" i="15"/>
  <c r="CZ202" i="15" s="1"/>
  <c r="DA202" i="15" s="1"/>
  <c r="CY206" i="15"/>
  <c r="CZ206" i="15" s="1"/>
  <c r="DA206" i="15" s="1"/>
  <c r="CY210" i="15"/>
  <c r="CZ210" i="15" s="1"/>
  <c r="DA210" i="15" s="1"/>
  <c r="CY214" i="15"/>
  <c r="CZ214" i="15" s="1"/>
  <c r="DA214" i="15" s="1"/>
  <c r="CY218" i="15"/>
  <c r="CZ218" i="15" s="1"/>
  <c r="DA218" i="15" s="1"/>
  <c r="CY222" i="15"/>
  <c r="CZ222" i="15" s="1"/>
  <c r="DA222" i="15" s="1"/>
  <c r="CY226" i="15"/>
  <c r="CZ226" i="15" s="1"/>
  <c r="DA226" i="15" s="1"/>
  <c r="CY3" i="15"/>
  <c r="CZ3" i="15" s="1"/>
  <c r="DA3" i="15" s="1"/>
  <c r="CY7" i="15"/>
  <c r="CZ7" i="15" s="1"/>
  <c r="DA7" i="15" s="1"/>
  <c r="CY11" i="15"/>
  <c r="CZ11" i="15" s="1"/>
  <c r="DA11" i="15" s="1"/>
  <c r="CY15" i="15"/>
  <c r="CZ15" i="15" s="1"/>
  <c r="DA15" i="15" s="1"/>
  <c r="CY19" i="15"/>
  <c r="CZ19" i="15" s="1"/>
  <c r="DA19" i="15" s="1"/>
  <c r="CY23" i="15"/>
  <c r="CZ23" i="15" s="1"/>
  <c r="DA23" i="15" s="1"/>
  <c r="CY27" i="15"/>
  <c r="CZ27" i="15" s="1"/>
  <c r="DA27" i="15" s="1"/>
  <c r="CY31" i="15"/>
  <c r="CZ31" i="15" s="1"/>
  <c r="DA31" i="15" s="1"/>
  <c r="CY35" i="15"/>
  <c r="CZ35" i="15" s="1"/>
  <c r="DA35" i="15" s="1"/>
  <c r="CY39" i="15"/>
  <c r="CZ39" i="15" s="1"/>
  <c r="DA39" i="15" s="1"/>
  <c r="CY43" i="15"/>
  <c r="CZ43" i="15" s="1"/>
  <c r="DA43" i="15" s="1"/>
  <c r="CY47" i="15"/>
  <c r="CZ47" i="15" s="1"/>
  <c r="DA47" i="15" s="1"/>
  <c r="CY51" i="15"/>
  <c r="CZ51" i="15" s="1"/>
  <c r="DA51" i="15" s="1"/>
  <c r="CY55" i="15"/>
  <c r="CZ55" i="15" s="1"/>
  <c r="DA55" i="15" s="1"/>
  <c r="CY59" i="15"/>
  <c r="CZ59" i="15" s="1"/>
  <c r="DA59" i="15" s="1"/>
  <c r="CY63" i="15"/>
  <c r="CZ63" i="15" s="1"/>
  <c r="DA63" i="15" s="1"/>
  <c r="CY67" i="15"/>
  <c r="CZ67" i="15" s="1"/>
  <c r="DA67" i="15" s="1"/>
  <c r="CY71" i="15"/>
  <c r="CZ71" i="15" s="1"/>
  <c r="DA71" i="15" s="1"/>
  <c r="CY75" i="15"/>
  <c r="CZ75" i="15" s="1"/>
  <c r="DA75" i="15" s="1"/>
  <c r="CY79" i="15"/>
  <c r="CZ79" i="15" s="1"/>
  <c r="DA79" i="15" s="1"/>
  <c r="CY83" i="15"/>
  <c r="CZ83" i="15" s="1"/>
  <c r="DA83" i="15" s="1"/>
  <c r="CY87" i="15"/>
  <c r="CZ87" i="15" s="1"/>
  <c r="DA87" i="15" s="1"/>
  <c r="CY91" i="15"/>
  <c r="CZ91" i="15" s="1"/>
  <c r="DA91" i="15" s="1"/>
  <c r="CY95" i="15"/>
  <c r="CZ95" i="15" s="1"/>
  <c r="DA95" i="15" s="1"/>
  <c r="CY99" i="15"/>
  <c r="CZ99" i="15" s="1"/>
  <c r="DA99" i="15" s="1"/>
  <c r="CY103" i="15"/>
  <c r="CZ103" i="15" s="1"/>
  <c r="DA103" i="15" s="1"/>
  <c r="CY107" i="15"/>
  <c r="CZ107" i="15" s="1"/>
  <c r="DA107" i="15" s="1"/>
  <c r="CY111" i="15"/>
  <c r="CZ111" i="15" s="1"/>
  <c r="DA111" i="15" s="1"/>
  <c r="CY115" i="15"/>
  <c r="CZ115" i="15" s="1"/>
  <c r="DA115" i="15" s="1"/>
  <c r="CY119" i="15"/>
  <c r="CZ119" i="15" s="1"/>
  <c r="DA119" i="15" s="1"/>
  <c r="CY123" i="15"/>
  <c r="CZ123" i="15" s="1"/>
  <c r="DA123" i="15" s="1"/>
  <c r="CY127" i="15"/>
  <c r="CZ127" i="15" s="1"/>
  <c r="DA127" i="15" s="1"/>
  <c r="CY131" i="15"/>
  <c r="CZ131" i="15" s="1"/>
  <c r="DA131" i="15" s="1"/>
  <c r="CY135" i="15"/>
  <c r="CZ135" i="15" s="1"/>
  <c r="DA135" i="15" s="1"/>
  <c r="CY139" i="15"/>
  <c r="CZ139" i="15" s="1"/>
  <c r="DA139" i="15" s="1"/>
  <c r="CY143" i="15"/>
  <c r="CZ143" i="15" s="1"/>
  <c r="DA143" i="15" s="1"/>
  <c r="CY147" i="15"/>
  <c r="CZ147" i="15" s="1"/>
  <c r="DA147" i="15" s="1"/>
  <c r="CY151" i="15"/>
  <c r="CZ151" i="15" s="1"/>
  <c r="DA151" i="15" s="1"/>
  <c r="CY155" i="15"/>
  <c r="CZ155" i="15" s="1"/>
  <c r="DA155" i="15" s="1"/>
  <c r="CY159" i="15"/>
  <c r="CZ159" i="15" s="1"/>
  <c r="DA159" i="15" s="1"/>
  <c r="CY163" i="15"/>
  <c r="CZ163" i="15" s="1"/>
  <c r="DA163" i="15" s="1"/>
  <c r="CY167" i="15"/>
  <c r="CZ167" i="15" s="1"/>
  <c r="DA167" i="15" s="1"/>
  <c r="CY171" i="15"/>
  <c r="CZ171" i="15" s="1"/>
  <c r="DA171" i="15" s="1"/>
  <c r="CY175" i="15"/>
  <c r="CZ175" i="15" s="1"/>
  <c r="DA175" i="15" s="1"/>
  <c r="CY179" i="15"/>
  <c r="CZ179" i="15" s="1"/>
  <c r="DA179" i="15" s="1"/>
  <c r="CY183" i="15"/>
  <c r="CZ183" i="15" s="1"/>
  <c r="DA183" i="15" s="1"/>
  <c r="CY187" i="15"/>
  <c r="CZ187" i="15" s="1"/>
  <c r="DA187" i="15" s="1"/>
  <c r="CY191" i="15"/>
  <c r="CZ191" i="15" s="1"/>
  <c r="DA191" i="15" s="1"/>
  <c r="CY195" i="15"/>
  <c r="CZ195" i="15" s="1"/>
  <c r="DA195" i="15" s="1"/>
  <c r="CY199" i="15"/>
  <c r="CZ199" i="15" s="1"/>
  <c r="DA199" i="15" s="1"/>
  <c r="CY203" i="15"/>
  <c r="CZ203" i="15" s="1"/>
  <c r="DA203" i="15" s="1"/>
  <c r="CY207" i="15"/>
  <c r="CZ207" i="15" s="1"/>
  <c r="DA207" i="15" s="1"/>
  <c r="CY211" i="15"/>
  <c r="CZ211" i="15" s="1"/>
  <c r="DA211" i="15" s="1"/>
  <c r="CY215" i="15"/>
  <c r="CZ215" i="15" s="1"/>
  <c r="DA215" i="15" s="1"/>
  <c r="CY219" i="15"/>
  <c r="CZ219" i="15" s="1"/>
  <c r="DA219" i="15" s="1"/>
  <c r="CY223" i="15"/>
  <c r="CZ223" i="15" s="1"/>
  <c r="DA223" i="15" s="1"/>
  <c r="CY227" i="15"/>
  <c r="CZ227" i="15" s="1"/>
  <c r="DA227" i="15" s="1"/>
  <c r="CY16" i="15"/>
  <c r="CZ16" i="15" s="1"/>
  <c r="DA16" i="15" s="1"/>
  <c r="CY32" i="15"/>
  <c r="CZ32" i="15" s="1"/>
  <c r="DA32" i="15" s="1"/>
  <c r="CY48" i="15"/>
  <c r="CZ48" i="15" s="1"/>
  <c r="DA48" i="15" s="1"/>
  <c r="CY64" i="15"/>
  <c r="CZ64" i="15" s="1"/>
  <c r="DA64" i="15" s="1"/>
  <c r="CY80" i="15"/>
  <c r="CZ80" i="15" s="1"/>
  <c r="DA80" i="15" s="1"/>
  <c r="CY96" i="15"/>
  <c r="CZ96" i="15" s="1"/>
  <c r="DA96" i="15" s="1"/>
  <c r="CY112" i="15"/>
  <c r="CZ112" i="15" s="1"/>
  <c r="DA112" i="15" s="1"/>
  <c r="CY128" i="15"/>
  <c r="CZ128" i="15" s="1"/>
  <c r="DA128" i="15" s="1"/>
  <c r="CY144" i="15"/>
  <c r="CZ144" i="15" s="1"/>
  <c r="DA144" i="15" s="1"/>
  <c r="CY160" i="15"/>
  <c r="CZ160" i="15" s="1"/>
  <c r="DA160" i="15" s="1"/>
  <c r="CY176" i="15"/>
  <c r="CZ176" i="15" s="1"/>
  <c r="DA176" i="15" s="1"/>
  <c r="CY192" i="15"/>
  <c r="CZ192" i="15" s="1"/>
  <c r="DA192" i="15" s="1"/>
  <c r="CY208" i="15"/>
  <c r="CZ208" i="15" s="1"/>
  <c r="DA208" i="15" s="1"/>
  <c r="CY224" i="15"/>
  <c r="CZ224" i="15" s="1"/>
  <c r="DA224" i="15" s="1"/>
  <c r="CY4" i="15"/>
  <c r="CZ4" i="15" s="1"/>
  <c r="DA4" i="15" s="1"/>
  <c r="CY20" i="15"/>
  <c r="CZ20" i="15" s="1"/>
  <c r="DA20" i="15" s="1"/>
  <c r="CY36" i="15"/>
  <c r="CZ36" i="15" s="1"/>
  <c r="DA36" i="15" s="1"/>
  <c r="CY52" i="15"/>
  <c r="CZ52" i="15" s="1"/>
  <c r="DA52" i="15" s="1"/>
  <c r="CY68" i="15"/>
  <c r="CZ68" i="15" s="1"/>
  <c r="DA68" i="15" s="1"/>
  <c r="CY84" i="15"/>
  <c r="CZ84" i="15" s="1"/>
  <c r="DA84" i="15" s="1"/>
  <c r="CY100" i="15"/>
  <c r="CZ100" i="15" s="1"/>
  <c r="DA100" i="15" s="1"/>
  <c r="CY116" i="15"/>
  <c r="CZ116" i="15" s="1"/>
  <c r="DA116" i="15" s="1"/>
  <c r="CY132" i="15"/>
  <c r="CZ132" i="15" s="1"/>
  <c r="DA132" i="15" s="1"/>
  <c r="CY148" i="15"/>
  <c r="CZ148" i="15" s="1"/>
  <c r="DA148" i="15" s="1"/>
  <c r="CY164" i="15"/>
  <c r="CZ164" i="15" s="1"/>
  <c r="DA164" i="15" s="1"/>
  <c r="CY180" i="15"/>
  <c r="CZ180" i="15" s="1"/>
  <c r="DA180" i="15" s="1"/>
  <c r="CY196" i="15"/>
  <c r="CZ196" i="15" s="1"/>
  <c r="DA196" i="15" s="1"/>
  <c r="CY212" i="15"/>
  <c r="CZ212" i="15" s="1"/>
  <c r="DA212" i="15" s="1"/>
  <c r="CY2" i="15"/>
  <c r="CZ2" i="15" s="1"/>
  <c r="CY8" i="15"/>
  <c r="CZ8" i="15" s="1"/>
  <c r="DA8" i="15" s="1"/>
  <c r="CY24" i="15"/>
  <c r="CZ24" i="15" s="1"/>
  <c r="DA24" i="15" s="1"/>
  <c r="CY40" i="15"/>
  <c r="CZ40" i="15" s="1"/>
  <c r="DA40" i="15" s="1"/>
  <c r="CY56" i="15"/>
  <c r="CZ56" i="15" s="1"/>
  <c r="DA56" i="15" s="1"/>
  <c r="CY72" i="15"/>
  <c r="CZ72" i="15" s="1"/>
  <c r="DA72" i="15" s="1"/>
  <c r="CY88" i="15"/>
  <c r="CZ88" i="15" s="1"/>
  <c r="DA88" i="15" s="1"/>
  <c r="CY104" i="15"/>
  <c r="CZ104" i="15" s="1"/>
  <c r="DA104" i="15" s="1"/>
  <c r="CY120" i="15"/>
  <c r="CZ120" i="15" s="1"/>
  <c r="DA120" i="15" s="1"/>
  <c r="CY136" i="15"/>
  <c r="CZ136" i="15" s="1"/>
  <c r="DA136" i="15" s="1"/>
  <c r="CY152" i="15"/>
  <c r="CZ152" i="15" s="1"/>
  <c r="DA152" i="15" s="1"/>
  <c r="CY168" i="15"/>
  <c r="CZ168" i="15" s="1"/>
  <c r="DA168" i="15" s="1"/>
  <c r="CY184" i="15"/>
  <c r="CZ184" i="15" s="1"/>
  <c r="DA184" i="15" s="1"/>
  <c r="CY200" i="15"/>
  <c r="CZ200" i="15" s="1"/>
  <c r="DA200" i="15" s="1"/>
  <c r="CY216" i="15"/>
  <c r="CZ216" i="15" s="1"/>
  <c r="DA216" i="15" s="1"/>
  <c r="CY60" i="15"/>
  <c r="CZ60" i="15" s="1"/>
  <c r="DA60" i="15" s="1"/>
  <c r="CY124" i="15"/>
  <c r="CZ124" i="15" s="1"/>
  <c r="DA124" i="15" s="1"/>
  <c r="CY188" i="15"/>
  <c r="CZ188" i="15" s="1"/>
  <c r="DA188" i="15" s="1"/>
  <c r="CY12" i="15"/>
  <c r="CZ12" i="15" s="1"/>
  <c r="DA12" i="15" s="1"/>
  <c r="CY76" i="15"/>
  <c r="CZ76" i="15" s="1"/>
  <c r="DA76" i="15" s="1"/>
  <c r="CY140" i="15"/>
  <c r="CZ140" i="15" s="1"/>
  <c r="DA140" i="15" s="1"/>
  <c r="CY204" i="15"/>
  <c r="CZ204" i="15" s="1"/>
  <c r="DA204" i="15" s="1"/>
  <c r="CY28" i="15"/>
  <c r="CZ28" i="15" s="1"/>
  <c r="DA28" i="15" s="1"/>
  <c r="CY92" i="15"/>
  <c r="CZ92" i="15" s="1"/>
  <c r="DA92" i="15" s="1"/>
  <c r="CY156" i="15"/>
  <c r="CZ156" i="15" s="1"/>
  <c r="DA156" i="15" s="1"/>
  <c r="CY220" i="15"/>
  <c r="CZ220" i="15" s="1"/>
  <c r="DA220" i="15" s="1"/>
  <c r="CY108" i="15"/>
  <c r="CZ108" i="15" s="1"/>
  <c r="DA108" i="15" s="1"/>
  <c r="CY172" i="15"/>
  <c r="CZ172" i="15" s="1"/>
  <c r="DA172" i="15" s="1"/>
  <c r="CY44" i="15"/>
  <c r="CZ44" i="15" s="1"/>
  <c r="DA44" i="15" s="1"/>
  <c r="CA5" i="15"/>
  <c r="CB5" i="15" s="1"/>
  <c r="CC5" i="15" s="1"/>
  <c r="CA9" i="15"/>
  <c r="CB9" i="15" s="1"/>
  <c r="CC9" i="15" s="1"/>
  <c r="CA13" i="15"/>
  <c r="CB13" i="15" s="1"/>
  <c r="CC13" i="15" s="1"/>
  <c r="CA17" i="15"/>
  <c r="CB17" i="15" s="1"/>
  <c r="CC17" i="15" s="1"/>
  <c r="CA21" i="15"/>
  <c r="CB21" i="15" s="1"/>
  <c r="CC21" i="15" s="1"/>
  <c r="CA25" i="15"/>
  <c r="CB25" i="15" s="1"/>
  <c r="CC25" i="15" s="1"/>
  <c r="CA29" i="15"/>
  <c r="CB29" i="15" s="1"/>
  <c r="CC29" i="15" s="1"/>
  <c r="CA33" i="15"/>
  <c r="CB33" i="15" s="1"/>
  <c r="CC33" i="15" s="1"/>
  <c r="CA37" i="15"/>
  <c r="CB37" i="15" s="1"/>
  <c r="CC37" i="15" s="1"/>
  <c r="CA41" i="15"/>
  <c r="CB41" i="15" s="1"/>
  <c r="CC41" i="15" s="1"/>
  <c r="CA45" i="15"/>
  <c r="CB45" i="15" s="1"/>
  <c r="CC45" i="15" s="1"/>
  <c r="CA49" i="15"/>
  <c r="CB49" i="15" s="1"/>
  <c r="CC49" i="15" s="1"/>
  <c r="CA53" i="15"/>
  <c r="CB53" i="15" s="1"/>
  <c r="CC53" i="15" s="1"/>
  <c r="CA57" i="15"/>
  <c r="CB57" i="15" s="1"/>
  <c r="CC57" i="15" s="1"/>
  <c r="CA61" i="15"/>
  <c r="CB61" i="15" s="1"/>
  <c r="CC61" i="15" s="1"/>
  <c r="CA65" i="15"/>
  <c r="CB65" i="15" s="1"/>
  <c r="CC65" i="15" s="1"/>
  <c r="CA69" i="15"/>
  <c r="CB69" i="15" s="1"/>
  <c r="CC69" i="15" s="1"/>
  <c r="CA73" i="15"/>
  <c r="CB73" i="15" s="1"/>
  <c r="CC73" i="15" s="1"/>
  <c r="CA77" i="15"/>
  <c r="CB77" i="15" s="1"/>
  <c r="CC77" i="15" s="1"/>
  <c r="CA81" i="15"/>
  <c r="CB81" i="15" s="1"/>
  <c r="CC81" i="15" s="1"/>
  <c r="CA85" i="15"/>
  <c r="CB85" i="15" s="1"/>
  <c r="CC85" i="15" s="1"/>
  <c r="CA89" i="15"/>
  <c r="CB89" i="15" s="1"/>
  <c r="CC89" i="15" s="1"/>
  <c r="CA93" i="15"/>
  <c r="CB93" i="15" s="1"/>
  <c r="CC93" i="15" s="1"/>
  <c r="CA97" i="15"/>
  <c r="CB97" i="15" s="1"/>
  <c r="CC97" i="15" s="1"/>
  <c r="CA101" i="15"/>
  <c r="CB101" i="15" s="1"/>
  <c r="CC101" i="15" s="1"/>
  <c r="CA105" i="15"/>
  <c r="CB105" i="15" s="1"/>
  <c r="CC105" i="15" s="1"/>
  <c r="CA109" i="15"/>
  <c r="CB109" i="15" s="1"/>
  <c r="CC109" i="15" s="1"/>
  <c r="CA113" i="15"/>
  <c r="CB113" i="15" s="1"/>
  <c r="CC113" i="15" s="1"/>
  <c r="CA117" i="15"/>
  <c r="CB117" i="15" s="1"/>
  <c r="CC117" i="15" s="1"/>
  <c r="CA121" i="15"/>
  <c r="CB121" i="15" s="1"/>
  <c r="CC121" i="15" s="1"/>
  <c r="CA125" i="15"/>
  <c r="CB125" i="15" s="1"/>
  <c r="CC125" i="15" s="1"/>
  <c r="CA129" i="15"/>
  <c r="CB129" i="15" s="1"/>
  <c r="CC129" i="15" s="1"/>
  <c r="CA133" i="15"/>
  <c r="CB133" i="15" s="1"/>
  <c r="CC133" i="15" s="1"/>
  <c r="CA137" i="15"/>
  <c r="CB137" i="15" s="1"/>
  <c r="CC137" i="15" s="1"/>
  <c r="CA141" i="15"/>
  <c r="CB141" i="15" s="1"/>
  <c r="CC141" i="15" s="1"/>
  <c r="CA145" i="15"/>
  <c r="CB145" i="15" s="1"/>
  <c r="CC145" i="15" s="1"/>
  <c r="CA149" i="15"/>
  <c r="CB149" i="15" s="1"/>
  <c r="CC149" i="15" s="1"/>
  <c r="CA153" i="15"/>
  <c r="CB153" i="15" s="1"/>
  <c r="CC153" i="15" s="1"/>
  <c r="CA157" i="15"/>
  <c r="CB157" i="15" s="1"/>
  <c r="CC157" i="15" s="1"/>
  <c r="CA161" i="15"/>
  <c r="CB161" i="15" s="1"/>
  <c r="CC161" i="15" s="1"/>
  <c r="CA165" i="15"/>
  <c r="CB165" i="15" s="1"/>
  <c r="CC165" i="15" s="1"/>
  <c r="CA169" i="15"/>
  <c r="CB169" i="15" s="1"/>
  <c r="CC169" i="15" s="1"/>
  <c r="CA173" i="15"/>
  <c r="CB173" i="15" s="1"/>
  <c r="CC173" i="15" s="1"/>
  <c r="CA177" i="15"/>
  <c r="CB177" i="15" s="1"/>
  <c r="CC177" i="15" s="1"/>
  <c r="CA181" i="15"/>
  <c r="CB181" i="15" s="1"/>
  <c r="CC181" i="15" s="1"/>
  <c r="CA185" i="15"/>
  <c r="CB185" i="15" s="1"/>
  <c r="CC185" i="15" s="1"/>
  <c r="CA189" i="15"/>
  <c r="CB189" i="15" s="1"/>
  <c r="CC189" i="15" s="1"/>
  <c r="CA193" i="15"/>
  <c r="CB193" i="15" s="1"/>
  <c r="CC193" i="15" s="1"/>
  <c r="CA197" i="15"/>
  <c r="CB197" i="15" s="1"/>
  <c r="CC197" i="15" s="1"/>
  <c r="CA201" i="15"/>
  <c r="CB201" i="15" s="1"/>
  <c r="CC201" i="15" s="1"/>
  <c r="CA205" i="15"/>
  <c r="CB205" i="15" s="1"/>
  <c r="CC205" i="15" s="1"/>
  <c r="CA209" i="15"/>
  <c r="CB209" i="15" s="1"/>
  <c r="CC209" i="15" s="1"/>
  <c r="CA213" i="15"/>
  <c r="CB213" i="15" s="1"/>
  <c r="CC213" i="15" s="1"/>
  <c r="CA217" i="15"/>
  <c r="CB217" i="15" s="1"/>
  <c r="CC217" i="15" s="1"/>
  <c r="CA221" i="15"/>
  <c r="CB221" i="15" s="1"/>
  <c r="CC221" i="15" s="1"/>
  <c r="CA225" i="15"/>
  <c r="CB225" i="15" s="1"/>
  <c r="CC225" i="15" s="1"/>
  <c r="CA6" i="15"/>
  <c r="CB6" i="15" s="1"/>
  <c r="CC6" i="15" s="1"/>
  <c r="CA10" i="15"/>
  <c r="CB10" i="15" s="1"/>
  <c r="CC10" i="15" s="1"/>
  <c r="CA14" i="15"/>
  <c r="CB14" i="15" s="1"/>
  <c r="CC14" i="15" s="1"/>
  <c r="CA18" i="15"/>
  <c r="CB18" i="15" s="1"/>
  <c r="CC18" i="15" s="1"/>
  <c r="CA22" i="15"/>
  <c r="CB22" i="15" s="1"/>
  <c r="CC22" i="15" s="1"/>
  <c r="CA26" i="15"/>
  <c r="CB26" i="15" s="1"/>
  <c r="CC26" i="15" s="1"/>
  <c r="CA30" i="15"/>
  <c r="CB30" i="15" s="1"/>
  <c r="CC30" i="15" s="1"/>
  <c r="CA34" i="15"/>
  <c r="CB34" i="15" s="1"/>
  <c r="CC34" i="15" s="1"/>
  <c r="CA38" i="15"/>
  <c r="CB38" i="15" s="1"/>
  <c r="CC38" i="15" s="1"/>
  <c r="CA42" i="15"/>
  <c r="CB42" i="15" s="1"/>
  <c r="CC42" i="15" s="1"/>
  <c r="CA46" i="15"/>
  <c r="CB46" i="15" s="1"/>
  <c r="CC46" i="15" s="1"/>
  <c r="CA50" i="15"/>
  <c r="CB50" i="15" s="1"/>
  <c r="CC50" i="15" s="1"/>
  <c r="CA54" i="15"/>
  <c r="CB54" i="15" s="1"/>
  <c r="CC54" i="15" s="1"/>
  <c r="CA58" i="15"/>
  <c r="CB58" i="15" s="1"/>
  <c r="CC58" i="15" s="1"/>
  <c r="CA62" i="15"/>
  <c r="CB62" i="15" s="1"/>
  <c r="CC62" i="15" s="1"/>
  <c r="CA66" i="15"/>
  <c r="CB66" i="15" s="1"/>
  <c r="CC66" i="15" s="1"/>
  <c r="CA70" i="15"/>
  <c r="CB70" i="15" s="1"/>
  <c r="CC70" i="15" s="1"/>
  <c r="CA74" i="15"/>
  <c r="CB74" i="15" s="1"/>
  <c r="CC74" i="15" s="1"/>
  <c r="CA78" i="15"/>
  <c r="CB78" i="15" s="1"/>
  <c r="CC78" i="15" s="1"/>
  <c r="CA82" i="15"/>
  <c r="CB82" i="15" s="1"/>
  <c r="CC82" i="15" s="1"/>
  <c r="CA86" i="15"/>
  <c r="CB86" i="15" s="1"/>
  <c r="CC86" i="15" s="1"/>
  <c r="CA90" i="15"/>
  <c r="CB90" i="15" s="1"/>
  <c r="CC90" i="15" s="1"/>
  <c r="CA94" i="15"/>
  <c r="CB94" i="15" s="1"/>
  <c r="CC94" i="15" s="1"/>
  <c r="CA98" i="15"/>
  <c r="CB98" i="15" s="1"/>
  <c r="CC98" i="15" s="1"/>
  <c r="CA102" i="15"/>
  <c r="CB102" i="15" s="1"/>
  <c r="CC102" i="15" s="1"/>
  <c r="CA106" i="15"/>
  <c r="CB106" i="15" s="1"/>
  <c r="CC106" i="15" s="1"/>
  <c r="CA110" i="15"/>
  <c r="CB110" i="15" s="1"/>
  <c r="CC110" i="15" s="1"/>
  <c r="CA114" i="15"/>
  <c r="CB114" i="15" s="1"/>
  <c r="CC114" i="15" s="1"/>
  <c r="CA118" i="15"/>
  <c r="CB118" i="15" s="1"/>
  <c r="CC118" i="15" s="1"/>
  <c r="CA122" i="15"/>
  <c r="CB122" i="15" s="1"/>
  <c r="CC122" i="15" s="1"/>
  <c r="CA126" i="15"/>
  <c r="CB126" i="15" s="1"/>
  <c r="CC126" i="15" s="1"/>
  <c r="CA130" i="15"/>
  <c r="CB130" i="15" s="1"/>
  <c r="CC130" i="15" s="1"/>
  <c r="CA134" i="15"/>
  <c r="CB134" i="15" s="1"/>
  <c r="CC134" i="15" s="1"/>
  <c r="CA138" i="15"/>
  <c r="CB138" i="15" s="1"/>
  <c r="CC138" i="15" s="1"/>
  <c r="CA142" i="15"/>
  <c r="CB142" i="15" s="1"/>
  <c r="CC142" i="15" s="1"/>
  <c r="CA146" i="15"/>
  <c r="CB146" i="15" s="1"/>
  <c r="CC146" i="15" s="1"/>
  <c r="CA150" i="15"/>
  <c r="CB150" i="15" s="1"/>
  <c r="CC150" i="15" s="1"/>
  <c r="CA154" i="15"/>
  <c r="CB154" i="15" s="1"/>
  <c r="CC154" i="15" s="1"/>
  <c r="CA158" i="15"/>
  <c r="CB158" i="15" s="1"/>
  <c r="CC158" i="15" s="1"/>
  <c r="CA162" i="15"/>
  <c r="CB162" i="15" s="1"/>
  <c r="CC162" i="15" s="1"/>
  <c r="CA166" i="15"/>
  <c r="CB166" i="15" s="1"/>
  <c r="CC166" i="15" s="1"/>
  <c r="CA170" i="15"/>
  <c r="CB170" i="15" s="1"/>
  <c r="CC170" i="15" s="1"/>
  <c r="CA174" i="15"/>
  <c r="CB174" i="15" s="1"/>
  <c r="CC174" i="15" s="1"/>
  <c r="CA178" i="15"/>
  <c r="CB178" i="15" s="1"/>
  <c r="CC178" i="15" s="1"/>
  <c r="CA182" i="15"/>
  <c r="CB182" i="15" s="1"/>
  <c r="CC182" i="15" s="1"/>
  <c r="CA186" i="15"/>
  <c r="CB186" i="15" s="1"/>
  <c r="CC186" i="15" s="1"/>
  <c r="CA190" i="15"/>
  <c r="CB190" i="15" s="1"/>
  <c r="CC190" i="15" s="1"/>
  <c r="CA194" i="15"/>
  <c r="CB194" i="15" s="1"/>
  <c r="CC194" i="15" s="1"/>
  <c r="CA198" i="15"/>
  <c r="CB198" i="15" s="1"/>
  <c r="CC198" i="15" s="1"/>
  <c r="CA202" i="15"/>
  <c r="CB202" i="15" s="1"/>
  <c r="CC202" i="15" s="1"/>
  <c r="CA206" i="15"/>
  <c r="CB206" i="15" s="1"/>
  <c r="CC206" i="15" s="1"/>
  <c r="CA210" i="15"/>
  <c r="CB210" i="15" s="1"/>
  <c r="CC210" i="15" s="1"/>
  <c r="CA214" i="15"/>
  <c r="CB214" i="15" s="1"/>
  <c r="CC214" i="15" s="1"/>
  <c r="CA218" i="15"/>
  <c r="CB218" i="15" s="1"/>
  <c r="CC218" i="15" s="1"/>
  <c r="CA222" i="15"/>
  <c r="CB222" i="15" s="1"/>
  <c r="CC222" i="15" s="1"/>
  <c r="CA226" i="15"/>
  <c r="CB226" i="15" s="1"/>
  <c r="CC226" i="15" s="1"/>
  <c r="CA3" i="15"/>
  <c r="CB3" i="15" s="1"/>
  <c r="CC3" i="15" s="1"/>
  <c r="CA7" i="15"/>
  <c r="CB7" i="15" s="1"/>
  <c r="CC7" i="15" s="1"/>
  <c r="CA11" i="15"/>
  <c r="CB11" i="15" s="1"/>
  <c r="CC11" i="15" s="1"/>
  <c r="CA15" i="15"/>
  <c r="CB15" i="15" s="1"/>
  <c r="CC15" i="15" s="1"/>
  <c r="CA19" i="15"/>
  <c r="CB19" i="15" s="1"/>
  <c r="CC19" i="15" s="1"/>
  <c r="CA23" i="15"/>
  <c r="CB23" i="15" s="1"/>
  <c r="CC23" i="15" s="1"/>
  <c r="CA27" i="15"/>
  <c r="CB27" i="15" s="1"/>
  <c r="CC27" i="15" s="1"/>
  <c r="CA31" i="15"/>
  <c r="CB31" i="15" s="1"/>
  <c r="CC31" i="15" s="1"/>
  <c r="CA35" i="15"/>
  <c r="CB35" i="15" s="1"/>
  <c r="CC35" i="15" s="1"/>
  <c r="CA39" i="15"/>
  <c r="CB39" i="15" s="1"/>
  <c r="CC39" i="15" s="1"/>
  <c r="CA43" i="15"/>
  <c r="CB43" i="15" s="1"/>
  <c r="CC43" i="15" s="1"/>
  <c r="CA47" i="15"/>
  <c r="CB47" i="15" s="1"/>
  <c r="CC47" i="15" s="1"/>
  <c r="CA51" i="15"/>
  <c r="CB51" i="15" s="1"/>
  <c r="CC51" i="15" s="1"/>
  <c r="CA55" i="15"/>
  <c r="CB55" i="15" s="1"/>
  <c r="CC55" i="15" s="1"/>
  <c r="CA59" i="15"/>
  <c r="CB59" i="15" s="1"/>
  <c r="CC59" i="15" s="1"/>
  <c r="CA63" i="15"/>
  <c r="CB63" i="15" s="1"/>
  <c r="CC63" i="15" s="1"/>
  <c r="CA67" i="15"/>
  <c r="CB67" i="15" s="1"/>
  <c r="CC67" i="15" s="1"/>
  <c r="CA71" i="15"/>
  <c r="CB71" i="15" s="1"/>
  <c r="CC71" i="15" s="1"/>
  <c r="CA75" i="15"/>
  <c r="CB75" i="15" s="1"/>
  <c r="CC75" i="15" s="1"/>
  <c r="CA79" i="15"/>
  <c r="CB79" i="15" s="1"/>
  <c r="CC79" i="15" s="1"/>
  <c r="CA83" i="15"/>
  <c r="CB83" i="15" s="1"/>
  <c r="CC83" i="15" s="1"/>
  <c r="CA87" i="15"/>
  <c r="CB87" i="15" s="1"/>
  <c r="CC87" i="15" s="1"/>
  <c r="CA91" i="15"/>
  <c r="CB91" i="15" s="1"/>
  <c r="CC91" i="15" s="1"/>
  <c r="CA95" i="15"/>
  <c r="CB95" i="15" s="1"/>
  <c r="CC95" i="15" s="1"/>
  <c r="CA99" i="15"/>
  <c r="CB99" i="15" s="1"/>
  <c r="CC99" i="15" s="1"/>
  <c r="CA103" i="15"/>
  <c r="CB103" i="15" s="1"/>
  <c r="CC103" i="15" s="1"/>
  <c r="CA107" i="15"/>
  <c r="CB107" i="15" s="1"/>
  <c r="CC107" i="15" s="1"/>
  <c r="CA111" i="15"/>
  <c r="CB111" i="15" s="1"/>
  <c r="CC111" i="15" s="1"/>
  <c r="CA115" i="15"/>
  <c r="CB115" i="15" s="1"/>
  <c r="CC115" i="15" s="1"/>
  <c r="CA119" i="15"/>
  <c r="CB119" i="15" s="1"/>
  <c r="CC119" i="15" s="1"/>
  <c r="CA123" i="15"/>
  <c r="CB123" i="15" s="1"/>
  <c r="CC123" i="15" s="1"/>
  <c r="CA127" i="15"/>
  <c r="CB127" i="15" s="1"/>
  <c r="CC127" i="15" s="1"/>
  <c r="CA131" i="15"/>
  <c r="CB131" i="15" s="1"/>
  <c r="CC131" i="15" s="1"/>
  <c r="CA135" i="15"/>
  <c r="CB135" i="15" s="1"/>
  <c r="CC135" i="15" s="1"/>
  <c r="CA139" i="15"/>
  <c r="CB139" i="15" s="1"/>
  <c r="CC139" i="15" s="1"/>
  <c r="CA143" i="15"/>
  <c r="CB143" i="15" s="1"/>
  <c r="CC143" i="15" s="1"/>
  <c r="CA147" i="15"/>
  <c r="CB147" i="15" s="1"/>
  <c r="CC147" i="15" s="1"/>
  <c r="CA151" i="15"/>
  <c r="CB151" i="15" s="1"/>
  <c r="CC151" i="15" s="1"/>
  <c r="CA155" i="15"/>
  <c r="CB155" i="15" s="1"/>
  <c r="CC155" i="15" s="1"/>
  <c r="CA159" i="15"/>
  <c r="CB159" i="15" s="1"/>
  <c r="CC159" i="15" s="1"/>
  <c r="CA163" i="15"/>
  <c r="CB163" i="15" s="1"/>
  <c r="CC163" i="15" s="1"/>
  <c r="CA167" i="15"/>
  <c r="CB167" i="15" s="1"/>
  <c r="CC167" i="15" s="1"/>
  <c r="CA171" i="15"/>
  <c r="CB171" i="15" s="1"/>
  <c r="CC171" i="15" s="1"/>
  <c r="CA175" i="15"/>
  <c r="CB175" i="15" s="1"/>
  <c r="CC175" i="15" s="1"/>
  <c r="CA179" i="15"/>
  <c r="CB179" i="15" s="1"/>
  <c r="CC179" i="15" s="1"/>
  <c r="CA183" i="15"/>
  <c r="CB183" i="15" s="1"/>
  <c r="CC183" i="15" s="1"/>
  <c r="CA187" i="15"/>
  <c r="CB187" i="15" s="1"/>
  <c r="CC187" i="15" s="1"/>
  <c r="CA191" i="15"/>
  <c r="CB191" i="15" s="1"/>
  <c r="CC191" i="15" s="1"/>
  <c r="CA195" i="15"/>
  <c r="CB195" i="15" s="1"/>
  <c r="CC195" i="15" s="1"/>
  <c r="CA199" i="15"/>
  <c r="CB199" i="15" s="1"/>
  <c r="CC199" i="15" s="1"/>
  <c r="CA203" i="15"/>
  <c r="CB203" i="15" s="1"/>
  <c r="CC203" i="15" s="1"/>
  <c r="CA207" i="15"/>
  <c r="CB207" i="15" s="1"/>
  <c r="CC207" i="15" s="1"/>
  <c r="CA211" i="15"/>
  <c r="CB211" i="15" s="1"/>
  <c r="CC211" i="15" s="1"/>
  <c r="CA215" i="15"/>
  <c r="CB215" i="15" s="1"/>
  <c r="CC215" i="15" s="1"/>
  <c r="CA219" i="15"/>
  <c r="CB219" i="15" s="1"/>
  <c r="CC219" i="15" s="1"/>
  <c r="CA223" i="15"/>
  <c r="CB223" i="15" s="1"/>
  <c r="CC223" i="15" s="1"/>
  <c r="CA227" i="15"/>
  <c r="CB227" i="15" s="1"/>
  <c r="CC227" i="15" s="1"/>
  <c r="CA2" i="15"/>
  <c r="CB2" i="15" s="1"/>
  <c r="CA8" i="15"/>
  <c r="CB8" i="15" s="1"/>
  <c r="CC8" i="15" s="1"/>
  <c r="CA24" i="15"/>
  <c r="CB24" i="15" s="1"/>
  <c r="CC24" i="15" s="1"/>
  <c r="CA40" i="15"/>
  <c r="CB40" i="15" s="1"/>
  <c r="CC40" i="15" s="1"/>
  <c r="CA56" i="15"/>
  <c r="CB56" i="15" s="1"/>
  <c r="CC56" i="15" s="1"/>
  <c r="CA72" i="15"/>
  <c r="CB72" i="15" s="1"/>
  <c r="CC72" i="15" s="1"/>
  <c r="CA88" i="15"/>
  <c r="CB88" i="15" s="1"/>
  <c r="CC88" i="15" s="1"/>
  <c r="CA104" i="15"/>
  <c r="CB104" i="15" s="1"/>
  <c r="CC104" i="15" s="1"/>
  <c r="CA120" i="15"/>
  <c r="CB120" i="15" s="1"/>
  <c r="CC120" i="15" s="1"/>
  <c r="CA136" i="15"/>
  <c r="CB136" i="15" s="1"/>
  <c r="CC136" i="15" s="1"/>
  <c r="CA152" i="15"/>
  <c r="CB152" i="15" s="1"/>
  <c r="CC152" i="15" s="1"/>
  <c r="CA168" i="15"/>
  <c r="CB168" i="15" s="1"/>
  <c r="CC168" i="15" s="1"/>
  <c r="CA184" i="15"/>
  <c r="CB184" i="15" s="1"/>
  <c r="CC184" i="15" s="1"/>
  <c r="CA200" i="15"/>
  <c r="CB200" i="15" s="1"/>
  <c r="CC200" i="15" s="1"/>
  <c r="CA216" i="15"/>
  <c r="CB216" i="15" s="1"/>
  <c r="CC216" i="15" s="1"/>
  <c r="CA12" i="15"/>
  <c r="CB12" i="15" s="1"/>
  <c r="CC12" i="15" s="1"/>
  <c r="CA28" i="15"/>
  <c r="CB28" i="15" s="1"/>
  <c r="CC28" i="15" s="1"/>
  <c r="CA44" i="15"/>
  <c r="CB44" i="15" s="1"/>
  <c r="CC44" i="15" s="1"/>
  <c r="CA60" i="15"/>
  <c r="CB60" i="15" s="1"/>
  <c r="CC60" i="15" s="1"/>
  <c r="CA76" i="15"/>
  <c r="CB76" i="15" s="1"/>
  <c r="CC76" i="15" s="1"/>
  <c r="CA92" i="15"/>
  <c r="CB92" i="15" s="1"/>
  <c r="CC92" i="15" s="1"/>
  <c r="CA108" i="15"/>
  <c r="CB108" i="15" s="1"/>
  <c r="CC108" i="15" s="1"/>
  <c r="CA124" i="15"/>
  <c r="CB124" i="15" s="1"/>
  <c r="CC124" i="15" s="1"/>
  <c r="CA140" i="15"/>
  <c r="CB140" i="15" s="1"/>
  <c r="CC140" i="15" s="1"/>
  <c r="CA156" i="15"/>
  <c r="CB156" i="15" s="1"/>
  <c r="CC156" i="15" s="1"/>
  <c r="CA172" i="15"/>
  <c r="CB172" i="15" s="1"/>
  <c r="CC172" i="15" s="1"/>
  <c r="CA188" i="15"/>
  <c r="CB188" i="15" s="1"/>
  <c r="CC188" i="15" s="1"/>
  <c r="CA204" i="15"/>
  <c r="CB204" i="15" s="1"/>
  <c r="CC204" i="15" s="1"/>
  <c r="CA220" i="15"/>
  <c r="CB220" i="15" s="1"/>
  <c r="CC220" i="15" s="1"/>
  <c r="CA16" i="15"/>
  <c r="CB16" i="15" s="1"/>
  <c r="CC16" i="15" s="1"/>
  <c r="CA32" i="15"/>
  <c r="CB32" i="15" s="1"/>
  <c r="CC32" i="15" s="1"/>
  <c r="CA48" i="15"/>
  <c r="CB48" i="15" s="1"/>
  <c r="CC48" i="15" s="1"/>
  <c r="CA64" i="15"/>
  <c r="CB64" i="15" s="1"/>
  <c r="CC64" i="15" s="1"/>
  <c r="CA80" i="15"/>
  <c r="CB80" i="15" s="1"/>
  <c r="CC80" i="15" s="1"/>
  <c r="CA96" i="15"/>
  <c r="CB96" i="15" s="1"/>
  <c r="CC96" i="15" s="1"/>
  <c r="CA112" i="15"/>
  <c r="CB112" i="15" s="1"/>
  <c r="CC112" i="15" s="1"/>
  <c r="CA128" i="15"/>
  <c r="CB128" i="15" s="1"/>
  <c r="CC128" i="15" s="1"/>
  <c r="CA144" i="15"/>
  <c r="CB144" i="15" s="1"/>
  <c r="CC144" i="15" s="1"/>
  <c r="CA160" i="15"/>
  <c r="CB160" i="15" s="1"/>
  <c r="CC160" i="15" s="1"/>
  <c r="CA176" i="15"/>
  <c r="CB176" i="15" s="1"/>
  <c r="CC176" i="15" s="1"/>
  <c r="CA192" i="15"/>
  <c r="CB192" i="15" s="1"/>
  <c r="CC192" i="15" s="1"/>
  <c r="CA208" i="15"/>
  <c r="CB208" i="15" s="1"/>
  <c r="CC208" i="15" s="1"/>
  <c r="CA224" i="15"/>
  <c r="CB224" i="15" s="1"/>
  <c r="CC224" i="15" s="1"/>
  <c r="CA4" i="15"/>
  <c r="CB4" i="15" s="1"/>
  <c r="CC4" i="15" s="1"/>
  <c r="CA68" i="15"/>
  <c r="CB68" i="15" s="1"/>
  <c r="CC68" i="15" s="1"/>
  <c r="CA132" i="15"/>
  <c r="CB132" i="15" s="1"/>
  <c r="CC132" i="15" s="1"/>
  <c r="CA196" i="15"/>
  <c r="CB196" i="15" s="1"/>
  <c r="CC196" i="15" s="1"/>
  <c r="CA52" i="15"/>
  <c r="CB52" i="15" s="1"/>
  <c r="CC52" i="15" s="1"/>
  <c r="CA20" i="15"/>
  <c r="CB20" i="15" s="1"/>
  <c r="CC20" i="15" s="1"/>
  <c r="CA84" i="15"/>
  <c r="CB84" i="15" s="1"/>
  <c r="CC84" i="15" s="1"/>
  <c r="CA148" i="15"/>
  <c r="CB148" i="15" s="1"/>
  <c r="CC148" i="15" s="1"/>
  <c r="CA212" i="15"/>
  <c r="CB212" i="15" s="1"/>
  <c r="CC212" i="15" s="1"/>
  <c r="CA36" i="15"/>
  <c r="CB36" i="15" s="1"/>
  <c r="CC36" i="15" s="1"/>
  <c r="CA100" i="15"/>
  <c r="CB100" i="15" s="1"/>
  <c r="CC100" i="15" s="1"/>
  <c r="CA164" i="15"/>
  <c r="CB164" i="15" s="1"/>
  <c r="CC164" i="15" s="1"/>
  <c r="CA116" i="15"/>
  <c r="CB116" i="15" s="1"/>
  <c r="CC116" i="15" s="1"/>
  <c r="CA180" i="15"/>
  <c r="CB180" i="15" s="1"/>
  <c r="CC180" i="15" s="1"/>
  <c r="EF81" i="15"/>
  <c r="EG81" i="15" s="1"/>
  <c r="EH81" i="15" s="1"/>
  <c r="EF85" i="15"/>
  <c r="EG85" i="15" s="1"/>
  <c r="EH85" i="15" s="1"/>
  <c r="EF214" i="15"/>
  <c r="EG214" i="15" s="1"/>
  <c r="EH214" i="15" s="1"/>
  <c r="EF218" i="15"/>
  <c r="EG218" i="15" s="1"/>
  <c r="EH218" i="15" s="1"/>
  <c r="EF64" i="15"/>
  <c r="EG64" i="15" s="1"/>
  <c r="EH64" i="15" s="1"/>
  <c r="EF128" i="15"/>
  <c r="EG128" i="15" s="1"/>
  <c r="EH128" i="15" s="1"/>
  <c r="EL5" i="15"/>
  <c r="EM5" i="15" s="1"/>
  <c r="EN5" i="15" s="1"/>
  <c r="EL9" i="15"/>
  <c r="EM9" i="15" s="1"/>
  <c r="EN9" i="15" s="1"/>
  <c r="EL13" i="15"/>
  <c r="EM13" i="15" s="1"/>
  <c r="EN13" i="15" s="1"/>
  <c r="EL17" i="15"/>
  <c r="EM17" i="15" s="1"/>
  <c r="EN17" i="15" s="1"/>
  <c r="EL21" i="15"/>
  <c r="EM21" i="15" s="1"/>
  <c r="EN21" i="15" s="1"/>
  <c r="EL25" i="15"/>
  <c r="EM25" i="15" s="1"/>
  <c r="EN25" i="15" s="1"/>
  <c r="EL29" i="15"/>
  <c r="EM29" i="15" s="1"/>
  <c r="EN29" i="15" s="1"/>
  <c r="EL33" i="15"/>
  <c r="EM33" i="15" s="1"/>
  <c r="EN33" i="15" s="1"/>
  <c r="EL37" i="15"/>
  <c r="EM37" i="15" s="1"/>
  <c r="EN37" i="15" s="1"/>
  <c r="EL41" i="15"/>
  <c r="EM41" i="15" s="1"/>
  <c r="EN41" i="15" s="1"/>
  <c r="EL45" i="15"/>
  <c r="EM45" i="15" s="1"/>
  <c r="EN45" i="15" s="1"/>
  <c r="EL49" i="15"/>
  <c r="EM49" i="15" s="1"/>
  <c r="EN49" i="15" s="1"/>
  <c r="EL53" i="15"/>
  <c r="EM53" i="15" s="1"/>
  <c r="EN53" i="15" s="1"/>
  <c r="EL57" i="15"/>
  <c r="EM57" i="15" s="1"/>
  <c r="EN57" i="15" s="1"/>
  <c r="EL61" i="15"/>
  <c r="EM61" i="15" s="1"/>
  <c r="EN61" i="15" s="1"/>
  <c r="EL65" i="15"/>
  <c r="EM65" i="15" s="1"/>
  <c r="EN65" i="15" s="1"/>
  <c r="EL69" i="15"/>
  <c r="EM69" i="15" s="1"/>
  <c r="EN69" i="15" s="1"/>
  <c r="EL73" i="15"/>
  <c r="EM73" i="15" s="1"/>
  <c r="EN73" i="15" s="1"/>
  <c r="EL77" i="15"/>
  <c r="EM77" i="15" s="1"/>
  <c r="EN77" i="15" s="1"/>
  <c r="EL81" i="15"/>
  <c r="EM81" i="15" s="1"/>
  <c r="EN81" i="15" s="1"/>
  <c r="EL85" i="15"/>
  <c r="EM85" i="15" s="1"/>
  <c r="EN85" i="15" s="1"/>
  <c r="EL89" i="15"/>
  <c r="EM89" i="15" s="1"/>
  <c r="EN89" i="15" s="1"/>
  <c r="EL93" i="15"/>
  <c r="EM93" i="15" s="1"/>
  <c r="EN93" i="15" s="1"/>
  <c r="EL97" i="15"/>
  <c r="EM97" i="15" s="1"/>
  <c r="EN97" i="15" s="1"/>
  <c r="EL101" i="15"/>
  <c r="EM101" i="15" s="1"/>
  <c r="EN101" i="15" s="1"/>
  <c r="EL105" i="15"/>
  <c r="EM105" i="15" s="1"/>
  <c r="EN105" i="15" s="1"/>
  <c r="EL109" i="15"/>
  <c r="EM109" i="15" s="1"/>
  <c r="EN109" i="15" s="1"/>
  <c r="EL113" i="15"/>
  <c r="EM113" i="15" s="1"/>
  <c r="EN113" i="15" s="1"/>
  <c r="EL117" i="15"/>
  <c r="EM117" i="15" s="1"/>
  <c r="EN117" i="15" s="1"/>
  <c r="EL121" i="15"/>
  <c r="EM121" i="15" s="1"/>
  <c r="EN121" i="15" s="1"/>
  <c r="EL125" i="15"/>
  <c r="EM125" i="15" s="1"/>
  <c r="EN125" i="15" s="1"/>
  <c r="EL129" i="15"/>
  <c r="EM129" i="15" s="1"/>
  <c r="EN129" i="15" s="1"/>
  <c r="EL133" i="15"/>
  <c r="EM133" i="15" s="1"/>
  <c r="EN133" i="15" s="1"/>
  <c r="EL137" i="15"/>
  <c r="EM137" i="15" s="1"/>
  <c r="EN137" i="15" s="1"/>
  <c r="EL141" i="15"/>
  <c r="EM141" i="15" s="1"/>
  <c r="EN141" i="15" s="1"/>
  <c r="EL145" i="15"/>
  <c r="EM145" i="15" s="1"/>
  <c r="EN145" i="15" s="1"/>
  <c r="EL149" i="15"/>
  <c r="EM149" i="15" s="1"/>
  <c r="EN149" i="15" s="1"/>
  <c r="EL153" i="15"/>
  <c r="EM153" i="15" s="1"/>
  <c r="EN153" i="15" s="1"/>
  <c r="EL157" i="15"/>
  <c r="EM157" i="15" s="1"/>
  <c r="EN157" i="15" s="1"/>
  <c r="EL161" i="15"/>
  <c r="EM161" i="15" s="1"/>
  <c r="EN161" i="15" s="1"/>
  <c r="EL165" i="15"/>
  <c r="EM165" i="15" s="1"/>
  <c r="EN165" i="15" s="1"/>
  <c r="EL169" i="15"/>
  <c r="EM169" i="15" s="1"/>
  <c r="EN169" i="15" s="1"/>
  <c r="EL173" i="15"/>
  <c r="EM173" i="15" s="1"/>
  <c r="EN173" i="15" s="1"/>
  <c r="EL177" i="15"/>
  <c r="EM177" i="15" s="1"/>
  <c r="EN177" i="15" s="1"/>
  <c r="EL181" i="15"/>
  <c r="EM181" i="15" s="1"/>
  <c r="EN181" i="15" s="1"/>
  <c r="EL185" i="15"/>
  <c r="EM185" i="15" s="1"/>
  <c r="EN185" i="15" s="1"/>
  <c r="EL189" i="15"/>
  <c r="EM189" i="15" s="1"/>
  <c r="EN189" i="15" s="1"/>
  <c r="EL193" i="15"/>
  <c r="EM193" i="15" s="1"/>
  <c r="EN193" i="15" s="1"/>
  <c r="EL197" i="15"/>
  <c r="EM197" i="15" s="1"/>
  <c r="EN197" i="15" s="1"/>
  <c r="EL201" i="15"/>
  <c r="EM201" i="15" s="1"/>
  <c r="EN201" i="15" s="1"/>
  <c r="EL205" i="15"/>
  <c r="EM205" i="15" s="1"/>
  <c r="EN205" i="15" s="1"/>
  <c r="EL209" i="15"/>
  <c r="EM209" i="15" s="1"/>
  <c r="EN209" i="15" s="1"/>
  <c r="EL213" i="15"/>
  <c r="EM213" i="15" s="1"/>
  <c r="EN213" i="15" s="1"/>
  <c r="EL217" i="15"/>
  <c r="EM217" i="15" s="1"/>
  <c r="EN217" i="15" s="1"/>
  <c r="EL221" i="15"/>
  <c r="EM221" i="15" s="1"/>
  <c r="EN221" i="15" s="1"/>
  <c r="EL225" i="15"/>
  <c r="EM225" i="15" s="1"/>
  <c r="EN225" i="15" s="1"/>
  <c r="EL6" i="15"/>
  <c r="EM6" i="15" s="1"/>
  <c r="EN6" i="15" s="1"/>
  <c r="EL10" i="15"/>
  <c r="EM10" i="15" s="1"/>
  <c r="EN10" i="15" s="1"/>
  <c r="EL14" i="15"/>
  <c r="EM14" i="15" s="1"/>
  <c r="EN14" i="15" s="1"/>
  <c r="EL18" i="15"/>
  <c r="EM18" i="15" s="1"/>
  <c r="EN18" i="15" s="1"/>
  <c r="EL22" i="15"/>
  <c r="EM22" i="15" s="1"/>
  <c r="EN22" i="15" s="1"/>
  <c r="EL26" i="15"/>
  <c r="EM26" i="15" s="1"/>
  <c r="EN26" i="15" s="1"/>
  <c r="EL30" i="15"/>
  <c r="EM30" i="15" s="1"/>
  <c r="EN30" i="15" s="1"/>
  <c r="EL34" i="15"/>
  <c r="EM34" i="15" s="1"/>
  <c r="EN34" i="15" s="1"/>
  <c r="EL38" i="15"/>
  <c r="EM38" i="15" s="1"/>
  <c r="EN38" i="15" s="1"/>
  <c r="EL42" i="15"/>
  <c r="EM42" i="15" s="1"/>
  <c r="EN42" i="15" s="1"/>
  <c r="EL46" i="15"/>
  <c r="EM46" i="15" s="1"/>
  <c r="EN46" i="15" s="1"/>
  <c r="EL50" i="15"/>
  <c r="EM50" i="15" s="1"/>
  <c r="EN50" i="15" s="1"/>
  <c r="EL54" i="15"/>
  <c r="EM54" i="15" s="1"/>
  <c r="EN54" i="15" s="1"/>
  <c r="EL58" i="15"/>
  <c r="EM58" i="15" s="1"/>
  <c r="EN58" i="15" s="1"/>
  <c r="EL62" i="15"/>
  <c r="EM62" i="15" s="1"/>
  <c r="EN62" i="15" s="1"/>
  <c r="EL66" i="15"/>
  <c r="EM66" i="15" s="1"/>
  <c r="EN66" i="15" s="1"/>
  <c r="EL70" i="15"/>
  <c r="EM70" i="15" s="1"/>
  <c r="EN70" i="15" s="1"/>
  <c r="EL74" i="15"/>
  <c r="EM74" i="15" s="1"/>
  <c r="EN74" i="15" s="1"/>
  <c r="EL78" i="15"/>
  <c r="EM78" i="15" s="1"/>
  <c r="EN78" i="15" s="1"/>
  <c r="EL82" i="15"/>
  <c r="EM82" i="15" s="1"/>
  <c r="EN82" i="15" s="1"/>
  <c r="EL86" i="15"/>
  <c r="EM86" i="15" s="1"/>
  <c r="EN86" i="15" s="1"/>
  <c r="EL90" i="15"/>
  <c r="EM90" i="15" s="1"/>
  <c r="EN90" i="15" s="1"/>
  <c r="EL94" i="15"/>
  <c r="EM94" i="15" s="1"/>
  <c r="EN94" i="15" s="1"/>
  <c r="EL98" i="15"/>
  <c r="EM98" i="15" s="1"/>
  <c r="EN98" i="15" s="1"/>
  <c r="EL102" i="15"/>
  <c r="EM102" i="15" s="1"/>
  <c r="EN102" i="15" s="1"/>
  <c r="EL106" i="15"/>
  <c r="EM106" i="15" s="1"/>
  <c r="EN106" i="15" s="1"/>
  <c r="EL110" i="15"/>
  <c r="EM110" i="15" s="1"/>
  <c r="EN110" i="15" s="1"/>
  <c r="EL114" i="15"/>
  <c r="EM114" i="15" s="1"/>
  <c r="EN114" i="15" s="1"/>
  <c r="EL118" i="15"/>
  <c r="EM118" i="15" s="1"/>
  <c r="EN118" i="15" s="1"/>
  <c r="EL122" i="15"/>
  <c r="EM122" i="15" s="1"/>
  <c r="EN122" i="15" s="1"/>
  <c r="EL126" i="15"/>
  <c r="EM126" i="15" s="1"/>
  <c r="EN126" i="15" s="1"/>
  <c r="EL130" i="15"/>
  <c r="EM130" i="15" s="1"/>
  <c r="EN130" i="15" s="1"/>
  <c r="EL134" i="15"/>
  <c r="EM134" i="15" s="1"/>
  <c r="EN134" i="15" s="1"/>
  <c r="EL138" i="15"/>
  <c r="EM138" i="15" s="1"/>
  <c r="EN138" i="15" s="1"/>
  <c r="EL142" i="15"/>
  <c r="EM142" i="15" s="1"/>
  <c r="EN142" i="15" s="1"/>
  <c r="EL146" i="15"/>
  <c r="EM146" i="15" s="1"/>
  <c r="EN146" i="15" s="1"/>
  <c r="EL150" i="15"/>
  <c r="EM150" i="15" s="1"/>
  <c r="EN150" i="15" s="1"/>
  <c r="EL154" i="15"/>
  <c r="EM154" i="15" s="1"/>
  <c r="EN154" i="15" s="1"/>
  <c r="EL158" i="15"/>
  <c r="EM158" i="15" s="1"/>
  <c r="EN158" i="15" s="1"/>
  <c r="EL162" i="15"/>
  <c r="EM162" i="15" s="1"/>
  <c r="EN162" i="15" s="1"/>
  <c r="EL166" i="15"/>
  <c r="EM166" i="15" s="1"/>
  <c r="EN166" i="15" s="1"/>
  <c r="EL170" i="15"/>
  <c r="EM170" i="15" s="1"/>
  <c r="EN170" i="15" s="1"/>
  <c r="EL174" i="15"/>
  <c r="EM174" i="15" s="1"/>
  <c r="EN174" i="15" s="1"/>
  <c r="EL178" i="15"/>
  <c r="EM178" i="15" s="1"/>
  <c r="EN178" i="15" s="1"/>
  <c r="EL182" i="15"/>
  <c r="EM182" i="15" s="1"/>
  <c r="EN182" i="15" s="1"/>
  <c r="EL186" i="15"/>
  <c r="EM186" i="15" s="1"/>
  <c r="EN186" i="15" s="1"/>
  <c r="EL190" i="15"/>
  <c r="EM190" i="15" s="1"/>
  <c r="EN190" i="15" s="1"/>
  <c r="EL194" i="15"/>
  <c r="EM194" i="15" s="1"/>
  <c r="EN194" i="15" s="1"/>
  <c r="EL198" i="15"/>
  <c r="EM198" i="15" s="1"/>
  <c r="EN198" i="15" s="1"/>
  <c r="EL202" i="15"/>
  <c r="EM202" i="15" s="1"/>
  <c r="EN202" i="15" s="1"/>
  <c r="EL206" i="15"/>
  <c r="EM206" i="15" s="1"/>
  <c r="EN206" i="15" s="1"/>
  <c r="EL210" i="15"/>
  <c r="EM210" i="15" s="1"/>
  <c r="EN210" i="15" s="1"/>
  <c r="EL214" i="15"/>
  <c r="EM214" i="15" s="1"/>
  <c r="EN214" i="15" s="1"/>
  <c r="EL218" i="15"/>
  <c r="EM218" i="15" s="1"/>
  <c r="EN218" i="15" s="1"/>
  <c r="EL222" i="15"/>
  <c r="EM222" i="15" s="1"/>
  <c r="EN222" i="15" s="1"/>
  <c r="EL226" i="15"/>
  <c r="EM226" i="15" s="1"/>
  <c r="EN226" i="15" s="1"/>
  <c r="EL3" i="15"/>
  <c r="EM3" i="15" s="1"/>
  <c r="EN3" i="15" s="1"/>
  <c r="EL11" i="15"/>
  <c r="EM11" i="15" s="1"/>
  <c r="EN11" i="15" s="1"/>
  <c r="EL19" i="15"/>
  <c r="EM19" i="15" s="1"/>
  <c r="EN19" i="15" s="1"/>
  <c r="EL27" i="15"/>
  <c r="EM27" i="15" s="1"/>
  <c r="EN27" i="15" s="1"/>
  <c r="EL35" i="15"/>
  <c r="EM35" i="15" s="1"/>
  <c r="EN35" i="15" s="1"/>
  <c r="EL43" i="15"/>
  <c r="EM43" i="15" s="1"/>
  <c r="EN43" i="15" s="1"/>
  <c r="EL51" i="15"/>
  <c r="EM51" i="15" s="1"/>
  <c r="EN51" i="15" s="1"/>
  <c r="EL59" i="15"/>
  <c r="EM59" i="15" s="1"/>
  <c r="EN59" i="15" s="1"/>
  <c r="EL67" i="15"/>
  <c r="EM67" i="15" s="1"/>
  <c r="EN67" i="15" s="1"/>
  <c r="EL75" i="15"/>
  <c r="EM75" i="15" s="1"/>
  <c r="EN75" i="15" s="1"/>
  <c r="EL83" i="15"/>
  <c r="EM83" i="15" s="1"/>
  <c r="EN83" i="15" s="1"/>
  <c r="EL91" i="15"/>
  <c r="EM91" i="15" s="1"/>
  <c r="EN91" i="15" s="1"/>
  <c r="EL99" i="15"/>
  <c r="EM99" i="15" s="1"/>
  <c r="EN99" i="15" s="1"/>
  <c r="EL107" i="15"/>
  <c r="EM107" i="15" s="1"/>
  <c r="EN107" i="15" s="1"/>
  <c r="EL115" i="15"/>
  <c r="EM115" i="15" s="1"/>
  <c r="EN115" i="15" s="1"/>
  <c r="EL123" i="15"/>
  <c r="EM123" i="15" s="1"/>
  <c r="EN123" i="15" s="1"/>
  <c r="EL131" i="15"/>
  <c r="EM131" i="15" s="1"/>
  <c r="EN131" i="15" s="1"/>
  <c r="EL139" i="15"/>
  <c r="EM139" i="15" s="1"/>
  <c r="EN139" i="15" s="1"/>
  <c r="EL147" i="15"/>
  <c r="EM147" i="15" s="1"/>
  <c r="EN147" i="15" s="1"/>
  <c r="EL155" i="15"/>
  <c r="EM155" i="15" s="1"/>
  <c r="EN155" i="15" s="1"/>
  <c r="EL163" i="15"/>
  <c r="EM163" i="15" s="1"/>
  <c r="EN163" i="15" s="1"/>
  <c r="EL171" i="15"/>
  <c r="EM171" i="15" s="1"/>
  <c r="EN171" i="15" s="1"/>
  <c r="EL179" i="15"/>
  <c r="EM179" i="15" s="1"/>
  <c r="EN179" i="15" s="1"/>
  <c r="EL187" i="15"/>
  <c r="EM187" i="15" s="1"/>
  <c r="EN187" i="15" s="1"/>
  <c r="EL195" i="15"/>
  <c r="EM195" i="15" s="1"/>
  <c r="EN195" i="15" s="1"/>
  <c r="EL203" i="15"/>
  <c r="EM203" i="15" s="1"/>
  <c r="EN203" i="15" s="1"/>
  <c r="EL211" i="15"/>
  <c r="EM211" i="15" s="1"/>
  <c r="EN211" i="15" s="1"/>
  <c r="EL219" i="15"/>
  <c r="EM219" i="15" s="1"/>
  <c r="EN219" i="15" s="1"/>
  <c r="EL227" i="15"/>
  <c r="EM227" i="15" s="1"/>
  <c r="EN227" i="15" s="1"/>
  <c r="EL4" i="15"/>
  <c r="EM4" i="15" s="1"/>
  <c r="EN4" i="15" s="1"/>
  <c r="EL12" i="15"/>
  <c r="EM12" i="15" s="1"/>
  <c r="EN12" i="15" s="1"/>
  <c r="EL20" i="15"/>
  <c r="EM20" i="15" s="1"/>
  <c r="EN20" i="15" s="1"/>
  <c r="EL28" i="15"/>
  <c r="EM28" i="15" s="1"/>
  <c r="EN28" i="15" s="1"/>
  <c r="EL36" i="15"/>
  <c r="EM36" i="15" s="1"/>
  <c r="EN36" i="15" s="1"/>
  <c r="EL44" i="15"/>
  <c r="EM44" i="15" s="1"/>
  <c r="EN44" i="15" s="1"/>
  <c r="EL52" i="15"/>
  <c r="EM52" i="15" s="1"/>
  <c r="EN52" i="15" s="1"/>
  <c r="EL60" i="15"/>
  <c r="EM60" i="15" s="1"/>
  <c r="EN60" i="15" s="1"/>
  <c r="EL68" i="15"/>
  <c r="EM68" i="15" s="1"/>
  <c r="EN68" i="15" s="1"/>
  <c r="EL76" i="15"/>
  <c r="EM76" i="15" s="1"/>
  <c r="EN76" i="15" s="1"/>
  <c r="EL84" i="15"/>
  <c r="EM84" i="15" s="1"/>
  <c r="EN84" i="15" s="1"/>
  <c r="EL92" i="15"/>
  <c r="EM92" i="15" s="1"/>
  <c r="EN92" i="15" s="1"/>
  <c r="EL100" i="15"/>
  <c r="EM100" i="15" s="1"/>
  <c r="EN100" i="15" s="1"/>
  <c r="EL108" i="15"/>
  <c r="EM108" i="15" s="1"/>
  <c r="EN108" i="15" s="1"/>
  <c r="EL116" i="15"/>
  <c r="EM116" i="15" s="1"/>
  <c r="EN116" i="15" s="1"/>
  <c r="EL124" i="15"/>
  <c r="EM124" i="15" s="1"/>
  <c r="EN124" i="15" s="1"/>
  <c r="EL132" i="15"/>
  <c r="EM132" i="15" s="1"/>
  <c r="EN132" i="15" s="1"/>
  <c r="EL140" i="15"/>
  <c r="EM140" i="15" s="1"/>
  <c r="EN140" i="15" s="1"/>
  <c r="EL148" i="15"/>
  <c r="EM148" i="15" s="1"/>
  <c r="EN148" i="15" s="1"/>
  <c r="EL156" i="15"/>
  <c r="EM156" i="15" s="1"/>
  <c r="EN156" i="15" s="1"/>
  <c r="EL164" i="15"/>
  <c r="EM164" i="15" s="1"/>
  <c r="EN164" i="15" s="1"/>
  <c r="EL172" i="15"/>
  <c r="EM172" i="15" s="1"/>
  <c r="EN172" i="15" s="1"/>
  <c r="EL180" i="15"/>
  <c r="EM180" i="15" s="1"/>
  <c r="EN180" i="15" s="1"/>
  <c r="EL188" i="15"/>
  <c r="EM188" i="15" s="1"/>
  <c r="EN188" i="15" s="1"/>
  <c r="EL196" i="15"/>
  <c r="EM196" i="15" s="1"/>
  <c r="EN196" i="15" s="1"/>
  <c r="EL204" i="15"/>
  <c r="EM204" i="15" s="1"/>
  <c r="EN204" i="15" s="1"/>
  <c r="EL212" i="15"/>
  <c r="EM212" i="15" s="1"/>
  <c r="EN212" i="15" s="1"/>
  <c r="EL220" i="15"/>
  <c r="EM220" i="15" s="1"/>
  <c r="EN220" i="15" s="1"/>
  <c r="EL2" i="15"/>
  <c r="EM2" i="15" s="1"/>
  <c r="EL7" i="15"/>
  <c r="EM7" i="15" s="1"/>
  <c r="EN7" i="15" s="1"/>
  <c r="EL23" i="15"/>
  <c r="EM23" i="15" s="1"/>
  <c r="EN23" i="15" s="1"/>
  <c r="EL39" i="15"/>
  <c r="EM39" i="15" s="1"/>
  <c r="EN39" i="15" s="1"/>
  <c r="EL55" i="15"/>
  <c r="EM55" i="15" s="1"/>
  <c r="EN55" i="15" s="1"/>
  <c r="EL71" i="15"/>
  <c r="EM71" i="15" s="1"/>
  <c r="EN71" i="15" s="1"/>
  <c r="EL87" i="15"/>
  <c r="EM87" i="15" s="1"/>
  <c r="EN87" i="15" s="1"/>
  <c r="EL103" i="15"/>
  <c r="EM103" i="15" s="1"/>
  <c r="EN103" i="15" s="1"/>
  <c r="EL119" i="15"/>
  <c r="EM119" i="15" s="1"/>
  <c r="EN119" i="15" s="1"/>
  <c r="EL135" i="15"/>
  <c r="EM135" i="15" s="1"/>
  <c r="EN135" i="15" s="1"/>
  <c r="EL151" i="15"/>
  <c r="EM151" i="15" s="1"/>
  <c r="EN151" i="15" s="1"/>
  <c r="EL167" i="15"/>
  <c r="EM167" i="15" s="1"/>
  <c r="EN167" i="15" s="1"/>
  <c r="EL183" i="15"/>
  <c r="EM183" i="15" s="1"/>
  <c r="EN183" i="15" s="1"/>
  <c r="EL199" i="15"/>
  <c r="EM199" i="15" s="1"/>
  <c r="EN199" i="15" s="1"/>
  <c r="EL215" i="15"/>
  <c r="EM215" i="15" s="1"/>
  <c r="EN215" i="15" s="1"/>
  <c r="EL8" i="15"/>
  <c r="EM8" i="15" s="1"/>
  <c r="EN8" i="15" s="1"/>
  <c r="EL24" i="15"/>
  <c r="EM24" i="15" s="1"/>
  <c r="EN24" i="15" s="1"/>
  <c r="EL40" i="15"/>
  <c r="EM40" i="15" s="1"/>
  <c r="EN40" i="15" s="1"/>
  <c r="EL56" i="15"/>
  <c r="EM56" i="15" s="1"/>
  <c r="EN56" i="15" s="1"/>
  <c r="EL72" i="15"/>
  <c r="EM72" i="15" s="1"/>
  <c r="EN72" i="15" s="1"/>
  <c r="EL88" i="15"/>
  <c r="EM88" i="15" s="1"/>
  <c r="EN88" i="15" s="1"/>
  <c r="EL104" i="15"/>
  <c r="EM104" i="15" s="1"/>
  <c r="EN104" i="15" s="1"/>
  <c r="EL120" i="15"/>
  <c r="EM120" i="15" s="1"/>
  <c r="EN120" i="15" s="1"/>
  <c r="EL136" i="15"/>
  <c r="EM136" i="15" s="1"/>
  <c r="EN136" i="15" s="1"/>
  <c r="EL152" i="15"/>
  <c r="EM152" i="15" s="1"/>
  <c r="EN152" i="15" s="1"/>
  <c r="EL168" i="15"/>
  <c r="EM168" i="15" s="1"/>
  <c r="EN168" i="15" s="1"/>
  <c r="EL184" i="15"/>
  <c r="EM184" i="15" s="1"/>
  <c r="EN184" i="15" s="1"/>
  <c r="EL200" i="15"/>
  <c r="EM200" i="15" s="1"/>
  <c r="EN200" i="15" s="1"/>
  <c r="EL216" i="15"/>
  <c r="EM216" i="15" s="1"/>
  <c r="EN216" i="15" s="1"/>
  <c r="EL15" i="15"/>
  <c r="EM15" i="15" s="1"/>
  <c r="EN15" i="15" s="1"/>
  <c r="EL47" i="15"/>
  <c r="EM47" i="15" s="1"/>
  <c r="EN47" i="15" s="1"/>
  <c r="EL79" i="15"/>
  <c r="EM79" i="15" s="1"/>
  <c r="EN79" i="15" s="1"/>
  <c r="EL111" i="15"/>
  <c r="EM111" i="15" s="1"/>
  <c r="EN111" i="15" s="1"/>
  <c r="EL143" i="15"/>
  <c r="EM143" i="15" s="1"/>
  <c r="EN143" i="15" s="1"/>
  <c r="EL175" i="15"/>
  <c r="EM175" i="15" s="1"/>
  <c r="EN175" i="15" s="1"/>
  <c r="EL207" i="15"/>
  <c r="EM207" i="15" s="1"/>
  <c r="EN207" i="15" s="1"/>
  <c r="EL16" i="15"/>
  <c r="EM16" i="15" s="1"/>
  <c r="EN16" i="15" s="1"/>
  <c r="EL48" i="15"/>
  <c r="EM48" i="15" s="1"/>
  <c r="EN48" i="15" s="1"/>
  <c r="EL80" i="15"/>
  <c r="EM80" i="15" s="1"/>
  <c r="EN80" i="15" s="1"/>
  <c r="EL112" i="15"/>
  <c r="EM112" i="15" s="1"/>
  <c r="EN112" i="15" s="1"/>
  <c r="EL144" i="15"/>
  <c r="EM144" i="15" s="1"/>
  <c r="EN144" i="15" s="1"/>
  <c r="EL176" i="15"/>
  <c r="EM176" i="15" s="1"/>
  <c r="EN176" i="15" s="1"/>
  <c r="EL208" i="15"/>
  <c r="EM208" i="15" s="1"/>
  <c r="EN208" i="15" s="1"/>
  <c r="EL31" i="15"/>
  <c r="EM31" i="15" s="1"/>
  <c r="EN31" i="15" s="1"/>
  <c r="EL63" i="15"/>
  <c r="EM63" i="15" s="1"/>
  <c r="EN63" i="15" s="1"/>
  <c r="EL95" i="15"/>
  <c r="EM95" i="15" s="1"/>
  <c r="EN95" i="15" s="1"/>
  <c r="EL127" i="15"/>
  <c r="EM127" i="15" s="1"/>
  <c r="EN127" i="15" s="1"/>
  <c r="EL159" i="15"/>
  <c r="EM159" i="15" s="1"/>
  <c r="EN159" i="15" s="1"/>
  <c r="EL191" i="15"/>
  <c r="EM191" i="15" s="1"/>
  <c r="EN191" i="15" s="1"/>
  <c r="EL223" i="15"/>
  <c r="EM223" i="15" s="1"/>
  <c r="EN223" i="15" s="1"/>
  <c r="EL32" i="15"/>
  <c r="EM32" i="15" s="1"/>
  <c r="EN32" i="15" s="1"/>
  <c r="EL160" i="15"/>
  <c r="EM160" i="15" s="1"/>
  <c r="EN160" i="15" s="1"/>
  <c r="EL64" i="15"/>
  <c r="EM64" i="15" s="1"/>
  <c r="EN64" i="15" s="1"/>
  <c r="EL192" i="15"/>
  <c r="EM192" i="15" s="1"/>
  <c r="EN192" i="15" s="1"/>
  <c r="EL96" i="15"/>
  <c r="EM96" i="15" s="1"/>
  <c r="EN96" i="15" s="1"/>
  <c r="EL224" i="15"/>
  <c r="EM224" i="15" s="1"/>
  <c r="EN224" i="15" s="1"/>
  <c r="EL128" i="15"/>
  <c r="EM128" i="15" s="1"/>
  <c r="EN128" i="15" s="1"/>
  <c r="BR92" i="15"/>
  <c r="BS92" i="15" s="1"/>
  <c r="BT92" i="15" s="1"/>
  <c r="BR120" i="15"/>
  <c r="BS120" i="15" s="1"/>
  <c r="BT120" i="15" s="1"/>
  <c r="BR209" i="15"/>
  <c r="BS209" i="15" s="1"/>
  <c r="BT209" i="15" s="1"/>
  <c r="BR10" i="15"/>
  <c r="BS10" i="15" s="1"/>
  <c r="BT10" i="15" s="1"/>
  <c r="BR79" i="15"/>
  <c r="BS79" i="15" s="1"/>
  <c r="BT79" i="15" s="1"/>
  <c r="BR191" i="15"/>
  <c r="BS191" i="15" s="1"/>
  <c r="BT191" i="15" s="1"/>
  <c r="CG174" i="15"/>
  <c r="CH174" i="15" s="1"/>
  <c r="CI174" i="15" s="1"/>
  <c r="CG194" i="15"/>
  <c r="CH194" i="15" s="1"/>
  <c r="CI194" i="15" s="1"/>
  <c r="CG199" i="15"/>
  <c r="CH199" i="15" s="1"/>
  <c r="CI199" i="15" s="1"/>
  <c r="CG219" i="15"/>
  <c r="CH219" i="15" s="1"/>
  <c r="CI219" i="15" s="1"/>
  <c r="CG5" i="15"/>
  <c r="CH5" i="15" s="1"/>
  <c r="CI5" i="15" s="1"/>
  <c r="CG85" i="15"/>
  <c r="CH85" i="15" s="1"/>
  <c r="CI85" i="15" s="1"/>
  <c r="CD6" i="15"/>
  <c r="CE6" i="15" s="1"/>
  <c r="CF6" i="15" s="1"/>
  <c r="CD10" i="15"/>
  <c r="CE10" i="15" s="1"/>
  <c r="CF10" i="15" s="1"/>
  <c r="CD14" i="15"/>
  <c r="CE14" i="15" s="1"/>
  <c r="CF14" i="15" s="1"/>
  <c r="CD18" i="15"/>
  <c r="CE18" i="15" s="1"/>
  <c r="CF18" i="15" s="1"/>
  <c r="CD22" i="15"/>
  <c r="CE22" i="15" s="1"/>
  <c r="CF22" i="15" s="1"/>
  <c r="CD26" i="15"/>
  <c r="CE26" i="15" s="1"/>
  <c r="CF26" i="15" s="1"/>
  <c r="CD30" i="15"/>
  <c r="CE30" i="15" s="1"/>
  <c r="CF30" i="15" s="1"/>
  <c r="CD34" i="15"/>
  <c r="CE34" i="15" s="1"/>
  <c r="CF34" i="15" s="1"/>
  <c r="CD38" i="15"/>
  <c r="CE38" i="15" s="1"/>
  <c r="CF38" i="15" s="1"/>
  <c r="CD42" i="15"/>
  <c r="CE42" i="15" s="1"/>
  <c r="CF42" i="15" s="1"/>
  <c r="CD46" i="15"/>
  <c r="CE46" i="15" s="1"/>
  <c r="CF46" i="15" s="1"/>
  <c r="CD50" i="15"/>
  <c r="CE50" i="15" s="1"/>
  <c r="CF50" i="15" s="1"/>
  <c r="CD54" i="15"/>
  <c r="CE54" i="15" s="1"/>
  <c r="CF54" i="15" s="1"/>
  <c r="CD58" i="15"/>
  <c r="CE58" i="15" s="1"/>
  <c r="CF58" i="15" s="1"/>
  <c r="CD62" i="15"/>
  <c r="CE62" i="15" s="1"/>
  <c r="CF62" i="15" s="1"/>
  <c r="CD66" i="15"/>
  <c r="CE66" i="15" s="1"/>
  <c r="CF66" i="15" s="1"/>
  <c r="CD70" i="15"/>
  <c r="CE70" i="15" s="1"/>
  <c r="CF70" i="15" s="1"/>
  <c r="CD74" i="15"/>
  <c r="CE74" i="15" s="1"/>
  <c r="CF74" i="15" s="1"/>
  <c r="CD78" i="15"/>
  <c r="CE78" i="15" s="1"/>
  <c r="CF78" i="15" s="1"/>
  <c r="CD82" i="15"/>
  <c r="CE82" i="15" s="1"/>
  <c r="CF82" i="15" s="1"/>
  <c r="CD86" i="15"/>
  <c r="CE86" i="15" s="1"/>
  <c r="CF86" i="15" s="1"/>
  <c r="CD90" i="15"/>
  <c r="CE90" i="15" s="1"/>
  <c r="CF90" i="15" s="1"/>
  <c r="CD94" i="15"/>
  <c r="CE94" i="15" s="1"/>
  <c r="CF94" i="15" s="1"/>
  <c r="CD98" i="15"/>
  <c r="CE98" i="15" s="1"/>
  <c r="CF98" i="15" s="1"/>
  <c r="CD102" i="15"/>
  <c r="CE102" i="15" s="1"/>
  <c r="CF102" i="15" s="1"/>
  <c r="CD106" i="15"/>
  <c r="CE106" i="15" s="1"/>
  <c r="CF106" i="15" s="1"/>
  <c r="CD110" i="15"/>
  <c r="CE110" i="15" s="1"/>
  <c r="CF110" i="15" s="1"/>
  <c r="CD114" i="15"/>
  <c r="CE114" i="15" s="1"/>
  <c r="CF114" i="15" s="1"/>
  <c r="CD118" i="15"/>
  <c r="CE118" i="15" s="1"/>
  <c r="CF118" i="15" s="1"/>
  <c r="CD122" i="15"/>
  <c r="CE122" i="15" s="1"/>
  <c r="CF122" i="15" s="1"/>
  <c r="CD126" i="15"/>
  <c r="CE126" i="15" s="1"/>
  <c r="CF126" i="15" s="1"/>
  <c r="CD130" i="15"/>
  <c r="CE130" i="15" s="1"/>
  <c r="CF130" i="15" s="1"/>
  <c r="CD134" i="15"/>
  <c r="CE134" i="15" s="1"/>
  <c r="CF134" i="15" s="1"/>
  <c r="CD138" i="15"/>
  <c r="CE138" i="15" s="1"/>
  <c r="CF138" i="15" s="1"/>
  <c r="CD142" i="15"/>
  <c r="CE142" i="15" s="1"/>
  <c r="CF142" i="15" s="1"/>
  <c r="CD146" i="15"/>
  <c r="CE146" i="15" s="1"/>
  <c r="CF146" i="15" s="1"/>
  <c r="CD150" i="15"/>
  <c r="CE150" i="15" s="1"/>
  <c r="CF150" i="15" s="1"/>
  <c r="CD154" i="15"/>
  <c r="CE154" i="15" s="1"/>
  <c r="CF154" i="15" s="1"/>
  <c r="CD158" i="15"/>
  <c r="CE158" i="15" s="1"/>
  <c r="CF158" i="15" s="1"/>
  <c r="CD162" i="15"/>
  <c r="CE162" i="15" s="1"/>
  <c r="CF162" i="15" s="1"/>
  <c r="CD166" i="15"/>
  <c r="CE166" i="15" s="1"/>
  <c r="CF166" i="15" s="1"/>
  <c r="CD170" i="15"/>
  <c r="CE170" i="15" s="1"/>
  <c r="CF170" i="15" s="1"/>
  <c r="CD174" i="15"/>
  <c r="CE174" i="15" s="1"/>
  <c r="CF174" i="15" s="1"/>
  <c r="CD178" i="15"/>
  <c r="CE178" i="15" s="1"/>
  <c r="CF178" i="15" s="1"/>
  <c r="CD182" i="15"/>
  <c r="CE182" i="15" s="1"/>
  <c r="CF182" i="15" s="1"/>
  <c r="CD186" i="15"/>
  <c r="CE186" i="15" s="1"/>
  <c r="CF186" i="15" s="1"/>
  <c r="CD190" i="15"/>
  <c r="CE190" i="15" s="1"/>
  <c r="CF190" i="15" s="1"/>
  <c r="CD194" i="15"/>
  <c r="CE194" i="15" s="1"/>
  <c r="CF194" i="15" s="1"/>
  <c r="CD198" i="15"/>
  <c r="CE198" i="15" s="1"/>
  <c r="CF198" i="15" s="1"/>
  <c r="CD202" i="15"/>
  <c r="CE202" i="15" s="1"/>
  <c r="CF202" i="15" s="1"/>
  <c r="CD206" i="15"/>
  <c r="CE206" i="15" s="1"/>
  <c r="CF206" i="15" s="1"/>
  <c r="CD210" i="15"/>
  <c r="CE210" i="15" s="1"/>
  <c r="CF210" i="15" s="1"/>
  <c r="CD214" i="15"/>
  <c r="CE214" i="15" s="1"/>
  <c r="CF214" i="15" s="1"/>
  <c r="CD218" i="15"/>
  <c r="CE218" i="15" s="1"/>
  <c r="CF218" i="15" s="1"/>
  <c r="CD222" i="15"/>
  <c r="CE222" i="15" s="1"/>
  <c r="CF222" i="15" s="1"/>
  <c r="CD226" i="15"/>
  <c r="CE226" i="15" s="1"/>
  <c r="CF226" i="15" s="1"/>
  <c r="CD3" i="15"/>
  <c r="CE3" i="15" s="1"/>
  <c r="CF3" i="15" s="1"/>
  <c r="CD7" i="15"/>
  <c r="CE7" i="15" s="1"/>
  <c r="CF7" i="15" s="1"/>
  <c r="CD11" i="15"/>
  <c r="CE11" i="15" s="1"/>
  <c r="CF11" i="15" s="1"/>
  <c r="CD15" i="15"/>
  <c r="CE15" i="15" s="1"/>
  <c r="CF15" i="15" s="1"/>
  <c r="CD19" i="15"/>
  <c r="CE19" i="15" s="1"/>
  <c r="CF19" i="15" s="1"/>
  <c r="CD23" i="15"/>
  <c r="CE23" i="15" s="1"/>
  <c r="CF23" i="15" s="1"/>
  <c r="CD27" i="15"/>
  <c r="CE27" i="15" s="1"/>
  <c r="CF27" i="15" s="1"/>
  <c r="CD31" i="15"/>
  <c r="CE31" i="15" s="1"/>
  <c r="CF31" i="15" s="1"/>
  <c r="CD35" i="15"/>
  <c r="CE35" i="15" s="1"/>
  <c r="CF35" i="15" s="1"/>
  <c r="CD39" i="15"/>
  <c r="CE39" i="15" s="1"/>
  <c r="CF39" i="15" s="1"/>
  <c r="CD43" i="15"/>
  <c r="CE43" i="15" s="1"/>
  <c r="CF43" i="15" s="1"/>
  <c r="CD47" i="15"/>
  <c r="CE47" i="15" s="1"/>
  <c r="CF47" i="15" s="1"/>
  <c r="CD51" i="15"/>
  <c r="CE51" i="15" s="1"/>
  <c r="CF51" i="15" s="1"/>
  <c r="CD55" i="15"/>
  <c r="CE55" i="15" s="1"/>
  <c r="CF55" i="15" s="1"/>
  <c r="CD59" i="15"/>
  <c r="CE59" i="15" s="1"/>
  <c r="CF59" i="15" s="1"/>
  <c r="CD63" i="15"/>
  <c r="CE63" i="15" s="1"/>
  <c r="CF63" i="15" s="1"/>
  <c r="CD67" i="15"/>
  <c r="CE67" i="15" s="1"/>
  <c r="CF67" i="15" s="1"/>
  <c r="CD71" i="15"/>
  <c r="CE71" i="15" s="1"/>
  <c r="CF71" i="15" s="1"/>
  <c r="CD75" i="15"/>
  <c r="CE75" i="15" s="1"/>
  <c r="CF75" i="15" s="1"/>
  <c r="CD79" i="15"/>
  <c r="CE79" i="15" s="1"/>
  <c r="CF79" i="15" s="1"/>
  <c r="CD83" i="15"/>
  <c r="CE83" i="15" s="1"/>
  <c r="CF83" i="15" s="1"/>
  <c r="CD87" i="15"/>
  <c r="CE87" i="15" s="1"/>
  <c r="CF87" i="15" s="1"/>
  <c r="CD91" i="15"/>
  <c r="CE91" i="15" s="1"/>
  <c r="CF91" i="15" s="1"/>
  <c r="CD95" i="15"/>
  <c r="CE95" i="15" s="1"/>
  <c r="CF95" i="15" s="1"/>
  <c r="CD99" i="15"/>
  <c r="CE99" i="15" s="1"/>
  <c r="CF99" i="15" s="1"/>
  <c r="CD103" i="15"/>
  <c r="CE103" i="15" s="1"/>
  <c r="CF103" i="15" s="1"/>
  <c r="CD107" i="15"/>
  <c r="CE107" i="15" s="1"/>
  <c r="CF107" i="15" s="1"/>
  <c r="CD111" i="15"/>
  <c r="CE111" i="15" s="1"/>
  <c r="CF111" i="15" s="1"/>
  <c r="CD115" i="15"/>
  <c r="CE115" i="15" s="1"/>
  <c r="CF115" i="15" s="1"/>
  <c r="CD119" i="15"/>
  <c r="CE119" i="15" s="1"/>
  <c r="CF119" i="15" s="1"/>
  <c r="CD123" i="15"/>
  <c r="CE123" i="15" s="1"/>
  <c r="CF123" i="15" s="1"/>
  <c r="CD127" i="15"/>
  <c r="CE127" i="15" s="1"/>
  <c r="CF127" i="15" s="1"/>
  <c r="CD131" i="15"/>
  <c r="CE131" i="15" s="1"/>
  <c r="CF131" i="15" s="1"/>
  <c r="CD135" i="15"/>
  <c r="CE135" i="15" s="1"/>
  <c r="CF135" i="15" s="1"/>
  <c r="CD139" i="15"/>
  <c r="CE139" i="15" s="1"/>
  <c r="CF139" i="15" s="1"/>
  <c r="CD143" i="15"/>
  <c r="CE143" i="15" s="1"/>
  <c r="CF143" i="15" s="1"/>
  <c r="CD147" i="15"/>
  <c r="CE147" i="15" s="1"/>
  <c r="CF147" i="15" s="1"/>
  <c r="CD151" i="15"/>
  <c r="CE151" i="15" s="1"/>
  <c r="CF151" i="15" s="1"/>
  <c r="CD155" i="15"/>
  <c r="CE155" i="15" s="1"/>
  <c r="CF155" i="15" s="1"/>
  <c r="CD159" i="15"/>
  <c r="CE159" i="15" s="1"/>
  <c r="CF159" i="15" s="1"/>
  <c r="CD163" i="15"/>
  <c r="CE163" i="15" s="1"/>
  <c r="CF163" i="15" s="1"/>
  <c r="CD167" i="15"/>
  <c r="CE167" i="15" s="1"/>
  <c r="CF167" i="15" s="1"/>
  <c r="CD171" i="15"/>
  <c r="CE171" i="15" s="1"/>
  <c r="CF171" i="15" s="1"/>
  <c r="CD175" i="15"/>
  <c r="CE175" i="15" s="1"/>
  <c r="CF175" i="15" s="1"/>
  <c r="CD179" i="15"/>
  <c r="CE179" i="15" s="1"/>
  <c r="CF179" i="15" s="1"/>
  <c r="CD183" i="15"/>
  <c r="CE183" i="15" s="1"/>
  <c r="CF183" i="15" s="1"/>
  <c r="CD187" i="15"/>
  <c r="CE187" i="15" s="1"/>
  <c r="CF187" i="15" s="1"/>
  <c r="CD191" i="15"/>
  <c r="CE191" i="15" s="1"/>
  <c r="CF191" i="15" s="1"/>
  <c r="CD195" i="15"/>
  <c r="CE195" i="15" s="1"/>
  <c r="CF195" i="15" s="1"/>
  <c r="CD199" i="15"/>
  <c r="CE199" i="15" s="1"/>
  <c r="CF199" i="15" s="1"/>
  <c r="CD203" i="15"/>
  <c r="CE203" i="15" s="1"/>
  <c r="CF203" i="15" s="1"/>
  <c r="CD207" i="15"/>
  <c r="CE207" i="15" s="1"/>
  <c r="CF207" i="15" s="1"/>
  <c r="CD211" i="15"/>
  <c r="CE211" i="15" s="1"/>
  <c r="CF211" i="15" s="1"/>
  <c r="CD215" i="15"/>
  <c r="CE215" i="15" s="1"/>
  <c r="CF215" i="15" s="1"/>
  <c r="CD219" i="15"/>
  <c r="CE219" i="15" s="1"/>
  <c r="CF219" i="15" s="1"/>
  <c r="CD223" i="15"/>
  <c r="CE223" i="15" s="1"/>
  <c r="CF223" i="15" s="1"/>
  <c r="CD227" i="15"/>
  <c r="CE227" i="15" s="1"/>
  <c r="CF227" i="15" s="1"/>
  <c r="CD2" i="15"/>
  <c r="CE2" i="15" s="1"/>
  <c r="CD4" i="15"/>
  <c r="CE4" i="15" s="1"/>
  <c r="CF4" i="15" s="1"/>
  <c r="CD8" i="15"/>
  <c r="CE8" i="15" s="1"/>
  <c r="CF8" i="15" s="1"/>
  <c r="CD12" i="15"/>
  <c r="CE12" i="15" s="1"/>
  <c r="CF12" i="15" s="1"/>
  <c r="CD16" i="15"/>
  <c r="CE16" i="15" s="1"/>
  <c r="CF16" i="15" s="1"/>
  <c r="CD20" i="15"/>
  <c r="CE20" i="15" s="1"/>
  <c r="CF20" i="15" s="1"/>
  <c r="CD24" i="15"/>
  <c r="CE24" i="15" s="1"/>
  <c r="CF24" i="15" s="1"/>
  <c r="CD28" i="15"/>
  <c r="CE28" i="15" s="1"/>
  <c r="CF28" i="15" s="1"/>
  <c r="CD32" i="15"/>
  <c r="CE32" i="15" s="1"/>
  <c r="CF32" i="15" s="1"/>
  <c r="CD36" i="15"/>
  <c r="CE36" i="15" s="1"/>
  <c r="CF36" i="15" s="1"/>
  <c r="CD40" i="15"/>
  <c r="CE40" i="15" s="1"/>
  <c r="CF40" i="15" s="1"/>
  <c r="CD44" i="15"/>
  <c r="CE44" i="15" s="1"/>
  <c r="CF44" i="15" s="1"/>
  <c r="CD48" i="15"/>
  <c r="CE48" i="15" s="1"/>
  <c r="CF48" i="15" s="1"/>
  <c r="CD52" i="15"/>
  <c r="CE52" i="15" s="1"/>
  <c r="CF52" i="15" s="1"/>
  <c r="CD56" i="15"/>
  <c r="CE56" i="15" s="1"/>
  <c r="CF56" i="15" s="1"/>
  <c r="CD60" i="15"/>
  <c r="CE60" i="15" s="1"/>
  <c r="CF60" i="15" s="1"/>
  <c r="CD64" i="15"/>
  <c r="CE64" i="15" s="1"/>
  <c r="CF64" i="15" s="1"/>
  <c r="CD68" i="15"/>
  <c r="CE68" i="15" s="1"/>
  <c r="CF68" i="15" s="1"/>
  <c r="CD72" i="15"/>
  <c r="CE72" i="15" s="1"/>
  <c r="CF72" i="15" s="1"/>
  <c r="CD76" i="15"/>
  <c r="CE76" i="15" s="1"/>
  <c r="CF76" i="15" s="1"/>
  <c r="CD80" i="15"/>
  <c r="CE80" i="15" s="1"/>
  <c r="CF80" i="15" s="1"/>
  <c r="CD84" i="15"/>
  <c r="CE84" i="15" s="1"/>
  <c r="CF84" i="15" s="1"/>
  <c r="CD88" i="15"/>
  <c r="CE88" i="15" s="1"/>
  <c r="CF88" i="15" s="1"/>
  <c r="CD92" i="15"/>
  <c r="CE92" i="15" s="1"/>
  <c r="CF92" i="15" s="1"/>
  <c r="CD96" i="15"/>
  <c r="CE96" i="15" s="1"/>
  <c r="CF96" i="15" s="1"/>
  <c r="CD100" i="15"/>
  <c r="CE100" i="15" s="1"/>
  <c r="CF100" i="15" s="1"/>
  <c r="CD104" i="15"/>
  <c r="CE104" i="15" s="1"/>
  <c r="CF104" i="15" s="1"/>
  <c r="CD108" i="15"/>
  <c r="CE108" i="15" s="1"/>
  <c r="CF108" i="15" s="1"/>
  <c r="CD112" i="15"/>
  <c r="CE112" i="15" s="1"/>
  <c r="CF112" i="15" s="1"/>
  <c r="CD116" i="15"/>
  <c r="CE116" i="15" s="1"/>
  <c r="CF116" i="15" s="1"/>
  <c r="CD120" i="15"/>
  <c r="CE120" i="15" s="1"/>
  <c r="CF120" i="15" s="1"/>
  <c r="CD124" i="15"/>
  <c r="CE124" i="15" s="1"/>
  <c r="CF124" i="15" s="1"/>
  <c r="CD128" i="15"/>
  <c r="CE128" i="15" s="1"/>
  <c r="CF128" i="15" s="1"/>
  <c r="CD132" i="15"/>
  <c r="CE132" i="15" s="1"/>
  <c r="CF132" i="15" s="1"/>
  <c r="CD136" i="15"/>
  <c r="CE136" i="15" s="1"/>
  <c r="CF136" i="15" s="1"/>
  <c r="CD140" i="15"/>
  <c r="CE140" i="15" s="1"/>
  <c r="CF140" i="15" s="1"/>
  <c r="CD144" i="15"/>
  <c r="CE144" i="15" s="1"/>
  <c r="CF144" i="15" s="1"/>
  <c r="CD148" i="15"/>
  <c r="CE148" i="15" s="1"/>
  <c r="CF148" i="15" s="1"/>
  <c r="CD152" i="15"/>
  <c r="CE152" i="15" s="1"/>
  <c r="CF152" i="15" s="1"/>
  <c r="CD156" i="15"/>
  <c r="CE156" i="15" s="1"/>
  <c r="CF156" i="15" s="1"/>
  <c r="CD160" i="15"/>
  <c r="CE160" i="15" s="1"/>
  <c r="CF160" i="15" s="1"/>
  <c r="CD164" i="15"/>
  <c r="CE164" i="15" s="1"/>
  <c r="CF164" i="15" s="1"/>
  <c r="CD168" i="15"/>
  <c r="CE168" i="15" s="1"/>
  <c r="CF168" i="15" s="1"/>
  <c r="CD172" i="15"/>
  <c r="CE172" i="15" s="1"/>
  <c r="CF172" i="15" s="1"/>
  <c r="CD176" i="15"/>
  <c r="CE176" i="15" s="1"/>
  <c r="CF176" i="15" s="1"/>
  <c r="CD180" i="15"/>
  <c r="CE180" i="15" s="1"/>
  <c r="CF180" i="15" s="1"/>
  <c r="CD184" i="15"/>
  <c r="CE184" i="15" s="1"/>
  <c r="CF184" i="15" s="1"/>
  <c r="CD188" i="15"/>
  <c r="CE188" i="15" s="1"/>
  <c r="CF188" i="15" s="1"/>
  <c r="CD192" i="15"/>
  <c r="CE192" i="15" s="1"/>
  <c r="CF192" i="15" s="1"/>
  <c r="CD196" i="15"/>
  <c r="CE196" i="15" s="1"/>
  <c r="CF196" i="15" s="1"/>
  <c r="CD200" i="15"/>
  <c r="CE200" i="15" s="1"/>
  <c r="CF200" i="15" s="1"/>
  <c r="CD204" i="15"/>
  <c r="CE204" i="15" s="1"/>
  <c r="CF204" i="15" s="1"/>
  <c r="CD208" i="15"/>
  <c r="CE208" i="15" s="1"/>
  <c r="CF208" i="15" s="1"/>
  <c r="CD212" i="15"/>
  <c r="CE212" i="15" s="1"/>
  <c r="CF212" i="15" s="1"/>
  <c r="CD216" i="15"/>
  <c r="CE216" i="15" s="1"/>
  <c r="CF216" i="15" s="1"/>
  <c r="CD220" i="15"/>
  <c r="CE220" i="15" s="1"/>
  <c r="CF220" i="15" s="1"/>
  <c r="CD224" i="15"/>
  <c r="CE224" i="15" s="1"/>
  <c r="CF224" i="15" s="1"/>
  <c r="CD9" i="15"/>
  <c r="CE9" i="15" s="1"/>
  <c r="CF9" i="15" s="1"/>
  <c r="CD25" i="15"/>
  <c r="CE25" i="15" s="1"/>
  <c r="CF25" i="15" s="1"/>
  <c r="CD41" i="15"/>
  <c r="CE41" i="15" s="1"/>
  <c r="CF41" i="15" s="1"/>
  <c r="CD57" i="15"/>
  <c r="CE57" i="15" s="1"/>
  <c r="CF57" i="15" s="1"/>
  <c r="CD73" i="15"/>
  <c r="CE73" i="15" s="1"/>
  <c r="CF73" i="15" s="1"/>
  <c r="CD89" i="15"/>
  <c r="CE89" i="15" s="1"/>
  <c r="CF89" i="15" s="1"/>
  <c r="CD105" i="15"/>
  <c r="CE105" i="15" s="1"/>
  <c r="CF105" i="15" s="1"/>
  <c r="CD121" i="15"/>
  <c r="CE121" i="15" s="1"/>
  <c r="CF121" i="15" s="1"/>
  <c r="CD137" i="15"/>
  <c r="CE137" i="15" s="1"/>
  <c r="CF137" i="15" s="1"/>
  <c r="CD153" i="15"/>
  <c r="CE153" i="15" s="1"/>
  <c r="CF153" i="15" s="1"/>
  <c r="CD169" i="15"/>
  <c r="CE169" i="15" s="1"/>
  <c r="CF169" i="15" s="1"/>
  <c r="CD185" i="15"/>
  <c r="CE185" i="15" s="1"/>
  <c r="CF185" i="15" s="1"/>
  <c r="CD201" i="15"/>
  <c r="CE201" i="15" s="1"/>
  <c r="CF201" i="15" s="1"/>
  <c r="CD217" i="15"/>
  <c r="CE217" i="15" s="1"/>
  <c r="CF217" i="15" s="1"/>
  <c r="CD13" i="15"/>
  <c r="CE13" i="15" s="1"/>
  <c r="CF13" i="15" s="1"/>
  <c r="CD29" i="15"/>
  <c r="CE29" i="15" s="1"/>
  <c r="CF29" i="15" s="1"/>
  <c r="CD45" i="15"/>
  <c r="CE45" i="15" s="1"/>
  <c r="CF45" i="15" s="1"/>
  <c r="CD61" i="15"/>
  <c r="CE61" i="15" s="1"/>
  <c r="CF61" i="15" s="1"/>
  <c r="CD77" i="15"/>
  <c r="CE77" i="15" s="1"/>
  <c r="CF77" i="15" s="1"/>
  <c r="CD93" i="15"/>
  <c r="CE93" i="15" s="1"/>
  <c r="CF93" i="15" s="1"/>
  <c r="CD109" i="15"/>
  <c r="CE109" i="15" s="1"/>
  <c r="CF109" i="15" s="1"/>
  <c r="CD125" i="15"/>
  <c r="CE125" i="15" s="1"/>
  <c r="CF125" i="15" s="1"/>
  <c r="CD141" i="15"/>
  <c r="CE141" i="15" s="1"/>
  <c r="CF141" i="15" s="1"/>
  <c r="CD157" i="15"/>
  <c r="CE157" i="15" s="1"/>
  <c r="CF157" i="15" s="1"/>
  <c r="CD173" i="15"/>
  <c r="CE173" i="15" s="1"/>
  <c r="CF173" i="15" s="1"/>
  <c r="CD189" i="15"/>
  <c r="CE189" i="15" s="1"/>
  <c r="CF189" i="15" s="1"/>
  <c r="CD205" i="15"/>
  <c r="CE205" i="15" s="1"/>
  <c r="CF205" i="15" s="1"/>
  <c r="CD221" i="15"/>
  <c r="CE221" i="15" s="1"/>
  <c r="CF221" i="15" s="1"/>
  <c r="CD17" i="15"/>
  <c r="CE17" i="15" s="1"/>
  <c r="CF17" i="15" s="1"/>
  <c r="CD33" i="15"/>
  <c r="CE33" i="15" s="1"/>
  <c r="CF33" i="15" s="1"/>
  <c r="CD49" i="15"/>
  <c r="CE49" i="15" s="1"/>
  <c r="CF49" i="15" s="1"/>
  <c r="CD65" i="15"/>
  <c r="CE65" i="15" s="1"/>
  <c r="CF65" i="15" s="1"/>
  <c r="CD81" i="15"/>
  <c r="CE81" i="15" s="1"/>
  <c r="CF81" i="15" s="1"/>
  <c r="CD97" i="15"/>
  <c r="CE97" i="15" s="1"/>
  <c r="CF97" i="15" s="1"/>
  <c r="CD113" i="15"/>
  <c r="CE113" i="15" s="1"/>
  <c r="CF113" i="15" s="1"/>
  <c r="CD129" i="15"/>
  <c r="CE129" i="15" s="1"/>
  <c r="CF129" i="15" s="1"/>
  <c r="CD145" i="15"/>
  <c r="CE145" i="15" s="1"/>
  <c r="CF145" i="15" s="1"/>
  <c r="CD161" i="15"/>
  <c r="CE161" i="15" s="1"/>
  <c r="CF161" i="15" s="1"/>
  <c r="CD177" i="15"/>
  <c r="CE177" i="15" s="1"/>
  <c r="CF177" i="15" s="1"/>
  <c r="CD193" i="15"/>
  <c r="CE193" i="15" s="1"/>
  <c r="CF193" i="15" s="1"/>
  <c r="CD209" i="15"/>
  <c r="CE209" i="15" s="1"/>
  <c r="CF209" i="15" s="1"/>
  <c r="CD225" i="15"/>
  <c r="CE225" i="15" s="1"/>
  <c r="CF225" i="15" s="1"/>
  <c r="CD37" i="15"/>
  <c r="CE37" i="15" s="1"/>
  <c r="CF37" i="15" s="1"/>
  <c r="CD101" i="15"/>
  <c r="CE101" i="15" s="1"/>
  <c r="CF101" i="15" s="1"/>
  <c r="CD165" i="15"/>
  <c r="CE165" i="15" s="1"/>
  <c r="CF165" i="15" s="1"/>
  <c r="CD21" i="15"/>
  <c r="CE21" i="15" s="1"/>
  <c r="CF21" i="15" s="1"/>
  <c r="CD85" i="15"/>
  <c r="CE85" i="15" s="1"/>
  <c r="CF85" i="15" s="1"/>
  <c r="CD213" i="15"/>
  <c r="CE213" i="15" s="1"/>
  <c r="CF213" i="15" s="1"/>
  <c r="CD53" i="15"/>
  <c r="CE53" i="15" s="1"/>
  <c r="CF53" i="15" s="1"/>
  <c r="CD117" i="15"/>
  <c r="CE117" i="15" s="1"/>
  <c r="CF117" i="15" s="1"/>
  <c r="CD181" i="15"/>
  <c r="CE181" i="15" s="1"/>
  <c r="CF181" i="15" s="1"/>
  <c r="CD5" i="15"/>
  <c r="CE5" i="15" s="1"/>
  <c r="CF5" i="15" s="1"/>
  <c r="CD69" i="15"/>
  <c r="CE69" i="15" s="1"/>
  <c r="CF69" i="15" s="1"/>
  <c r="CD133" i="15"/>
  <c r="CE133" i="15" s="1"/>
  <c r="CF133" i="15" s="1"/>
  <c r="CD197" i="15"/>
  <c r="CE197" i="15" s="1"/>
  <c r="CF197" i="15" s="1"/>
  <c r="CD149" i="15"/>
  <c r="CE149" i="15" s="1"/>
  <c r="CF149" i="15" s="1"/>
  <c r="V5" i="15"/>
  <c r="W5" i="15" s="1"/>
  <c r="X5" i="15" s="1"/>
  <c r="V9" i="15"/>
  <c r="W9" i="15" s="1"/>
  <c r="X9" i="15" s="1"/>
  <c r="V13" i="15"/>
  <c r="W13" i="15" s="1"/>
  <c r="X13" i="15" s="1"/>
  <c r="V17" i="15"/>
  <c r="W17" i="15" s="1"/>
  <c r="X17" i="15" s="1"/>
  <c r="V21" i="15"/>
  <c r="W21" i="15" s="1"/>
  <c r="X21" i="15" s="1"/>
  <c r="V25" i="15"/>
  <c r="W25" i="15" s="1"/>
  <c r="X25" i="15" s="1"/>
  <c r="V29" i="15"/>
  <c r="W29" i="15" s="1"/>
  <c r="X29" i="15" s="1"/>
  <c r="V33" i="15"/>
  <c r="W33" i="15" s="1"/>
  <c r="X33" i="15" s="1"/>
  <c r="V37" i="15"/>
  <c r="W37" i="15" s="1"/>
  <c r="X37" i="15" s="1"/>
  <c r="V41" i="15"/>
  <c r="W41" i="15" s="1"/>
  <c r="X41" i="15" s="1"/>
  <c r="V45" i="15"/>
  <c r="W45" i="15" s="1"/>
  <c r="X45" i="15" s="1"/>
  <c r="V49" i="15"/>
  <c r="W49" i="15" s="1"/>
  <c r="X49" i="15" s="1"/>
  <c r="V53" i="15"/>
  <c r="W53" i="15" s="1"/>
  <c r="X53" i="15" s="1"/>
  <c r="V57" i="15"/>
  <c r="W57" i="15" s="1"/>
  <c r="X57" i="15" s="1"/>
  <c r="V61" i="15"/>
  <c r="W61" i="15" s="1"/>
  <c r="X61" i="15" s="1"/>
  <c r="V65" i="15"/>
  <c r="W65" i="15" s="1"/>
  <c r="X65" i="15" s="1"/>
  <c r="V69" i="15"/>
  <c r="W69" i="15" s="1"/>
  <c r="X69" i="15" s="1"/>
  <c r="V73" i="15"/>
  <c r="W73" i="15" s="1"/>
  <c r="X73" i="15" s="1"/>
  <c r="V77" i="15"/>
  <c r="W77" i="15" s="1"/>
  <c r="X77" i="15" s="1"/>
  <c r="V81" i="15"/>
  <c r="W81" i="15" s="1"/>
  <c r="X81" i="15" s="1"/>
  <c r="V85" i="15"/>
  <c r="W85" i="15" s="1"/>
  <c r="X85" i="15" s="1"/>
  <c r="V89" i="15"/>
  <c r="W89" i="15" s="1"/>
  <c r="X89" i="15" s="1"/>
  <c r="V93" i="15"/>
  <c r="W93" i="15" s="1"/>
  <c r="X93" i="15" s="1"/>
  <c r="V97" i="15"/>
  <c r="W97" i="15" s="1"/>
  <c r="X97" i="15" s="1"/>
  <c r="V101" i="15"/>
  <c r="W101" i="15" s="1"/>
  <c r="X101" i="15" s="1"/>
  <c r="V105" i="15"/>
  <c r="W105" i="15" s="1"/>
  <c r="X105" i="15" s="1"/>
  <c r="V109" i="15"/>
  <c r="W109" i="15" s="1"/>
  <c r="X109" i="15" s="1"/>
  <c r="V113" i="15"/>
  <c r="W113" i="15" s="1"/>
  <c r="X113" i="15" s="1"/>
  <c r="V117" i="15"/>
  <c r="W117" i="15" s="1"/>
  <c r="X117" i="15" s="1"/>
  <c r="V121" i="15"/>
  <c r="W121" i="15" s="1"/>
  <c r="X121" i="15" s="1"/>
  <c r="V125" i="15"/>
  <c r="W125" i="15" s="1"/>
  <c r="X125" i="15" s="1"/>
  <c r="V129" i="15"/>
  <c r="W129" i="15" s="1"/>
  <c r="X129" i="15" s="1"/>
  <c r="V133" i="15"/>
  <c r="W133" i="15" s="1"/>
  <c r="X133" i="15" s="1"/>
  <c r="V137" i="15"/>
  <c r="W137" i="15" s="1"/>
  <c r="X137" i="15" s="1"/>
  <c r="V141" i="15"/>
  <c r="W141" i="15" s="1"/>
  <c r="X141" i="15" s="1"/>
  <c r="V145" i="15"/>
  <c r="W145" i="15" s="1"/>
  <c r="X145" i="15" s="1"/>
  <c r="V149" i="15"/>
  <c r="W149" i="15" s="1"/>
  <c r="X149" i="15" s="1"/>
  <c r="V153" i="15"/>
  <c r="W153" i="15" s="1"/>
  <c r="X153" i="15" s="1"/>
  <c r="V157" i="15"/>
  <c r="W157" i="15" s="1"/>
  <c r="X157" i="15" s="1"/>
  <c r="V161" i="15"/>
  <c r="W161" i="15" s="1"/>
  <c r="X161" i="15" s="1"/>
  <c r="V165" i="15"/>
  <c r="W165" i="15" s="1"/>
  <c r="X165" i="15" s="1"/>
  <c r="V169" i="15"/>
  <c r="W169" i="15" s="1"/>
  <c r="X169" i="15" s="1"/>
  <c r="V173" i="15"/>
  <c r="W173" i="15" s="1"/>
  <c r="X173" i="15" s="1"/>
  <c r="V177" i="15"/>
  <c r="W177" i="15" s="1"/>
  <c r="X177" i="15" s="1"/>
  <c r="V181" i="15"/>
  <c r="W181" i="15" s="1"/>
  <c r="X181" i="15" s="1"/>
  <c r="V185" i="15"/>
  <c r="W185" i="15" s="1"/>
  <c r="X185" i="15" s="1"/>
  <c r="V189" i="15"/>
  <c r="W189" i="15" s="1"/>
  <c r="X189" i="15" s="1"/>
  <c r="V193" i="15"/>
  <c r="W193" i="15" s="1"/>
  <c r="X193" i="15" s="1"/>
  <c r="V197" i="15"/>
  <c r="W197" i="15" s="1"/>
  <c r="X197" i="15" s="1"/>
  <c r="V201" i="15"/>
  <c r="W201" i="15" s="1"/>
  <c r="X201" i="15" s="1"/>
  <c r="V205" i="15"/>
  <c r="W205" i="15" s="1"/>
  <c r="X205" i="15" s="1"/>
  <c r="V209" i="15"/>
  <c r="W209" i="15" s="1"/>
  <c r="X209" i="15" s="1"/>
  <c r="V213" i="15"/>
  <c r="W213" i="15" s="1"/>
  <c r="X213" i="15" s="1"/>
  <c r="V217" i="15"/>
  <c r="W217" i="15" s="1"/>
  <c r="X217" i="15" s="1"/>
  <c r="V221" i="15"/>
  <c r="W221" i="15" s="1"/>
  <c r="X221" i="15" s="1"/>
  <c r="V225" i="15"/>
  <c r="W225" i="15" s="1"/>
  <c r="X225" i="15" s="1"/>
  <c r="V4" i="15"/>
  <c r="W4" i="15" s="1"/>
  <c r="X4" i="15" s="1"/>
  <c r="V12" i="15"/>
  <c r="W12" i="15" s="1"/>
  <c r="X12" i="15" s="1"/>
  <c r="V20" i="15"/>
  <c r="W20" i="15" s="1"/>
  <c r="X20" i="15" s="1"/>
  <c r="V28" i="15"/>
  <c r="W28" i="15" s="1"/>
  <c r="X28" i="15" s="1"/>
  <c r="V36" i="15"/>
  <c r="W36" i="15" s="1"/>
  <c r="X36" i="15" s="1"/>
  <c r="V44" i="15"/>
  <c r="W44" i="15" s="1"/>
  <c r="X44" i="15" s="1"/>
  <c r="V52" i="15"/>
  <c r="W52" i="15" s="1"/>
  <c r="X52" i="15" s="1"/>
  <c r="V60" i="15"/>
  <c r="W60" i="15" s="1"/>
  <c r="X60" i="15" s="1"/>
  <c r="V68" i="15"/>
  <c r="W68" i="15" s="1"/>
  <c r="X68" i="15" s="1"/>
  <c r="V76" i="15"/>
  <c r="W76" i="15" s="1"/>
  <c r="X76" i="15" s="1"/>
  <c r="V88" i="15"/>
  <c r="W88" i="15" s="1"/>
  <c r="X88" i="15" s="1"/>
  <c r="V96" i="15"/>
  <c r="W96" i="15" s="1"/>
  <c r="X96" i="15" s="1"/>
  <c r="V104" i="15"/>
  <c r="W104" i="15" s="1"/>
  <c r="X104" i="15" s="1"/>
  <c r="V108" i="15"/>
  <c r="W108" i="15" s="1"/>
  <c r="X108" i="15" s="1"/>
  <c r="V116" i="15"/>
  <c r="W116" i="15" s="1"/>
  <c r="X116" i="15" s="1"/>
  <c r="V124" i="15"/>
  <c r="W124" i="15" s="1"/>
  <c r="X124" i="15" s="1"/>
  <c r="V136" i="15"/>
  <c r="W136" i="15" s="1"/>
  <c r="X136" i="15" s="1"/>
  <c r="V140" i="15"/>
  <c r="W140" i="15" s="1"/>
  <c r="X140" i="15" s="1"/>
  <c r="V144" i="15"/>
  <c r="W144" i="15" s="1"/>
  <c r="X144" i="15" s="1"/>
  <c r="V152" i="15"/>
  <c r="W152" i="15" s="1"/>
  <c r="X152" i="15" s="1"/>
  <c r="V160" i="15"/>
  <c r="W160" i="15" s="1"/>
  <c r="X160" i="15" s="1"/>
  <c r="V168" i="15"/>
  <c r="W168" i="15" s="1"/>
  <c r="X168" i="15" s="1"/>
  <c r="V176" i="15"/>
  <c r="W176" i="15" s="1"/>
  <c r="X176" i="15" s="1"/>
  <c r="V184" i="15"/>
  <c r="W184" i="15" s="1"/>
  <c r="X184" i="15" s="1"/>
  <c r="V196" i="15"/>
  <c r="W196" i="15" s="1"/>
  <c r="X196" i="15" s="1"/>
  <c r="V200" i="15"/>
  <c r="W200" i="15" s="1"/>
  <c r="X200" i="15" s="1"/>
  <c r="V208" i="15"/>
  <c r="W208" i="15" s="1"/>
  <c r="X208" i="15" s="1"/>
  <c r="V220" i="15"/>
  <c r="W220" i="15" s="1"/>
  <c r="X220" i="15" s="1"/>
  <c r="V2" i="15"/>
  <c r="W2" i="15" s="1"/>
  <c r="V6" i="15"/>
  <c r="W6" i="15" s="1"/>
  <c r="X6" i="15" s="1"/>
  <c r="V10" i="15"/>
  <c r="W10" i="15" s="1"/>
  <c r="X10" i="15" s="1"/>
  <c r="V14" i="15"/>
  <c r="W14" i="15" s="1"/>
  <c r="X14" i="15" s="1"/>
  <c r="V18" i="15"/>
  <c r="W18" i="15" s="1"/>
  <c r="X18" i="15" s="1"/>
  <c r="V22" i="15"/>
  <c r="W22" i="15" s="1"/>
  <c r="X22" i="15" s="1"/>
  <c r="V26" i="15"/>
  <c r="W26" i="15" s="1"/>
  <c r="X26" i="15" s="1"/>
  <c r="V30" i="15"/>
  <c r="W30" i="15" s="1"/>
  <c r="X30" i="15" s="1"/>
  <c r="V34" i="15"/>
  <c r="W34" i="15" s="1"/>
  <c r="X34" i="15" s="1"/>
  <c r="V38" i="15"/>
  <c r="W38" i="15" s="1"/>
  <c r="X38" i="15" s="1"/>
  <c r="V42" i="15"/>
  <c r="W42" i="15" s="1"/>
  <c r="X42" i="15" s="1"/>
  <c r="V46" i="15"/>
  <c r="W46" i="15" s="1"/>
  <c r="X46" i="15" s="1"/>
  <c r="V50" i="15"/>
  <c r="W50" i="15" s="1"/>
  <c r="X50" i="15" s="1"/>
  <c r="V54" i="15"/>
  <c r="W54" i="15" s="1"/>
  <c r="X54" i="15" s="1"/>
  <c r="V58" i="15"/>
  <c r="W58" i="15" s="1"/>
  <c r="X58" i="15" s="1"/>
  <c r="V62" i="15"/>
  <c r="W62" i="15" s="1"/>
  <c r="X62" i="15" s="1"/>
  <c r="V66" i="15"/>
  <c r="W66" i="15" s="1"/>
  <c r="X66" i="15" s="1"/>
  <c r="V70" i="15"/>
  <c r="W70" i="15" s="1"/>
  <c r="X70" i="15" s="1"/>
  <c r="V74" i="15"/>
  <c r="W74" i="15" s="1"/>
  <c r="X74" i="15" s="1"/>
  <c r="V78" i="15"/>
  <c r="W78" i="15" s="1"/>
  <c r="X78" i="15" s="1"/>
  <c r="V82" i="15"/>
  <c r="W82" i="15" s="1"/>
  <c r="X82" i="15" s="1"/>
  <c r="V86" i="15"/>
  <c r="W86" i="15" s="1"/>
  <c r="X86" i="15" s="1"/>
  <c r="V90" i="15"/>
  <c r="W90" i="15" s="1"/>
  <c r="X90" i="15" s="1"/>
  <c r="V94" i="15"/>
  <c r="W94" i="15" s="1"/>
  <c r="X94" i="15" s="1"/>
  <c r="V98" i="15"/>
  <c r="W98" i="15" s="1"/>
  <c r="X98" i="15" s="1"/>
  <c r="V102" i="15"/>
  <c r="W102" i="15" s="1"/>
  <c r="X102" i="15" s="1"/>
  <c r="V106" i="15"/>
  <c r="W106" i="15" s="1"/>
  <c r="X106" i="15" s="1"/>
  <c r="V110" i="15"/>
  <c r="W110" i="15" s="1"/>
  <c r="X110" i="15" s="1"/>
  <c r="V114" i="15"/>
  <c r="W114" i="15" s="1"/>
  <c r="X114" i="15" s="1"/>
  <c r="V118" i="15"/>
  <c r="W118" i="15" s="1"/>
  <c r="X118" i="15" s="1"/>
  <c r="V122" i="15"/>
  <c r="W122" i="15" s="1"/>
  <c r="X122" i="15" s="1"/>
  <c r="V126" i="15"/>
  <c r="W126" i="15" s="1"/>
  <c r="X126" i="15" s="1"/>
  <c r="V130" i="15"/>
  <c r="W130" i="15" s="1"/>
  <c r="X130" i="15" s="1"/>
  <c r="V134" i="15"/>
  <c r="W134" i="15" s="1"/>
  <c r="X134" i="15" s="1"/>
  <c r="V138" i="15"/>
  <c r="W138" i="15" s="1"/>
  <c r="X138" i="15" s="1"/>
  <c r="V142" i="15"/>
  <c r="W142" i="15" s="1"/>
  <c r="X142" i="15" s="1"/>
  <c r="V146" i="15"/>
  <c r="W146" i="15" s="1"/>
  <c r="X146" i="15" s="1"/>
  <c r="V150" i="15"/>
  <c r="W150" i="15" s="1"/>
  <c r="X150" i="15" s="1"/>
  <c r="V154" i="15"/>
  <c r="W154" i="15" s="1"/>
  <c r="X154" i="15" s="1"/>
  <c r="V158" i="15"/>
  <c r="W158" i="15" s="1"/>
  <c r="X158" i="15" s="1"/>
  <c r="V162" i="15"/>
  <c r="W162" i="15" s="1"/>
  <c r="X162" i="15" s="1"/>
  <c r="V166" i="15"/>
  <c r="W166" i="15" s="1"/>
  <c r="X166" i="15" s="1"/>
  <c r="V170" i="15"/>
  <c r="W170" i="15" s="1"/>
  <c r="X170" i="15" s="1"/>
  <c r="V174" i="15"/>
  <c r="W174" i="15" s="1"/>
  <c r="X174" i="15" s="1"/>
  <c r="V178" i="15"/>
  <c r="W178" i="15" s="1"/>
  <c r="X178" i="15" s="1"/>
  <c r="V182" i="15"/>
  <c r="W182" i="15" s="1"/>
  <c r="X182" i="15" s="1"/>
  <c r="V186" i="15"/>
  <c r="W186" i="15" s="1"/>
  <c r="X186" i="15" s="1"/>
  <c r="V190" i="15"/>
  <c r="W190" i="15" s="1"/>
  <c r="X190" i="15" s="1"/>
  <c r="V194" i="15"/>
  <c r="W194" i="15" s="1"/>
  <c r="X194" i="15" s="1"/>
  <c r="V198" i="15"/>
  <c r="W198" i="15" s="1"/>
  <c r="X198" i="15" s="1"/>
  <c r="V202" i="15"/>
  <c r="W202" i="15" s="1"/>
  <c r="X202" i="15" s="1"/>
  <c r="V206" i="15"/>
  <c r="W206" i="15" s="1"/>
  <c r="X206" i="15" s="1"/>
  <c r="V210" i="15"/>
  <c r="W210" i="15" s="1"/>
  <c r="X210" i="15" s="1"/>
  <c r="V214" i="15"/>
  <c r="W214" i="15" s="1"/>
  <c r="X214" i="15" s="1"/>
  <c r="V218" i="15"/>
  <c r="W218" i="15" s="1"/>
  <c r="X218" i="15" s="1"/>
  <c r="V222" i="15"/>
  <c r="W222" i="15" s="1"/>
  <c r="X222" i="15" s="1"/>
  <c r="V226" i="15"/>
  <c r="W226" i="15" s="1"/>
  <c r="X226" i="15" s="1"/>
  <c r="V188" i="15"/>
  <c r="W188" i="15" s="1"/>
  <c r="X188" i="15" s="1"/>
  <c r="V224" i="15"/>
  <c r="W224" i="15" s="1"/>
  <c r="X224" i="15" s="1"/>
  <c r="V3" i="15"/>
  <c r="W3" i="15" s="1"/>
  <c r="X3" i="15" s="1"/>
  <c r="V7" i="15"/>
  <c r="W7" i="15" s="1"/>
  <c r="X7" i="15" s="1"/>
  <c r="V11" i="15"/>
  <c r="W11" i="15" s="1"/>
  <c r="X11" i="15" s="1"/>
  <c r="V15" i="15"/>
  <c r="W15" i="15" s="1"/>
  <c r="X15" i="15" s="1"/>
  <c r="V19" i="15"/>
  <c r="W19" i="15" s="1"/>
  <c r="X19" i="15" s="1"/>
  <c r="V23" i="15"/>
  <c r="W23" i="15" s="1"/>
  <c r="X23" i="15" s="1"/>
  <c r="V27" i="15"/>
  <c r="W27" i="15" s="1"/>
  <c r="X27" i="15" s="1"/>
  <c r="V31" i="15"/>
  <c r="W31" i="15" s="1"/>
  <c r="X31" i="15" s="1"/>
  <c r="V35" i="15"/>
  <c r="W35" i="15" s="1"/>
  <c r="X35" i="15" s="1"/>
  <c r="V39" i="15"/>
  <c r="W39" i="15" s="1"/>
  <c r="X39" i="15" s="1"/>
  <c r="V43" i="15"/>
  <c r="W43" i="15" s="1"/>
  <c r="X43" i="15" s="1"/>
  <c r="V47" i="15"/>
  <c r="W47" i="15" s="1"/>
  <c r="X47" i="15" s="1"/>
  <c r="V51" i="15"/>
  <c r="W51" i="15" s="1"/>
  <c r="X51" i="15" s="1"/>
  <c r="V55" i="15"/>
  <c r="W55" i="15" s="1"/>
  <c r="X55" i="15" s="1"/>
  <c r="V59" i="15"/>
  <c r="W59" i="15" s="1"/>
  <c r="X59" i="15" s="1"/>
  <c r="V63" i="15"/>
  <c r="W63" i="15" s="1"/>
  <c r="X63" i="15" s="1"/>
  <c r="V67" i="15"/>
  <c r="W67" i="15" s="1"/>
  <c r="X67" i="15" s="1"/>
  <c r="V71" i="15"/>
  <c r="W71" i="15" s="1"/>
  <c r="X71" i="15" s="1"/>
  <c r="V75" i="15"/>
  <c r="W75" i="15" s="1"/>
  <c r="X75" i="15" s="1"/>
  <c r="V79" i="15"/>
  <c r="W79" i="15" s="1"/>
  <c r="X79" i="15" s="1"/>
  <c r="V83" i="15"/>
  <c r="W83" i="15" s="1"/>
  <c r="X83" i="15" s="1"/>
  <c r="V87" i="15"/>
  <c r="W87" i="15" s="1"/>
  <c r="X87" i="15" s="1"/>
  <c r="V91" i="15"/>
  <c r="W91" i="15" s="1"/>
  <c r="X91" i="15" s="1"/>
  <c r="V95" i="15"/>
  <c r="W95" i="15" s="1"/>
  <c r="X95" i="15" s="1"/>
  <c r="V99" i="15"/>
  <c r="W99" i="15" s="1"/>
  <c r="X99" i="15" s="1"/>
  <c r="V103" i="15"/>
  <c r="W103" i="15" s="1"/>
  <c r="X103" i="15" s="1"/>
  <c r="V107" i="15"/>
  <c r="W107" i="15" s="1"/>
  <c r="X107" i="15" s="1"/>
  <c r="V111" i="15"/>
  <c r="W111" i="15" s="1"/>
  <c r="X111" i="15" s="1"/>
  <c r="V115" i="15"/>
  <c r="W115" i="15" s="1"/>
  <c r="X115" i="15" s="1"/>
  <c r="V119" i="15"/>
  <c r="W119" i="15" s="1"/>
  <c r="X119" i="15" s="1"/>
  <c r="V123" i="15"/>
  <c r="W123" i="15" s="1"/>
  <c r="X123" i="15" s="1"/>
  <c r="V127" i="15"/>
  <c r="W127" i="15" s="1"/>
  <c r="X127" i="15" s="1"/>
  <c r="V131" i="15"/>
  <c r="W131" i="15" s="1"/>
  <c r="X131" i="15" s="1"/>
  <c r="V135" i="15"/>
  <c r="W135" i="15" s="1"/>
  <c r="X135" i="15" s="1"/>
  <c r="V139" i="15"/>
  <c r="W139" i="15" s="1"/>
  <c r="X139" i="15" s="1"/>
  <c r="V143" i="15"/>
  <c r="W143" i="15" s="1"/>
  <c r="X143" i="15" s="1"/>
  <c r="V147" i="15"/>
  <c r="W147" i="15" s="1"/>
  <c r="X147" i="15" s="1"/>
  <c r="V151" i="15"/>
  <c r="W151" i="15" s="1"/>
  <c r="X151" i="15" s="1"/>
  <c r="V155" i="15"/>
  <c r="W155" i="15" s="1"/>
  <c r="X155" i="15" s="1"/>
  <c r="V159" i="15"/>
  <c r="W159" i="15" s="1"/>
  <c r="X159" i="15" s="1"/>
  <c r="V163" i="15"/>
  <c r="W163" i="15" s="1"/>
  <c r="X163" i="15" s="1"/>
  <c r="V167" i="15"/>
  <c r="W167" i="15" s="1"/>
  <c r="X167" i="15" s="1"/>
  <c r="V171" i="15"/>
  <c r="W171" i="15" s="1"/>
  <c r="X171" i="15" s="1"/>
  <c r="V175" i="15"/>
  <c r="W175" i="15" s="1"/>
  <c r="X175" i="15" s="1"/>
  <c r="V179" i="15"/>
  <c r="W179" i="15" s="1"/>
  <c r="X179" i="15" s="1"/>
  <c r="V183" i="15"/>
  <c r="W183" i="15" s="1"/>
  <c r="X183" i="15" s="1"/>
  <c r="V187" i="15"/>
  <c r="W187" i="15" s="1"/>
  <c r="X187" i="15" s="1"/>
  <c r="V191" i="15"/>
  <c r="W191" i="15" s="1"/>
  <c r="X191" i="15" s="1"/>
  <c r="V195" i="15"/>
  <c r="W195" i="15" s="1"/>
  <c r="X195" i="15" s="1"/>
  <c r="V199" i="15"/>
  <c r="W199" i="15" s="1"/>
  <c r="X199" i="15" s="1"/>
  <c r="V203" i="15"/>
  <c r="W203" i="15" s="1"/>
  <c r="X203" i="15" s="1"/>
  <c r="V207" i="15"/>
  <c r="W207" i="15" s="1"/>
  <c r="X207" i="15" s="1"/>
  <c r="V211" i="15"/>
  <c r="W211" i="15" s="1"/>
  <c r="X211" i="15" s="1"/>
  <c r="V215" i="15"/>
  <c r="W215" i="15" s="1"/>
  <c r="X215" i="15" s="1"/>
  <c r="V219" i="15"/>
  <c r="W219" i="15" s="1"/>
  <c r="X219" i="15" s="1"/>
  <c r="V223" i="15"/>
  <c r="W223" i="15" s="1"/>
  <c r="X223" i="15" s="1"/>
  <c r="V227" i="15"/>
  <c r="W227" i="15" s="1"/>
  <c r="X227" i="15" s="1"/>
  <c r="V8" i="15"/>
  <c r="W8" i="15" s="1"/>
  <c r="X8" i="15" s="1"/>
  <c r="V16" i="15"/>
  <c r="W16" i="15" s="1"/>
  <c r="X16" i="15" s="1"/>
  <c r="V24" i="15"/>
  <c r="W24" i="15" s="1"/>
  <c r="X24" i="15" s="1"/>
  <c r="V32" i="15"/>
  <c r="W32" i="15" s="1"/>
  <c r="X32" i="15" s="1"/>
  <c r="V40" i="15"/>
  <c r="W40" i="15" s="1"/>
  <c r="X40" i="15" s="1"/>
  <c r="V48" i="15"/>
  <c r="W48" i="15" s="1"/>
  <c r="X48" i="15" s="1"/>
  <c r="V56" i="15"/>
  <c r="W56" i="15" s="1"/>
  <c r="X56" i="15" s="1"/>
  <c r="V64" i="15"/>
  <c r="W64" i="15" s="1"/>
  <c r="X64" i="15" s="1"/>
  <c r="V72" i="15"/>
  <c r="W72" i="15" s="1"/>
  <c r="X72" i="15" s="1"/>
  <c r="V80" i="15"/>
  <c r="W80" i="15" s="1"/>
  <c r="X80" i="15" s="1"/>
  <c r="V84" i="15"/>
  <c r="W84" i="15" s="1"/>
  <c r="X84" i="15" s="1"/>
  <c r="V92" i="15"/>
  <c r="W92" i="15" s="1"/>
  <c r="X92" i="15" s="1"/>
  <c r="V100" i="15"/>
  <c r="W100" i="15" s="1"/>
  <c r="X100" i="15" s="1"/>
  <c r="V112" i="15"/>
  <c r="W112" i="15" s="1"/>
  <c r="X112" i="15" s="1"/>
  <c r="V120" i="15"/>
  <c r="W120" i="15" s="1"/>
  <c r="X120" i="15" s="1"/>
  <c r="V128" i="15"/>
  <c r="W128" i="15" s="1"/>
  <c r="X128" i="15" s="1"/>
  <c r="V132" i="15"/>
  <c r="W132" i="15" s="1"/>
  <c r="X132" i="15" s="1"/>
  <c r="V148" i="15"/>
  <c r="W148" i="15" s="1"/>
  <c r="X148" i="15" s="1"/>
  <c r="V156" i="15"/>
  <c r="W156" i="15" s="1"/>
  <c r="X156" i="15" s="1"/>
  <c r="V164" i="15"/>
  <c r="W164" i="15" s="1"/>
  <c r="X164" i="15" s="1"/>
  <c r="V172" i="15"/>
  <c r="W172" i="15" s="1"/>
  <c r="X172" i="15" s="1"/>
  <c r="V180" i="15"/>
  <c r="W180" i="15" s="1"/>
  <c r="X180" i="15" s="1"/>
  <c r="V192" i="15"/>
  <c r="W192" i="15" s="1"/>
  <c r="X192" i="15" s="1"/>
  <c r="V204" i="15"/>
  <c r="W204" i="15" s="1"/>
  <c r="X204" i="15" s="1"/>
  <c r="V212" i="15"/>
  <c r="W212" i="15" s="1"/>
  <c r="X212" i="15" s="1"/>
  <c r="V216" i="15"/>
  <c r="W216" i="15" s="1"/>
  <c r="X216" i="15" s="1"/>
  <c r="G20" i="15"/>
  <c r="H20" i="15" s="1"/>
  <c r="I20" i="15" s="1"/>
  <c r="G36" i="15"/>
  <c r="H36" i="15" s="1"/>
  <c r="I36" i="15" s="1"/>
  <c r="G25" i="15"/>
  <c r="H25" i="15" s="1"/>
  <c r="I25" i="15" s="1"/>
  <c r="G37" i="15"/>
  <c r="H37" i="15" s="1"/>
  <c r="I37" i="15" s="1"/>
  <c r="G2" i="15"/>
  <c r="H2" i="15" s="1"/>
  <c r="G14" i="15"/>
  <c r="H14" i="15" s="1"/>
  <c r="I14" i="15" s="1"/>
  <c r="G130" i="15"/>
  <c r="H130" i="15" s="1"/>
  <c r="I130" i="15" s="1"/>
  <c r="G142" i="15"/>
  <c r="H142" i="15" s="1"/>
  <c r="I142" i="15" s="1"/>
  <c r="G220" i="15"/>
  <c r="H220" i="15" s="1"/>
  <c r="I220" i="15" s="1"/>
  <c r="G27" i="15"/>
  <c r="H27" i="15" s="1"/>
  <c r="I27" i="15" s="1"/>
  <c r="G47" i="15"/>
  <c r="H47" i="15" s="1"/>
  <c r="I47" i="15" s="1"/>
  <c r="G95" i="15"/>
  <c r="H95" i="15" s="1"/>
  <c r="I95" i="15" s="1"/>
  <c r="G211" i="15"/>
  <c r="H211" i="15" s="1"/>
  <c r="I211" i="15" s="1"/>
  <c r="G207" i="15"/>
  <c r="H207" i="15" s="1"/>
  <c r="I207" i="15" s="1"/>
  <c r="Y4" i="15"/>
  <c r="Z4" i="15" s="1"/>
  <c r="AA4" i="15" s="1"/>
  <c r="Y20" i="15"/>
  <c r="Z20" i="15" s="1"/>
  <c r="AA20" i="15" s="1"/>
  <c r="Y36" i="15"/>
  <c r="Z36" i="15" s="1"/>
  <c r="AA36" i="15" s="1"/>
  <c r="Y52" i="15"/>
  <c r="Z52" i="15" s="1"/>
  <c r="AA52" i="15" s="1"/>
  <c r="Y68" i="15"/>
  <c r="Z68" i="15" s="1"/>
  <c r="AA68" i="15" s="1"/>
  <c r="Y84" i="15"/>
  <c r="Z84" i="15" s="1"/>
  <c r="AA84" i="15" s="1"/>
  <c r="Y100" i="15"/>
  <c r="Z100" i="15" s="1"/>
  <c r="AA100" i="15" s="1"/>
  <c r="Y116" i="15"/>
  <c r="Z116" i="15" s="1"/>
  <c r="AA116" i="15" s="1"/>
  <c r="Y132" i="15"/>
  <c r="Z132" i="15" s="1"/>
  <c r="AA132" i="15" s="1"/>
  <c r="Y148" i="15"/>
  <c r="Z148" i="15" s="1"/>
  <c r="AA148" i="15" s="1"/>
  <c r="Y164" i="15"/>
  <c r="Z164" i="15" s="1"/>
  <c r="AA164" i="15" s="1"/>
  <c r="Y180" i="15"/>
  <c r="Z180" i="15" s="1"/>
  <c r="AA180" i="15" s="1"/>
  <c r="Y196" i="15"/>
  <c r="Z196" i="15" s="1"/>
  <c r="AA196" i="15" s="1"/>
  <c r="Y212" i="15"/>
  <c r="Z212" i="15" s="1"/>
  <c r="AA212" i="15" s="1"/>
  <c r="Y2" i="15"/>
  <c r="Z2" i="15" s="1"/>
  <c r="Y27" i="15"/>
  <c r="Z27" i="15" s="1"/>
  <c r="AA27" i="15" s="1"/>
  <c r="Y55" i="15"/>
  <c r="Z55" i="15" s="1"/>
  <c r="AA55" i="15" s="1"/>
  <c r="Y87" i="15"/>
  <c r="Z87" i="15" s="1"/>
  <c r="AA87" i="15" s="1"/>
  <c r="Y115" i="15"/>
  <c r="Z115" i="15" s="1"/>
  <c r="AA115" i="15" s="1"/>
  <c r="Y155" i="15"/>
  <c r="Z155" i="15" s="1"/>
  <c r="AA155" i="15" s="1"/>
  <c r="Y191" i="15"/>
  <c r="Z191" i="15" s="1"/>
  <c r="AA191" i="15" s="1"/>
  <c r="Y223" i="15"/>
  <c r="Z223" i="15" s="1"/>
  <c r="AA223" i="15" s="1"/>
  <c r="Y17" i="15"/>
  <c r="Z17" i="15" s="1"/>
  <c r="AA17" i="15" s="1"/>
  <c r="Y33" i="15"/>
  <c r="Z33" i="15" s="1"/>
  <c r="AA33" i="15" s="1"/>
  <c r="Y49" i="15"/>
  <c r="Z49" i="15" s="1"/>
  <c r="AA49" i="15" s="1"/>
  <c r="Y65" i="15"/>
  <c r="Z65" i="15" s="1"/>
  <c r="AA65" i="15" s="1"/>
  <c r="Y81" i="15"/>
  <c r="Z81" i="15" s="1"/>
  <c r="AA81" i="15" s="1"/>
  <c r="Y97" i="15"/>
  <c r="Z97" i="15" s="1"/>
  <c r="AA97" i="15" s="1"/>
  <c r="Y113" i="15"/>
  <c r="Z113" i="15" s="1"/>
  <c r="AA113" i="15" s="1"/>
  <c r="Y129" i="15"/>
  <c r="Z129" i="15" s="1"/>
  <c r="AA129" i="15" s="1"/>
  <c r="Y145" i="15"/>
  <c r="Z145" i="15" s="1"/>
  <c r="AA145" i="15" s="1"/>
  <c r="Y161" i="15"/>
  <c r="Z161" i="15" s="1"/>
  <c r="AA161" i="15" s="1"/>
  <c r="Y177" i="15"/>
  <c r="Z177" i="15" s="1"/>
  <c r="AA177" i="15" s="1"/>
  <c r="Y193" i="15"/>
  <c r="Z193" i="15" s="1"/>
  <c r="AA193" i="15" s="1"/>
  <c r="Y209" i="15"/>
  <c r="Z209" i="15" s="1"/>
  <c r="AA209" i="15" s="1"/>
  <c r="Y225" i="15"/>
  <c r="Z225" i="15" s="1"/>
  <c r="AA225" i="15" s="1"/>
  <c r="Y14" i="15"/>
  <c r="Z14" i="15" s="1"/>
  <c r="AA14" i="15" s="1"/>
  <c r="Y30" i="15"/>
  <c r="Z30" i="15" s="1"/>
  <c r="AA30" i="15" s="1"/>
  <c r="Y46" i="15"/>
  <c r="Z46" i="15" s="1"/>
  <c r="AA46" i="15" s="1"/>
  <c r="Y62" i="15"/>
  <c r="Z62" i="15" s="1"/>
  <c r="AA62" i="15" s="1"/>
  <c r="Y78" i="15"/>
  <c r="Z78" i="15" s="1"/>
  <c r="AA78" i="15" s="1"/>
  <c r="Y94" i="15"/>
  <c r="Z94" i="15" s="1"/>
  <c r="AA94" i="15" s="1"/>
  <c r="Y110" i="15"/>
  <c r="Z110" i="15" s="1"/>
  <c r="AA110" i="15" s="1"/>
  <c r="Y126" i="15"/>
  <c r="Z126" i="15" s="1"/>
  <c r="AA126" i="15" s="1"/>
  <c r="Y142" i="15"/>
  <c r="Z142" i="15" s="1"/>
  <c r="AA142" i="15" s="1"/>
  <c r="Y158" i="15"/>
  <c r="Z158" i="15" s="1"/>
  <c r="AA158" i="15" s="1"/>
  <c r="Y174" i="15"/>
  <c r="Z174" i="15" s="1"/>
  <c r="AA174" i="15" s="1"/>
  <c r="Y190" i="15"/>
  <c r="Z190" i="15" s="1"/>
  <c r="AA190" i="15" s="1"/>
  <c r="Y206" i="15"/>
  <c r="Z206" i="15" s="1"/>
  <c r="AA206" i="15" s="1"/>
  <c r="Y222" i="15"/>
  <c r="Z222" i="15" s="1"/>
  <c r="AA222" i="15" s="1"/>
  <c r="Y23" i="15"/>
  <c r="Z23" i="15" s="1"/>
  <c r="AA23" i="15" s="1"/>
  <c r="Y59" i="15"/>
  <c r="Z59" i="15" s="1"/>
  <c r="AA59" i="15" s="1"/>
  <c r="Y95" i="15"/>
  <c r="Z95" i="15" s="1"/>
  <c r="AA95" i="15" s="1"/>
  <c r="Y127" i="15"/>
  <c r="Z127" i="15" s="1"/>
  <c r="AA127" i="15" s="1"/>
  <c r="Y151" i="15"/>
  <c r="Z151" i="15" s="1"/>
  <c r="AA151" i="15" s="1"/>
  <c r="Y187" i="15"/>
  <c r="Z187" i="15" s="1"/>
  <c r="AA187" i="15" s="1"/>
  <c r="Y219" i="15"/>
  <c r="Z219" i="15" s="1"/>
  <c r="AA219" i="15" s="1"/>
  <c r="DE6" i="15"/>
  <c r="DF6" i="15" s="1"/>
  <c r="DG6" i="15" s="1"/>
  <c r="DE10" i="15"/>
  <c r="DF10" i="15" s="1"/>
  <c r="DG10" i="15" s="1"/>
  <c r="DE14" i="15"/>
  <c r="DF14" i="15" s="1"/>
  <c r="DG14" i="15" s="1"/>
  <c r="DE18" i="15"/>
  <c r="DF18" i="15" s="1"/>
  <c r="DG18" i="15" s="1"/>
  <c r="DE22" i="15"/>
  <c r="DF22" i="15" s="1"/>
  <c r="DG22" i="15" s="1"/>
  <c r="DE26" i="15"/>
  <c r="DF26" i="15" s="1"/>
  <c r="DG26" i="15" s="1"/>
  <c r="DE30" i="15"/>
  <c r="DF30" i="15" s="1"/>
  <c r="DG30" i="15" s="1"/>
  <c r="DE34" i="15"/>
  <c r="DF34" i="15" s="1"/>
  <c r="DG34" i="15" s="1"/>
  <c r="DE38" i="15"/>
  <c r="DF38" i="15" s="1"/>
  <c r="DG38" i="15" s="1"/>
  <c r="DE42" i="15"/>
  <c r="DF42" i="15" s="1"/>
  <c r="DG42" i="15" s="1"/>
  <c r="DE46" i="15"/>
  <c r="DF46" i="15" s="1"/>
  <c r="DG46" i="15" s="1"/>
  <c r="DE50" i="15"/>
  <c r="DF50" i="15" s="1"/>
  <c r="DG50" i="15" s="1"/>
  <c r="DE54" i="15"/>
  <c r="DF54" i="15" s="1"/>
  <c r="DG54" i="15" s="1"/>
  <c r="DE58" i="15"/>
  <c r="DF58" i="15" s="1"/>
  <c r="DG58" i="15" s="1"/>
  <c r="DE62" i="15"/>
  <c r="DF62" i="15" s="1"/>
  <c r="DG62" i="15" s="1"/>
  <c r="DE66" i="15"/>
  <c r="DF66" i="15" s="1"/>
  <c r="DG66" i="15" s="1"/>
  <c r="DE70" i="15"/>
  <c r="DF70" i="15" s="1"/>
  <c r="DG70" i="15" s="1"/>
  <c r="DE74" i="15"/>
  <c r="DF74" i="15" s="1"/>
  <c r="DG74" i="15" s="1"/>
  <c r="DE78" i="15"/>
  <c r="DF78" i="15" s="1"/>
  <c r="DG78" i="15" s="1"/>
  <c r="DE82" i="15"/>
  <c r="DF82" i="15" s="1"/>
  <c r="DG82" i="15" s="1"/>
  <c r="DE86" i="15"/>
  <c r="DF86" i="15" s="1"/>
  <c r="DG86" i="15" s="1"/>
  <c r="DE90" i="15"/>
  <c r="DF90" i="15" s="1"/>
  <c r="DG90" i="15" s="1"/>
  <c r="DE94" i="15"/>
  <c r="DF94" i="15" s="1"/>
  <c r="DG94" i="15" s="1"/>
  <c r="DE98" i="15"/>
  <c r="DF98" i="15" s="1"/>
  <c r="DG98" i="15" s="1"/>
  <c r="DE102" i="15"/>
  <c r="DF102" i="15" s="1"/>
  <c r="DG102" i="15" s="1"/>
  <c r="DE106" i="15"/>
  <c r="DF106" i="15" s="1"/>
  <c r="DG106" i="15" s="1"/>
  <c r="DE110" i="15"/>
  <c r="DF110" i="15" s="1"/>
  <c r="DG110" i="15" s="1"/>
  <c r="DE114" i="15"/>
  <c r="DF114" i="15" s="1"/>
  <c r="DG114" i="15" s="1"/>
  <c r="DE118" i="15"/>
  <c r="DF118" i="15" s="1"/>
  <c r="DG118" i="15" s="1"/>
  <c r="DE122" i="15"/>
  <c r="DF122" i="15" s="1"/>
  <c r="DG122" i="15" s="1"/>
  <c r="DE126" i="15"/>
  <c r="DF126" i="15" s="1"/>
  <c r="DG126" i="15" s="1"/>
  <c r="DE130" i="15"/>
  <c r="DF130" i="15" s="1"/>
  <c r="DG130" i="15" s="1"/>
  <c r="DE134" i="15"/>
  <c r="DF134" i="15" s="1"/>
  <c r="DG134" i="15" s="1"/>
  <c r="DE138" i="15"/>
  <c r="DF138" i="15" s="1"/>
  <c r="DG138" i="15" s="1"/>
  <c r="DE142" i="15"/>
  <c r="DF142" i="15" s="1"/>
  <c r="DG142" i="15" s="1"/>
  <c r="DE146" i="15"/>
  <c r="DF146" i="15" s="1"/>
  <c r="DG146" i="15" s="1"/>
  <c r="DE150" i="15"/>
  <c r="DF150" i="15" s="1"/>
  <c r="DG150" i="15" s="1"/>
  <c r="DE154" i="15"/>
  <c r="DF154" i="15" s="1"/>
  <c r="DG154" i="15" s="1"/>
  <c r="DE158" i="15"/>
  <c r="DF158" i="15" s="1"/>
  <c r="DG158" i="15" s="1"/>
  <c r="DE162" i="15"/>
  <c r="DF162" i="15" s="1"/>
  <c r="DG162" i="15" s="1"/>
  <c r="DE166" i="15"/>
  <c r="DF166" i="15" s="1"/>
  <c r="DG166" i="15" s="1"/>
  <c r="DE170" i="15"/>
  <c r="DF170" i="15" s="1"/>
  <c r="DG170" i="15" s="1"/>
  <c r="DE174" i="15"/>
  <c r="DF174" i="15" s="1"/>
  <c r="DG174" i="15" s="1"/>
  <c r="DE178" i="15"/>
  <c r="DF178" i="15" s="1"/>
  <c r="DG178" i="15" s="1"/>
  <c r="DE182" i="15"/>
  <c r="DF182" i="15" s="1"/>
  <c r="DG182" i="15" s="1"/>
  <c r="DE186" i="15"/>
  <c r="DF186" i="15" s="1"/>
  <c r="DG186" i="15" s="1"/>
  <c r="DE190" i="15"/>
  <c r="DF190" i="15" s="1"/>
  <c r="DG190" i="15" s="1"/>
  <c r="DE194" i="15"/>
  <c r="DF194" i="15" s="1"/>
  <c r="DG194" i="15" s="1"/>
  <c r="DE198" i="15"/>
  <c r="DF198" i="15" s="1"/>
  <c r="DG198" i="15" s="1"/>
  <c r="DE202" i="15"/>
  <c r="DF202" i="15" s="1"/>
  <c r="DG202" i="15" s="1"/>
  <c r="DE206" i="15"/>
  <c r="DF206" i="15" s="1"/>
  <c r="DG206" i="15" s="1"/>
  <c r="DE210" i="15"/>
  <c r="DF210" i="15" s="1"/>
  <c r="DG210" i="15" s="1"/>
  <c r="DE214" i="15"/>
  <c r="DF214" i="15" s="1"/>
  <c r="DG214" i="15" s="1"/>
  <c r="DE218" i="15"/>
  <c r="DF218" i="15" s="1"/>
  <c r="DG218" i="15" s="1"/>
  <c r="DE222" i="15"/>
  <c r="DF222" i="15" s="1"/>
  <c r="DG222" i="15" s="1"/>
  <c r="DE226" i="15"/>
  <c r="DF226" i="15" s="1"/>
  <c r="DG226" i="15" s="1"/>
  <c r="DE3" i="15"/>
  <c r="DF3" i="15" s="1"/>
  <c r="DG3" i="15" s="1"/>
  <c r="DE7" i="15"/>
  <c r="DF7" i="15" s="1"/>
  <c r="DG7" i="15" s="1"/>
  <c r="DE11" i="15"/>
  <c r="DF11" i="15" s="1"/>
  <c r="DG11" i="15" s="1"/>
  <c r="DE15" i="15"/>
  <c r="DF15" i="15" s="1"/>
  <c r="DG15" i="15" s="1"/>
  <c r="DE19" i="15"/>
  <c r="DF19" i="15" s="1"/>
  <c r="DG19" i="15" s="1"/>
  <c r="DE23" i="15"/>
  <c r="DF23" i="15" s="1"/>
  <c r="DG23" i="15" s="1"/>
  <c r="DE27" i="15"/>
  <c r="DF27" i="15" s="1"/>
  <c r="DG27" i="15" s="1"/>
  <c r="DE31" i="15"/>
  <c r="DF31" i="15" s="1"/>
  <c r="DG31" i="15" s="1"/>
  <c r="DE35" i="15"/>
  <c r="DF35" i="15" s="1"/>
  <c r="DG35" i="15" s="1"/>
  <c r="DE39" i="15"/>
  <c r="DF39" i="15" s="1"/>
  <c r="DG39" i="15" s="1"/>
  <c r="DE43" i="15"/>
  <c r="DF43" i="15" s="1"/>
  <c r="DG43" i="15" s="1"/>
  <c r="DE47" i="15"/>
  <c r="DF47" i="15" s="1"/>
  <c r="DG47" i="15" s="1"/>
  <c r="DE51" i="15"/>
  <c r="DF51" i="15" s="1"/>
  <c r="DG51" i="15" s="1"/>
  <c r="DE55" i="15"/>
  <c r="DF55" i="15" s="1"/>
  <c r="DG55" i="15" s="1"/>
  <c r="DE59" i="15"/>
  <c r="DF59" i="15" s="1"/>
  <c r="DG59" i="15" s="1"/>
  <c r="DE63" i="15"/>
  <c r="DF63" i="15" s="1"/>
  <c r="DG63" i="15" s="1"/>
  <c r="DE67" i="15"/>
  <c r="DF67" i="15" s="1"/>
  <c r="DG67" i="15" s="1"/>
  <c r="DE71" i="15"/>
  <c r="DF71" i="15" s="1"/>
  <c r="DG71" i="15" s="1"/>
  <c r="DE75" i="15"/>
  <c r="DF75" i="15" s="1"/>
  <c r="DG75" i="15" s="1"/>
  <c r="DE79" i="15"/>
  <c r="DF79" i="15" s="1"/>
  <c r="DG79" i="15" s="1"/>
  <c r="DE83" i="15"/>
  <c r="DF83" i="15" s="1"/>
  <c r="DG83" i="15" s="1"/>
  <c r="DE87" i="15"/>
  <c r="DF87" i="15" s="1"/>
  <c r="DG87" i="15" s="1"/>
  <c r="DE91" i="15"/>
  <c r="DF91" i="15" s="1"/>
  <c r="DG91" i="15" s="1"/>
  <c r="DE95" i="15"/>
  <c r="DF95" i="15" s="1"/>
  <c r="DG95" i="15" s="1"/>
  <c r="DE99" i="15"/>
  <c r="DF99" i="15" s="1"/>
  <c r="DG99" i="15" s="1"/>
  <c r="DE103" i="15"/>
  <c r="DF103" i="15" s="1"/>
  <c r="DG103" i="15" s="1"/>
  <c r="DE107" i="15"/>
  <c r="DF107" i="15" s="1"/>
  <c r="DG107" i="15" s="1"/>
  <c r="DE111" i="15"/>
  <c r="DF111" i="15" s="1"/>
  <c r="DG111" i="15" s="1"/>
  <c r="DE115" i="15"/>
  <c r="DF115" i="15" s="1"/>
  <c r="DG115" i="15" s="1"/>
  <c r="DE119" i="15"/>
  <c r="DF119" i="15" s="1"/>
  <c r="DG119" i="15" s="1"/>
  <c r="DE123" i="15"/>
  <c r="DF123" i="15" s="1"/>
  <c r="DG123" i="15" s="1"/>
  <c r="DE127" i="15"/>
  <c r="DF127" i="15" s="1"/>
  <c r="DG127" i="15" s="1"/>
  <c r="DE131" i="15"/>
  <c r="DF131" i="15" s="1"/>
  <c r="DG131" i="15" s="1"/>
  <c r="DE135" i="15"/>
  <c r="DF135" i="15" s="1"/>
  <c r="DG135" i="15" s="1"/>
  <c r="DE139" i="15"/>
  <c r="DF139" i="15" s="1"/>
  <c r="DG139" i="15" s="1"/>
  <c r="DE143" i="15"/>
  <c r="DF143" i="15" s="1"/>
  <c r="DG143" i="15" s="1"/>
  <c r="DE147" i="15"/>
  <c r="DF147" i="15" s="1"/>
  <c r="DG147" i="15" s="1"/>
  <c r="DE151" i="15"/>
  <c r="DF151" i="15" s="1"/>
  <c r="DG151" i="15" s="1"/>
  <c r="DE155" i="15"/>
  <c r="DF155" i="15" s="1"/>
  <c r="DG155" i="15" s="1"/>
  <c r="DE159" i="15"/>
  <c r="DF159" i="15" s="1"/>
  <c r="DG159" i="15" s="1"/>
  <c r="DE163" i="15"/>
  <c r="DF163" i="15" s="1"/>
  <c r="DG163" i="15" s="1"/>
  <c r="DE167" i="15"/>
  <c r="DF167" i="15" s="1"/>
  <c r="DG167" i="15" s="1"/>
  <c r="DE171" i="15"/>
  <c r="DF171" i="15" s="1"/>
  <c r="DG171" i="15" s="1"/>
  <c r="DE175" i="15"/>
  <c r="DF175" i="15" s="1"/>
  <c r="DG175" i="15" s="1"/>
  <c r="DE179" i="15"/>
  <c r="DF179" i="15" s="1"/>
  <c r="DG179" i="15" s="1"/>
  <c r="DE183" i="15"/>
  <c r="DF183" i="15" s="1"/>
  <c r="DG183" i="15" s="1"/>
  <c r="DE187" i="15"/>
  <c r="DF187" i="15" s="1"/>
  <c r="DG187" i="15" s="1"/>
  <c r="DE191" i="15"/>
  <c r="DF191" i="15" s="1"/>
  <c r="DG191" i="15" s="1"/>
  <c r="DE195" i="15"/>
  <c r="DF195" i="15" s="1"/>
  <c r="DG195" i="15" s="1"/>
  <c r="DE199" i="15"/>
  <c r="DF199" i="15" s="1"/>
  <c r="DG199" i="15" s="1"/>
  <c r="DE203" i="15"/>
  <c r="DF203" i="15" s="1"/>
  <c r="DG203" i="15" s="1"/>
  <c r="DE207" i="15"/>
  <c r="DF207" i="15" s="1"/>
  <c r="DG207" i="15" s="1"/>
  <c r="DE211" i="15"/>
  <c r="DF211" i="15" s="1"/>
  <c r="DG211" i="15" s="1"/>
  <c r="DE215" i="15"/>
  <c r="DF215" i="15" s="1"/>
  <c r="DG215" i="15" s="1"/>
  <c r="DE219" i="15"/>
  <c r="DF219" i="15" s="1"/>
  <c r="DG219" i="15" s="1"/>
  <c r="DE223" i="15"/>
  <c r="DF223" i="15" s="1"/>
  <c r="DG223" i="15" s="1"/>
  <c r="DE227" i="15"/>
  <c r="DF227" i="15" s="1"/>
  <c r="DG227" i="15" s="1"/>
  <c r="DE4" i="15"/>
  <c r="DF4" i="15" s="1"/>
  <c r="DG4" i="15" s="1"/>
  <c r="DE8" i="15"/>
  <c r="DF8" i="15" s="1"/>
  <c r="DG8" i="15" s="1"/>
  <c r="DE12" i="15"/>
  <c r="DF12" i="15" s="1"/>
  <c r="DG12" i="15" s="1"/>
  <c r="DE16" i="15"/>
  <c r="DF16" i="15" s="1"/>
  <c r="DG16" i="15" s="1"/>
  <c r="DE20" i="15"/>
  <c r="DF20" i="15" s="1"/>
  <c r="DG20" i="15" s="1"/>
  <c r="DE24" i="15"/>
  <c r="DF24" i="15" s="1"/>
  <c r="DG24" i="15" s="1"/>
  <c r="DE28" i="15"/>
  <c r="DF28" i="15" s="1"/>
  <c r="DG28" i="15" s="1"/>
  <c r="DE32" i="15"/>
  <c r="DF32" i="15" s="1"/>
  <c r="DG32" i="15" s="1"/>
  <c r="DE36" i="15"/>
  <c r="DF36" i="15" s="1"/>
  <c r="DG36" i="15" s="1"/>
  <c r="DE40" i="15"/>
  <c r="DF40" i="15" s="1"/>
  <c r="DG40" i="15" s="1"/>
  <c r="DE44" i="15"/>
  <c r="DF44" i="15" s="1"/>
  <c r="DG44" i="15" s="1"/>
  <c r="DE48" i="15"/>
  <c r="DF48" i="15" s="1"/>
  <c r="DG48" i="15" s="1"/>
  <c r="DE52" i="15"/>
  <c r="DF52" i="15" s="1"/>
  <c r="DG52" i="15" s="1"/>
  <c r="DE56" i="15"/>
  <c r="DF56" i="15" s="1"/>
  <c r="DG56" i="15" s="1"/>
  <c r="DE60" i="15"/>
  <c r="DF60" i="15" s="1"/>
  <c r="DG60" i="15" s="1"/>
  <c r="DE64" i="15"/>
  <c r="DF64" i="15" s="1"/>
  <c r="DG64" i="15" s="1"/>
  <c r="DE68" i="15"/>
  <c r="DF68" i="15" s="1"/>
  <c r="DG68" i="15" s="1"/>
  <c r="DE72" i="15"/>
  <c r="DF72" i="15" s="1"/>
  <c r="DG72" i="15" s="1"/>
  <c r="DE76" i="15"/>
  <c r="DF76" i="15" s="1"/>
  <c r="DG76" i="15" s="1"/>
  <c r="DE80" i="15"/>
  <c r="DF80" i="15" s="1"/>
  <c r="DG80" i="15" s="1"/>
  <c r="DE84" i="15"/>
  <c r="DF84" i="15" s="1"/>
  <c r="DG84" i="15" s="1"/>
  <c r="DE88" i="15"/>
  <c r="DF88" i="15" s="1"/>
  <c r="DG88" i="15" s="1"/>
  <c r="DE92" i="15"/>
  <c r="DF92" i="15" s="1"/>
  <c r="DG92" i="15" s="1"/>
  <c r="DE96" i="15"/>
  <c r="DF96" i="15" s="1"/>
  <c r="DG96" i="15" s="1"/>
  <c r="DE100" i="15"/>
  <c r="DF100" i="15" s="1"/>
  <c r="DG100" i="15" s="1"/>
  <c r="DE104" i="15"/>
  <c r="DF104" i="15" s="1"/>
  <c r="DG104" i="15" s="1"/>
  <c r="DE108" i="15"/>
  <c r="DF108" i="15" s="1"/>
  <c r="DG108" i="15" s="1"/>
  <c r="DE112" i="15"/>
  <c r="DF112" i="15" s="1"/>
  <c r="DG112" i="15" s="1"/>
  <c r="DE116" i="15"/>
  <c r="DF116" i="15" s="1"/>
  <c r="DG116" i="15" s="1"/>
  <c r="DE120" i="15"/>
  <c r="DF120" i="15" s="1"/>
  <c r="DG120" i="15" s="1"/>
  <c r="DE124" i="15"/>
  <c r="DF124" i="15" s="1"/>
  <c r="DG124" i="15" s="1"/>
  <c r="DE128" i="15"/>
  <c r="DF128" i="15" s="1"/>
  <c r="DG128" i="15" s="1"/>
  <c r="DE132" i="15"/>
  <c r="DF132" i="15" s="1"/>
  <c r="DG132" i="15" s="1"/>
  <c r="DE136" i="15"/>
  <c r="DF136" i="15" s="1"/>
  <c r="DG136" i="15" s="1"/>
  <c r="DE140" i="15"/>
  <c r="DF140" i="15" s="1"/>
  <c r="DG140" i="15" s="1"/>
  <c r="DE144" i="15"/>
  <c r="DF144" i="15" s="1"/>
  <c r="DG144" i="15" s="1"/>
  <c r="DE148" i="15"/>
  <c r="DF148" i="15" s="1"/>
  <c r="DG148" i="15" s="1"/>
  <c r="DE152" i="15"/>
  <c r="DF152" i="15" s="1"/>
  <c r="DG152" i="15" s="1"/>
  <c r="DE156" i="15"/>
  <c r="DF156" i="15" s="1"/>
  <c r="DG156" i="15" s="1"/>
  <c r="DE160" i="15"/>
  <c r="DF160" i="15" s="1"/>
  <c r="DG160" i="15" s="1"/>
  <c r="DE164" i="15"/>
  <c r="DF164" i="15" s="1"/>
  <c r="DG164" i="15" s="1"/>
  <c r="DE168" i="15"/>
  <c r="DF168" i="15" s="1"/>
  <c r="DG168" i="15" s="1"/>
  <c r="DE172" i="15"/>
  <c r="DF172" i="15" s="1"/>
  <c r="DG172" i="15" s="1"/>
  <c r="DE176" i="15"/>
  <c r="DF176" i="15" s="1"/>
  <c r="DG176" i="15" s="1"/>
  <c r="DE180" i="15"/>
  <c r="DF180" i="15" s="1"/>
  <c r="DG180" i="15" s="1"/>
  <c r="DE184" i="15"/>
  <c r="DF184" i="15" s="1"/>
  <c r="DG184" i="15" s="1"/>
  <c r="DE188" i="15"/>
  <c r="DF188" i="15" s="1"/>
  <c r="DG188" i="15" s="1"/>
  <c r="DE192" i="15"/>
  <c r="DF192" i="15" s="1"/>
  <c r="DG192" i="15" s="1"/>
  <c r="DE196" i="15"/>
  <c r="DF196" i="15" s="1"/>
  <c r="DG196" i="15" s="1"/>
  <c r="DE200" i="15"/>
  <c r="DF200" i="15" s="1"/>
  <c r="DG200" i="15" s="1"/>
  <c r="DE204" i="15"/>
  <c r="DF204" i="15" s="1"/>
  <c r="DG204" i="15" s="1"/>
  <c r="DE208" i="15"/>
  <c r="DF208" i="15" s="1"/>
  <c r="DG208" i="15" s="1"/>
  <c r="DE212" i="15"/>
  <c r="DF212" i="15" s="1"/>
  <c r="DG212" i="15" s="1"/>
  <c r="DE216" i="15"/>
  <c r="DF216" i="15" s="1"/>
  <c r="DG216" i="15" s="1"/>
  <c r="DE220" i="15"/>
  <c r="DF220" i="15" s="1"/>
  <c r="DG220" i="15" s="1"/>
  <c r="DE224" i="15"/>
  <c r="DF224" i="15" s="1"/>
  <c r="DG224" i="15" s="1"/>
  <c r="DE2" i="15"/>
  <c r="DF2" i="15" s="1"/>
  <c r="DE9" i="15"/>
  <c r="DF9" i="15" s="1"/>
  <c r="DG9" i="15" s="1"/>
  <c r="DE25" i="15"/>
  <c r="DF25" i="15" s="1"/>
  <c r="DG25" i="15" s="1"/>
  <c r="DE41" i="15"/>
  <c r="DF41" i="15" s="1"/>
  <c r="DG41" i="15" s="1"/>
  <c r="DE57" i="15"/>
  <c r="DF57" i="15" s="1"/>
  <c r="DG57" i="15" s="1"/>
  <c r="DE73" i="15"/>
  <c r="DF73" i="15" s="1"/>
  <c r="DG73" i="15" s="1"/>
  <c r="DE89" i="15"/>
  <c r="DF89" i="15" s="1"/>
  <c r="DG89" i="15" s="1"/>
  <c r="DE105" i="15"/>
  <c r="DF105" i="15" s="1"/>
  <c r="DG105" i="15" s="1"/>
  <c r="DE121" i="15"/>
  <c r="DF121" i="15" s="1"/>
  <c r="DG121" i="15" s="1"/>
  <c r="DE137" i="15"/>
  <c r="DF137" i="15" s="1"/>
  <c r="DG137" i="15" s="1"/>
  <c r="DE153" i="15"/>
  <c r="DF153" i="15" s="1"/>
  <c r="DG153" i="15" s="1"/>
  <c r="DE169" i="15"/>
  <c r="DF169" i="15" s="1"/>
  <c r="DG169" i="15" s="1"/>
  <c r="DE185" i="15"/>
  <c r="DF185" i="15" s="1"/>
  <c r="DG185" i="15" s="1"/>
  <c r="DE201" i="15"/>
  <c r="DF201" i="15" s="1"/>
  <c r="DG201" i="15" s="1"/>
  <c r="DE217" i="15"/>
  <c r="DF217" i="15" s="1"/>
  <c r="DG217" i="15" s="1"/>
  <c r="DE13" i="15"/>
  <c r="DF13" i="15" s="1"/>
  <c r="DG13" i="15" s="1"/>
  <c r="DE29" i="15"/>
  <c r="DF29" i="15" s="1"/>
  <c r="DG29" i="15" s="1"/>
  <c r="DE45" i="15"/>
  <c r="DF45" i="15" s="1"/>
  <c r="DG45" i="15" s="1"/>
  <c r="DE61" i="15"/>
  <c r="DF61" i="15" s="1"/>
  <c r="DG61" i="15" s="1"/>
  <c r="DE77" i="15"/>
  <c r="DF77" i="15" s="1"/>
  <c r="DG77" i="15" s="1"/>
  <c r="DE93" i="15"/>
  <c r="DF93" i="15" s="1"/>
  <c r="DG93" i="15" s="1"/>
  <c r="DE109" i="15"/>
  <c r="DF109" i="15" s="1"/>
  <c r="DG109" i="15" s="1"/>
  <c r="DE125" i="15"/>
  <c r="DF125" i="15" s="1"/>
  <c r="DG125" i="15" s="1"/>
  <c r="DE141" i="15"/>
  <c r="DF141" i="15" s="1"/>
  <c r="DG141" i="15" s="1"/>
  <c r="DE157" i="15"/>
  <c r="DF157" i="15" s="1"/>
  <c r="DG157" i="15" s="1"/>
  <c r="DE173" i="15"/>
  <c r="DF173" i="15" s="1"/>
  <c r="DG173" i="15" s="1"/>
  <c r="DE189" i="15"/>
  <c r="DF189" i="15" s="1"/>
  <c r="DG189" i="15" s="1"/>
  <c r="DE205" i="15"/>
  <c r="DF205" i="15" s="1"/>
  <c r="DG205" i="15" s="1"/>
  <c r="DE221" i="15"/>
  <c r="DF221" i="15" s="1"/>
  <c r="DG221" i="15" s="1"/>
  <c r="DE17" i="15"/>
  <c r="DF17" i="15" s="1"/>
  <c r="DG17" i="15" s="1"/>
  <c r="DE33" i="15"/>
  <c r="DF33" i="15" s="1"/>
  <c r="DG33" i="15" s="1"/>
  <c r="DE49" i="15"/>
  <c r="DF49" i="15" s="1"/>
  <c r="DG49" i="15" s="1"/>
  <c r="DE65" i="15"/>
  <c r="DF65" i="15" s="1"/>
  <c r="DG65" i="15" s="1"/>
  <c r="DE81" i="15"/>
  <c r="DF81" i="15" s="1"/>
  <c r="DG81" i="15" s="1"/>
  <c r="DE97" i="15"/>
  <c r="DF97" i="15" s="1"/>
  <c r="DG97" i="15" s="1"/>
  <c r="DE113" i="15"/>
  <c r="DF113" i="15" s="1"/>
  <c r="DG113" i="15" s="1"/>
  <c r="DE129" i="15"/>
  <c r="DF129" i="15" s="1"/>
  <c r="DG129" i="15" s="1"/>
  <c r="DE145" i="15"/>
  <c r="DF145" i="15" s="1"/>
  <c r="DG145" i="15" s="1"/>
  <c r="DE161" i="15"/>
  <c r="DF161" i="15" s="1"/>
  <c r="DG161" i="15" s="1"/>
  <c r="DE177" i="15"/>
  <c r="DF177" i="15" s="1"/>
  <c r="DG177" i="15" s="1"/>
  <c r="DE193" i="15"/>
  <c r="DF193" i="15" s="1"/>
  <c r="DG193" i="15" s="1"/>
  <c r="DE209" i="15"/>
  <c r="DF209" i="15" s="1"/>
  <c r="DG209" i="15" s="1"/>
  <c r="DE225" i="15"/>
  <c r="DF225" i="15" s="1"/>
  <c r="DG225" i="15" s="1"/>
  <c r="DE21" i="15"/>
  <c r="DF21" i="15" s="1"/>
  <c r="DG21" i="15" s="1"/>
  <c r="DE85" i="15"/>
  <c r="DF85" i="15" s="1"/>
  <c r="DG85" i="15" s="1"/>
  <c r="DE149" i="15"/>
  <c r="DF149" i="15" s="1"/>
  <c r="DG149" i="15" s="1"/>
  <c r="DE213" i="15"/>
  <c r="DF213" i="15" s="1"/>
  <c r="DG213" i="15" s="1"/>
  <c r="DE37" i="15"/>
  <c r="DF37" i="15" s="1"/>
  <c r="DG37" i="15" s="1"/>
  <c r="DE101" i="15"/>
  <c r="DF101" i="15" s="1"/>
  <c r="DG101" i="15" s="1"/>
  <c r="DE165" i="15"/>
  <c r="DF165" i="15" s="1"/>
  <c r="DG165" i="15" s="1"/>
  <c r="DE53" i="15"/>
  <c r="DF53" i="15" s="1"/>
  <c r="DG53" i="15" s="1"/>
  <c r="DE117" i="15"/>
  <c r="DF117" i="15" s="1"/>
  <c r="DG117" i="15" s="1"/>
  <c r="DE181" i="15"/>
  <c r="DF181" i="15" s="1"/>
  <c r="DG181" i="15" s="1"/>
  <c r="DE69" i="15"/>
  <c r="DF69" i="15" s="1"/>
  <c r="DG69" i="15" s="1"/>
  <c r="DE133" i="15"/>
  <c r="DF133" i="15" s="1"/>
  <c r="DG133" i="15" s="1"/>
  <c r="DE197" i="15"/>
  <c r="DF197" i="15" s="1"/>
  <c r="DG197" i="15" s="1"/>
  <c r="DE5" i="15"/>
  <c r="DF5" i="15" s="1"/>
  <c r="DG5" i="15" s="1"/>
  <c r="AZ4" i="15"/>
  <c r="BA4" i="15" s="1"/>
  <c r="BB4" i="15" s="1"/>
  <c r="AZ8" i="15"/>
  <c r="BA8" i="15" s="1"/>
  <c r="BB8" i="15" s="1"/>
  <c r="AZ12" i="15"/>
  <c r="BA12" i="15" s="1"/>
  <c r="BB12" i="15" s="1"/>
  <c r="AZ16" i="15"/>
  <c r="BA16" i="15" s="1"/>
  <c r="BB16" i="15" s="1"/>
  <c r="AZ20" i="15"/>
  <c r="BA20" i="15" s="1"/>
  <c r="BB20" i="15" s="1"/>
  <c r="AZ24" i="15"/>
  <c r="BA24" i="15" s="1"/>
  <c r="BB24" i="15" s="1"/>
  <c r="AZ28" i="15"/>
  <c r="BA28" i="15" s="1"/>
  <c r="BB28" i="15" s="1"/>
  <c r="AZ32" i="15"/>
  <c r="BA32" i="15" s="1"/>
  <c r="BB32" i="15" s="1"/>
  <c r="AZ36" i="15"/>
  <c r="BA36" i="15" s="1"/>
  <c r="BB36" i="15" s="1"/>
  <c r="AZ40" i="15"/>
  <c r="BA40" i="15" s="1"/>
  <c r="BB40" i="15" s="1"/>
  <c r="AZ44" i="15"/>
  <c r="BA44" i="15" s="1"/>
  <c r="BB44" i="15" s="1"/>
  <c r="AZ48" i="15"/>
  <c r="BA48" i="15" s="1"/>
  <c r="BB48" i="15" s="1"/>
  <c r="AZ52" i="15"/>
  <c r="BA52" i="15" s="1"/>
  <c r="BB52" i="15" s="1"/>
  <c r="AZ56" i="15"/>
  <c r="BA56" i="15" s="1"/>
  <c r="BB56" i="15" s="1"/>
  <c r="AZ60" i="15"/>
  <c r="BA60" i="15" s="1"/>
  <c r="BB60" i="15" s="1"/>
  <c r="AZ64" i="15"/>
  <c r="BA64" i="15" s="1"/>
  <c r="BB64" i="15" s="1"/>
  <c r="AZ68" i="15"/>
  <c r="BA68" i="15" s="1"/>
  <c r="BB68" i="15" s="1"/>
  <c r="AZ72" i="15"/>
  <c r="BA72" i="15" s="1"/>
  <c r="BB72" i="15" s="1"/>
  <c r="AZ76" i="15"/>
  <c r="BA76" i="15" s="1"/>
  <c r="BB76" i="15" s="1"/>
  <c r="AZ80" i="15"/>
  <c r="BA80" i="15" s="1"/>
  <c r="BB80" i="15" s="1"/>
  <c r="AZ84" i="15"/>
  <c r="BA84" i="15" s="1"/>
  <c r="BB84" i="15" s="1"/>
  <c r="AZ88" i="15"/>
  <c r="BA88" i="15" s="1"/>
  <c r="BB88" i="15" s="1"/>
  <c r="AZ92" i="15"/>
  <c r="BA92" i="15" s="1"/>
  <c r="BB92" i="15" s="1"/>
  <c r="AZ96" i="15"/>
  <c r="BA96" i="15" s="1"/>
  <c r="BB96" i="15" s="1"/>
  <c r="AZ100" i="15"/>
  <c r="BA100" i="15" s="1"/>
  <c r="BB100" i="15" s="1"/>
  <c r="AZ104" i="15"/>
  <c r="BA104" i="15" s="1"/>
  <c r="BB104" i="15" s="1"/>
  <c r="AZ108" i="15"/>
  <c r="BA108" i="15" s="1"/>
  <c r="BB108" i="15" s="1"/>
  <c r="AZ112" i="15"/>
  <c r="BA112" i="15" s="1"/>
  <c r="BB112" i="15" s="1"/>
  <c r="AZ116" i="15"/>
  <c r="BA116" i="15" s="1"/>
  <c r="BB116" i="15" s="1"/>
  <c r="AZ120" i="15"/>
  <c r="BA120" i="15" s="1"/>
  <c r="BB120" i="15" s="1"/>
  <c r="AZ124" i="15"/>
  <c r="BA124" i="15" s="1"/>
  <c r="BB124" i="15" s="1"/>
  <c r="AZ128" i="15"/>
  <c r="BA128" i="15" s="1"/>
  <c r="BB128" i="15" s="1"/>
  <c r="AZ132" i="15"/>
  <c r="BA132" i="15" s="1"/>
  <c r="BB132" i="15" s="1"/>
  <c r="AZ136" i="15"/>
  <c r="BA136" i="15" s="1"/>
  <c r="BB136" i="15" s="1"/>
  <c r="AZ140" i="15"/>
  <c r="BA140" i="15" s="1"/>
  <c r="BB140" i="15" s="1"/>
  <c r="AZ144" i="15"/>
  <c r="BA144" i="15" s="1"/>
  <c r="BB144" i="15" s="1"/>
  <c r="AZ148" i="15"/>
  <c r="BA148" i="15" s="1"/>
  <c r="BB148" i="15" s="1"/>
  <c r="AZ152" i="15"/>
  <c r="BA152" i="15" s="1"/>
  <c r="BB152" i="15" s="1"/>
  <c r="AZ156" i="15"/>
  <c r="BA156" i="15" s="1"/>
  <c r="BB156" i="15" s="1"/>
  <c r="AZ160" i="15"/>
  <c r="BA160" i="15" s="1"/>
  <c r="BB160" i="15" s="1"/>
  <c r="AZ164" i="15"/>
  <c r="BA164" i="15" s="1"/>
  <c r="BB164" i="15" s="1"/>
  <c r="AZ168" i="15"/>
  <c r="BA168" i="15" s="1"/>
  <c r="BB168" i="15" s="1"/>
  <c r="AZ172" i="15"/>
  <c r="BA172" i="15" s="1"/>
  <c r="BB172" i="15" s="1"/>
  <c r="AZ176" i="15"/>
  <c r="BA176" i="15" s="1"/>
  <c r="BB176" i="15" s="1"/>
  <c r="AZ180" i="15"/>
  <c r="BA180" i="15" s="1"/>
  <c r="BB180" i="15" s="1"/>
  <c r="AZ184" i="15"/>
  <c r="BA184" i="15" s="1"/>
  <c r="BB184" i="15" s="1"/>
  <c r="AZ188" i="15"/>
  <c r="BA188" i="15" s="1"/>
  <c r="BB188" i="15" s="1"/>
  <c r="AZ192" i="15"/>
  <c r="BA192" i="15" s="1"/>
  <c r="BB192" i="15" s="1"/>
  <c r="AZ196" i="15"/>
  <c r="BA196" i="15" s="1"/>
  <c r="BB196" i="15" s="1"/>
  <c r="AZ200" i="15"/>
  <c r="BA200" i="15" s="1"/>
  <c r="BB200" i="15" s="1"/>
  <c r="AZ204" i="15"/>
  <c r="BA204" i="15" s="1"/>
  <c r="BB204" i="15" s="1"/>
  <c r="AZ208" i="15"/>
  <c r="BA208" i="15" s="1"/>
  <c r="BB208" i="15" s="1"/>
  <c r="AZ212" i="15"/>
  <c r="BA212" i="15" s="1"/>
  <c r="BB212" i="15" s="1"/>
  <c r="AZ216" i="15"/>
  <c r="BA216" i="15" s="1"/>
  <c r="BB216" i="15" s="1"/>
  <c r="AZ220" i="15"/>
  <c r="BA220" i="15" s="1"/>
  <c r="BB220" i="15" s="1"/>
  <c r="AZ224" i="15"/>
  <c r="BA224" i="15" s="1"/>
  <c r="BB224" i="15" s="1"/>
  <c r="AZ2" i="15"/>
  <c r="AZ5" i="15"/>
  <c r="BA5" i="15" s="1"/>
  <c r="BB5" i="15" s="1"/>
  <c r="AZ9" i="15"/>
  <c r="BA9" i="15" s="1"/>
  <c r="BB9" i="15" s="1"/>
  <c r="AZ13" i="15"/>
  <c r="BA13" i="15" s="1"/>
  <c r="BB13" i="15" s="1"/>
  <c r="AZ17" i="15"/>
  <c r="BA17" i="15" s="1"/>
  <c r="BB17" i="15" s="1"/>
  <c r="AZ21" i="15"/>
  <c r="BA21" i="15" s="1"/>
  <c r="BB21" i="15" s="1"/>
  <c r="AZ25" i="15"/>
  <c r="BA25" i="15" s="1"/>
  <c r="BB25" i="15" s="1"/>
  <c r="AZ29" i="15"/>
  <c r="BA29" i="15" s="1"/>
  <c r="BB29" i="15" s="1"/>
  <c r="AZ33" i="15"/>
  <c r="BA33" i="15" s="1"/>
  <c r="BB33" i="15" s="1"/>
  <c r="AZ37" i="15"/>
  <c r="BA37" i="15" s="1"/>
  <c r="BB37" i="15" s="1"/>
  <c r="AZ41" i="15"/>
  <c r="BA41" i="15" s="1"/>
  <c r="BB41" i="15" s="1"/>
  <c r="AZ45" i="15"/>
  <c r="BA45" i="15" s="1"/>
  <c r="BB45" i="15" s="1"/>
  <c r="AZ49" i="15"/>
  <c r="BA49" i="15" s="1"/>
  <c r="BB49" i="15" s="1"/>
  <c r="AZ53" i="15"/>
  <c r="BA53" i="15" s="1"/>
  <c r="BB53" i="15" s="1"/>
  <c r="AZ57" i="15"/>
  <c r="BA57" i="15" s="1"/>
  <c r="BB57" i="15" s="1"/>
  <c r="AZ61" i="15"/>
  <c r="BA61" i="15" s="1"/>
  <c r="BB61" i="15" s="1"/>
  <c r="AZ65" i="15"/>
  <c r="BA65" i="15" s="1"/>
  <c r="BB65" i="15" s="1"/>
  <c r="AZ69" i="15"/>
  <c r="BA69" i="15" s="1"/>
  <c r="BB69" i="15" s="1"/>
  <c r="AZ73" i="15"/>
  <c r="BA73" i="15" s="1"/>
  <c r="BB73" i="15" s="1"/>
  <c r="AZ77" i="15"/>
  <c r="BA77" i="15" s="1"/>
  <c r="BB77" i="15" s="1"/>
  <c r="AZ81" i="15"/>
  <c r="BA81" i="15" s="1"/>
  <c r="BB81" i="15" s="1"/>
  <c r="AZ85" i="15"/>
  <c r="BA85" i="15" s="1"/>
  <c r="BB85" i="15" s="1"/>
  <c r="AZ89" i="15"/>
  <c r="BA89" i="15" s="1"/>
  <c r="BB89" i="15" s="1"/>
  <c r="AZ93" i="15"/>
  <c r="BA93" i="15" s="1"/>
  <c r="BB93" i="15" s="1"/>
  <c r="AZ97" i="15"/>
  <c r="BA97" i="15" s="1"/>
  <c r="BB97" i="15" s="1"/>
  <c r="AZ101" i="15"/>
  <c r="BA101" i="15" s="1"/>
  <c r="BB101" i="15" s="1"/>
  <c r="AZ105" i="15"/>
  <c r="BA105" i="15" s="1"/>
  <c r="BB105" i="15" s="1"/>
  <c r="AZ109" i="15"/>
  <c r="BA109" i="15" s="1"/>
  <c r="BB109" i="15" s="1"/>
  <c r="AZ113" i="15"/>
  <c r="BA113" i="15" s="1"/>
  <c r="BB113" i="15" s="1"/>
  <c r="AZ117" i="15"/>
  <c r="BA117" i="15" s="1"/>
  <c r="BB117" i="15" s="1"/>
  <c r="AZ121" i="15"/>
  <c r="BA121" i="15" s="1"/>
  <c r="BB121" i="15" s="1"/>
  <c r="AZ125" i="15"/>
  <c r="BA125" i="15" s="1"/>
  <c r="BB125" i="15" s="1"/>
  <c r="AZ129" i="15"/>
  <c r="BA129" i="15" s="1"/>
  <c r="BB129" i="15" s="1"/>
  <c r="AZ133" i="15"/>
  <c r="BA133" i="15" s="1"/>
  <c r="BB133" i="15" s="1"/>
  <c r="AZ137" i="15"/>
  <c r="BA137" i="15" s="1"/>
  <c r="BB137" i="15" s="1"/>
  <c r="AZ141" i="15"/>
  <c r="BA141" i="15" s="1"/>
  <c r="BB141" i="15" s="1"/>
  <c r="AZ145" i="15"/>
  <c r="BA145" i="15" s="1"/>
  <c r="BB145" i="15" s="1"/>
  <c r="AZ149" i="15"/>
  <c r="BA149" i="15" s="1"/>
  <c r="BB149" i="15" s="1"/>
  <c r="AZ153" i="15"/>
  <c r="BA153" i="15" s="1"/>
  <c r="BB153" i="15" s="1"/>
  <c r="AZ157" i="15"/>
  <c r="BA157" i="15" s="1"/>
  <c r="BB157" i="15" s="1"/>
  <c r="AZ161" i="15"/>
  <c r="BA161" i="15" s="1"/>
  <c r="BB161" i="15" s="1"/>
  <c r="AZ165" i="15"/>
  <c r="BA165" i="15" s="1"/>
  <c r="BB165" i="15" s="1"/>
  <c r="AZ169" i="15"/>
  <c r="BA169" i="15" s="1"/>
  <c r="BB169" i="15" s="1"/>
  <c r="AZ173" i="15"/>
  <c r="BA173" i="15" s="1"/>
  <c r="BB173" i="15" s="1"/>
  <c r="AZ177" i="15"/>
  <c r="BA177" i="15" s="1"/>
  <c r="BB177" i="15" s="1"/>
  <c r="AZ181" i="15"/>
  <c r="BA181" i="15" s="1"/>
  <c r="BB181" i="15" s="1"/>
  <c r="AZ185" i="15"/>
  <c r="BA185" i="15" s="1"/>
  <c r="BB185" i="15" s="1"/>
  <c r="AZ189" i="15"/>
  <c r="BA189" i="15" s="1"/>
  <c r="BB189" i="15" s="1"/>
  <c r="AZ193" i="15"/>
  <c r="BA193" i="15" s="1"/>
  <c r="BB193" i="15" s="1"/>
  <c r="AZ197" i="15"/>
  <c r="BA197" i="15" s="1"/>
  <c r="BB197" i="15" s="1"/>
  <c r="AZ201" i="15"/>
  <c r="BA201" i="15" s="1"/>
  <c r="BB201" i="15" s="1"/>
  <c r="AZ205" i="15"/>
  <c r="BA205" i="15" s="1"/>
  <c r="BB205" i="15" s="1"/>
  <c r="AZ209" i="15"/>
  <c r="BA209" i="15" s="1"/>
  <c r="BB209" i="15" s="1"/>
  <c r="AZ213" i="15"/>
  <c r="BA213" i="15" s="1"/>
  <c r="BB213" i="15" s="1"/>
  <c r="AZ217" i="15"/>
  <c r="BA217" i="15" s="1"/>
  <c r="BB217" i="15" s="1"/>
  <c r="AZ221" i="15"/>
  <c r="BA221" i="15" s="1"/>
  <c r="BB221" i="15" s="1"/>
  <c r="AZ225" i="15"/>
  <c r="BA225" i="15" s="1"/>
  <c r="BB225" i="15" s="1"/>
  <c r="AZ6" i="15"/>
  <c r="BA6" i="15" s="1"/>
  <c r="BB6" i="15" s="1"/>
  <c r="AZ10" i="15"/>
  <c r="BA10" i="15" s="1"/>
  <c r="BB10" i="15" s="1"/>
  <c r="AZ14" i="15"/>
  <c r="BA14" i="15" s="1"/>
  <c r="BB14" i="15" s="1"/>
  <c r="AZ18" i="15"/>
  <c r="BA18" i="15" s="1"/>
  <c r="BB18" i="15" s="1"/>
  <c r="AZ22" i="15"/>
  <c r="BA22" i="15" s="1"/>
  <c r="BB22" i="15" s="1"/>
  <c r="AZ26" i="15"/>
  <c r="BA26" i="15" s="1"/>
  <c r="BB26" i="15" s="1"/>
  <c r="AZ30" i="15"/>
  <c r="BA30" i="15" s="1"/>
  <c r="BB30" i="15" s="1"/>
  <c r="AZ34" i="15"/>
  <c r="BA34" i="15" s="1"/>
  <c r="BB34" i="15" s="1"/>
  <c r="AZ38" i="15"/>
  <c r="BA38" i="15" s="1"/>
  <c r="BB38" i="15" s="1"/>
  <c r="AZ42" i="15"/>
  <c r="BA42" i="15" s="1"/>
  <c r="BB42" i="15" s="1"/>
  <c r="AZ46" i="15"/>
  <c r="BA46" i="15" s="1"/>
  <c r="BB46" i="15" s="1"/>
  <c r="AZ50" i="15"/>
  <c r="BA50" i="15" s="1"/>
  <c r="BB50" i="15" s="1"/>
  <c r="AZ54" i="15"/>
  <c r="BA54" i="15" s="1"/>
  <c r="BB54" i="15" s="1"/>
  <c r="AZ58" i="15"/>
  <c r="BA58" i="15" s="1"/>
  <c r="BB58" i="15" s="1"/>
  <c r="AZ62" i="15"/>
  <c r="BA62" i="15" s="1"/>
  <c r="BB62" i="15" s="1"/>
  <c r="AZ66" i="15"/>
  <c r="BA66" i="15" s="1"/>
  <c r="BB66" i="15" s="1"/>
  <c r="AZ70" i="15"/>
  <c r="BA70" i="15" s="1"/>
  <c r="BB70" i="15" s="1"/>
  <c r="AZ74" i="15"/>
  <c r="BA74" i="15" s="1"/>
  <c r="BB74" i="15" s="1"/>
  <c r="AZ78" i="15"/>
  <c r="BA78" i="15" s="1"/>
  <c r="BB78" i="15" s="1"/>
  <c r="AZ82" i="15"/>
  <c r="BA82" i="15" s="1"/>
  <c r="BB82" i="15" s="1"/>
  <c r="AZ86" i="15"/>
  <c r="BA86" i="15" s="1"/>
  <c r="BB86" i="15" s="1"/>
  <c r="AZ90" i="15"/>
  <c r="BA90" i="15" s="1"/>
  <c r="BB90" i="15" s="1"/>
  <c r="AZ94" i="15"/>
  <c r="BA94" i="15" s="1"/>
  <c r="BB94" i="15" s="1"/>
  <c r="AZ98" i="15"/>
  <c r="BA98" i="15" s="1"/>
  <c r="BB98" i="15" s="1"/>
  <c r="AZ102" i="15"/>
  <c r="BA102" i="15" s="1"/>
  <c r="BB102" i="15" s="1"/>
  <c r="AZ106" i="15"/>
  <c r="BA106" i="15" s="1"/>
  <c r="BB106" i="15" s="1"/>
  <c r="AZ110" i="15"/>
  <c r="BA110" i="15" s="1"/>
  <c r="BB110" i="15" s="1"/>
  <c r="AZ114" i="15"/>
  <c r="BA114" i="15" s="1"/>
  <c r="BB114" i="15" s="1"/>
  <c r="AZ118" i="15"/>
  <c r="BA118" i="15" s="1"/>
  <c r="BB118" i="15" s="1"/>
  <c r="AZ122" i="15"/>
  <c r="BA122" i="15" s="1"/>
  <c r="BB122" i="15" s="1"/>
  <c r="AZ126" i="15"/>
  <c r="BA126" i="15" s="1"/>
  <c r="BB126" i="15" s="1"/>
  <c r="AZ130" i="15"/>
  <c r="BA130" i="15" s="1"/>
  <c r="BB130" i="15" s="1"/>
  <c r="AZ134" i="15"/>
  <c r="BA134" i="15" s="1"/>
  <c r="BB134" i="15" s="1"/>
  <c r="AZ138" i="15"/>
  <c r="BA138" i="15" s="1"/>
  <c r="BB138" i="15" s="1"/>
  <c r="AZ142" i="15"/>
  <c r="BA142" i="15" s="1"/>
  <c r="BB142" i="15" s="1"/>
  <c r="AZ146" i="15"/>
  <c r="BA146" i="15" s="1"/>
  <c r="BB146" i="15" s="1"/>
  <c r="AZ150" i="15"/>
  <c r="BA150" i="15" s="1"/>
  <c r="BB150" i="15" s="1"/>
  <c r="AZ154" i="15"/>
  <c r="BA154" i="15" s="1"/>
  <c r="BB154" i="15" s="1"/>
  <c r="AZ158" i="15"/>
  <c r="BA158" i="15" s="1"/>
  <c r="BB158" i="15" s="1"/>
  <c r="AZ162" i="15"/>
  <c r="BA162" i="15" s="1"/>
  <c r="BB162" i="15" s="1"/>
  <c r="AZ166" i="15"/>
  <c r="BA166" i="15" s="1"/>
  <c r="BB166" i="15" s="1"/>
  <c r="AZ170" i="15"/>
  <c r="BA170" i="15" s="1"/>
  <c r="BB170" i="15" s="1"/>
  <c r="AZ174" i="15"/>
  <c r="BA174" i="15" s="1"/>
  <c r="BB174" i="15" s="1"/>
  <c r="AZ178" i="15"/>
  <c r="BA178" i="15" s="1"/>
  <c r="BB178" i="15" s="1"/>
  <c r="AZ182" i="15"/>
  <c r="BA182" i="15" s="1"/>
  <c r="BB182" i="15" s="1"/>
  <c r="AZ186" i="15"/>
  <c r="BA186" i="15" s="1"/>
  <c r="BB186" i="15" s="1"/>
  <c r="AZ190" i="15"/>
  <c r="BA190" i="15" s="1"/>
  <c r="BB190" i="15" s="1"/>
  <c r="AZ194" i="15"/>
  <c r="BA194" i="15" s="1"/>
  <c r="BB194" i="15" s="1"/>
  <c r="AZ198" i="15"/>
  <c r="BA198" i="15" s="1"/>
  <c r="BB198" i="15" s="1"/>
  <c r="AZ202" i="15"/>
  <c r="BA202" i="15" s="1"/>
  <c r="BB202" i="15" s="1"/>
  <c r="AZ206" i="15"/>
  <c r="BA206" i="15" s="1"/>
  <c r="BB206" i="15" s="1"/>
  <c r="AZ210" i="15"/>
  <c r="BA210" i="15" s="1"/>
  <c r="BB210" i="15" s="1"/>
  <c r="AZ214" i="15"/>
  <c r="BA214" i="15" s="1"/>
  <c r="BB214" i="15" s="1"/>
  <c r="AZ218" i="15"/>
  <c r="BA218" i="15" s="1"/>
  <c r="BB218" i="15" s="1"/>
  <c r="AZ222" i="15"/>
  <c r="BA222" i="15" s="1"/>
  <c r="BB222" i="15" s="1"/>
  <c r="AZ226" i="15"/>
  <c r="BA226" i="15" s="1"/>
  <c r="BB226" i="15" s="1"/>
  <c r="AZ15" i="15"/>
  <c r="BA15" i="15" s="1"/>
  <c r="BB15" i="15" s="1"/>
  <c r="AZ31" i="15"/>
  <c r="BA31" i="15" s="1"/>
  <c r="BB31" i="15" s="1"/>
  <c r="AZ47" i="15"/>
  <c r="BA47" i="15" s="1"/>
  <c r="BB47" i="15" s="1"/>
  <c r="AZ63" i="15"/>
  <c r="BA63" i="15" s="1"/>
  <c r="BB63" i="15" s="1"/>
  <c r="AZ79" i="15"/>
  <c r="BA79" i="15" s="1"/>
  <c r="BB79" i="15" s="1"/>
  <c r="AZ95" i="15"/>
  <c r="BA95" i="15" s="1"/>
  <c r="BB95" i="15" s="1"/>
  <c r="AZ111" i="15"/>
  <c r="BA111" i="15" s="1"/>
  <c r="BB111" i="15" s="1"/>
  <c r="AZ127" i="15"/>
  <c r="BA127" i="15" s="1"/>
  <c r="BB127" i="15" s="1"/>
  <c r="AZ143" i="15"/>
  <c r="BA143" i="15" s="1"/>
  <c r="BB143" i="15" s="1"/>
  <c r="AZ159" i="15"/>
  <c r="BA159" i="15" s="1"/>
  <c r="BB159" i="15" s="1"/>
  <c r="AZ175" i="15"/>
  <c r="BA175" i="15" s="1"/>
  <c r="BB175" i="15" s="1"/>
  <c r="AZ191" i="15"/>
  <c r="BA191" i="15" s="1"/>
  <c r="BB191" i="15" s="1"/>
  <c r="AZ207" i="15"/>
  <c r="BA207" i="15" s="1"/>
  <c r="BB207" i="15" s="1"/>
  <c r="AZ223" i="15"/>
  <c r="BA223" i="15" s="1"/>
  <c r="BB223" i="15" s="1"/>
  <c r="AZ43" i="15"/>
  <c r="BA43" i="15" s="1"/>
  <c r="BB43" i="15" s="1"/>
  <c r="AZ107" i="15"/>
  <c r="BA107" i="15" s="1"/>
  <c r="BB107" i="15" s="1"/>
  <c r="AZ155" i="15"/>
  <c r="BA155" i="15" s="1"/>
  <c r="BB155" i="15" s="1"/>
  <c r="AZ187" i="15"/>
  <c r="BA187" i="15" s="1"/>
  <c r="BB187" i="15" s="1"/>
  <c r="AZ3" i="15"/>
  <c r="BA3" i="15" s="1"/>
  <c r="BB3" i="15" s="1"/>
  <c r="AZ19" i="15"/>
  <c r="BA19" i="15" s="1"/>
  <c r="BB19" i="15" s="1"/>
  <c r="AZ35" i="15"/>
  <c r="BA35" i="15" s="1"/>
  <c r="BB35" i="15" s="1"/>
  <c r="AZ51" i="15"/>
  <c r="BA51" i="15" s="1"/>
  <c r="BB51" i="15" s="1"/>
  <c r="AZ67" i="15"/>
  <c r="BA67" i="15" s="1"/>
  <c r="BB67" i="15" s="1"/>
  <c r="AZ83" i="15"/>
  <c r="BA83" i="15" s="1"/>
  <c r="BB83" i="15" s="1"/>
  <c r="AZ99" i="15"/>
  <c r="BA99" i="15" s="1"/>
  <c r="BB99" i="15" s="1"/>
  <c r="AZ115" i="15"/>
  <c r="BA115" i="15" s="1"/>
  <c r="BB115" i="15" s="1"/>
  <c r="AZ131" i="15"/>
  <c r="BA131" i="15" s="1"/>
  <c r="BB131" i="15" s="1"/>
  <c r="AZ147" i="15"/>
  <c r="BA147" i="15" s="1"/>
  <c r="BB147" i="15" s="1"/>
  <c r="AZ163" i="15"/>
  <c r="BA163" i="15" s="1"/>
  <c r="BB163" i="15" s="1"/>
  <c r="AZ179" i="15"/>
  <c r="BA179" i="15" s="1"/>
  <c r="BB179" i="15" s="1"/>
  <c r="AZ195" i="15"/>
  <c r="BA195" i="15" s="1"/>
  <c r="BB195" i="15" s="1"/>
  <c r="AZ211" i="15"/>
  <c r="BA211" i="15" s="1"/>
  <c r="BB211" i="15" s="1"/>
  <c r="AZ227" i="15"/>
  <c r="BA227" i="15" s="1"/>
  <c r="BB227" i="15" s="1"/>
  <c r="AZ27" i="15"/>
  <c r="BA27" i="15" s="1"/>
  <c r="BB27" i="15" s="1"/>
  <c r="AZ75" i="15"/>
  <c r="BA75" i="15" s="1"/>
  <c r="BB75" i="15" s="1"/>
  <c r="AZ123" i="15"/>
  <c r="BA123" i="15" s="1"/>
  <c r="BB123" i="15" s="1"/>
  <c r="AZ171" i="15"/>
  <c r="BA171" i="15" s="1"/>
  <c r="BB171" i="15" s="1"/>
  <c r="AZ219" i="15"/>
  <c r="BA219" i="15" s="1"/>
  <c r="BB219" i="15" s="1"/>
  <c r="AZ7" i="15"/>
  <c r="BA7" i="15" s="1"/>
  <c r="BB7" i="15" s="1"/>
  <c r="AZ23" i="15"/>
  <c r="BA23" i="15" s="1"/>
  <c r="BB23" i="15" s="1"/>
  <c r="AZ39" i="15"/>
  <c r="BA39" i="15" s="1"/>
  <c r="BB39" i="15" s="1"/>
  <c r="AZ55" i="15"/>
  <c r="BA55" i="15" s="1"/>
  <c r="BB55" i="15" s="1"/>
  <c r="AZ71" i="15"/>
  <c r="BA71" i="15" s="1"/>
  <c r="BB71" i="15" s="1"/>
  <c r="AZ87" i="15"/>
  <c r="BA87" i="15" s="1"/>
  <c r="BB87" i="15" s="1"/>
  <c r="AZ103" i="15"/>
  <c r="BA103" i="15" s="1"/>
  <c r="BB103" i="15" s="1"/>
  <c r="AZ119" i="15"/>
  <c r="BA119" i="15" s="1"/>
  <c r="BB119" i="15" s="1"/>
  <c r="AZ135" i="15"/>
  <c r="BA135" i="15" s="1"/>
  <c r="BB135" i="15" s="1"/>
  <c r="AZ151" i="15"/>
  <c r="BA151" i="15" s="1"/>
  <c r="BB151" i="15" s="1"/>
  <c r="AZ167" i="15"/>
  <c r="BA167" i="15" s="1"/>
  <c r="BB167" i="15" s="1"/>
  <c r="AZ183" i="15"/>
  <c r="BA183" i="15" s="1"/>
  <c r="BB183" i="15" s="1"/>
  <c r="AZ199" i="15"/>
  <c r="BA199" i="15" s="1"/>
  <c r="BB199" i="15" s="1"/>
  <c r="AZ215" i="15"/>
  <c r="BA215" i="15" s="1"/>
  <c r="BB215" i="15" s="1"/>
  <c r="AZ11" i="15"/>
  <c r="BA11" i="15" s="1"/>
  <c r="BB11" i="15" s="1"/>
  <c r="AZ59" i="15"/>
  <c r="BA59" i="15" s="1"/>
  <c r="BB59" i="15" s="1"/>
  <c r="AZ91" i="15"/>
  <c r="BA91" i="15" s="1"/>
  <c r="BB91" i="15" s="1"/>
  <c r="AZ139" i="15"/>
  <c r="BA139" i="15" s="1"/>
  <c r="BB139" i="15" s="1"/>
  <c r="AZ203" i="15"/>
  <c r="BA203" i="15" s="1"/>
  <c r="BB203" i="15" s="1"/>
  <c r="DK5" i="15"/>
  <c r="DL5" i="15" s="1"/>
  <c r="DM5" i="15" s="1"/>
  <c r="DK9" i="15"/>
  <c r="DL9" i="15" s="1"/>
  <c r="DM9" i="15" s="1"/>
  <c r="DK13" i="15"/>
  <c r="DL13" i="15" s="1"/>
  <c r="DM13" i="15" s="1"/>
  <c r="DK17" i="15"/>
  <c r="DL17" i="15" s="1"/>
  <c r="DM17" i="15" s="1"/>
  <c r="DK21" i="15"/>
  <c r="DL21" i="15" s="1"/>
  <c r="DM21" i="15" s="1"/>
  <c r="DK25" i="15"/>
  <c r="DL25" i="15" s="1"/>
  <c r="DM25" i="15" s="1"/>
  <c r="DK29" i="15"/>
  <c r="DL29" i="15" s="1"/>
  <c r="DM29" i="15" s="1"/>
  <c r="DK33" i="15"/>
  <c r="DL33" i="15" s="1"/>
  <c r="DM33" i="15" s="1"/>
  <c r="DK37" i="15"/>
  <c r="DL37" i="15" s="1"/>
  <c r="DM37" i="15" s="1"/>
  <c r="DK41" i="15"/>
  <c r="DL41" i="15" s="1"/>
  <c r="DM41" i="15" s="1"/>
  <c r="DK45" i="15"/>
  <c r="DL45" i="15" s="1"/>
  <c r="DM45" i="15" s="1"/>
  <c r="DK49" i="15"/>
  <c r="DL49" i="15" s="1"/>
  <c r="DM49" i="15" s="1"/>
  <c r="DK53" i="15"/>
  <c r="DL53" i="15" s="1"/>
  <c r="DM53" i="15" s="1"/>
  <c r="DK57" i="15"/>
  <c r="DL57" i="15" s="1"/>
  <c r="DM57" i="15" s="1"/>
  <c r="DK61" i="15"/>
  <c r="DL61" i="15" s="1"/>
  <c r="DM61" i="15" s="1"/>
  <c r="DK65" i="15"/>
  <c r="DL65" i="15" s="1"/>
  <c r="DM65" i="15" s="1"/>
  <c r="DK69" i="15"/>
  <c r="DL69" i="15" s="1"/>
  <c r="DM69" i="15" s="1"/>
  <c r="DK73" i="15"/>
  <c r="DL73" i="15" s="1"/>
  <c r="DM73" i="15" s="1"/>
  <c r="DK77" i="15"/>
  <c r="DL77" i="15" s="1"/>
  <c r="DM77" i="15" s="1"/>
  <c r="DK81" i="15"/>
  <c r="DL81" i="15" s="1"/>
  <c r="DM81" i="15" s="1"/>
  <c r="DK85" i="15"/>
  <c r="DL85" i="15" s="1"/>
  <c r="DM85" i="15" s="1"/>
  <c r="DK89" i="15"/>
  <c r="DL89" i="15" s="1"/>
  <c r="DM89" i="15" s="1"/>
  <c r="DK93" i="15"/>
  <c r="DL93" i="15" s="1"/>
  <c r="DM93" i="15" s="1"/>
  <c r="DK97" i="15"/>
  <c r="DL97" i="15" s="1"/>
  <c r="DM97" i="15" s="1"/>
  <c r="DK101" i="15"/>
  <c r="DL101" i="15" s="1"/>
  <c r="DM101" i="15" s="1"/>
  <c r="DK105" i="15"/>
  <c r="DL105" i="15" s="1"/>
  <c r="DM105" i="15" s="1"/>
  <c r="DK109" i="15"/>
  <c r="DL109" i="15" s="1"/>
  <c r="DM109" i="15" s="1"/>
  <c r="DK113" i="15"/>
  <c r="DL113" i="15" s="1"/>
  <c r="DM113" i="15" s="1"/>
  <c r="DK117" i="15"/>
  <c r="DL117" i="15" s="1"/>
  <c r="DM117" i="15" s="1"/>
  <c r="DK121" i="15"/>
  <c r="DL121" i="15" s="1"/>
  <c r="DM121" i="15" s="1"/>
  <c r="DK125" i="15"/>
  <c r="DL125" i="15" s="1"/>
  <c r="DM125" i="15" s="1"/>
  <c r="DK129" i="15"/>
  <c r="DL129" i="15" s="1"/>
  <c r="DM129" i="15" s="1"/>
  <c r="DK133" i="15"/>
  <c r="DL133" i="15" s="1"/>
  <c r="DM133" i="15" s="1"/>
  <c r="DK137" i="15"/>
  <c r="DL137" i="15" s="1"/>
  <c r="DM137" i="15" s="1"/>
  <c r="DK141" i="15"/>
  <c r="DL141" i="15" s="1"/>
  <c r="DM141" i="15" s="1"/>
  <c r="DK145" i="15"/>
  <c r="DL145" i="15" s="1"/>
  <c r="DM145" i="15" s="1"/>
  <c r="DK149" i="15"/>
  <c r="DL149" i="15" s="1"/>
  <c r="DM149" i="15" s="1"/>
  <c r="DK153" i="15"/>
  <c r="DL153" i="15" s="1"/>
  <c r="DM153" i="15" s="1"/>
  <c r="DK157" i="15"/>
  <c r="DL157" i="15" s="1"/>
  <c r="DM157" i="15" s="1"/>
  <c r="DK161" i="15"/>
  <c r="DL161" i="15" s="1"/>
  <c r="DM161" i="15" s="1"/>
  <c r="DK165" i="15"/>
  <c r="DL165" i="15" s="1"/>
  <c r="DM165" i="15" s="1"/>
  <c r="DK169" i="15"/>
  <c r="DL169" i="15" s="1"/>
  <c r="DM169" i="15" s="1"/>
  <c r="DK173" i="15"/>
  <c r="DL173" i="15" s="1"/>
  <c r="DM173" i="15" s="1"/>
  <c r="DK177" i="15"/>
  <c r="DL177" i="15" s="1"/>
  <c r="DM177" i="15" s="1"/>
  <c r="DK181" i="15"/>
  <c r="DL181" i="15" s="1"/>
  <c r="DM181" i="15" s="1"/>
  <c r="DK185" i="15"/>
  <c r="DL185" i="15" s="1"/>
  <c r="DM185" i="15" s="1"/>
  <c r="DK189" i="15"/>
  <c r="DL189" i="15" s="1"/>
  <c r="DM189" i="15" s="1"/>
  <c r="DK193" i="15"/>
  <c r="DL193" i="15" s="1"/>
  <c r="DM193" i="15" s="1"/>
  <c r="DK197" i="15"/>
  <c r="DL197" i="15" s="1"/>
  <c r="DM197" i="15" s="1"/>
  <c r="DK201" i="15"/>
  <c r="DL201" i="15" s="1"/>
  <c r="DM201" i="15" s="1"/>
  <c r="DK205" i="15"/>
  <c r="DL205" i="15" s="1"/>
  <c r="DM205" i="15" s="1"/>
  <c r="DK209" i="15"/>
  <c r="DL209" i="15" s="1"/>
  <c r="DM209" i="15" s="1"/>
  <c r="DK213" i="15"/>
  <c r="DL213" i="15" s="1"/>
  <c r="DM213" i="15" s="1"/>
  <c r="DK217" i="15"/>
  <c r="DL217" i="15" s="1"/>
  <c r="DM217" i="15" s="1"/>
  <c r="DK221" i="15"/>
  <c r="DL221" i="15" s="1"/>
  <c r="DM221" i="15" s="1"/>
  <c r="DK225" i="15"/>
  <c r="DL225" i="15" s="1"/>
  <c r="DM225" i="15" s="1"/>
  <c r="DK6" i="15"/>
  <c r="DL6" i="15" s="1"/>
  <c r="DM6" i="15" s="1"/>
  <c r="DK10" i="15"/>
  <c r="DL10" i="15" s="1"/>
  <c r="DM10" i="15" s="1"/>
  <c r="DK14" i="15"/>
  <c r="DL14" i="15" s="1"/>
  <c r="DM14" i="15" s="1"/>
  <c r="DK18" i="15"/>
  <c r="DL18" i="15" s="1"/>
  <c r="DM18" i="15" s="1"/>
  <c r="DK22" i="15"/>
  <c r="DL22" i="15" s="1"/>
  <c r="DM22" i="15" s="1"/>
  <c r="DK26" i="15"/>
  <c r="DL26" i="15" s="1"/>
  <c r="DM26" i="15" s="1"/>
  <c r="DK30" i="15"/>
  <c r="DL30" i="15" s="1"/>
  <c r="DM30" i="15" s="1"/>
  <c r="DK34" i="15"/>
  <c r="DL34" i="15" s="1"/>
  <c r="DM34" i="15" s="1"/>
  <c r="DK38" i="15"/>
  <c r="DL38" i="15" s="1"/>
  <c r="DM38" i="15" s="1"/>
  <c r="DK42" i="15"/>
  <c r="DL42" i="15" s="1"/>
  <c r="DM42" i="15" s="1"/>
  <c r="DK46" i="15"/>
  <c r="DL46" i="15" s="1"/>
  <c r="DM46" i="15" s="1"/>
  <c r="DK50" i="15"/>
  <c r="DL50" i="15" s="1"/>
  <c r="DM50" i="15" s="1"/>
  <c r="DK54" i="15"/>
  <c r="DL54" i="15" s="1"/>
  <c r="DM54" i="15" s="1"/>
  <c r="DK58" i="15"/>
  <c r="DL58" i="15" s="1"/>
  <c r="DM58" i="15" s="1"/>
  <c r="DK62" i="15"/>
  <c r="DL62" i="15" s="1"/>
  <c r="DM62" i="15" s="1"/>
  <c r="DK66" i="15"/>
  <c r="DL66" i="15" s="1"/>
  <c r="DM66" i="15" s="1"/>
  <c r="DK70" i="15"/>
  <c r="DL70" i="15" s="1"/>
  <c r="DM70" i="15" s="1"/>
  <c r="DK74" i="15"/>
  <c r="DL74" i="15" s="1"/>
  <c r="DM74" i="15" s="1"/>
  <c r="DK78" i="15"/>
  <c r="DL78" i="15" s="1"/>
  <c r="DM78" i="15" s="1"/>
  <c r="DK82" i="15"/>
  <c r="DL82" i="15" s="1"/>
  <c r="DM82" i="15" s="1"/>
  <c r="DK86" i="15"/>
  <c r="DL86" i="15" s="1"/>
  <c r="DM86" i="15" s="1"/>
  <c r="DK90" i="15"/>
  <c r="DL90" i="15" s="1"/>
  <c r="DM90" i="15" s="1"/>
  <c r="DK94" i="15"/>
  <c r="DL94" i="15" s="1"/>
  <c r="DM94" i="15" s="1"/>
  <c r="DK98" i="15"/>
  <c r="DL98" i="15" s="1"/>
  <c r="DM98" i="15" s="1"/>
  <c r="DK102" i="15"/>
  <c r="DL102" i="15" s="1"/>
  <c r="DM102" i="15" s="1"/>
  <c r="DK106" i="15"/>
  <c r="DL106" i="15" s="1"/>
  <c r="DM106" i="15" s="1"/>
  <c r="DK110" i="15"/>
  <c r="DL110" i="15" s="1"/>
  <c r="DM110" i="15" s="1"/>
  <c r="DK114" i="15"/>
  <c r="DL114" i="15" s="1"/>
  <c r="DM114" i="15" s="1"/>
  <c r="DK118" i="15"/>
  <c r="DL118" i="15" s="1"/>
  <c r="DM118" i="15" s="1"/>
  <c r="DK122" i="15"/>
  <c r="DL122" i="15" s="1"/>
  <c r="DM122" i="15" s="1"/>
  <c r="DK126" i="15"/>
  <c r="DL126" i="15" s="1"/>
  <c r="DM126" i="15" s="1"/>
  <c r="DK130" i="15"/>
  <c r="DL130" i="15" s="1"/>
  <c r="DM130" i="15" s="1"/>
  <c r="DK134" i="15"/>
  <c r="DL134" i="15" s="1"/>
  <c r="DM134" i="15" s="1"/>
  <c r="DK138" i="15"/>
  <c r="DL138" i="15" s="1"/>
  <c r="DM138" i="15" s="1"/>
  <c r="DK142" i="15"/>
  <c r="DL142" i="15" s="1"/>
  <c r="DM142" i="15" s="1"/>
  <c r="DK146" i="15"/>
  <c r="DL146" i="15" s="1"/>
  <c r="DM146" i="15" s="1"/>
  <c r="DK150" i="15"/>
  <c r="DL150" i="15" s="1"/>
  <c r="DM150" i="15" s="1"/>
  <c r="DK154" i="15"/>
  <c r="DL154" i="15" s="1"/>
  <c r="DM154" i="15" s="1"/>
  <c r="DK158" i="15"/>
  <c r="DL158" i="15" s="1"/>
  <c r="DM158" i="15" s="1"/>
  <c r="DK162" i="15"/>
  <c r="DL162" i="15" s="1"/>
  <c r="DM162" i="15" s="1"/>
  <c r="DK166" i="15"/>
  <c r="DL166" i="15" s="1"/>
  <c r="DM166" i="15" s="1"/>
  <c r="DK170" i="15"/>
  <c r="DL170" i="15" s="1"/>
  <c r="DM170" i="15" s="1"/>
  <c r="DK174" i="15"/>
  <c r="DL174" i="15" s="1"/>
  <c r="DM174" i="15" s="1"/>
  <c r="DK178" i="15"/>
  <c r="DL178" i="15" s="1"/>
  <c r="DM178" i="15" s="1"/>
  <c r="DK182" i="15"/>
  <c r="DL182" i="15" s="1"/>
  <c r="DM182" i="15" s="1"/>
  <c r="DK186" i="15"/>
  <c r="DL186" i="15" s="1"/>
  <c r="DM186" i="15" s="1"/>
  <c r="DK190" i="15"/>
  <c r="DL190" i="15" s="1"/>
  <c r="DM190" i="15" s="1"/>
  <c r="DK194" i="15"/>
  <c r="DL194" i="15" s="1"/>
  <c r="DM194" i="15" s="1"/>
  <c r="DK198" i="15"/>
  <c r="DL198" i="15" s="1"/>
  <c r="DM198" i="15" s="1"/>
  <c r="DK202" i="15"/>
  <c r="DL202" i="15" s="1"/>
  <c r="DM202" i="15" s="1"/>
  <c r="DK206" i="15"/>
  <c r="DL206" i="15" s="1"/>
  <c r="DM206" i="15" s="1"/>
  <c r="DK210" i="15"/>
  <c r="DL210" i="15" s="1"/>
  <c r="DM210" i="15" s="1"/>
  <c r="DK214" i="15"/>
  <c r="DL214" i="15" s="1"/>
  <c r="DM214" i="15" s="1"/>
  <c r="DK218" i="15"/>
  <c r="DL218" i="15" s="1"/>
  <c r="DM218" i="15" s="1"/>
  <c r="DK222" i="15"/>
  <c r="DL222" i="15" s="1"/>
  <c r="DM222" i="15" s="1"/>
  <c r="DK226" i="15"/>
  <c r="DL226" i="15" s="1"/>
  <c r="DM226" i="15" s="1"/>
  <c r="DK3" i="15"/>
  <c r="DL3" i="15" s="1"/>
  <c r="DM3" i="15" s="1"/>
  <c r="DK7" i="15"/>
  <c r="DL7" i="15" s="1"/>
  <c r="DM7" i="15" s="1"/>
  <c r="DK11" i="15"/>
  <c r="DL11" i="15" s="1"/>
  <c r="DM11" i="15" s="1"/>
  <c r="DK15" i="15"/>
  <c r="DL15" i="15" s="1"/>
  <c r="DM15" i="15" s="1"/>
  <c r="DK19" i="15"/>
  <c r="DL19" i="15" s="1"/>
  <c r="DM19" i="15" s="1"/>
  <c r="DK23" i="15"/>
  <c r="DL23" i="15" s="1"/>
  <c r="DM23" i="15" s="1"/>
  <c r="DK27" i="15"/>
  <c r="DL27" i="15" s="1"/>
  <c r="DM27" i="15" s="1"/>
  <c r="DK31" i="15"/>
  <c r="DL31" i="15" s="1"/>
  <c r="DM31" i="15" s="1"/>
  <c r="DK35" i="15"/>
  <c r="DL35" i="15" s="1"/>
  <c r="DM35" i="15" s="1"/>
  <c r="DK39" i="15"/>
  <c r="DL39" i="15" s="1"/>
  <c r="DM39" i="15" s="1"/>
  <c r="DK43" i="15"/>
  <c r="DL43" i="15" s="1"/>
  <c r="DM43" i="15" s="1"/>
  <c r="DK47" i="15"/>
  <c r="DL47" i="15" s="1"/>
  <c r="DM47" i="15" s="1"/>
  <c r="DK51" i="15"/>
  <c r="DL51" i="15" s="1"/>
  <c r="DM51" i="15" s="1"/>
  <c r="DK55" i="15"/>
  <c r="DL55" i="15" s="1"/>
  <c r="DM55" i="15" s="1"/>
  <c r="DK59" i="15"/>
  <c r="DL59" i="15" s="1"/>
  <c r="DM59" i="15" s="1"/>
  <c r="DK63" i="15"/>
  <c r="DL63" i="15" s="1"/>
  <c r="DM63" i="15" s="1"/>
  <c r="DK67" i="15"/>
  <c r="DL67" i="15" s="1"/>
  <c r="DM67" i="15" s="1"/>
  <c r="DK71" i="15"/>
  <c r="DL71" i="15" s="1"/>
  <c r="DM71" i="15" s="1"/>
  <c r="DK75" i="15"/>
  <c r="DL75" i="15" s="1"/>
  <c r="DM75" i="15" s="1"/>
  <c r="DK79" i="15"/>
  <c r="DL79" i="15" s="1"/>
  <c r="DM79" i="15" s="1"/>
  <c r="DK83" i="15"/>
  <c r="DL83" i="15" s="1"/>
  <c r="DM83" i="15" s="1"/>
  <c r="DK87" i="15"/>
  <c r="DL87" i="15" s="1"/>
  <c r="DM87" i="15" s="1"/>
  <c r="DK91" i="15"/>
  <c r="DL91" i="15" s="1"/>
  <c r="DM91" i="15" s="1"/>
  <c r="DK95" i="15"/>
  <c r="DL95" i="15" s="1"/>
  <c r="DM95" i="15" s="1"/>
  <c r="DK99" i="15"/>
  <c r="DL99" i="15" s="1"/>
  <c r="DM99" i="15" s="1"/>
  <c r="DK103" i="15"/>
  <c r="DL103" i="15" s="1"/>
  <c r="DM103" i="15" s="1"/>
  <c r="DK107" i="15"/>
  <c r="DL107" i="15" s="1"/>
  <c r="DM107" i="15" s="1"/>
  <c r="DK111" i="15"/>
  <c r="DL111" i="15" s="1"/>
  <c r="DM111" i="15" s="1"/>
  <c r="DK115" i="15"/>
  <c r="DL115" i="15" s="1"/>
  <c r="DM115" i="15" s="1"/>
  <c r="DK119" i="15"/>
  <c r="DL119" i="15" s="1"/>
  <c r="DM119" i="15" s="1"/>
  <c r="DK123" i="15"/>
  <c r="DL123" i="15" s="1"/>
  <c r="DM123" i="15" s="1"/>
  <c r="DK127" i="15"/>
  <c r="DL127" i="15" s="1"/>
  <c r="DM127" i="15" s="1"/>
  <c r="DK131" i="15"/>
  <c r="DL131" i="15" s="1"/>
  <c r="DM131" i="15" s="1"/>
  <c r="DK135" i="15"/>
  <c r="DL135" i="15" s="1"/>
  <c r="DM135" i="15" s="1"/>
  <c r="DK139" i="15"/>
  <c r="DL139" i="15" s="1"/>
  <c r="DM139" i="15" s="1"/>
  <c r="DK143" i="15"/>
  <c r="DL143" i="15" s="1"/>
  <c r="DM143" i="15" s="1"/>
  <c r="DK147" i="15"/>
  <c r="DL147" i="15" s="1"/>
  <c r="DM147" i="15" s="1"/>
  <c r="DK151" i="15"/>
  <c r="DL151" i="15" s="1"/>
  <c r="DM151" i="15" s="1"/>
  <c r="DK155" i="15"/>
  <c r="DL155" i="15" s="1"/>
  <c r="DM155" i="15" s="1"/>
  <c r="DK159" i="15"/>
  <c r="DL159" i="15" s="1"/>
  <c r="DM159" i="15" s="1"/>
  <c r="DK163" i="15"/>
  <c r="DL163" i="15" s="1"/>
  <c r="DM163" i="15" s="1"/>
  <c r="DK167" i="15"/>
  <c r="DL167" i="15" s="1"/>
  <c r="DM167" i="15" s="1"/>
  <c r="DK171" i="15"/>
  <c r="DL171" i="15" s="1"/>
  <c r="DM171" i="15" s="1"/>
  <c r="DK175" i="15"/>
  <c r="DL175" i="15" s="1"/>
  <c r="DM175" i="15" s="1"/>
  <c r="DK179" i="15"/>
  <c r="DL179" i="15" s="1"/>
  <c r="DM179" i="15" s="1"/>
  <c r="DK183" i="15"/>
  <c r="DL183" i="15" s="1"/>
  <c r="DM183" i="15" s="1"/>
  <c r="DK187" i="15"/>
  <c r="DL187" i="15" s="1"/>
  <c r="DM187" i="15" s="1"/>
  <c r="DK191" i="15"/>
  <c r="DL191" i="15" s="1"/>
  <c r="DM191" i="15" s="1"/>
  <c r="DK195" i="15"/>
  <c r="DL195" i="15" s="1"/>
  <c r="DM195" i="15" s="1"/>
  <c r="DK199" i="15"/>
  <c r="DL199" i="15" s="1"/>
  <c r="DM199" i="15" s="1"/>
  <c r="DK203" i="15"/>
  <c r="DL203" i="15" s="1"/>
  <c r="DM203" i="15" s="1"/>
  <c r="DK207" i="15"/>
  <c r="DL207" i="15" s="1"/>
  <c r="DM207" i="15" s="1"/>
  <c r="DK211" i="15"/>
  <c r="DL211" i="15" s="1"/>
  <c r="DM211" i="15" s="1"/>
  <c r="DK215" i="15"/>
  <c r="DL215" i="15" s="1"/>
  <c r="DM215" i="15" s="1"/>
  <c r="DK219" i="15"/>
  <c r="DL219" i="15" s="1"/>
  <c r="DM219" i="15" s="1"/>
  <c r="DK223" i="15"/>
  <c r="DL223" i="15" s="1"/>
  <c r="DM223" i="15" s="1"/>
  <c r="DK227" i="15"/>
  <c r="DL227" i="15" s="1"/>
  <c r="DM227" i="15" s="1"/>
  <c r="DK16" i="15"/>
  <c r="DL16" i="15" s="1"/>
  <c r="DM16" i="15" s="1"/>
  <c r="DK32" i="15"/>
  <c r="DL32" i="15" s="1"/>
  <c r="DM32" i="15" s="1"/>
  <c r="DK48" i="15"/>
  <c r="DL48" i="15" s="1"/>
  <c r="DM48" i="15" s="1"/>
  <c r="DK64" i="15"/>
  <c r="DL64" i="15" s="1"/>
  <c r="DM64" i="15" s="1"/>
  <c r="DK80" i="15"/>
  <c r="DL80" i="15" s="1"/>
  <c r="DM80" i="15" s="1"/>
  <c r="DK96" i="15"/>
  <c r="DL96" i="15" s="1"/>
  <c r="DM96" i="15" s="1"/>
  <c r="DK112" i="15"/>
  <c r="DL112" i="15" s="1"/>
  <c r="DM112" i="15" s="1"/>
  <c r="DK128" i="15"/>
  <c r="DL128" i="15" s="1"/>
  <c r="DM128" i="15" s="1"/>
  <c r="DK144" i="15"/>
  <c r="DL144" i="15" s="1"/>
  <c r="DM144" i="15" s="1"/>
  <c r="DK160" i="15"/>
  <c r="DL160" i="15" s="1"/>
  <c r="DM160" i="15" s="1"/>
  <c r="DK176" i="15"/>
  <c r="DL176" i="15" s="1"/>
  <c r="DM176" i="15" s="1"/>
  <c r="DK192" i="15"/>
  <c r="DL192" i="15" s="1"/>
  <c r="DM192" i="15" s="1"/>
  <c r="DK208" i="15"/>
  <c r="DL208" i="15" s="1"/>
  <c r="DM208" i="15" s="1"/>
  <c r="DK224" i="15"/>
  <c r="DL224" i="15" s="1"/>
  <c r="DM224" i="15" s="1"/>
  <c r="DK4" i="15"/>
  <c r="DL4" i="15" s="1"/>
  <c r="DM4" i="15" s="1"/>
  <c r="DK20" i="15"/>
  <c r="DL20" i="15" s="1"/>
  <c r="DM20" i="15" s="1"/>
  <c r="DK36" i="15"/>
  <c r="DL36" i="15" s="1"/>
  <c r="DM36" i="15" s="1"/>
  <c r="DK52" i="15"/>
  <c r="DL52" i="15" s="1"/>
  <c r="DM52" i="15" s="1"/>
  <c r="DK68" i="15"/>
  <c r="DL68" i="15" s="1"/>
  <c r="DM68" i="15" s="1"/>
  <c r="DK84" i="15"/>
  <c r="DL84" i="15" s="1"/>
  <c r="DM84" i="15" s="1"/>
  <c r="DK100" i="15"/>
  <c r="DL100" i="15" s="1"/>
  <c r="DM100" i="15" s="1"/>
  <c r="DK116" i="15"/>
  <c r="DL116" i="15" s="1"/>
  <c r="DM116" i="15" s="1"/>
  <c r="DK132" i="15"/>
  <c r="DL132" i="15" s="1"/>
  <c r="DM132" i="15" s="1"/>
  <c r="DK148" i="15"/>
  <c r="DL148" i="15" s="1"/>
  <c r="DM148" i="15" s="1"/>
  <c r="DK164" i="15"/>
  <c r="DL164" i="15" s="1"/>
  <c r="DM164" i="15" s="1"/>
  <c r="DK180" i="15"/>
  <c r="DL180" i="15" s="1"/>
  <c r="DM180" i="15" s="1"/>
  <c r="DK196" i="15"/>
  <c r="DL196" i="15" s="1"/>
  <c r="DM196" i="15" s="1"/>
  <c r="DK212" i="15"/>
  <c r="DL212" i="15" s="1"/>
  <c r="DM212" i="15" s="1"/>
  <c r="DK2" i="15"/>
  <c r="DL2" i="15" s="1"/>
  <c r="DK8" i="15"/>
  <c r="DL8" i="15" s="1"/>
  <c r="DM8" i="15" s="1"/>
  <c r="DK24" i="15"/>
  <c r="DL24" i="15" s="1"/>
  <c r="DM24" i="15" s="1"/>
  <c r="DK40" i="15"/>
  <c r="DL40" i="15" s="1"/>
  <c r="DM40" i="15" s="1"/>
  <c r="DK56" i="15"/>
  <c r="DL56" i="15" s="1"/>
  <c r="DM56" i="15" s="1"/>
  <c r="DK72" i="15"/>
  <c r="DL72" i="15" s="1"/>
  <c r="DM72" i="15" s="1"/>
  <c r="DK88" i="15"/>
  <c r="DL88" i="15" s="1"/>
  <c r="DM88" i="15" s="1"/>
  <c r="DK104" i="15"/>
  <c r="DL104" i="15" s="1"/>
  <c r="DM104" i="15" s="1"/>
  <c r="DK120" i="15"/>
  <c r="DL120" i="15" s="1"/>
  <c r="DM120" i="15" s="1"/>
  <c r="DK136" i="15"/>
  <c r="DL136" i="15" s="1"/>
  <c r="DM136" i="15" s="1"/>
  <c r="DK152" i="15"/>
  <c r="DL152" i="15" s="1"/>
  <c r="DM152" i="15" s="1"/>
  <c r="DK168" i="15"/>
  <c r="DL168" i="15" s="1"/>
  <c r="DM168" i="15" s="1"/>
  <c r="DK184" i="15"/>
  <c r="DL184" i="15" s="1"/>
  <c r="DM184" i="15" s="1"/>
  <c r="DK200" i="15"/>
  <c r="DL200" i="15" s="1"/>
  <c r="DM200" i="15" s="1"/>
  <c r="DK216" i="15"/>
  <c r="DL216" i="15" s="1"/>
  <c r="DM216" i="15" s="1"/>
  <c r="DK28" i="15"/>
  <c r="DL28" i="15" s="1"/>
  <c r="DM28" i="15" s="1"/>
  <c r="DK92" i="15"/>
  <c r="DL92" i="15" s="1"/>
  <c r="DM92" i="15" s="1"/>
  <c r="DK156" i="15"/>
  <c r="DL156" i="15" s="1"/>
  <c r="DM156" i="15" s="1"/>
  <c r="DK220" i="15"/>
  <c r="DL220" i="15" s="1"/>
  <c r="DM220" i="15" s="1"/>
  <c r="DK44" i="15"/>
  <c r="DL44" i="15" s="1"/>
  <c r="DM44" i="15" s="1"/>
  <c r="DK108" i="15"/>
  <c r="DL108" i="15" s="1"/>
  <c r="DM108" i="15" s="1"/>
  <c r="DK172" i="15"/>
  <c r="DL172" i="15" s="1"/>
  <c r="DM172" i="15" s="1"/>
  <c r="DK60" i="15"/>
  <c r="DL60" i="15" s="1"/>
  <c r="DM60" i="15" s="1"/>
  <c r="DK124" i="15"/>
  <c r="DL124" i="15" s="1"/>
  <c r="DM124" i="15" s="1"/>
  <c r="DK188" i="15"/>
  <c r="DL188" i="15" s="1"/>
  <c r="DM188" i="15" s="1"/>
  <c r="DK12" i="15"/>
  <c r="DL12" i="15" s="1"/>
  <c r="DM12" i="15" s="1"/>
  <c r="DK76" i="15"/>
  <c r="DL76" i="15" s="1"/>
  <c r="DM76" i="15" s="1"/>
  <c r="DK140" i="15"/>
  <c r="DL140" i="15" s="1"/>
  <c r="DM140" i="15" s="1"/>
  <c r="DK204" i="15"/>
  <c r="DL204" i="15" s="1"/>
  <c r="DM204" i="15" s="1"/>
  <c r="CV51" i="15"/>
  <c r="CW51" i="15" s="1"/>
  <c r="CX51" i="15" s="1"/>
  <c r="CV55" i="15"/>
  <c r="CW55" i="15" s="1"/>
  <c r="CX55" i="15" s="1"/>
  <c r="CV179" i="15"/>
  <c r="CW179" i="15" s="1"/>
  <c r="CX179" i="15" s="1"/>
  <c r="CV183" i="15"/>
  <c r="CW183" i="15" s="1"/>
  <c r="CX183" i="15" s="1"/>
  <c r="CV80" i="15"/>
  <c r="CW80" i="15" s="1"/>
  <c r="CX80" i="15" s="1"/>
  <c r="CV84" i="15"/>
  <c r="CW84" i="15" s="1"/>
  <c r="CX84" i="15" s="1"/>
  <c r="CV208" i="15"/>
  <c r="CW208" i="15" s="1"/>
  <c r="CX208" i="15" s="1"/>
  <c r="CV212" i="15"/>
  <c r="CW212" i="15" s="1"/>
  <c r="CX212" i="15" s="1"/>
  <c r="CV109" i="15"/>
  <c r="CW109" i="15" s="1"/>
  <c r="CX109" i="15" s="1"/>
  <c r="CV113" i="15"/>
  <c r="CW113" i="15" s="1"/>
  <c r="CX113" i="15" s="1"/>
  <c r="CV46" i="15"/>
  <c r="CW46" i="15" s="1"/>
  <c r="CX46" i="15" s="1"/>
  <c r="CV62" i="15"/>
  <c r="CW62" i="15" s="1"/>
  <c r="CX62" i="15" s="1"/>
  <c r="CV102" i="15"/>
  <c r="CW102" i="15" s="1"/>
  <c r="CX102" i="15" s="1"/>
  <c r="CV118" i="15"/>
  <c r="CW118" i="15" s="1"/>
  <c r="CX118" i="15" s="1"/>
  <c r="DB3" i="15"/>
  <c r="DC3" i="15" s="1"/>
  <c r="DD3" i="15" s="1"/>
  <c r="DB7" i="15"/>
  <c r="DC7" i="15" s="1"/>
  <c r="DD7" i="15" s="1"/>
  <c r="DB11" i="15"/>
  <c r="DC11" i="15" s="1"/>
  <c r="DD11" i="15" s="1"/>
  <c r="DB15" i="15"/>
  <c r="DC15" i="15" s="1"/>
  <c r="DD15" i="15" s="1"/>
  <c r="DB19" i="15"/>
  <c r="DC19" i="15" s="1"/>
  <c r="DD19" i="15" s="1"/>
  <c r="DB23" i="15"/>
  <c r="DC23" i="15" s="1"/>
  <c r="DD23" i="15" s="1"/>
  <c r="DB27" i="15"/>
  <c r="DC27" i="15" s="1"/>
  <c r="DD27" i="15" s="1"/>
  <c r="DB31" i="15"/>
  <c r="DC31" i="15" s="1"/>
  <c r="DD31" i="15" s="1"/>
  <c r="DB35" i="15"/>
  <c r="DC35" i="15" s="1"/>
  <c r="DD35" i="15" s="1"/>
  <c r="DB39" i="15"/>
  <c r="DC39" i="15" s="1"/>
  <c r="DD39" i="15" s="1"/>
  <c r="DB43" i="15"/>
  <c r="DC43" i="15" s="1"/>
  <c r="DD43" i="15" s="1"/>
  <c r="DB47" i="15"/>
  <c r="DC47" i="15" s="1"/>
  <c r="DD47" i="15" s="1"/>
  <c r="DB51" i="15"/>
  <c r="DC51" i="15" s="1"/>
  <c r="DD51" i="15" s="1"/>
  <c r="DB55" i="15"/>
  <c r="DC55" i="15" s="1"/>
  <c r="DD55" i="15" s="1"/>
  <c r="DB59" i="15"/>
  <c r="DC59" i="15" s="1"/>
  <c r="DD59" i="15" s="1"/>
  <c r="DB63" i="15"/>
  <c r="DC63" i="15" s="1"/>
  <c r="DD63" i="15" s="1"/>
  <c r="DB67" i="15"/>
  <c r="DC67" i="15" s="1"/>
  <c r="DD67" i="15" s="1"/>
  <c r="DB71" i="15"/>
  <c r="DC71" i="15" s="1"/>
  <c r="DD71" i="15" s="1"/>
  <c r="DB75" i="15"/>
  <c r="DC75" i="15" s="1"/>
  <c r="DD75" i="15" s="1"/>
  <c r="DB79" i="15"/>
  <c r="DC79" i="15" s="1"/>
  <c r="DD79" i="15" s="1"/>
  <c r="DB83" i="15"/>
  <c r="DC83" i="15" s="1"/>
  <c r="DD83" i="15" s="1"/>
  <c r="DB87" i="15"/>
  <c r="DC87" i="15" s="1"/>
  <c r="DD87" i="15" s="1"/>
  <c r="DB91" i="15"/>
  <c r="DC91" i="15" s="1"/>
  <c r="DD91" i="15" s="1"/>
  <c r="DB95" i="15"/>
  <c r="DC95" i="15" s="1"/>
  <c r="DD95" i="15" s="1"/>
  <c r="DB99" i="15"/>
  <c r="DC99" i="15" s="1"/>
  <c r="DD99" i="15" s="1"/>
  <c r="DB103" i="15"/>
  <c r="DC103" i="15" s="1"/>
  <c r="DD103" i="15" s="1"/>
  <c r="DB107" i="15"/>
  <c r="DC107" i="15" s="1"/>
  <c r="DD107" i="15" s="1"/>
  <c r="DB111" i="15"/>
  <c r="DC111" i="15" s="1"/>
  <c r="DD111" i="15" s="1"/>
  <c r="DB4" i="15"/>
  <c r="DC4" i="15" s="1"/>
  <c r="DD4" i="15" s="1"/>
  <c r="DB8" i="15"/>
  <c r="DC8" i="15" s="1"/>
  <c r="DD8" i="15" s="1"/>
  <c r="DB12" i="15"/>
  <c r="DC12" i="15" s="1"/>
  <c r="DD12" i="15" s="1"/>
  <c r="DB16" i="15"/>
  <c r="DC16" i="15" s="1"/>
  <c r="DD16" i="15" s="1"/>
  <c r="DB20" i="15"/>
  <c r="DC20" i="15" s="1"/>
  <c r="DD20" i="15" s="1"/>
  <c r="DB24" i="15"/>
  <c r="DC24" i="15" s="1"/>
  <c r="DD24" i="15" s="1"/>
  <c r="DB28" i="15"/>
  <c r="DC28" i="15" s="1"/>
  <c r="DD28" i="15" s="1"/>
  <c r="DB32" i="15"/>
  <c r="DC32" i="15" s="1"/>
  <c r="DD32" i="15" s="1"/>
  <c r="DB36" i="15"/>
  <c r="DC36" i="15" s="1"/>
  <c r="DD36" i="15" s="1"/>
  <c r="DB40" i="15"/>
  <c r="DC40" i="15" s="1"/>
  <c r="DD40" i="15" s="1"/>
  <c r="DB44" i="15"/>
  <c r="DC44" i="15" s="1"/>
  <c r="DD44" i="15" s="1"/>
  <c r="DB48" i="15"/>
  <c r="DC48" i="15" s="1"/>
  <c r="DD48" i="15" s="1"/>
  <c r="DB52" i="15"/>
  <c r="DC52" i="15" s="1"/>
  <c r="DD52" i="15" s="1"/>
  <c r="DB56" i="15"/>
  <c r="DC56" i="15" s="1"/>
  <c r="DD56" i="15" s="1"/>
  <c r="DB60" i="15"/>
  <c r="DC60" i="15" s="1"/>
  <c r="DD60" i="15" s="1"/>
  <c r="DB64" i="15"/>
  <c r="DC64" i="15" s="1"/>
  <c r="DD64" i="15" s="1"/>
  <c r="DB68" i="15"/>
  <c r="DC68" i="15" s="1"/>
  <c r="DD68" i="15" s="1"/>
  <c r="DB5" i="15"/>
  <c r="DC5" i="15" s="1"/>
  <c r="DD5" i="15" s="1"/>
  <c r="DB9" i="15"/>
  <c r="DC9" i="15" s="1"/>
  <c r="DD9" i="15" s="1"/>
  <c r="DB13" i="15"/>
  <c r="DC13" i="15" s="1"/>
  <c r="DD13" i="15" s="1"/>
  <c r="DB17" i="15"/>
  <c r="DC17" i="15" s="1"/>
  <c r="DD17" i="15" s="1"/>
  <c r="DB21" i="15"/>
  <c r="DC21" i="15" s="1"/>
  <c r="DD21" i="15" s="1"/>
  <c r="DB25" i="15"/>
  <c r="DC25" i="15" s="1"/>
  <c r="DD25" i="15" s="1"/>
  <c r="DB29" i="15"/>
  <c r="DC29" i="15" s="1"/>
  <c r="DD29" i="15" s="1"/>
  <c r="DB33" i="15"/>
  <c r="DC33" i="15" s="1"/>
  <c r="DD33" i="15" s="1"/>
  <c r="DB37" i="15"/>
  <c r="DC37" i="15" s="1"/>
  <c r="DD37" i="15" s="1"/>
  <c r="DB41" i="15"/>
  <c r="DC41" i="15" s="1"/>
  <c r="DD41" i="15" s="1"/>
  <c r="DB45" i="15"/>
  <c r="DC45" i="15" s="1"/>
  <c r="DD45" i="15" s="1"/>
  <c r="DB49" i="15"/>
  <c r="DC49" i="15" s="1"/>
  <c r="DD49" i="15" s="1"/>
  <c r="DB53" i="15"/>
  <c r="DC53" i="15" s="1"/>
  <c r="DD53" i="15" s="1"/>
  <c r="DB57" i="15"/>
  <c r="DC57" i="15" s="1"/>
  <c r="DD57" i="15" s="1"/>
  <c r="DB61" i="15"/>
  <c r="DC61" i="15" s="1"/>
  <c r="DD61" i="15" s="1"/>
  <c r="DB65" i="15"/>
  <c r="DC65" i="15" s="1"/>
  <c r="DD65" i="15" s="1"/>
  <c r="DB69" i="15"/>
  <c r="DC69" i="15" s="1"/>
  <c r="DD69" i="15" s="1"/>
  <c r="DB73" i="15"/>
  <c r="DC73" i="15" s="1"/>
  <c r="DD73" i="15" s="1"/>
  <c r="DB77" i="15"/>
  <c r="DC77" i="15" s="1"/>
  <c r="DD77" i="15" s="1"/>
  <c r="DB81" i="15"/>
  <c r="DC81" i="15" s="1"/>
  <c r="DD81" i="15" s="1"/>
  <c r="DB85" i="15"/>
  <c r="DC85" i="15" s="1"/>
  <c r="DD85" i="15" s="1"/>
  <c r="DB89" i="15"/>
  <c r="DC89" i="15" s="1"/>
  <c r="DD89" i="15" s="1"/>
  <c r="DB93" i="15"/>
  <c r="DC93" i="15" s="1"/>
  <c r="DD93" i="15" s="1"/>
  <c r="DB97" i="15"/>
  <c r="DC97" i="15" s="1"/>
  <c r="DD97" i="15" s="1"/>
  <c r="DB101" i="15"/>
  <c r="DC101" i="15" s="1"/>
  <c r="DD101" i="15" s="1"/>
  <c r="DB105" i="15"/>
  <c r="DC105" i="15" s="1"/>
  <c r="DD105" i="15" s="1"/>
  <c r="DB109" i="15"/>
  <c r="DC109" i="15" s="1"/>
  <c r="DD109" i="15" s="1"/>
  <c r="DB113" i="15"/>
  <c r="DC113" i="15" s="1"/>
  <c r="DD113" i="15" s="1"/>
  <c r="DB18" i="15"/>
  <c r="DC18" i="15" s="1"/>
  <c r="DD18" i="15" s="1"/>
  <c r="DB34" i="15"/>
  <c r="DC34" i="15" s="1"/>
  <c r="DD34" i="15" s="1"/>
  <c r="DB50" i="15"/>
  <c r="DC50" i="15" s="1"/>
  <c r="DD50" i="15" s="1"/>
  <c r="DB66" i="15"/>
  <c r="DC66" i="15" s="1"/>
  <c r="DD66" i="15" s="1"/>
  <c r="DB76" i="15"/>
  <c r="DC76" i="15" s="1"/>
  <c r="DD76" i="15" s="1"/>
  <c r="DB84" i="15"/>
  <c r="DC84" i="15" s="1"/>
  <c r="DD84" i="15" s="1"/>
  <c r="DB92" i="15"/>
  <c r="DC92" i="15" s="1"/>
  <c r="DD92" i="15" s="1"/>
  <c r="DB100" i="15"/>
  <c r="DC100" i="15" s="1"/>
  <c r="DD100" i="15" s="1"/>
  <c r="DB108" i="15"/>
  <c r="DC108" i="15" s="1"/>
  <c r="DD108" i="15" s="1"/>
  <c r="DB115" i="15"/>
  <c r="DC115" i="15" s="1"/>
  <c r="DD115" i="15" s="1"/>
  <c r="DB119" i="15"/>
  <c r="DC119" i="15" s="1"/>
  <c r="DD119" i="15" s="1"/>
  <c r="DB123" i="15"/>
  <c r="DC123" i="15" s="1"/>
  <c r="DD123" i="15" s="1"/>
  <c r="DB127" i="15"/>
  <c r="DC127" i="15" s="1"/>
  <c r="DD127" i="15" s="1"/>
  <c r="DB131" i="15"/>
  <c r="DC131" i="15" s="1"/>
  <c r="DD131" i="15" s="1"/>
  <c r="DB135" i="15"/>
  <c r="DC135" i="15" s="1"/>
  <c r="DD135" i="15" s="1"/>
  <c r="DB139" i="15"/>
  <c r="DC139" i="15" s="1"/>
  <c r="DD139" i="15" s="1"/>
  <c r="DB143" i="15"/>
  <c r="DC143" i="15" s="1"/>
  <c r="DD143" i="15" s="1"/>
  <c r="DB147" i="15"/>
  <c r="DC147" i="15" s="1"/>
  <c r="DD147" i="15" s="1"/>
  <c r="DB151" i="15"/>
  <c r="DC151" i="15" s="1"/>
  <c r="DD151" i="15" s="1"/>
  <c r="DB155" i="15"/>
  <c r="DC155" i="15" s="1"/>
  <c r="DD155" i="15" s="1"/>
  <c r="DB159" i="15"/>
  <c r="DC159" i="15" s="1"/>
  <c r="DD159" i="15" s="1"/>
  <c r="DB163" i="15"/>
  <c r="DC163" i="15" s="1"/>
  <c r="DD163" i="15" s="1"/>
  <c r="DB167" i="15"/>
  <c r="DC167" i="15" s="1"/>
  <c r="DD167" i="15" s="1"/>
  <c r="DB171" i="15"/>
  <c r="DC171" i="15" s="1"/>
  <c r="DD171" i="15" s="1"/>
  <c r="DB175" i="15"/>
  <c r="DC175" i="15" s="1"/>
  <c r="DD175" i="15" s="1"/>
  <c r="DB179" i="15"/>
  <c r="DC179" i="15" s="1"/>
  <c r="DD179" i="15" s="1"/>
  <c r="DB183" i="15"/>
  <c r="DC183" i="15" s="1"/>
  <c r="DD183" i="15" s="1"/>
  <c r="DB187" i="15"/>
  <c r="DC187" i="15" s="1"/>
  <c r="DD187" i="15" s="1"/>
  <c r="DB191" i="15"/>
  <c r="DC191" i="15" s="1"/>
  <c r="DD191" i="15" s="1"/>
  <c r="DB195" i="15"/>
  <c r="DC195" i="15" s="1"/>
  <c r="DD195" i="15" s="1"/>
  <c r="DB199" i="15"/>
  <c r="DC199" i="15" s="1"/>
  <c r="DD199" i="15" s="1"/>
  <c r="DB203" i="15"/>
  <c r="DC203" i="15" s="1"/>
  <c r="DD203" i="15" s="1"/>
  <c r="DB207" i="15"/>
  <c r="DC207" i="15" s="1"/>
  <c r="DD207" i="15" s="1"/>
  <c r="DB211" i="15"/>
  <c r="DC211" i="15" s="1"/>
  <c r="DD211" i="15" s="1"/>
  <c r="DB215" i="15"/>
  <c r="DC215" i="15" s="1"/>
  <c r="DD215" i="15" s="1"/>
  <c r="DB219" i="15"/>
  <c r="DC219" i="15" s="1"/>
  <c r="DD219" i="15" s="1"/>
  <c r="DB223" i="15"/>
  <c r="DC223" i="15" s="1"/>
  <c r="DD223" i="15" s="1"/>
  <c r="DB227" i="15"/>
  <c r="DC227" i="15" s="1"/>
  <c r="DD227" i="15" s="1"/>
  <c r="DB6" i="15"/>
  <c r="DC6" i="15" s="1"/>
  <c r="DD6" i="15" s="1"/>
  <c r="DB22" i="15"/>
  <c r="DC22" i="15" s="1"/>
  <c r="DD22" i="15" s="1"/>
  <c r="DB38" i="15"/>
  <c r="DC38" i="15" s="1"/>
  <c r="DD38" i="15" s="1"/>
  <c r="DB54" i="15"/>
  <c r="DC54" i="15" s="1"/>
  <c r="DD54" i="15" s="1"/>
  <c r="DB70" i="15"/>
  <c r="DC70" i="15" s="1"/>
  <c r="DD70" i="15" s="1"/>
  <c r="DB78" i="15"/>
  <c r="DC78" i="15" s="1"/>
  <c r="DD78" i="15" s="1"/>
  <c r="DB86" i="15"/>
  <c r="DC86" i="15" s="1"/>
  <c r="DD86" i="15" s="1"/>
  <c r="DB94" i="15"/>
  <c r="DC94" i="15" s="1"/>
  <c r="DD94" i="15" s="1"/>
  <c r="DB102" i="15"/>
  <c r="DC102" i="15" s="1"/>
  <c r="DD102" i="15" s="1"/>
  <c r="DB110" i="15"/>
  <c r="DC110" i="15" s="1"/>
  <c r="DD110" i="15" s="1"/>
  <c r="DB116" i="15"/>
  <c r="DC116" i="15" s="1"/>
  <c r="DD116" i="15" s="1"/>
  <c r="DB120" i="15"/>
  <c r="DC120" i="15" s="1"/>
  <c r="DD120" i="15" s="1"/>
  <c r="DB124" i="15"/>
  <c r="DC124" i="15" s="1"/>
  <c r="DD124" i="15" s="1"/>
  <c r="DB128" i="15"/>
  <c r="DC128" i="15" s="1"/>
  <c r="DD128" i="15" s="1"/>
  <c r="DB132" i="15"/>
  <c r="DC132" i="15" s="1"/>
  <c r="DD132" i="15" s="1"/>
  <c r="DB136" i="15"/>
  <c r="DC136" i="15" s="1"/>
  <c r="DD136" i="15" s="1"/>
  <c r="DB140" i="15"/>
  <c r="DC140" i="15" s="1"/>
  <c r="DD140" i="15" s="1"/>
  <c r="DB144" i="15"/>
  <c r="DC144" i="15" s="1"/>
  <c r="DD144" i="15" s="1"/>
  <c r="DB148" i="15"/>
  <c r="DC148" i="15" s="1"/>
  <c r="DD148" i="15" s="1"/>
  <c r="DB152" i="15"/>
  <c r="DC152" i="15" s="1"/>
  <c r="DD152" i="15" s="1"/>
  <c r="DB156" i="15"/>
  <c r="DC156" i="15" s="1"/>
  <c r="DD156" i="15" s="1"/>
  <c r="DB160" i="15"/>
  <c r="DC160" i="15" s="1"/>
  <c r="DD160" i="15" s="1"/>
  <c r="DB164" i="15"/>
  <c r="DC164" i="15" s="1"/>
  <c r="DD164" i="15" s="1"/>
  <c r="DB168" i="15"/>
  <c r="DC168" i="15" s="1"/>
  <c r="DD168" i="15" s="1"/>
  <c r="DB172" i="15"/>
  <c r="DC172" i="15" s="1"/>
  <c r="DD172" i="15" s="1"/>
  <c r="DB176" i="15"/>
  <c r="DC176" i="15" s="1"/>
  <c r="DD176" i="15" s="1"/>
  <c r="DB180" i="15"/>
  <c r="DC180" i="15" s="1"/>
  <c r="DD180" i="15" s="1"/>
  <c r="DB184" i="15"/>
  <c r="DC184" i="15" s="1"/>
  <c r="DD184" i="15" s="1"/>
  <c r="DB188" i="15"/>
  <c r="DC188" i="15" s="1"/>
  <c r="DD188" i="15" s="1"/>
  <c r="DB192" i="15"/>
  <c r="DC192" i="15" s="1"/>
  <c r="DD192" i="15" s="1"/>
  <c r="DB196" i="15"/>
  <c r="DC196" i="15" s="1"/>
  <c r="DD196" i="15" s="1"/>
  <c r="DB200" i="15"/>
  <c r="DC200" i="15" s="1"/>
  <c r="DD200" i="15" s="1"/>
  <c r="DB204" i="15"/>
  <c r="DC204" i="15" s="1"/>
  <c r="DD204" i="15" s="1"/>
  <c r="DB208" i="15"/>
  <c r="DC208" i="15" s="1"/>
  <c r="DD208" i="15" s="1"/>
  <c r="DB212" i="15"/>
  <c r="DC212" i="15" s="1"/>
  <c r="DD212" i="15" s="1"/>
  <c r="DB216" i="15"/>
  <c r="DC216" i="15" s="1"/>
  <c r="DD216" i="15" s="1"/>
  <c r="DB220" i="15"/>
  <c r="DC220" i="15" s="1"/>
  <c r="DD220" i="15" s="1"/>
  <c r="DB224" i="15"/>
  <c r="DC224" i="15" s="1"/>
  <c r="DD224" i="15" s="1"/>
  <c r="DB2" i="15"/>
  <c r="DC2" i="15" s="1"/>
  <c r="DB10" i="15"/>
  <c r="DC10" i="15" s="1"/>
  <c r="DD10" i="15" s="1"/>
  <c r="DB26" i="15"/>
  <c r="DC26" i="15" s="1"/>
  <c r="DD26" i="15" s="1"/>
  <c r="DB42" i="15"/>
  <c r="DC42" i="15" s="1"/>
  <c r="DD42" i="15" s="1"/>
  <c r="DB58" i="15"/>
  <c r="DC58" i="15" s="1"/>
  <c r="DD58" i="15" s="1"/>
  <c r="DB72" i="15"/>
  <c r="DC72" i="15" s="1"/>
  <c r="DD72" i="15" s="1"/>
  <c r="DB80" i="15"/>
  <c r="DC80" i="15" s="1"/>
  <c r="DD80" i="15" s="1"/>
  <c r="DB88" i="15"/>
  <c r="DC88" i="15" s="1"/>
  <c r="DD88" i="15" s="1"/>
  <c r="DB96" i="15"/>
  <c r="DC96" i="15" s="1"/>
  <c r="DD96" i="15" s="1"/>
  <c r="DB104" i="15"/>
  <c r="DC104" i="15" s="1"/>
  <c r="DD104" i="15" s="1"/>
  <c r="DB112" i="15"/>
  <c r="DC112" i="15" s="1"/>
  <c r="DD112" i="15" s="1"/>
  <c r="DB117" i="15"/>
  <c r="DC117" i="15" s="1"/>
  <c r="DD117" i="15" s="1"/>
  <c r="DB121" i="15"/>
  <c r="DC121" i="15" s="1"/>
  <c r="DD121" i="15" s="1"/>
  <c r="DB125" i="15"/>
  <c r="DC125" i="15" s="1"/>
  <c r="DD125" i="15" s="1"/>
  <c r="DB129" i="15"/>
  <c r="DC129" i="15" s="1"/>
  <c r="DD129" i="15" s="1"/>
  <c r="DB133" i="15"/>
  <c r="DC133" i="15" s="1"/>
  <c r="DD133" i="15" s="1"/>
  <c r="DB137" i="15"/>
  <c r="DC137" i="15" s="1"/>
  <c r="DD137" i="15" s="1"/>
  <c r="DB141" i="15"/>
  <c r="DC141" i="15" s="1"/>
  <c r="DD141" i="15" s="1"/>
  <c r="DB145" i="15"/>
  <c r="DC145" i="15" s="1"/>
  <c r="DD145" i="15" s="1"/>
  <c r="DB149" i="15"/>
  <c r="DC149" i="15" s="1"/>
  <c r="DD149" i="15" s="1"/>
  <c r="DB153" i="15"/>
  <c r="DC153" i="15" s="1"/>
  <c r="DD153" i="15" s="1"/>
  <c r="DB157" i="15"/>
  <c r="DC157" i="15" s="1"/>
  <c r="DD157" i="15" s="1"/>
  <c r="DB161" i="15"/>
  <c r="DC161" i="15" s="1"/>
  <c r="DD161" i="15" s="1"/>
  <c r="DB165" i="15"/>
  <c r="DC165" i="15" s="1"/>
  <c r="DD165" i="15" s="1"/>
  <c r="DB169" i="15"/>
  <c r="DC169" i="15" s="1"/>
  <c r="DD169" i="15" s="1"/>
  <c r="DB173" i="15"/>
  <c r="DC173" i="15" s="1"/>
  <c r="DD173" i="15" s="1"/>
  <c r="DB177" i="15"/>
  <c r="DC177" i="15" s="1"/>
  <c r="DD177" i="15" s="1"/>
  <c r="DB181" i="15"/>
  <c r="DC181" i="15" s="1"/>
  <c r="DD181" i="15" s="1"/>
  <c r="DB185" i="15"/>
  <c r="DC185" i="15" s="1"/>
  <c r="DD185" i="15" s="1"/>
  <c r="DB189" i="15"/>
  <c r="DC189" i="15" s="1"/>
  <c r="DD189" i="15" s="1"/>
  <c r="DB193" i="15"/>
  <c r="DC193" i="15" s="1"/>
  <c r="DD193" i="15" s="1"/>
  <c r="DB197" i="15"/>
  <c r="DC197" i="15" s="1"/>
  <c r="DD197" i="15" s="1"/>
  <c r="DB201" i="15"/>
  <c r="DC201" i="15" s="1"/>
  <c r="DD201" i="15" s="1"/>
  <c r="DB205" i="15"/>
  <c r="DC205" i="15" s="1"/>
  <c r="DD205" i="15" s="1"/>
  <c r="DB209" i="15"/>
  <c r="DC209" i="15" s="1"/>
  <c r="DD209" i="15" s="1"/>
  <c r="DB213" i="15"/>
  <c r="DC213" i="15" s="1"/>
  <c r="DD213" i="15" s="1"/>
  <c r="DB217" i="15"/>
  <c r="DC217" i="15" s="1"/>
  <c r="DD217" i="15" s="1"/>
  <c r="DB221" i="15"/>
  <c r="DC221" i="15" s="1"/>
  <c r="DD221" i="15" s="1"/>
  <c r="DB225" i="15"/>
  <c r="DC225" i="15" s="1"/>
  <c r="DD225" i="15" s="1"/>
  <c r="DB46" i="15"/>
  <c r="DC46" i="15" s="1"/>
  <c r="DD46" i="15" s="1"/>
  <c r="DB90" i="15"/>
  <c r="DC90" i="15" s="1"/>
  <c r="DD90" i="15" s="1"/>
  <c r="DB118" i="15"/>
  <c r="DC118" i="15" s="1"/>
  <c r="DD118" i="15" s="1"/>
  <c r="DB134" i="15"/>
  <c r="DC134" i="15" s="1"/>
  <c r="DD134" i="15" s="1"/>
  <c r="DB150" i="15"/>
  <c r="DC150" i="15" s="1"/>
  <c r="DD150" i="15" s="1"/>
  <c r="DB166" i="15"/>
  <c r="DC166" i="15" s="1"/>
  <c r="DD166" i="15" s="1"/>
  <c r="DB182" i="15"/>
  <c r="DC182" i="15" s="1"/>
  <c r="DD182" i="15" s="1"/>
  <c r="DB198" i="15"/>
  <c r="DC198" i="15" s="1"/>
  <c r="DD198" i="15" s="1"/>
  <c r="DB214" i="15"/>
  <c r="DC214" i="15" s="1"/>
  <c r="DD214" i="15" s="1"/>
  <c r="DB62" i="15"/>
  <c r="DC62" i="15" s="1"/>
  <c r="DD62" i="15" s="1"/>
  <c r="DB98" i="15"/>
  <c r="DC98" i="15" s="1"/>
  <c r="DD98" i="15" s="1"/>
  <c r="DB122" i="15"/>
  <c r="DC122" i="15" s="1"/>
  <c r="DD122" i="15" s="1"/>
  <c r="DB138" i="15"/>
  <c r="DC138" i="15" s="1"/>
  <c r="DD138" i="15" s="1"/>
  <c r="DB154" i="15"/>
  <c r="DC154" i="15" s="1"/>
  <c r="DD154" i="15" s="1"/>
  <c r="DB170" i="15"/>
  <c r="DC170" i="15" s="1"/>
  <c r="DD170" i="15" s="1"/>
  <c r="DB186" i="15"/>
  <c r="DC186" i="15" s="1"/>
  <c r="DD186" i="15" s="1"/>
  <c r="DB202" i="15"/>
  <c r="DC202" i="15" s="1"/>
  <c r="DD202" i="15" s="1"/>
  <c r="DB218" i="15"/>
  <c r="DC218" i="15" s="1"/>
  <c r="DD218" i="15" s="1"/>
  <c r="DB14" i="15"/>
  <c r="DC14" i="15" s="1"/>
  <c r="DD14" i="15" s="1"/>
  <c r="DB74" i="15"/>
  <c r="DC74" i="15" s="1"/>
  <c r="DD74" i="15" s="1"/>
  <c r="DB106" i="15"/>
  <c r="DC106" i="15" s="1"/>
  <c r="DD106" i="15" s="1"/>
  <c r="DB126" i="15"/>
  <c r="DC126" i="15" s="1"/>
  <c r="DD126" i="15" s="1"/>
  <c r="DB142" i="15"/>
  <c r="DC142" i="15" s="1"/>
  <c r="DD142" i="15" s="1"/>
  <c r="DB158" i="15"/>
  <c r="DC158" i="15" s="1"/>
  <c r="DD158" i="15" s="1"/>
  <c r="DB174" i="15"/>
  <c r="DC174" i="15" s="1"/>
  <c r="DD174" i="15" s="1"/>
  <c r="DB190" i="15"/>
  <c r="DC190" i="15" s="1"/>
  <c r="DD190" i="15" s="1"/>
  <c r="DB206" i="15"/>
  <c r="DC206" i="15" s="1"/>
  <c r="DD206" i="15" s="1"/>
  <c r="DB222" i="15"/>
  <c r="DC222" i="15" s="1"/>
  <c r="DD222" i="15" s="1"/>
  <c r="DB82" i="15"/>
  <c r="DC82" i="15" s="1"/>
  <c r="DD82" i="15" s="1"/>
  <c r="DB162" i="15"/>
  <c r="DC162" i="15" s="1"/>
  <c r="DD162" i="15" s="1"/>
  <c r="DB226" i="15"/>
  <c r="DC226" i="15" s="1"/>
  <c r="DD226" i="15" s="1"/>
  <c r="DB114" i="15"/>
  <c r="DC114" i="15" s="1"/>
  <c r="DD114" i="15" s="1"/>
  <c r="DB178" i="15"/>
  <c r="DC178" i="15" s="1"/>
  <c r="DD178" i="15" s="1"/>
  <c r="DB130" i="15"/>
  <c r="DC130" i="15" s="1"/>
  <c r="DD130" i="15" s="1"/>
  <c r="DB194" i="15"/>
  <c r="DC194" i="15" s="1"/>
  <c r="DD194" i="15" s="1"/>
  <c r="DB30" i="15"/>
  <c r="DC30" i="15" s="1"/>
  <c r="DD30" i="15" s="1"/>
  <c r="DB146" i="15"/>
  <c r="DC146" i="15" s="1"/>
  <c r="DD146" i="15" s="1"/>
  <c r="DB210" i="15"/>
  <c r="DC210" i="15" s="1"/>
  <c r="DD210" i="15" s="1"/>
  <c r="AB6" i="15"/>
  <c r="AC6" i="15" s="1"/>
  <c r="AD6" i="15" s="1"/>
  <c r="AB10" i="15"/>
  <c r="AC10" i="15" s="1"/>
  <c r="AD10" i="15" s="1"/>
  <c r="AB14" i="15"/>
  <c r="AC14" i="15" s="1"/>
  <c r="AD14" i="15" s="1"/>
  <c r="AB18" i="15"/>
  <c r="AC18" i="15" s="1"/>
  <c r="AD18" i="15" s="1"/>
  <c r="AB22" i="15"/>
  <c r="AC22" i="15" s="1"/>
  <c r="AD22" i="15" s="1"/>
  <c r="AB26" i="15"/>
  <c r="AC26" i="15" s="1"/>
  <c r="AD26" i="15" s="1"/>
  <c r="AB30" i="15"/>
  <c r="AC30" i="15" s="1"/>
  <c r="AD30" i="15" s="1"/>
  <c r="AB34" i="15"/>
  <c r="AC34" i="15" s="1"/>
  <c r="AD34" i="15" s="1"/>
  <c r="AB38" i="15"/>
  <c r="AC38" i="15" s="1"/>
  <c r="AD38" i="15" s="1"/>
  <c r="AB42" i="15"/>
  <c r="AC42" i="15" s="1"/>
  <c r="AD42" i="15" s="1"/>
  <c r="AB46" i="15"/>
  <c r="AC46" i="15" s="1"/>
  <c r="AD46" i="15" s="1"/>
  <c r="AB50" i="15"/>
  <c r="AC50" i="15" s="1"/>
  <c r="AD50" i="15" s="1"/>
  <c r="AB54" i="15"/>
  <c r="AC54" i="15" s="1"/>
  <c r="AD54" i="15" s="1"/>
  <c r="AB58" i="15"/>
  <c r="AC58" i="15" s="1"/>
  <c r="AD58" i="15" s="1"/>
  <c r="AB62" i="15"/>
  <c r="AC62" i="15" s="1"/>
  <c r="AD62" i="15" s="1"/>
  <c r="AB66" i="15"/>
  <c r="AC66" i="15" s="1"/>
  <c r="AD66" i="15" s="1"/>
  <c r="AB70" i="15"/>
  <c r="AC70" i="15" s="1"/>
  <c r="AD70" i="15" s="1"/>
  <c r="AB74" i="15"/>
  <c r="AC74" i="15" s="1"/>
  <c r="AD74" i="15" s="1"/>
  <c r="AB78" i="15"/>
  <c r="AC78" i="15" s="1"/>
  <c r="AD78" i="15" s="1"/>
  <c r="AB82" i="15"/>
  <c r="AC82" i="15" s="1"/>
  <c r="AD82" i="15" s="1"/>
  <c r="AB86" i="15"/>
  <c r="AC86" i="15" s="1"/>
  <c r="AD86" i="15" s="1"/>
  <c r="AB90" i="15"/>
  <c r="AC90" i="15" s="1"/>
  <c r="AD90" i="15" s="1"/>
  <c r="AB94" i="15"/>
  <c r="AC94" i="15" s="1"/>
  <c r="AD94" i="15" s="1"/>
  <c r="AB98" i="15"/>
  <c r="AC98" i="15" s="1"/>
  <c r="AD98" i="15" s="1"/>
  <c r="AB102" i="15"/>
  <c r="AC102" i="15" s="1"/>
  <c r="AD102" i="15" s="1"/>
  <c r="AB106" i="15"/>
  <c r="AC106" i="15" s="1"/>
  <c r="AD106" i="15" s="1"/>
  <c r="AB110" i="15"/>
  <c r="AC110" i="15" s="1"/>
  <c r="AD110" i="15" s="1"/>
  <c r="AB114" i="15"/>
  <c r="AC114" i="15" s="1"/>
  <c r="AD114" i="15" s="1"/>
  <c r="AB118" i="15"/>
  <c r="AC118" i="15" s="1"/>
  <c r="AD118" i="15" s="1"/>
  <c r="AB122" i="15"/>
  <c r="AC122" i="15" s="1"/>
  <c r="AD122" i="15" s="1"/>
  <c r="AB126" i="15"/>
  <c r="AC126" i="15" s="1"/>
  <c r="AD126" i="15" s="1"/>
  <c r="AB130" i="15"/>
  <c r="AC130" i="15" s="1"/>
  <c r="AD130" i="15" s="1"/>
  <c r="AB134" i="15"/>
  <c r="AC134" i="15" s="1"/>
  <c r="AD134" i="15" s="1"/>
  <c r="AB138" i="15"/>
  <c r="AC138" i="15" s="1"/>
  <c r="AD138" i="15" s="1"/>
  <c r="AB142" i="15"/>
  <c r="AC142" i="15" s="1"/>
  <c r="AD142" i="15" s="1"/>
  <c r="AB146" i="15"/>
  <c r="AC146" i="15" s="1"/>
  <c r="AD146" i="15" s="1"/>
  <c r="AB150" i="15"/>
  <c r="AC150" i="15" s="1"/>
  <c r="AD150" i="15" s="1"/>
  <c r="AB154" i="15"/>
  <c r="AC154" i="15" s="1"/>
  <c r="AD154" i="15" s="1"/>
  <c r="AB158" i="15"/>
  <c r="AC158" i="15" s="1"/>
  <c r="AD158" i="15" s="1"/>
  <c r="AB162" i="15"/>
  <c r="AC162" i="15" s="1"/>
  <c r="AD162" i="15" s="1"/>
  <c r="AB166" i="15"/>
  <c r="AC166" i="15" s="1"/>
  <c r="AD166" i="15" s="1"/>
  <c r="AB170" i="15"/>
  <c r="AC170" i="15" s="1"/>
  <c r="AD170" i="15" s="1"/>
  <c r="AB174" i="15"/>
  <c r="AC174" i="15" s="1"/>
  <c r="AD174" i="15" s="1"/>
  <c r="AB178" i="15"/>
  <c r="AC178" i="15" s="1"/>
  <c r="AD178" i="15" s="1"/>
  <c r="AB182" i="15"/>
  <c r="AC182" i="15" s="1"/>
  <c r="AD182" i="15" s="1"/>
  <c r="AB186" i="15"/>
  <c r="AC186" i="15" s="1"/>
  <c r="AD186" i="15" s="1"/>
  <c r="AB190" i="15"/>
  <c r="AC190" i="15" s="1"/>
  <c r="AD190" i="15" s="1"/>
  <c r="AB194" i="15"/>
  <c r="AC194" i="15" s="1"/>
  <c r="AD194" i="15" s="1"/>
  <c r="AB198" i="15"/>
  <c r="AC198" i="15" s="1"/>
  <c r="AD198" i="15" s="1"/>
  <c r="AB202" i="15"/>
  <c r="AC202" i="15" s="1"/>
  <c r="AD202" i="15" s="1"/>
  <c r="AB206" i="15"/>
  <c r="AC206" i="15" s="1"/>
  <c r="AD206" i="15" s="1"/>
  <c r="AB210" i="15"/>
  <c r="AC210" i="15" s="1"/>
  <c r="AD210" i="15" s="1"/>
  <c r="AB214" i="15"/>
  <c r="AC214" i="15" s="1"/>
  <c r="AD214" i="15" s="1"/>
  <c r="AB218" i="15"/>
  <c r="AC218" i="15" s="1"/>
  <c r="AD218" i="15" s="1"/>
  <c r="AB222" i="15"/>
  <c r="AC222" i="15" s="1"/>
  <c r="AD222" i="15" s="1"/>
  <c r="AB226" i="15"/>
  <c r="AC226" i="15" s="1"/>
  <c r="AD226" i="15" s="1"/>
  <c r="AB5" i="15"/>
  <c r="AC5" i="15" s="1"/>
  <c r="AD5" i="15" s="1"/>
  <c r="AB13" i="15"/>
  <c r="AC13" i="15" s="1"/>
  <c r="AD13" i="15" s="1"/>
  <c r="AB21" i="15"/>
  <c r="AC21" i="15" s="1"/>
  <c r="AD21" i="15" s="1"/>
  <c r="AB29" i="15"/>
  <c r="AC29" i="15" s="1"/>
  <c r="AD29" i="15" s="1"/>
  <c r="AB37" i="15"/>
  <c r="AC37" i="15" s="1"/>
  <c r="AD37" i="15" s="1"/>
  <c r="AB45" i="15"/>
  <c r="AC45" i="15" s="1"/>
  <c r="AD45" i="15" s="1"/>
  <c r="AB53" i="15"/>
  <c r="AC53" i="15" s="1"/>
  <c r="AD53" i="15" s="1"/>
  <c r="AB61" i="15"/>
  <c r="AC61" i="15" s="1"/>
  <c r="AD61" i="15" s="1"/>
  <c r="AB69" i="15"/>
  <c r="AC69" i="15" s="1"/>
  <c r="AD69" i="15" s="1"/>
  <c r="AB77" i="15"/>
  <c r="AC77" i="15" s="1"/>
  <c r="AD77" i="15" s="1"/>
  <c r="AB85" i="15"/>
  <c r="AC85" i="15" s="1"/>
  <c r="AD85" i="15" s="1"/>
  <c r="AB97" i="15"/>
  <c r="AC97" i="15" s="1"/>
  <c r="AD97" i="15" s="1"/>
  <c r="AB105" i="15"/>
  <c r="AC105" i="15" s="1"/>
  <c r="AD105" i="15" s="1"/>
  <c r="AB113" i="15"/>
  <c r="AC113" i="15" s="1"/>
  <c r="AD113" i="15" s="1"/>
  <c r="AB121" i="15"/>
  <c r="AC121" i="15" s="1"/>
  <c r="AD121" i="15" s="1"/>
  <c r="AB125" i="15"/>
  <c r="AC125" i="15" s="1"/>
  <c r="AD125" i="15" s="1"/>
  <c r="AB133" i="15"/>
  <c r="AC133" i="15" s="1"/>
  <c r="AD133" i="15" s="1"/>
  <c r="AB141" i="15"/>
  <c r="AC141" i="15" s="1"/>
  <c r="AD141" i="15" s="1"/>
  <c r="AB149" i="15"/>
  <c r="AC149" i="15" s="1"/>
  <c r="AD149" i="15" s="1"/>
  <c r="AB161" i="15"/>
  <c r="AC161" i="15" s="1"/>
  <c r="AD161" i="15" s="1"/>
  <c r="AB165" i="15"/>
  <c r="AC165" i="15" s="1"/>
  <c r="AD165" i="15" s="1"/>
  <c r="AB173" i="15"/>
  <c r="AC173" i="15" s="1"/>
  <c r="AD173" i="15" s="1"/>
  <c r="AB181" i="15"/>
  <c r="AC181" i="15" s="1"/>
  <c r="AD181" i="15" s="1"/>
  <c r="AB189" i="15"/>
  <c r="AC189" i="15" s="1"/>
  <c r="AD189" i="15" s="1"/>
  <c r="AB197" i="15"/>
  <c r="AC197" i="15" s="1"/>
  <c r="AD197" i="15" s="1"/>
  <c r="AB205" i="15"/>
  <c r="AC205" i="15" s="1"/>
  <c r="AD205" i="15" s="1"/>
  <c r="AB213" i="15"/>
  <c r="AC213" i="15" s="1"/>
  <c r="AD213" i="15" s="1"/>
  <c r="AB221" i="15"/>
  <c r="AC221" i="15" s="1"/>
  <c r="AD221" i="15" s="1"/>
  <c r="AB3" i="15"/>
  <c r="AC3" i="15" s="1"/>
  <c r="AD3" i="15" s="1"/>
  <c r="AB7" i="15"/>
  <c r="AC7" i="15" s="1"/>
  <c r="AD7" i="15" s="1"/>
  <c r="AB11" i="15"/>
  <c r="AC11" i="15" s="1"/>
  <c r="AD11" i="15" s="1"/>
  <c r="AB15" i="15"/>
  <c r="AC15" i="15" s="1"/>
  <c r="AD15" i="15" s="1"/>
  <c r="AB19" i="15"/>
  <c r="AC19" i="15" s="1"/>
  <c r="AD19" i="15" s="1"/>
  <c r="AB23" i="15"/>
  <c r="AC23" i="15" s="1"/>
  <c r="AD23" i="15" s="1"/>
  <c r="AB27" i="15"/>
  <c r="AC27" i="15" s="1"/>
  <c r="AD27" i="15" s="1"/>
  <c r="AB31" i="15"/>
  <c r="AC31" i="15" s="1"/>
  <c r="AD31" i="15" s="1"/>
  <c r="AB35" i="15"/>
  <c r="AC35" i="15" s="1"/>
  <c r="AD35" i="15" s="1"/>
  <c r="AB39" i="15"/>
  <c r="AC39" i="15" s="1"/>
  <c r="AD39" i="15" s="1"/>
  <c r="AB43" i="15"/>
  <c r="AC43" i="15" s="1"/>
  <c r="AD43" i="15" s="1"/>
  <c r="AB47" i="15"/>
  <c r="AC47" i="15" s="1"/>
  <c r="AD47" i="15" s="1"/>
  <c r="AB51" i="15"/>
  <c r="AC51" i="15" s="1"/>
  <c r="AD51" i="15" s="1"/>
  <c r="AB55" i="15"/>
  <c r="AC55" i="15" s="1"/>
  <c r="AD55" i="15" s="1"/>
  <c r="AB59" i="15"/>
  <c r="AC59" i="15" s="1"/>
  <c r="AD59" i="15" s="1"/>
  <c r="AB63" i="15"/>
  <c r="AC63" i="15" s="1"/>
  <c r="AD63" i="15" s="1"/>
  <c r="AB67" i="15"/>
  <c r="AC67" i="15" s="1"/>
  <c r="AD67" i="15" s="1"/>
  <c r="AB71" i="15"/>
  <c r="AC71" i="15" s="1"/>
  <c r="AD71" i="15" s="1"/>
  <c r="AB75" i="15"/>
  <c r="AC75" i="15" s="1"/>
  <c r="AD75" i="15" s="1"/>
  <c r="AB79" i="15"/>
  <c r="AC79" i="15" s="1"/>
  <c r="AD79" i="15" s="1"/>
  <c r="AB83" i="15"/>
  <c r="AC83" i="15" s="1"/>
  <c r="AD83" i="15" s="1"/>
  <c r="AB87" i="15"/>
  <c r="AC87" i="15" s="1"/>
  <c r="AD87" i="15" s="1"/>
  <c r="AB91" i="15"/>
  <c r="AC91" i="15" s="1"/>
  <c r="AD91" i="15" s="1"/>
  <c r="AB95" i="15"/>
  <c r="AC95" i="15" s="1"/>
  <c r="AD95" i="15" s="1"/>
  <c r="AB99" i="15"/>
  <c r="AC99" i="15" s="1"/>
  <c r="AD99" i="15" s="1"/>
  <c r="AB103" i="15"/>
  <c r="AC103" i="15" s="1"/>
  <c r="AD103" i="15" s="1"/>
  <c r="AB107" i="15"/>
  <c r="AC107" i="15" s="1"/>
  <c r="AD107" i="15" s="1"/>
  <c r="AB111" i="15"/>
  <c r="AC111" i="15" s="1"/>
  <c r="AD111" i="15" s="1"/>
  <c r="AB115" i="15"/>
  <c r="AC115" i="15" s="1"/>
  <c r="AD115" i="15" s="1"/>
  <c r="AB119" i="15"/>
  <c r="AC119" i="15" s="1"/>
  <c r="AD119" i="15" s="1"/>
  <c r="AB123" i="15"/>
  <c r="AC123" i="15" s="1"/>
  <c r="AD123" i="15" s="1"/>
  <c r="AB127" i="15"/>
  <c r="AC127" i="15" s="1"/>
  <c r="AD127" i="15" s="1"/>
  <c r="AB131" i="15"/>
  <c r="AC131" i="15" s="1"/>
  <c r="AD131" i="15" s="1"/>
  <c r="AB135" i="15"/>
  <c r="AC135" i="15" s="1"/>
  <c r="AD135" i="15" s="1"/>
  <c r="AB139" i="15"/>
  <c r="AC139" i="15" s="1"/>
  <c r="AD139" i="15" s="1"/>
  <c r="AB143" i="15"/>
  <c r="AC143" i="15" s="1"/>
  <c r="AD143" i="15" s="1"/>
  <c r="AB147" i="15"/>
  <c r="AC147" i="15" s="1"/>
  <c r="AD147" i="15" s="1"/>
  <c r="AB151" i="15"/>
  <c r="AC151" i="15" s="1"/>
  <c r="AD151" i="15" s="1"/>
  <c r="AB155" i="15"/>
  <c r="AC155" i="15" s="1"/>
  <c r="AD155" i="15" s="1"/>
  <c r="AB159" i="15"/>
  <c r="AC159" i="15" s="1"/>
  <c r="AD159" i="15" s="1"/>
  <c r="AB163" i="15"/>
  <c r="AC163" i="15" s="1"/>
  <c r="AD163" i="15" s="1"/>
  <c r="AB167" i="15"/>
  <c r="AC167" i="15" s="1"/>
  <c r="AD167" i="15" s="1"/>
  <c r="AB171" i="15"/>
  <c r="AC171" i="15" s="1"/>
  <c r="AD171" i="15" s="1"/>
  <c r="AB175" i="15"/>
  <c r="AC175" i="15" s="1"/>
  <c r="AD175" i="15" s="1"/>
  <c r="AB179" i="15"/>
  <c r="AC179" i="15" s="1"/>
  <c r="AD179" i="15" s="1"/>
  <c r="AB183" i="15"/>
  <c r="AC183" i="15" s="1"/>
  <c r="AD183" i="15" s="1"/>
  <c r="AB187" i="15"/>
  <c r="AC187" i="15" s="1"/>
  <c r="AD187" i="15" s="1"/>
  <c r="AB191" i="15"/>
  <c r="AC191" i="15" s="1"/>
  <c r="AD191" i="15" s="1"/>
  <c r="AB195" i="15"/>
  <c r="AC195" i="15" s="1"/>
  <c r="AD195" i="15" s="1"/>
  <c r="AB199" i="15"/>
  <c r="AC199" i="15" s="1"/>
  <c r="AD199" i="15" s="1"/>
  <c r="AB203" i="15"/>
  <c r="AC203" i="15" s="1"/>
  <c r="AD203" i="15" s="1"/>
  <c r="AB207" i="15"/>
  <c r="AC207" i="15" s="1"/>
  <c r="AD207" i="15" s="1"/>
  <c r="AB211" i="15"/>
  <c r="AC211" i="15" s="1"/>
  <c r="AD211" i="15" s="1"/>
  <c r="AB215" i="15"/>
  <c r="AC215" i="15" s="1"/>
  <c r="AD215" i="15" s="1"/>
  <c r="AB219" i="15"/>
  <c r="AC219" i="15" s="1"/>
  <c r="AD219" i="15" s="1"/>
  <c r="AB223" i="15"/>
  <c r="AC223" i="15" s="1"/>
  <c r="AD223" i="15" s="1"/>
  <c r="AB227" i="15"/>
  <c r="AC227" i="15" s="1"/>
  <c r="AD227" i="15" s="1"/>
  <c r="AB4" i="15"/>
  <c r="AC4" i="15" s="1"/>
  <c r="AD4" i="15" s="1"/>
  <c r="AB8" i="15"/>
  <c r="AC8" i="15" s="1"/>
  <c r="AD8" i="15" s="1"/>
  <c r="AB12" i="15"/>
  <c r="AC12" i="15" s="1"/>
  <c r="AD12" i="15" s="1"/>
  <c r="AB16" i="15"/>
  <c r="AC16" i="15" s="1"/>
  <c r="AD16" i="15" s="1"/>
  <c r="AB20" i="15"/>
  <c r="AC20" i="15" s="1"/>
  <c r="AD20" i="15" s="1"/>
  <c r="AB24" i="15"/>
  <c r="AC24" i="15" s="1"/>
  <c r="AD24" i="15" s="1"/>
  <c r="AB28" i="15"/>
  <c r="AC28" i="15" s="1"/>
  <c r="AD28" i="15" s="1"/>
  <c r="AB32" i="15"/>
  <c r="AC32" i="15" s="1"/>
  <c r="AD32" i="15" s="1"/>
  <c r="AB36" i="15"/>
  <c r="AC36" i="15" s="1"/>
  <c r="AD36" i="15" s="1"/>
  <c r="AB40" i="15"/>
  <c r="AC40" i="15" s="1"/>
  <c r="AD40" i="15" s="1"/>
  <c r="AB44" i="15"/>
  <c r="AC44" i="15" s="1"/>
  <c r="AD44" i="15" s="1"/>
  <c r="AB48" i="15"/>
  <c r="AC48" i="15" s="1"/>
  <c r="AD48" i="15" s="1"/>
  <c r="AB52" i="15"/>
  <c r="AC52" i="15" s="1"/>
  <c r="AD52" i="15" s="1"/>
  <c r="AB56" i="15"/>
  <c r="AC56" i="15" s="1"/>
  <c r="AD56" i="15" s="1"/>
  <c r="AB60" i="15"/>
  <c r="AC60" i="15" s="1"/>
  <c r="AD60" i="15" s="1"/>
  <c r="AB64" i="15"/>
  <c r="AC64" i="15" s="1"/>
  <c r="AD64" i="15" s="1"/>
  <c r="AB68" i="15"/>
  <c r="AC68" i="15" s="1"/>
  <c r="AD68" i="15" s="1"/>
  <c r="AB72" i="15"/>
  <c r="AC72" i="15" s="1"/>
  <c r="AD72" i="15" s="1"/>
  <c r="AB76" i="15"/>
  <c r="AC76" i="15" s="1"/>
  <c r="AD76" i="15" s="1"/>
  <c r="AB80" i="15"/>
  <c r="AC80" i="15" s="1"/>
  <c r="AD80" i="15" s="1"/>
  <c r="AB84" i="15"/>
  <c r="AC84" i="15" s="1"/>
  <c r="AD84" i="15" s="1"/>
  <c r="AB88" i="15"/>
  <c r="AC88" i="15" s="1"/>
  <c r="AD88" i="15" s="1"/>
  <c r="AB92" i="15"/>
  <c r="AC92" i="15" s="1"/>
  <c r="AD92" i="15" s="1"/>
  <c r="AB96" i="15"/>
  <c r="AC96" i="15" s="1"/>
  <c r="AD96" i="15" s="1"/>
  <c r="AB100" i="15"/>
  <c r="AC100" i="15" s="1"/>
  <c r="AD100" i="15" s="1"/>
  <c r="AB104" i="15"/>
  <c r="AC104" i="15" s="1"/>
  <c r="AD104" i="15" s="1"/>
  <c r="AB108" i="15"/>
  <c r="AC108" i="15" s="1"/>
  <c r="AD108" i="15" s="1"/>
  <c r="AB112" i="15"/>
  <c r="AC112" i="15" s="1"/>
  <c r="AD112" i="15" s="1"/>
  <c r="AB116" i="15"/>
  <c r="AC116" i="15" s="1"/>
  <c r="AD116" i="15" s="1"/>
  <c r="AB120" i="15"/>
  <c r="AC120" i="15" s="1"/>
  <c r="AD120" i="15" s="1"/>
  <c r="AB124" i="15"/>
  <c r="AC124" i="15" s="1"/>
  <c r="AD124" i="15" s="1"/>
  <c r="AB128" i="15"/>
  <c r="AC128" i="15" s="1"/>
  <c r="AD128" i="15" s="1"/>
  <c r="AB132" i="15"/>
  <c r="AC132" i="15" s="1"/>
  <c r="AD132" i="15" s="1"/>
  <c r="AB136" i="15"/>
  <c r="AC136" i="15" s="1"/>
  <c r="AD136" i="15" s="1"/>
  <c r="AB140" i="15"/>
  <c r="AC140" i="15" s="1"/>
  <c r="AD140" i="15" s="1"/>
  <c r="AB144" i="15"/>
  <c r="AC144" i="15" s="1"/>
  <c r="AD144" i="15" s="1"/>
  <c r="AB148" i="15"/>
  <c r="AC148" i="15" s="1"/>
  <c r="AD148" i="15" s="1"/>
  <c r="AB152" i="15"/>
  <c r="AC152" i="15" s="1"/>
  <c r="AD152" i="15" s="1"/>
  <c r="AB156" i="15"/>
  <c r="AC156" i="15" s="1"/>
  <c r="AD156" i="15" s="1"/>
  <c r="AB160" i="15"/>
  <c r="AC160" i="15" s="1"/>
  <c r="AD160" i="15" s="1"/>
  <c r="AB164" i="15"/>
  <c r="AC164" i="15" s="1"/>
  <c r="AD164" i="15" s="1"/>
  <c r="AB168" i="15"/>
  <c r="AC168" i="15" s="1"/>
  <c r="AD168" i="15" s="1"/>
  <c r="AB172" i="15"/>
  <c r="AC172" i="15" s="1"/>
  <c r="AD172" i="15" s="1"/>
  <c r="AB176" i="15"/>
  <c r="AC176" i="15" s="1"/>
  <c r="AD176" i="15" s="1"/>
  <c r="AB180" i="15"/>
  <c r="AC180" i="15" s="1"/>
  <c r="AD180" i="15" s="1"/>
  <c r="AB184" i="15"/>
  <c r="AC184" i="15" s="1"/>
  <c r="AD184" i="15" s="1"/>
  <c r="AB188" i="15"/>
  <c r="AC188" i="15" s="1"/>
  <c r="AD188" i="15" s="1"/>
  <c r="AB192" i="15"/>
  <c r="AC192" i="15" s="1"/>
  <c r="AD192" i="15" s="1"/>
  <c r="AB196" i="15"/>
  <c r="AC196" i="15" s="1"/>
  <c r="AD196" i="15" s="1"/>
  <c r="AB200" i="15"/>
  <c r="AC200" i="15" s="1"/>
  <c r="AD200" i="15" s="1"/>
  <c r="AB204" i="15"/>
  <c r="AC204" i="15" s="1"/>
  <c r="AD204" i="15" s="1"/>
  <c r="AB208" i="15"/>
  <c r="AC208" i="15" s="1"/>
  <c r="AD208" i="15" s="1"/>
  <c r="AB212" i="15"/>
  <c r="AC212" i="15" s="1"/>
  <c r="AD212" i="15" s="1"/>
  <c r="AB216" i="15"/>
  <c r="AC216" i="15" s="1"/>
  <c r="AD216" i="15" s="1"/>
  <c r="AB220" i="15"/>
  <c r="AC220" i="15" s="1"/>
  <c r="AD220" i="15" s="1"/>
  <c r="AB224" i="15"/>
  <c r="AC224" i="15" s="1"/>
  <c r="AD224" i="15" s="1"/>
  <c r="AB2" i="15"/>
  <c r="AC2" i="15" s="1"/>
  <c r="AB9" i="15"/>
  <c r="AC9" i="15" s="1"/>
  <c r="AD9" i="15" s="1"/>
  <c r="AB17" i="15"/>
  <c r="AC17" i="15" s="1"/>
  <c r="AD17" i="15" s="1"/>
  <c r="AB25" i="15"/>
  <c r="AC25" i="15" s="1"/>
  <c r="AD25" i="15" s="1"/>
  <c r="AB33" i="15"/>
  <c r="AC33" i="15" s="1"/>
  <c r="AD33" i="15" s="1"/>
  <c r="AB41" i="15"/>
  <c r="AC41" i="15" s="1"/>
  <c r="AD41" i="15" s="1"/>
  <c r="AB49" i="15"/>
  <c r="AC49" i="15" s="1"/>
  <c r="AD49" i="15" s="1"/>
  <c r="AB57" i="15"/>
  <c r="AC57" i="15" s="1"/>
  <c r="AD57" i="15" s="1"/>
  <c r="AB65" i="15"/>
  <c r="AC65" i="15" s="1"/>
  <c r="AD65" i="15" s="1"/>
  <c r="AB73" i="15"/>
  <c r="AC73" i="15" s="1"/>
  <c r="AD73" i="15" s="1"/>
  <c r="AB81" i="15"/>
  <c r="AC81" i="15" s="1"/>
  <c r="AD81" i="15" s="1"/>
  <c r="AB89" i="15"/>
  <c r="AC89" i="15" s="1"/>
  <c r="AD89" i="15" s="1"/>
  <c r="AB93" i="15"/>
  <c r="AC93" i="15" s="1"/>
  <c r="AD93" i="15" s="1"/>
  <c r="AB101" i="15"/>
  <c r="AC101" i="15" s="1"/>
  <c r="AD101" i="15" s="1"/>
  <c r="AB109" i="15"/>
  <c r="AC109" i="15" s="1"/>
  <c r="AD109" i="15" s="1"/>
  <c r="AB117" i="15"/>
  <c r="AC117" i="15" s="1"/>
  <c r="AD117" i="15" s="1"/>
  <c r="AB129" i="15"/>
  <c r="AC129" i="15" s="1"/>
  <c r="AD129" i="15" s="1"/>
  <c r="AB137" i="15"/>
  <c r="AC137" i="15" s="1"/>
  <c r="AD137" i="15" s="1"/>
  <c r="AB145" i="15"/>
  <c r="AC145" i="15" s="1"/>
  <c r="AD145" i="15" s="1"/>
  <c r="AB153" i="15"/>
  <c r="AC153" i="15" s="1"/>
  <c r="AD153" i="15" s="1"/>
  <c r="AB157" i="15"/>
  <c r="AC157" i="15" s="1"/>
  <c r="AD157" i="15" s="1"/>
  <c r="AB169" i="15"/>
  <c r="AC169" i="15" s="1"/>
  <c r="AD169" i="15" s="1"/>
  <c r="AB177" i="15"/>
  <c r="AC177" i="15" s="1"/>
  <c r="AD177" i="15" s="1"/>
  <c r="AB185" i="15"/>
  <c r="AC185" i="15" s="1"/>
  <c r="AD185" i="15" s="1"/>
  <c r="AB193" i="15"/>
  <c r="AC193" i="15" s="1"/>
  <c r="AD193" i="15" s="1"/>
  <c r="AB201" i="15"/>
  <c r="AC201" i="15" s="1"/>
  <c r="AD201" i="15" s="1"/>
  <c r="AB209" i="15"/>
  <c r="AC209" i="15" s="1"/>
  <c r="AD209" i="15" s="1"/>
  <c r="AB217" i="15"/>
  <c r="AC217" i="15" s="1"/>
  <c r="AD217" i="15" s="1"/>
  <c r="AB225" i="15"/>
  <c r="AC225" i="15" s="1"/>
  <c r="AD225" i="15" s="1"/>
  <c r="DT4" i="15"/>
  <c r="DU4" i="15" s="1"/>
  <c r="DV4" i="15" s="1"/>
  <c r="DT8" i="15"/>
  <c r="DU8" i="15" s="1"/>
  <c r="DV8" i="15" s="1"/>
  <c r="DT12" i="15"/>
  <c r="DU12" i="15" s="1"/>
  <c r="DV12" i="15" s="1"/>
  <c r="DT16" i="15"/>
  <c r="DU16" i="15" s="1"/>
  <c r="DV16" i="15" s="1"/>
  <c r="DT20" i="15"/>
  <c r="DU20" i="15" s="1"/>
  <c r="DV20" i="15" s="1"/>
  <c r="DT24" i="15"/>
  <c r="DU24" i="15" s="1"/>
  <c r="DV24" i="15" s="1"/>
  <c r="DT28" i="15"/>
  <c r="DU28" i="15" s="1"/>
  <c r="DV28" i="15" s="1"/>
  <c r="DT32" i="15"/>
  <c r="DU32" i="15" s="1"/>
  <c r="DV32" i="15" s="1"/>
  <c r="DT36" i="15"/>
  <c r="DU36" i="15" s="1"/>
  <c r="DV36" i="15" s="1"/>
  <c r="DT40" i="15"/>
  <c r="DU40" i="15" s="1"/>
  <c r="DV40" i="15" s="1"/>
  <c r="DT44" i="15"/>
  <c r="DU44" i="15" s="1"/>
  <c r="DV44" i="15" s="1"/>
  <c r="DT48" i="15"/>
  <c r="DU48" i="15" s="1"/>
  <c r="DV48" i="15" s="1"/>
  <c r="DT52" i="15"/>
  <c r="DU52" i="15" s="1"/>
  <c r="DV52" i="15" s="1"/>
  <c r="DT56" i="15"/>
  <c r="DU56" i="15" s="1"/>
  <c r="DV56" i="15" s="1"/>
  <c r="DT60" i="15"/>
  <c r="DU60" i="15" s="1"/>
  <c r="DV60" i="15" s="1"/>
  <c r="DT64" i="15"/>
  <c r="DU64" i="15" s="1"/>
  <c r="DV64" i="15" s="1"/>
  <c r="DT68" i="15"/>
  <c r="DU68" i="15" s="1"/>
  <c r="DV68" i="15" s="1"/>
  <c r="DT72" i="15"/>
  <c r="DU72" i="15" s="1"/>
  <c r="DV72" i="15" s="1"/>
  <c r="DT76" i="15"/>
  <c r="DU76" i="15" s="1"/>
  <c r="DV76" i="15" s="1"/>
  <c r="DT80" i="15"/>
  <c r="DU80" i="15" s="1"/>
  <c r="DV80" i="15" s="1"/>
  <c r="DT84" i="15"/>
  <c r="DU84" i="15" s="1"/>
  <c r="DV84" i="15" s="1"/>
  <c r="DT88" i="15"/>
  <c r="DU88" i="15" s="1"/>
  <c r="DV88" i="15" s="1"/>
  <c r="DT92" i="15"/>
  <c r="DU92" i="15" s="1"/>
  <c r="DV92" i="15" s="1"/>
  <c r="DT96" i="15"/>
  <c r="DU96" i="15" s="1"/>
  <c r="DV96" i="15" s="1"/>
  <c r="DT100" i="15"/>
  <c r="DU100" i="15" s="1"/>
  <c r="DV100" i="15" s="1"/>
  <c r="DT104" i="15"/>
  <c r="DU104" i="15" s="1"/>
  <c r="DV104" i="15" s="1"/>
  <c r="DT108" i="15"/>
  <c r="DU108" i="15" s="1"/>
  <c r="DV108" i="15" s="1"/>
  <c r="DT112" i="15"/>
  <c r="DU112" i="15" s="1"/>
  <c r="DV112" i="15" s="1"/>
  <c r="DT116" i="15"/>
  <c r="DU116" i="15" s="1"/>
  <c r="DV116" i="15" s="1"/>
  <c r="DT120" i="15"/>
  <c r="DU120" i="15" s="1"/>
  <c r="DV120" i="15" s="1"/>
  <c r="DT124" i="15"/>
  <c r="DU124" i="15" s="1"/>
  <c r="DV124" i="15" s="1"/>
  <c r="DT128" i="15"/>
  <c r="DU128" i="15" s="1"/>
  <c r="DV128" i="15" s="1"/>
  <c r="DT132" i="15"/>
  <c r="DU132" i="15" s="1"/>
  <c r="DV132" i="15" s="1"/>
  <c r="DT136" i="15"/>
  <c r="DU136" i="15" s="1"/>
  <c r="DV136" i="15" s="1"/>
  <c r="DT140" i="15"/>
  <c r="DU140" i="15" s="1"/>
  <c r="DV140" i="15" s="1"/>
  <c r="DT144" i="15"/>
  <c r="DU144" i="15" s="1"/>
  <c r="DV144" i="15" s="1"/>
  <c r="DT148" i="15"/>
  <c r="DU148" i="15" s="1"/>
  <c r="DV148" i="15" s="1"/>
  <c r="DT152" i="15"/>
  <c r="DU152" i="15" s="1"/>
  <c r="DV152" i="15" s="1"/>
  <c r="DT156" i="15"/>
  <c r="DU156" i="15" s="1"/>
  <c r="DV156" i="15" s="1"/>
  <c r="DT160" i="15"/>
  <c r="DU160" i="15" s="1"/>
  <c r="DV160" i="15" s="1"/>
  <c r="DT164" i="15"/>
  <c r="DU164" i="15" s="1"/>
  <c r="DV164" i="15" s="1"/>
  <c r="DT168" i="15"/>
  <c r="DU168" i="15" s="1"/>
  <c r="DV168" i="15" s="1"/>
  <c r="DT172" i="15"/>
  <c r="DU172" i="15" s="1"/>
  <c r="DV172" i="15" s="1"/>
  <c r="DT176" i="15"/>
  <c r="DU176" i="15" s="1"/>
  <c r="DV176" i="15" s="1"/>
  <c r="DT180" i="15"/>
  <c r="DU180" i="15" s="1"/>
  <c r="DV180" i="15" s="1"/>
  <c r="DT184" i="15"/>
  <c r="DU184" i="15" s="1"/>
  <c r="DV184" i="15" s="1"/>
  <c r="DT188" i="15"/>
  <c r="DU188" i="15" s="1"/>
  <c r="DV188" i="15" s="1"/>
  <c r="DT192" i="15"/>
  <c r="DU192" i="15" s="1"/>
  <c r="DV192" i="15" s="1"/>
  <c r="DT196" i="15"/>
  <c r="DU196" i="15" s="1"/>
  <c r="DV196" i="15" s="1"/>
  <c r="DT200" i="15"/>
  <c r="DU200" i="15" s="1"/>
  <c r="DV200" i="15" s="1"/>
  <c r="DT204" i="15"/>
  <c r="DU204" i="15" s="1"/>
  <c r="DV204" i="15" s="1"/>
  <c r="DT208" i="15"/>
  <c r="DU208" i="15" s="1"/>
  <c r="DV208" i="15" s="1"/>
  <c r="DT212" i="15"/>
  <c r="DU212" i="15" s="1"/>
  <c r="DV212" i="15" s="1"/>
  <c r="DT216" i="15"/>
  <c r="DU216" i="15" s="1"/>
  <c r="DV216" i="15" s="1"/>
  <c r="DT220" i="15"/>
  <c r="DU220" i="15" s="1"/>
  <c r="DV220" i="15" s="1"/>
  <c r="DT224" i="15"/>
  <c r="DU224" i="15" s="1"/>
  <c r="DV224" i="15" s="1"/>
  <c r="DT2" i="15"/>
  <c r="DU2" i="15" s="1"/>
  <c r="DT5" i="15"/>
  <c r="DU5" i="15" s="1"/>
  <c r="DV5" i="15" s="1"/>
  <c r="DT9" i="15"/>
  <c r="DU9" i="15" s="1"/>
  <c r="DV9" i="15" s="1"/>
  <c r="DT13" i="15"/>
  <c r="DU13" i="15" s="1"/>
  <c r="DV13" i="15" s="1"/>
  <c r="DT17" i="15"/>
  <c r="DU17" i="15" s="1"/>
  <c r="DV17" i="15" s="1"/>
  <c r="DT21" i="15"/>
  <c r="DU21" i="15" s="1"/>
  <c r="DV21" i="15" s="1"/>
  <c r="DT25" i="15"/>
  <c r="DU25" i="15" s="1"/>
  <c r="DV25" i="15" s="1"/>
  <c r="DT29" i="15"/>
  <c r="DU29" i="15" s="1"/>
  <c r="DV29" i="15" s="1"/>
  <c r="DT33" i="15"/>
  <c r="DU33" i="15" s="1"/>
  <c r="DV33" i="15" s="1"/>
  <c r="DT37" i="15"/>
  <c r="DU37" i="15" s="1"/>
  <c r="DV37" i="15" s="1"/>
  <c r="DT41" i="15"/>
  <c r="DU41" i="15" s="1"/>
  <c r="DV41" i="15" s="1"/>
  <c r="DT45" i="15"/>
  <c r="DU45" i="15" s="1"/>
  <c r="DV45" i="15" s="1"/>
  <c r="DT49" i="15"/>
  <c r="DU49" i="15" s="1"/>
  <c r="DV49" i="15" s="1"/>
  <c r="DT53" i="15"/>
  <c r="DU53" i="15" s="1"/>
  <c r="DV53" i="15" s="1"/>
  <c r="DT57" i="15"/>
  <c r="DU57" i="15" s="1"/>
  <c r="DV57" i="15" s="1"/>
  <c r="DT61" i="15"/>
  <c r="DU61" i="15" s="1"/>
  <c r="DV61" i="15" s="1"/>
  <c r="DT65" i="15"/>
  <c r="DU65" i="15" s="1"/>
  <c r="DV65" i="15" s="1"/>
  <c r="DT69" i="15"/>
  <c r="DU69" i="15" s="1"/>
  <c r="DV69" i="15" s="1"/>
  <c r="DT73" i="15"/>
  <c r="DU73" i="15" s="1"/>
  <c r="DV73" i="15" s="1"/>
  <c r="DT77" i="15"/>
  <c r="DU77" i="15" s="1"/>
  <c r="DV77" i="15" s="1"/>
  <c r="DT81" i="15"/>
  <c r="DU81" i="15" s="1"/>
  <c r="DV81" i="15" s="1"/>
  <c r="DT85" i="15"/>
  <c r="DU85" i="15" s="1"/>
  <c r="DV85" i="15" s="1"/>
  <c r="DT89" i="15"/>
  <c r="DU89" i="15" s="1"/>
  <c r="DV89" i="15" s="1"/>
  <c r="DT93" i="15"/>
  <c r="DU93" i="15" s="1"/>
  <c r="DV93" i="15" s="1"/>
  <c r="DT97" i="15"/>
  <c r="DU97" i="15" s="1"/>
  <c r="DV97" i="15" s="1"/>
  <c r="DT101" i="15"/>
  <c r="DU101" i="15" s="1"/>
  <c r="DV101" i="15" s="1"/>
  <c r="DT105" i="15"/>
  <c r="DU105" i="15" s="1"/>
  <c r="DV105" i="15" s="1"/>
  <c r="DT109" i="15"/>
  <c r="DU109" i="15" s="1"/>
  <c r="DV109" i="15" s="1"/>
  <c r="DT113" i="15"/>
  <c r="DU113" i="15" s="1"/>
  <c r="DV113" i="15" s="1"/>
  <c r="DT117" i="15"/>
  <c r="DU117" i="15" s="1"/>
  <c r="DV117" i="15" s="1"/>
  <c r="DT121" i="15"/>
  <c r="DU121" i="15" s="1"/>
  <c r="DV121" i="15" s="1"/>
  <c r="DT125" i="15"/>
  <c r="DU125" i="15" s="1"/>
  <c r="DV125" i="15" s="1"/>
  <c r="DT129" i="15"/>
  <c r="DU129" i="15" s="1"/>
  <c r="DV129" i="15" s="1"/>
  <c r="DT133" i="15"/>
  <c r="DU133" i="15" s="1"/>
  <c r="DV133" i="15" s="1"/>
  <c r="DT137" i="15"/>
  <c r="DU137" i="15" s="1"/>
  <c r="DV137" i="15" s="1"/>
  <c r="DT141" i="15"/>
  <c r="DU141" i="15" s="1"/>
  <c r="DV141" i="15" s="1"/>
  <c r="DT145" i="15"/>
  <c r="DU145" i="15" s="1"/>
  <c r="DV145" i="15" s="1"/>
  <c r="DT149" i="15"/>
  <c r="DU149" i="15" s="1"/>
  <c r="DV149" i="15" s="1"/>
  <c r="DT153" i="15"/>
  <c r="DU153" i="15" s="1"/>
  <c r="DV153" i="15" s="1"/>
  <c r="DT157" i="15"/>
  <c r="DU157" i="15" s="1"/>
  <c r="DV157" i="15" s="1"/>
  <c r="DT161" i="15"/>
  <c r="DU161" i="15" s="1"/>
  <c r="DV161" i="15" s="1"/>
  <c r="DT165" i="15"/>
  <c r="DU165" i="15" s="1"/>
  <c r="DV165" i="15" s="1"/>
  <c r="DT169" i="15"/>
  <c r="DU169" i="15" s="1"/>
  <c r="DV169" i="15" s="1"/>
  <c r="DT173" i="15"/>
  <c r="DU173" i="15" s="1"/>
  <c r="DV173" i="15" s="1"/>
  <c r="DT177" i="15"/>
  <c r="DU177" i="15" s="1"/>
  <c r="DV177" i="15" s="1"/>
  <c r="DT181" i="15"/>
  <c r="DU181" i="15" s="1"/>
  <c r="DV181" i="15" s="1"/>
  <c r="DT185" i="15"/>
  <c r="DU185" i="15" s="1"/>
  <c r="DV185" i="15" s="1"/>
  <c r="DT189" i="15"/>
  <c r="DU189" i="15" s="1"/>
  <c r="DV189" i="15" s="1"/>
  <c r="DT193" i="15"/>
  <c r="DU193" i="15" s="1"/>
  <c r="DV193" i="15" s="1"/>
  <c r="DT197" i="15"/>
  <c r="DU197" i="15" s="1"/>
  <c r="DV197" i="15" s="1"/>
  <c r="DT201" i="15"/>
  <c r="DU201" i="15" s="1"/>
  <c r="DV201" i="15" s="1"/>
  <c r="DT205" i="15"/>
  <c r="DU205" i="15" s="1"/>
  <c r="DV205" i="15" s="1"/>
  <c r="DT209" i="15"/>
  <c r="DU209" i="15" s="1"/>
  <c r="DV209" i="15" s="1"/>
  <c r="DT213" i="15"/>
  <c r="DU213" i="15" s="1"/>
  <c r="DV213" i="15" s="1"/>
  <c r="DT217" i="15"/>
  <c r="DU217" i="15" s="1"/>
  <c r="DV217" i="15" s="1"/>
  <c r="DT221" i="15"/>
  <c r="DU221" i="15" s="1"/>
  <c r="DV221" i="15" s="1"/>
  <c r="DT225" i="15"/>
  <c r="DU225" i="15" s="1"/>
  <c r="DV225" i="15" s="1"/>
  <c r="DT6" i="15"/>
  <c r="DU6" i="15" s="1"/>
  <c r="DV6" i="15" s="1"/>
  <c r="DT10" i="15"/>
  <c r="DU10" i="15" s="1"/>
  <c r="DV10" i="15" s="1"/>
  <c r="DT14" i="15"/>
  <c r="DU14" i="15" s="1"/>
  <c r="DV14" i="15" s="1"/>
  <c r="DT18" i="15"/>
  <c r="DU18" i="15" s="1"/>
  <c r="DV18" i="15" s="1"/>
  <c r="DT22" i="15"/>
  <c r="DU22" i="15" s="1"/>
  <c r="DV22" i="15" s="1"/>
  <c r="DT26" i="15"/>
  <c r="DU26" i="15" s="1"/>
  <c r="DV26" i="15" s="1"/>
  <c r="DT30" i="15"/>
  <c r="DU30" i="15" s="1"/>
  <c r="DV30" i="15" s="1"/>
  <c r="DT34" i="15"/>
  <c r="DU34" i="15" s="1"/>
  <c r="DV34" i="15" s="1"/>
  <c r="DT38" i="15"/>
  <c r="DU38" i="15" s="1"/>
  <c r="DV38" i="15" s="1"/>
  <c r="DT42" i="15"/>
  <c r="DU42" i="15" s="1"/>
  <c r="DV42" i="15" s="1"/>
  <c r="DT46" i="15"/>
  <c r="DU46" i="15" s="1"/>
  <c r="DV46" i="15" s="1"/>
  <c r="DT50" i="15"/>
  <c r="DU50" i="15" s="1"/>
  <c r="DV50" i="15" s="1"/>
  <c r="DT54" i="15"/>
  <c r="DU54" i="15" s="1"/>
  <c r="DV54" i="15" s="1"/>
  <c r="DT58" i="15"/>
  <c r="DU58" i="15" s="1"/>
  <c r="DV58" i="15" s="1"/>
  <c r="DT62" i="15"/>
  <c r="DU62" i="15" s="1"/>
  <c r="DV62" i="15" s="1"/>
  <c r="DT66" i="15"/>
  <c r="DU66" i="15" s="1"/>
  <c r="DV66" i="15" s="1"/>
  <c r="DT70" i="15"/>
  <c r="DU70" i="15" s="1"/>
  <c r="DV70" i="15" s="1"/>
  <c r="DT74" i="15"/>
  <c r="DU74" i="15" s="1"/>
  <c r="DV74" i="15" s="1"/>
  <c r="DT78" i="15"/>
  <c r="DU78" i="15" s="1"/>
  <c r="DV78" i="15" s="1"/>
  <c r="DT82" i="15"/>
  <c r="DU82" i="15" s="1"/>
  <c r="DV82" i="15" s="1"/>
  <c r="DT86" i="15"/>
  <c r="DU86" i="15" s="1"/>
  <c r="DV86" i="15" s="1"/>
  <c r="DT90" i="15"/>
  <c r="DU90" i="15" s="1"/>
  <c r="DV90" i="15" s="1"/>
  <c r="DT94" i="15"/>
  <c r="DU94" i="15" s="1"/>
  <c r="DV94" i="15" s="1"/>
  <c r="DT98" i="15"/>
  <c r="DU98" i="15" s="1"/>
  <c r="DV98" i="15" s="1"/>
  <c r="DT102" i="15"/>
  <c r="DU102" i="15" s="1"/>
  <c r="DV102" i="15" s="1"/>
  <c r="DT106" i="15"/>
  <c r="DU106" i="15" s="1"/>
  <c r="DV106" i="15" s="1"/>
  <c r="DT110" i="15"/>
  <c r="DU110" i="15" s="1"/>
  <c r="DV110" i="15" s="1"/>
  <c r="DT114" i="15"/>
  <c r="DU114" i="15" s="1"/>
  <c r="DV114" i="15" s="1"/>
  <c r="DT118" i="15"/>
  <c r="DU118" i="15" s="1"/>
  <c r="DV118" i="15" s="1"/>
  <c r="DT122" i="15"/>
  <c r="DU122" i="15" s="1"/>
  <c r="DV122" i="15" s="1"/>
  <c r="DT126" i="15"/>
  <c r="DU126" i="15" s="1"/>
  <c r="DV126" i="15" s="1"/>
  <c r="DT130" i="15"/>
  <c r="DU130" i="15" s="1"/>
  <c r="DV130" i="15" s="1"/>
  <c r="DT134" i="15"/>
  <c r="DU134" i="15" s="1"/>
  <c r="DV134" i="15" s="1"/>
  <c r="DT138" i="15"/>
  <c r="DU138" i="15" s="1"/>
  <c r="DV138" i="15" s="1"/>
  <c r="DT142" i="15"/>
  <c r="DU142" i="15" s="1"/>
  <c r="DV142" i="15" s="1"/>
  <c r="DT146" i="15"/>
  <c r="DU146" i="15" s="1"/>
  <c r="DV146" i="15" s="1"/>
  <c r="DT150" i="15"/>
  <c r="DU150" i="15" s="1"/>
  <c r="DV150" i="15" s="1"/>
  <c r="DT154" i="15"/>
  <c r="DU154" i="15" s="1"/>
  <c r="DV154" i="15" s="1"/>
  <c r="DT158" i="15"/>
  <c r="DU158" i="15" s="1"/>
  <c r="DV158" i="15" s="1"/>
  <c r="DT162" i="15"/>
  <c r="DU162" i="15" s="1"/>
  <c r="DV162" i="15" s="1"/>
  <c r="DT166" i="15"/>
  <c r="DU166" i="15" s="1"/>
  <c r="DV166" i="15" s="1"/>
  <c r="DT170" i="15"/>
  <c r="DU170" i="15" s="1"/>
  <c r="DV170" i="15" s="1"/>
  <c r="DT174" i="15"/>
  <c r="DU174" i="15" s="1"/>
  <c r="DV174" i="15" s="1"/>
  <c r="DT178" i="15"/>
  <c r="DU178" i="15" s="1"/>
  <c r="DV178" i="15" s="1"/>
  <c r="DT182" i="15"/>
  <c r="DU182" i="15" s="1"/>
  <c r="DV182" i="15" s="1"/>
  <c r="DT186" i="15"/>
  <c r="DU186" i="15" s="1"/>
  <c r="DV186" i="15" s="1"/>
  <c r="DT190" i="15"/>
  <c r="DU190" i="15" s="1"/>
  <c r="DV190" i="15" s="1"/>
  <c r="DT194" i="15"/>
  <c r="DU194" i="15" s="1"/>
  <c r="DV194" i="15" s="1"/>
  <c r="DT198" i="15"/>
  <c r="DU198" i="15" s="1"/>
  <c r="DV198" i="15" s="1"/>
  <c r="DT202" i="15"/>
  <c r="DU202" i="15" s="1"/>
  <c r="DV202" i="15" s="1"/>
  <c r="DT206" i="15"/>
  <c r="DU206" i="15" s="1"/>
  <c r="DV206" i="15" s="1"/>
  <c r="DT210" i="15"/>
  <c r="DU210" i="15" s="1"/>
  <c r="DV210" i="15" s="1"/>
  <c r="DT214" i="15"/>
  <c r="DU214" i="15" s="1"/>
  <c r="DV214" i="15" s="1"/>
  <c r="DT218" i="15"/>
  <c r="DU218" i="15" s="1"/>
  <c r="DV218" i="15" s="1"/>
  <c r="DT222" i="15"/>
  <c r="DU222" i="15" s="1"/>
  <c r="DV222" i="15" s="1"/>
  <c r="DT226" i="15"/>
  <c r="DU226" i="15" s="1"/>
  <c r="DV226" i="15" s="1"/>
  <c r="DT7" i="15"/>
  <c r="DU7" i="15" s="1"/>
  <c r="DV7" i="15" s="1"/>
  <c r="DT23" i="15"/>
  <c r="DU23" i="15" s="1"/>
  <c r="DV23" i="15" s="1"/>
  <c r="DT39" i="15"/>
  <c r="DU39" i="15" s="1"/>
  <c r="DV39" i="15" s="1"/>
  <c r="DT55" i="15"/>
  <c r="DU55" i="15" s="1"/>
  <c r="DV55" i="15" s="1"/>
  <c r="DT71" i="15"/>
  <c r="DU71" i="15" s="1"/>
  <c r="DV71" i="15" s="1"/>
  <c r="DT87" i="15"/>
  <c r="DU87" i="15" s="1"/>
  <c r="DV87" i="15" s="1"/>
  <c r="DT103" i="15"/>
  <c r="DU103" i="15" s="1"/>
  <c r="DV103" i="15" s="1"/>
  <c r="DT119" i="15"/>
  <c r="DU119" i="15" s="1"/>
  <c r="DV119" i="15" s="1"/>
  <c r="DT135" i="15"/>
  <c r="DU135" i="15" s="1"/>
  <c r="DV135" i="15" s="1"/>
  <c r="DT151" i="15"/>
  <c r="DU151" i="15" s="1"/>
  <c r="DV151" i="15" s="1"/>
  <c r="DT167" i="15"/>
  <c r="DU167" i="15" s="1"/>
  <c r="DV167" i="15" s="1"/>
  <c r="DT183" i="15"/>
  <c r="DU183" i="15" s="1"/>
  <c r="DV183" i="15" s="1"/>
  <c r="DT199" i="15"/>
  <c r="DU199" i="15" s="1"/>
  <c r="DV199" i="15" s="1"/>
  <c r="DT215" i="15"/>
  <c r="DU215" i="15" s="1"/>
  <c r="DV215" i="15" s="1"/>
  <c r="DT11" i="15"/>
  <c r="DU11" i="15" s="1"/>
  <c r="DV11" i="15" s="1"/>
  <c r="DT27" i="15"/>
  <c r="DU27" i="15" s="1"/>
  <c r="DV27" i="15" s="1"/>
  <c r="DT43" i="15"/>
  <c r="DU43" i="15" s="1"/>
  <c r="DV43" i="15" s="1"/>
  <c r="DT59" i="15"/>
  <c r="DU59" i="15" s="1"/>
  <c r="DV59" i="15" s="1"/>
  <c r="DT75" i="15"/>
  <c r="DU75" i="15" s="1"/>
  <c r="DV75" i="15" s="1"/>
  <c r="DT91" i="15"/>
  <c r="DU91" i="15" s="1"/>
  <c r="DV91" i="15" s="1"/>
  <c r="DT107" i="15"/>
  <c r="DU107" i="15" s="1"/>
  <c r="DV107" i="15" s="1"/>
  <c r="DT123" i="15"/>
  <c r="DU123" i="15" s="1"/>
  <c r="DV123" i="15" s="1"/>
  <c r="DT139" i="15"/>
  <c r="DU139" i="15" s="1"/>
  <c r="DV139" i="15" s="1"/>
  <c r="DT155" i="15"/>
  <c r="DU155" i="15" s="1"/>
  <c r="DV155" i="15" s="1"/>
  <c r="DT171" i="15"/>
  <c r="DU171" i="15" s="1"/>
  <c r="DV171" i="15" s="1"/>
  <c r="DT187" i="15"/>
  <c r="DU187" i="15" s="1"/>
  <c r="DV187" i="15" s="1"/>
  <c r="DT203" i="15"/>
  <c r="DU203" i="15" s="1"/>
  <c r="DV203" i="15" s="1"/>
  <c r="DT219" i="15"/>
  <c r="DU219" i="15" s="1"/>
  <c r="DV219" i="15" s="1"/>
  <c r="DT15" i="15"/>
  <c r="DU15" i="15" s="1"/>
  <c r="DV15" i="15" s="1"/>
  <c r="DT31" i="15"/>
  <c r="DU31" i="15" s="1"/>
  <c r="DV31" i="15" s="1"/>
  <c r="DT47" i="15"/>
  <c r="DU47" i="15" s="1"/>
  <c r="DV47" i="15" s="1"/>
  <c r="DT63" i="15"/>
  <c r="DU63" i="15" s="1"/>
  <c r="DV63" i="15" s="1"/>
  <c r="DT79" i="15"/>
  <c r="DU79" i="15" s="1"/>
  <c r="DV79" i="15" s="1"/>
  <c r="DT95" i="15"/>
  <c r="DU95" i="15" s="1"/>
  <c r="DV95" i="15" s="1"/>
  <c r="DT111" i="15"/>
  <c r="DU111" i="15" s="1"/>
  <c r="DV111" i="15" s="1"/>
  <c r="DT127" i="15"/>
  <c r="DU127" i="15" s="1"/>
  <c r="DV127" i="15" s="1"/>
  <c r="DT143" i="15"/>
  <c r="DU143" i="15" s="1"/>
  <c r="DV143" i="15" s="1"/>
  <c r="DT159" i="15"/>
  <c r="DU159" i="15" s="1"/>
  <c r="DV159" i="15" s="1"/>
  <c r="DT175" i="15"/>
  <c r="DU175" i="15" s="1"/>
  <c r="DV175" i="15" s="1"/>
  <c r="DT191" i="15"/>
  <c r="DU191" i="15" s="1"/>
  <c r="DV191" i="15" s="1"/>
  <c r="DT207" i="15"/>
  <c r="DU207" i="15" s="1"/>
  <c r="DV207" i="15" s="1"/>
  <c r="DT223" i="15"/>
  <c r="DU223" i="15" s="1"/>
  <c r="DV223" i="15" s="1"/>
  <c r="DT51" i="15"/>
  <c r="DU51" i="15" s="1"/>
  <c r="DV51" i="15" s="1"/>
  <c r="DT115" i="15"/>
  <c r="DU115" i="15" s="1"/>
  <c r="DV115" i="15" s="1"/>
  <c r="DT179" i="15"/>
  <c r="DU179" i="15" s="1"/>
  <c r="DV179" i="15" s="1"/>
  <c r="DT3" i="15"/>
  <c r="DU3" i="15" s="1"/>
  <c r="DV3" i="15" s="1"/>
  <c r="DT67" i="15"/>
  <c r="DU67" i="15" s="1"/>
  <c r="DV67" i="15" s="1"/>
  <c r="DT131" i="15"/>
  <c r="DU131" i="15" s="1"/>
  <c r="DV131" i="15" s="1"/>
  <c r="DT195" i="15"/>
  <c r="DU195" i="15" s="1"/>
  <c r="DV195" i="15" s="1"/>
  <c r="DT19" i="15"/>
  <c r="DU19" i="15" s="1"/>
  <c r="DV19" i="15" s="1"/>
  <c r="DT83" i="15"/>
  <c r="DU83" i="15" s="1"/>
  <c r="DV83" i="15" s="1"/>
  <c r="DT147" i="15"/>
  <c r="DU147" i="15" s="1"/>
  <c r="DV147" i="15" s="1"/>
  <c r="DT211" i="15"/>
  <c r="DU211" i="15" s="1"/>
  <c r="DV211" i="15" s="1"/>
  <c r="DT227" i="15"/>
  <c r="DU227" i="15" s="1"/>
  <c r="DV227" i="15" s="1"/>
  <c r="DT35" i="15"/>
  <c r="DU35" i="15" s="1"/>
  <c r="DV35" i="15" s="1"/>
  <c r="DT99" i="15"/>
  <c r="DU99" i="15" s="1"/>
  <c r="DV99" i="15" s="1"/>
  <c r="DT163" i="15"/>
  <c r="DU163" i="15" s="1"/>
  <c r="DV163" i="15" s="1"/>
  <c r="AH3" i="15"/>
  <c r="AI3" i="15" s="1"/>
  <c r="AJ3" i="15" s="1"/>
  <c r="AH7" i="15"/>
  <c r="AI7" i="15" s="1"/>
  <c r="AJ7" i="15" s="1"/>
  <c r="AH11" i="15"/>
  <c r="AI11" i="15" s="1"/>
  <c r="AJ11" i="15" s="1"/>
  <c r="AH15" i="15"/>
  <c r="AI15" i="15" s="1"/>
  <c r="AJ15" i="15" s="1"/>
  <c r="AH19" i="15"/>
  <c r="AI19" i="15" s="1"/>
  <c r="AJ19" i="15" s="1"/>
  <c r="AH23" i="15"/>
  <c r="AI23" i="15" s="1"/>
  <c r="AJ23" i="15" s="1"/>
  <c r="AH27" i="15"/>
  <c r="AI27" i="15" s="1"/>
  <c r="AJ27" i="15" s="1"/>
  <c r="AH31" i="15"/>
  <c r="AI31" i="15" s="1"/>
  <c r="AJ31" i="15" s="1"/>
  <c r="AH35" i="15"/>
  <c r="AI35" i="15" s="1"/>
  <c r="AJ35" i="15" s="1"/>
  <c r="AH39" i="15"/>
  <c r="AI39" i="15" s="1"/>
  <c r="AJ39" i="15" s="1"/>
  <c r="AH43" i="15"/>
  <c r="AI43" i="15" s="1"/>
  <c r="AJ43" i="15" s="1"/>
  <c r="AH47" i="15"/>
  <c r="AI47" i="15" s="1"/>
  <c r="AJ47" i="15" s="1"/>
  <c r="AH51" i="15"/>
  <c r="AI51" i="15" s="1"/>
  <c r="AJ51" i="15" s="1"/>
  <c r="AH55" i="15"/>
  <c r="AI55" i="15" s="1"/>
  <c r="AJ55" i="15" s="1"/>
  <c r="AH59" i="15"/>
  <c r="AI59" i="15" s="1"/>
  <c r="AJ59" i="15" s="1"/>
  <c r="AH63" i="15"/>
  <c r="AI63" i="15" s="1"/>
  <c r="AJ63" i="15" s="1"/>
  <c r="AH67" i="15"/>
  <c r="AI67" i="15" s="1"/>
  <c r="AJ67" i="15" s="1"/>
  <c r="AH71" i="15"/>
  <c r="AI71" i="15" s="1"/>
  <c r="AJ71" i="15" s="1"/>
  <c r="AH75" i="15"/>
  <c r="AI75" i="15" s="1"/>
  <c r="AJ75" i="15" s="1"/>
  <c r="AH79" i="15"/>
  <c r="AI79" i="15" s="1"/>
  <c r="AJ79" i="15" s="1"/>
  <c r="AH83" i="15"/>
  <c r="AI83" i="15" s="1"/>
  <c r="AJ83" i="15" s="1"/>
  <c r="AH87" i="15"/>
  <c r="AI87" i="15" s="1"/>
  <c r="AJ87" i="15" s="1"/>
  <c r="AH91" i="15"/>
  <c r="AI91" i="15" s="1"/>
  <c r="AJ91" i="15" s="1"/>
  <c r="AH95" i="15"/>
  <c r="AI95" i="15" s="1"/>
  <c r="AJ95" i="15" s="1"/>
  <c r="AH99" i="15"/>
  <c r="AI99" i="15" s="1"/>
  <c r="AJ99" i="15" s="1"/>
  <c r="AH103" i="15"/>
  <c r="AI103" i="15" s="1"/>
  <c r="AJ103" i="15" s="1"/>
  <c r="AH107" i="15"/>
  <c r="AI107" i="15" s="1"/>
  <c r="AJ107" i="15" s="1"/>
  <c r="AH111" i="15"/>
  <c r="AI111" i="15" s="1"/>
  <c r="AJ111" i="15" s="1"/>
  <c r="AH115" i="15"/>
  <c r="AI115" i="15" s="1"/>
  <c r="AJ115" i="15" s="1"/>
  <c r="AH119" i="15"/>
  <c r="AI119" i="15" s="1"/>
  <c r="AJ119" i="15" s="1"/>
  <c r="AH123" i="15"/>
  <c r="AI123" i="15" s="1"/>
  <c r="AJ123" i="15" s="1"/>
  <c r="AH127" i="15"/>
  <c r="AI127" i="15" s="1"/>
  <c r="AJ127" i="15" s="1"/>
  <c r="AH131" i="15"/>
  <c r="AI131" i="15" s="1"/>
  <c r="AJ131" i="15" s="1"/>
  <c r="AH135" i="15"/>
  <c r="AI135" i="15" s="1"/>
  <c r="AJ135" i="15" s="1"/>
  <c r="AH139" i="15"/>
  <c r="AI139" i="15" s="1"/>
  <c r="AJ139" i="15" s="1"/>
  <c r="AH143" i="15"/>
  <c r="AI143" i="15" s="1"/>
  <c r="AJ143" i="15" s="1"/>
  <c r="AH147" i="15"/>
  <c r="AI147" i="15" s="1"/>
  <c r="AJ147" i="15" s="1"/>
  <c r="AH151" i="15"/>
  <c r="AI151" i="15" s="1"/>
  <c r="AJ151" i="15" s="1"/>
  <c r="AH155" i="15"/>
  <c r="AI155" i="15" s="1"/>
  <c r="AJ155" i="15" s="1"/>
  <c r="AH159" i="15"/>
  <c r="AI159" i="15" s="1"/>
  <c r="AJ159" i="15" s="1"/>
  <c r="AH163" i="15"/>
  <c r="AI163" i="15" s="1"/>
  <c r="AJ163" i="15" s="1"/>
  <c r="AH167" i="15"/>
  <c r="AI167" i="15" s="1"/>
  <c r="AJ167" i="15" s="1"/>
  <c r="AH171" i="15"/>
  <c r="AI171" i="15" s="1"/>
  <c r="AJ171" i="15" s="1"/>
  <c r="AH175" i="15"/>
  <c r="AI175" i="15" s="1"/>
  <c r="AJ175" i="15" s="1"/>
  <c r="AH179" i="15"/>
  <c r="AI179" i="15" s="1"/>
  <c r="AJ179" i="15" s="1"/>
  <c r="AH183" i="15"/>
  <c r="AI183" i="15" s="1"/>
  <c r="AJ183" i="15" s="1"/>
  <c r="AH187" i="15"/>
  <c r="AI187" i="15" s="1"/>
  <c r="AJ187" i="15" s="1"/>
  <c r="AH191" i="15"/>
  <c r="AI191" i="15" s="1"/>
  <c r="AJ191" i="15" s="1"/>
  <c r="AH195" i="15"/>
  <c r="AI195" i="15" s="1"/>
  <c r="AJ195" i="15" s="1"/>
  <c r="AH199" i="15"/>
  <c r="AI199" i="15" s="1"/>
  <c r="AJ199" i="15" s="1"/>
  <c r="AH203" i="15"/>
  <c r="AI203" i="15" s="1"/>
  <c r="AJ203" i="15" s="1"/>
  <c r="AH207" i="15"/>
  <c r="AI207" i="15" s="1"/>
  <c r="AJ207" i="15" s="1"/>
  <c r="AH211" i="15"/>
  <c r="AI211" i="15" s="1"/>
  <c r="AJ211" i="15" s="1"/>
  <c r="AH215" i="15"/>
  <c r="AI215" i="15" s="1"/>
  <c r="AJ215" i="15" s="1"/>
  <c r="AH219" i="15"/>
  <c r="AI219" i="15" s="1"/>
  <c r="AJ219" i="15" s="1"/>
  <c r="AH223" i="15"/>
  <c r="AI223" i="15" s="1"/>
  <c r="AJ223" i="15" s="1"/>
  <c r="AH227" i="15"/>
  <c r="AI227" i="15" s="1"/>
  <c r="AJ227" i="15" s="1"/>
  <c r="AH10" i="15"/>
  <c r="AI10" i="15" s="1"/>
  <c r="AJ10" i="15" s="1"/>
  <c r="AH18" i="15"/>
  <c r="AI18" i="15" s="1"/>
  <c r="AJ18" i="15" s="1"/>
  <c r="AH22" i="15"/>
  <c r="AI22" i="15" s="1"/>
  <c r="AJ22" i="15" s="1"/>
  <c r="AH30" i="15"/>
  <c r="AI30" i="15" s="1"/>
  <c r="AJ30" i="15" s="1"/>
  <c r="AH38" i="15"/>
  <c r="AI38" i="15" s="1"/>
  <c r="AJ38" i="15" s="1"/>
  <c r="AH50" i="15"/>
  <c r="AI50" i="15" s="1"/>
  <c r="AJ50" i="15" s="1"/>
  <c r="AH58" i="15"/>
  <c r="AI58" i="15" s="1"/>
  <c r="AJ58" i="15" s="1"/>
  <c r="AH66" i="15"/>
  <c r="AI66" i="15" s="1"/>
  <c r="AJ66" i="15" s="1"/>
  <c r="AH70" i="15"/>
  <c r="AI70" i="15" s="1"/>
  <c r="AJ70" i="15" s="1"/>
  <c r="AH78" i="15"/>
  <c r="AI78" i="15" s="1"/>
  <c r="AJ78" i="15" s="1"/>
  <c r="AH86" i="15"/>
  <c r="AI86" i="15" s="1"/>
  <c r="AJ86" i="15" s="1"/>
  <c r="AH94" i="15"/>
  <c r="AI94" i="15" s="1"/>
  <c r="AJ94" i="15" s="1"/>
  <c r="AH102" i="15"/>
  <c r="AI102" i="15" s="1"/>
  <c r="AJ102" i="15" s="1"/>
  <c r="AH110" i="15"/>
  <c r="AI110" i="15" s="1"/>
  <c r="AJ110" i="15" s="1"/>
  <c r="AH118" i="15"/>
  <c r="AI118" i="15" s="1"/>
  <c r="AJ118" i="15" s="1"/>
  <c r="AH122" i="15"/>
  <c r="AI122" i="15" s="1"/>
  <c r="AJ122" i="15" s="1"/>
  <c r="AH134" i="15"/>
  <c r="AI134" i="15" s="1"/>
  <c r="AJ134" i="15" s="1"/>
  <c r="AH142" i="15"/>
  <c r="AI142" i="15" s="1"/>
  <c r="AJ142" i="15" s="1"/>
  <c r="AH146" i="15"/>
  <c r="AI146" i="15" s="1"/>
  <c r="AJ146" i="15" s="1"/>
  <c r="AH154" i="15"/>
  <c r="AI154" i="15" s="1"/>
  <c r="AJ154" i="15" s="1"/>
  <c r="AH162" i="15"/>
  <c r="AI162" i="15" s="1"/>
  <c r="AJ162" i="15" s="1"/>
  <c r="AH170" i="15"/>
  <c r="AI170" i="15" s="1"/>
  <c r="AJ170" i="15" s="1"/>
  <c r="AH178" i="15"/>
  <c r="AI178" i="15" s="1"/>
  <c r="AJ178" i="15" s="1"/>
  <c r="AH182" i="15"/>
  <c r="AI182" i="15" s="1"/>
  <c r="AJ182" i="15" s="1"/>
  <c r="AH190" i="15"/>
  <c r="AI190" i="15" s="1"/>
  <c r="AJ190" i="15" s="1"/>
  <c r="AH198" i="15"/>
  <c r="AI198" i="15" s="1"/>
  <c r="AJ198" i="15" s="1"/>
  <c r="AH206" i="15"/>
  <c r="AI206" i="15" s="1"/>
  <c r="AJ206" i="15" s="1"/>
  <c r="AH214" i="15"/>
  <c r="AI214" i="15" s="1"/>
  <c r="AJ214" i="15" s="1"/>
  <c r="AH222" i="15"/>
  <c r="AI222" i="15" s="1"/>
  <c r="AJ222" i="15" s="1"/>
  <c r="AH4" i="15"/>
  <c r="AI4" i="15" s="1"/>
  <c r="AJ4" i="15" s="1"/>
  <c r="AH8" i="15"/>
  <c r="AI8" i="15" s="1"/>
  <c r="AJ8" i="15" s="1"/>
  <c r="AH12" i="15"/>
  <c r="AI12" i="15" s="1"/>
  <c r="AJ12" i="15" s="1"/>
  <c r="AH16" i="15"/>
  <c r="AI16" i="15" s="1"/>
  <c r="AJ16" i="15" s="1"/>
  <c r="AH20" i="15"/>
  <c r="AI20" i="15" s="1"/>
  <c r="AJ20" i="15" s="1"/>
  <c r="AH24" i="15"/>
  <c r="AI24" i="15" s="1"/>
  <c r="AJ24" i="15" s="1"/>
  <c r="AH28" i="15"/>
  <c r="AI28" i="15" s="1"/>
  <c r="AJ28" i="15" s="1"/>
  <c r="AH32" i="15"/>
  <c r="AI32" i="15" s="1"/>
  <c r="AJ32" i="15" s="1"/>
  <c r="AH36" i="15"/>
  <c r="AI36" i="15" s="1"/>
  <c r="AJ36" i="15" s="1"/>
  <c r="AH40" i="15"/>
  <c r="AI40" i="15" s="1"/>
  <c r="AJ40" i="15" s="1"/>
  <c r="AH44" i="15"/>
  <c r="AI44" i="15" s="1"/>
  <c r="AJ44" i="15" s="1"/>
  <c r="AH48" i="15"/>
  <c r="AI48" i="15" s="1"/>
  <c r="AJ48" i="15" s="1"/>
  <c r="AH52" i="15"/>
  <c r="AI52" i="15" s="1"/>
  <c r="AJ52" i="15" s="1"/>
  <c r="AH56" i="15"/>
  <c r="AI56" i="15" s="1"/>
  <c r="AJ56" i="15" s="1"/>
  <c r="AH60" i="15"/>
  <c r="AI60" i="15" s="1"/>
  <c r="AJ60" i="15" s="1"/>
  <c r="AH64" i="15"/>
  <c r="AI64" i="15" s="1"/>
  <c r="AJ64" i="15" s="1"/>
  <c r="AH68" i="15"/>
  <c r="AI68" i="15" s="1"/>
  <c r="AJ68" i="15" s="1"/>
  <c r="AH72" i="15"/>
  <c r="AI72" i="15" s="1"/>
  <c r="AJ72" i="15" s="1"/>
  <c r="AH76" i="15"/>
  <c r="AI76" i="15" s="1"/>
  <c r="AJ76" i="15" s="1"/>
  <c r="AH80" i="15"/>
  <c r="AI80" i="15" s="1"/>
  <c r="AJ80" i="15" s="1"/>
  <c r="AH84" i="15"/>
  <c r="AI84" i="15" s="1"/>
  <c r="AJ84" i="15" s="1"/>
  <c r="AH88" i="15"/>
  <c r="AI88" i="15" s="1"/>
  <c r="AJ88" i="15" s="1"/>
  <c r="AH92" i="15"/>
  <c r="AI92" i="15" s="1"/>
  <c r="AJ92" i="15" s="1"/>
  <c r="AH96" i="15"/>
  <c r="AI96" i="15" s="1"/>
  <c r="AJ96" i="15" s="1"/>
  <c r="AH100" i="15"/>
  <c r="AI100" i="15" s="1"/>
  <c r="AJ100" i="15" s="1"/>
  <c r="AH104" i="15"/>
  <c r="AI104" i="15" s="1"/>
  <c r="AJ104" i="15" s="1"/>
  <c r="AH108" i="15"/>
  <c r="AI108" i="15" s="1"/>
  <c r="AJ108" i="15" s="1"/>
  <c r="AH112" i="15"/>
  <c r="AI112" i="15" s="1"/>
  <c r="AJ112" i="15" s="1"/>
  <c r="AH116" i="15"/>
  <c r="AI116" i="15" s="1"/>
  <c r="AJ116" i="15" s="1"/>
  <c r="AH120" i="15"/>
  <c r="AI120" i="15" s="1"/>
  <c r="AJ120" i="15" s="1"/>
  <c r="AH124" i="15"/>
  <c r="AI124" i="15" s="1"/>
  <c r="AJ124" i="15" s="1"/>
  <c r="AH128" i="15"/>
  <c r="AI128" i="15" s="1"/>
  <c r="AJ128" i="15" s="1"/>
  <c r="AH132" i="15"/>
  <c r="AI132" i="15" s="1"/>
  <c r="AJ132" i="15" s="1"/>
  <c r="AH136" i="15"/>
  <c r="AI136" i="15" s="1"/>
  <c r="AJ136" i="15" s="1"/>
  <c r="AH140" i="15"/>
  <c r="AI140" i="15" s="1"/>
  <c r="AJ140" i="15" s="1"/>
  <c r="AH144" i="15"/>
  <c r="AI144" i="15" s="1"/>
  <c r="AJ144" i="15" s="1"/>
  <c r="AH148" i="15"/>
  <c r="AI148" i="15" s="1"/>
  <c r="AJ148" i="15" s="1"/>
  <c r="AH152" i="15"/>
  <c r="AI152" i="15" s="1"/>
  <c r="AJ152" i="15" s="1"/>
  <c r="AH156" i="15"/>
  <c r="AI156" i="15" s="1"/>
  <c r="AJ156" i="15" s="1"/>
  <c r="AH160" i="15"/>
  <c r="AI160" i="15" s="1"/>
  <c r="AJ160" i="15" s="1"/>
  <c r="AH164" i="15"/>
  <c r="AI164" i="15" s="1"/>
  <c r="AJ164" i="15" s="1"/>
  <c r="AH168" i="15"/>
  <c r="AI168" i="15" s="1"/>
  <c r="AJ168" i="15" s="1"/>
  <c r="AH172" i="15"/>
  <c r="AI172" i="15" s="1"/>
  <c r="AJ172" i="15" s="1"/>
  <c r="AH176" i="15"/>
  <c r="AI176" i="15" s="1"/>
  <c r="AJ176" i="15" s="1"/>
  <c r="AH180" i="15"/>
  <c r="AI180" i="15" s="1"/>
  <c r="AJ180" i="15" s="1"/>
  <c r="AH184" i="15"/>
  <c r="AI184" i="15" s="1"/>
  <c r="AJ184" i="15" s="1"/>
  <c r="AH188" i="15"/>
  <c r="AI188" i="15" s="1"/>
  <c r="AJ188" i="15" s="1"/>
  <c r="AH192" i="15"/>
  <c r="AI192" i="15" s="1"/>
  <c r="AJ192" i="15" s="1"/>
  <c r="AH196" i="15"/>
  <c r="AI196" i="15" s="1"/>
  <c r="AJ196" i="15" s="1"/>
  <c r="AH200" i="15"/>
  <c r="AI200" i="15" s="1"/>
  <c r="AJ200" i="15" s="1"/>
  <c r="AH204" i="15"/>
  <c r="AI204" i="15" s="1"/>
  <c r="AJ204" i="15" s="1"/>
  <c r="AH208" i="15"/>
  <c r="AI208" i="15" s="1"/>
  <c r="AJ208" i="15" s="1"/>
  <c r="AH212" i="15"/>
  <c r="AI212" i="15" s="1"/>
  <c r="AJ212" i="15" s="1"/>
  <c r="AH216" i="15"/>
  <c r="AI216" i="15" s="1"/>
  <c r="AJ216" i="15" s="1"/>
  <c r="AH220" i="15"/>
  <c r="AI220" i="15" s="1"/>
  <c r="AJ220" i="15" s="1"/>
  <c r="AH224" i="15"/>
  <c r="AI224" i="15" s="1"/>
  <c r="AJ224" i="15" s="1"/>
  <c r="AH2" i="15"/>
  <c r="AI2" i="15" s="1"/>
  <c r="AH5" i="15"/>
  <c r="AI5" i="15" s="1"/>
  <c r="AJ5" i="15" s="1"/>
  <c r="AH9" i="15"/>
  <c r="AI9" i="15" s="1"/>
  <c r="AJ9" i="15" s="1"/>
  <c r="AH13" i="15"/>
  <c r="AI13" i="15" s="1"/>
  <c r="AJ13" i="15" s="1"/>
  <c r="AH17" i="15"/>
  <c r="AI17" i="15" s="1"/>
  <c r="AJ17" i="15" s="1"/>
  <c r="AH21" i="15"/>
  <c r="AI21" i="15" s="1"/>
  <c r="AJ21" i="15" s="1"/>
  <c r="AH25" i="15"/>
  <c r="AI25" i="15" s="1"/>
  <c r="AJ25" i="15" s="1"/>
  <c r="AH29" i="15"/>
  <c r="AI29" i="15" s="1"/>
  <c r="AJ29" i="15" s="1"/>
  <c r="AH33" i="15"/>
  <c r="AI33" i="15" s="1"/>
  <c r="AJ33" i="15" s="1"/>
  <c r="AH37" i="15"/>
  <c r="AI37" i="15" s="1"/>
  <c r="AJ37" i="15" s="1"/>
  <c r="AH41" i="15"/>
  <c r="AI41" i="15" s="1"/>
  <c r="AJ41" i="15" s="1"/>
  <c r="AH45" i="15"/>
  <c r="AI45" i="15" s="1"/>
  <c r="AJ45" i="15" s="1"/>
  <c r="AH49" i="15"/>
  <c r="AI49" i="15" s="1"/>
  <c r="AJ49" i="15" s="1"/>
  <c r="AH53" i="15"/>
  <c r="AI53" i="15" s="1"/>
  <c r="AJ53" i="15" s="1"/>
  <c r="AH57" i="15"/>
  <c r="AI57" i="15" s="1"/>
  <c r="AJ57" i="15" s="1"/>
  <c r="AH61" i="15"/>
  <c r="AI61" i="15" s="1"/>
  <c r="AJ61" i="15" s="1"/>
  <c r="AH65" i="15"/>
  <c r="AI65" i="15" s="1"/>
  <c r="AJ65" i="15" s="1"/>
  <c r="AH69" i="15"/>
  <c r="AI69" i="15" s="1"/>
  <c r="AJ69" i="15" s="1"/>
  <c r="AH73" i="15"/>
  <c r="AI73" i="15" s="1"/>
  <c r="AJ73" i="15" s="1"/>
  <c r="AH77" i="15"/>
  <c r="AI77" i="15" s="1"/>
  <c r="AJ77" i="15" s="1"/>
  <c r="AH81" i="15"/>
  <c r="AI81" i="15" s="1"/>
  <c r="AJ81" i="15" s="1"/>
  <c r="AH85" i="15"/>
  <c r="AI85" i="15" s="1"/>
  <c r="AJ85" i="15" s="1"/>
  <c r="AH89" i="15"/>
  <c r="AI89" i="15" s="1"/>
  <c r="AJ89" i="15" s="1"/>
  <c r="AH93" i="15"/>
  <c r="AI93" i="15" s="1"/>
  <c r="AJ93" i="15" s="1"/>
  <c r="AH97" i="15"/>
  <c r="AI97" i="15" s="1"/>
  <c r="AJ97" i="15" s="1"/>
  <c r="AH101" i="15"/>
  <c r="AI101" i="15" s="1"/>
  <c r="AJ101" i="15" s="1"/>
  <c r="AH105" i="15"/>
  <c r="AI105" i="15" s="1"/>
  <c r="AJ105" i="15" s="1"/>
  <c r="AH109" i="15"/>
  <c r="AI109" i="15" s="1"/>
  <c r="AJ109" i="15" s="1"/>
  <c r="AH113" i="15"/>
  <c r="AI113" i="15" s="1"/>
  <c r="AJ113" i="15" s="1"/>
  <c r="AH117" i="15"/>
  <c r="AI117" i="15" s="1"/>
  <c r="AJ117" i="15" s="1"/>
  <c r="AH121" i="15"/>
  <c r="AI121" i="15" s="1"/>
  <c r="AJ121" i="15" s="1"/>
  <c r="AH125" i="15"/>
  <c r="AI125" i="15" s="1"/>
  <c r="AJ125" i="15" s="1"/>
  <c r="AH129" i="15"/>
  <c r="AI129" i="15" s="1"/>
  <c r="AJ129" i="15" s="1"/>
  <c r="AH133" i="15"/>
  <c r="AI133" i="15" s="1"/>
  <c r="AJ133" i="15" s="1"/>
  <c r="AH137" i="15"/>
  <c r="AI137" i="15" s="1"/>
  <c r="AJ137" i="15" s="1"/>
  <c r="AH141" i="15"/>
  <c r="AI141" i="15" s="1"/>
  <c r="AJ141" i="15" s="1"/>
  <c r="AH145" i="15"/>
  <c r="AI145" i="15" s="1"/>
  <c r="AJ145" i="15" s="1"/>
  <c r="AH149" i="15"/>
  <c r="AI149" i="15" s="1"/>
  <c r="AJ149" i="15" s="1"/>
  <c r="AH153" i="15"/>
  <c r="AI153" i="15" s="1"/>
  <c r="AJ153" i="15" s="1"/>
  <c r="AH157" i="15"/>
  <c r="AI157" i="15" s="1"/>
  <c r="AJ157" i="15" s="1"/>
  <c r="AH161" i="15"/>
  <c r="AI161" i="15" s="1"/>
  <c r="AJ161" i="15" s="1"/>
  <c r="AH165" i="15"/>
  <c r="AI165" i="15" s="1"/>
  <c r="AJ165" i="15" s="1"/>
  <c r="AH169" i="15"/>
  <c r="AI169" i="15" s="1"/>
  <c r="AJ169" i="15" s="1"/>
  <c r="AH173" i="15"/>
  <c r="AI173" i="15" s="1"/>
  <c r="AJ173" i="15" s="1"/>
  <c r="AH177" i="15"/>
  <c r="AI177" i="15" s="1"/>
  <c r="AJ177" i="15" s="1"/>
  <c r="AH181" i="15"/>
  <c r="AI181" i="15" s="1"/>
  <c r="AJ181" i="15" s="1"/>
  <c r="AH185" i="15"/>
  <c r="AI185" i="15" s="1"/>
  <c r="AJ185" i="15" s="1"/>
  <c r="AH189" i="15"/>
  <c r="AI189" i="15" s="1"/>
  <c r="AJ189" i="15" s="1"/>
  <c r="AH193" i="15"/>
  <c r="AI193" i="15" s="1"/>
  <c r="AJ193" i="15" s="1"/>
  <c r="AH197" i="15"/>
  <c r="AI197" i="15" s="1"/>
  <c r="AJ197" i="15" s="1"/>
  <c r="AH201" i="15"/>
  <c r="AI201" i="15" s="1"/>
  <c r="AJ201" i="15" s="1"/>
  <c r="AH205" i="15"/>
  <c r="AI205" i="15" s="1"/>
  <c r="AJ205" i="15" s="1"/>
  <c r="AH209" i="15"/>
  <c r="AI209" i="15" s="1"/>
  <c r="AJ209" i="15" s="1"/>
  <c r="AH213" i="15"/>
  <c r="AI213" i="15" s="1"/>
  <c r="AJ213" i="15" s="1"/>
  <c r="AH217" i="15"/>
  <c r="AI217" i="15" s="1"/>
  <c r="AJ217" i="15" s="1"/>
  <c r="AH221" i="15"/>
  <c r="AI221" i="15" s="1"/>
  <c r="AJ221" i="15" s="1"/>
  <c r="AH225" i="15"/>
  <c r="AI225" i="15" s="1"/>
  <c r="AJ225" i="15" s="1"/>
  <c r="AH6" i="15"/>
  <c r="AI6" i="15" s="1"/>
  <c r="AJ6" i="15" s="1"/>
  <c r="AH14" i="15"/>
  <c r="AI14" i="15" s="1"/>
  <c r="AJ14" i="15" s="1"/>
  <c r="AH26" i="15"/>
  <c r="AI26" i="15" s="1"/>
  <c r="AJ26" i="15" s="1"/>
  <c r="AH34" i="15"/>
  <c r="AI34" i="15" s="1"/>
  <c r="AJ34" i="15" s="1"/>
  <c r="AH42" i="15"/>
  <c r="AI42" i="15" s="1"/>
  <c r="AJ42" i="15" s="1"/>
  <c r="AH46" i="15"/>
  <c r="AI46" i="15" s="1"/>
  <c r="AJ46" i="15" s="1"/>
  <c r="AH54" i="15"/>
  <c r="AI54" i="15" s="1"/>
  <c r="AJ54" i="15" s="1"/>
  <c r="AH62" i="15"/>
  <c r="AI62" i="15" s="1"/>
  <c r="AJ62" i="15" s="1"/>
  <c r="AH74" i="15"/>
  <c r="AI74" i="15" s="1"/>
  <c r="AJ74" i="15" s="1"/>
  <c r="AH82" i="15"/>
  <c r="AI82" i="15" s="1"/>
  <c r="AJ82" i="15" s="1"/>
  <c r="AH90" i="15"/>
  <c r="AI90" i="15" s="1"/>
  <c r="AJ90" i="15" s="1"/>
  <c r="AH98" i="15"/>
  <c r="AI98" i="15" s="1"/>
  <c r="AJ98" i="15" s="1"/>
  <c r="AH106" i="15"/>
  <c r="AI106" i="15" s="1"/>
  <c r="AJ106" i="15" s="1"/>
  <c r="AH114" i="15"/>
  <c r="AI114" i="15" s="1"/>
  <c r="AJ114" i="15" s="1"/>
  <c r="AH126" i="15"/>
  <c r="AI126" i="15" s="1"/>
  <c r="AJ126" i="15" s="1"/>
  <c r="AH130" i="15"/>
  <c r="AI130" i="15" s="1"/>
  <c r="AJ130" i="15" s="1"/>
  <c r="AH138" i="15"/>
  <c r="AI138" i="15" s="1"/>
  <c r="AJ138" i="15" s="1"/>
  <c r="AH150" i="15"/>
  <c r="AI150" i="15" s="1"/>
  <c r="AJ150" i="15" s="1"/>
  <c r="AH158" i="15"/>
  <c r="AI158" i="15" s="1"/>
  <c r="AJ158" i="15" s="1"/>
  <c r="AH166" i="15"/>
  <c r="AI166" i="15" s="1"/>
  <c r="AJ166" i="15" s="1"/>
  <c r="AH174" i="15"/>
  <c r="AI174" i="15" s="1"/>
  <c r="AJ174" i="15" s="1"/>
  <c r="AH186" i="15"/>
  <c r="AI186" i="15" s="1"/>
  <c r="AJ186" i="15" s="1"/>
  <c r="AH194" i="15"/>
  <c r="AI194" i="15" s="1"/>
  <c r="AJ194" i="15" s="1"/>
  <c r="AH202" i="15"/>
  <c r="AI202" i="15" s="1"/>
  <c r="AJ202" i="15" s="1"/>
  <c r="AH210" i="15"/>
  <c r="AI210" i="15" s="1"/>
  <c r="AJ210" i="15" s="1"/>
  <c r="AH218" i="15"/>
  <c r="AI218" i="15" s="1"/>
  <c r="AJ218" i="15" s="1"/>
  <c r="AH226" i="15"/>
  <c r="AI226" i="15" s="1"/>
  <c r="AJ226" i="15" s="1"/>
  <c r="S19" i="15"/>
  <c r="T19" i="15" s="1"/>
  <c r="U19" i="15" s="1"/>
  <c r="S31" i="15"/>
  <c r="T31" i="15" s="1"/>
  <c r="U31" i="15" s="1"/>
  <c r="S147" i="15"/>
  <c r="T147" i="15" s="1"/>
  <c r="U147" i="15" s="1"/>
  <c r="S159" i="15"/>
  <c r="T159" i="15" s="1"/>
  <c r="U159" i="15" s="1"/>
  <c r="S126" i="15"/>
  <c r="T126" i="15" s="1"/>
  <c r="U126" i="15" s="1"/>
  <c r="S162" i="15"/>
  <c r="T162" i="15" s="1"/>
  <c r="U162" i="15" s="1"/>
  <c r="S96" i="15"/>
  <c r="T96" i="15" s="1"/>
  <c r="U96" i="15" s="1"/>
  <c r="S108" i="15"/>
  <c r="T108" i="15" s="1"/>
  <c r="U108" i="15" s="1"/>
  <c r="S224" i="15"/>
  <c r="T224" i="15" s="1"/>
  <c r="U224" i="15" s="1"/>
  <c r="S38" i="15"/>
  <c r="T38" i="15" s="1"/>
  <c r="U38" i="15" s="1"/>
  <c r="S57" i="15"/>
  <c r="T57" i="15" s="1"/>
  <c r="U57" i="15" s="1"/>
  <c r="S69" i="15"/>
  <c r="T69" i="15" s="1"/>
  <c r="U69" i="15" s="1"/>
  <c r="S185" i="15"/>
  <c r="T185" i="15" s="1"/>
  <c r="U185" i="15" s="1"/>
  <c r="S197" i="15"/>
  <c r="T197" i="15" s="1"/>
  <c r="U197" i="15" s="1"/>
  <c r="BO6" i="15"/>
  <c r="BP6" i="15" s="1"/>
  <c r="BQ6" i="15" s="1"/>
  <c r="BO10" i="15"/>
  <c r="BP10" i="15" s="1"/>
  <c r="BQ10" i="15" s="1"/>
  <c r="BO14" i="15"/>
  <c r="BP14" i="15" s="1"/>
  <c r="BQ14" i="15" s="1"/>
  <c r="BO18" i="15"/>
  <c r="BP18" i="15" s="1"/>
  <c r="BQ18" i="15" s="1"/>
  <c r="BO22" i="15"/>
  <c r="BP22" i="15" s="1"/>
  <c r="BQ22" i="15" s="1"/>
  <c r="BO26" i="15"/>
  <c r="BP26" i="15" s="1"/>
  <c r="BQ26" i="15" s="1"/>
  <c r="BO30" i="15"/>
  <c r="BP30" i="15" s="1"/>
  <c r="BQ30" i="15" s="1"/>
  <c r="BO34" i="15"/>
  <c r="BP34" i="15" s="1"/>
  <c r="BQ34" i="15" s="1"/>
  <c r="BO38" i="15"/>
  <c r="BP38" i="15" s="1"/>
  <c r="BQ38" i="15" s="1"/>
  <c r="BO42" i="15"/>
  <c r="BP42" i="15" s="1"/>
  <c r="BQ42" i="15" s="1"/>
  <c r="BO46" i="15"/>
  <c r="BP46" i="15" s="1"/>
  <c r="BQ46" i="15" s="1"/>
  <c r="BO50" i="15"/>
  <c r="BP50" i="15" s="1"/>
  <c r="BQ50" i="15" s="1"/>
  <c r="BO54" i="15"/>
  <c r="BP54" i="15" s="1"/>
  <c r="BQ54" i="15" s="1"/>
  <c r="BO58" i="15"/>
  <c r="BP58" i="15" s="1"/>
  <c r="BQ58" i="15" s="1"/>
  <c r="BO62" i="15"/>
  <c r="BP62" i="15" s="1"/>
  <c r="BQ62" i="15" s="1"/>
  <c r="BO66" i="15"/>
  <c r="BP66" i="15" s="1"/>
  <c r="BQ66" i="15" s="1"/>
  <c r="BO70" i="15"/>
  <c r="BP70" i="15" s="1"/>
  <c r="BQ70" i="15" s="1"/>
  <c r="BO74" i="15"/>
  <c r="BP74" i="15" s="1"/>
  <c r="BQ74" i="15" s="1"/>
  <c r="BO78" i="15"/>
  <c r="BP78" i="15" s="1"/>
  <c r="BQ78" i="15" s="1"/>
  <c r="BO82" i="15"/>
  <c r="BP82" i="15" s="1"/>
  <c r="BQ82" i="15" s="1"/>
  <c r="BO86" i="15"/>
  <c r="BP86" i="15" s="1"/>
  <c r="BQ86" i="15" s="1"/>
  <c r="BO90" i="15"/>
  <c r="BP90" i="15" s="1"/>
  <c r="BQ90" i="15" s="1"/>
  <c r="BO94" i="15"/>
  <c r="BP94" i="15" s="1"/>
  <c r="BQ94" i="15" s="1"/>
  <c r="BO98" i="15"/>
  <c r="BP98" i="15" s="1"/>
  <c r="BQ98" i="15" s="1"/>
  <c r="BO102" i="15"/>
  <c r="BP102" i="15" s="1"/>
  <c r="BQ102" i="15" s="1"/>
  <c r="BO106" i="15"/>
  <c r="BP106" i="15" s="1"/>
  <c r="BQ106" i="15" s="1"/>
  <c r="BO110" i="15"/>
  <c r="BP110" i="15" s="1"/>
  <c r="BQ110" i="15" s="1"/>
  <c r="BO114" i="15"/>
  <c r="BP114" i="15" s="1"/>
  <c r="BQ114" i="15" s="1"/>
  <c r="BO118" i="15"/>
  <c r="BP118" i="15" s="1"/>
  <c r="BQ118" i="15" s="1"/>
  <c r="BO122" i="15"/>
  <c r="BP122" i="15" s="1"/>
  <c r="BQ122" i="15" s="1"/>
  <c r="BO126" i="15"/>
  <c r="BP126" i="15" s="1"/>
  <c r="BQ126" i="15" s="1"/>
  <c r="BO130" i="15"/>
  <c r="BP130" i="15" s="1"/>
  <c r="BQ130" i="15" s="1"/>
  <c r="BO134" i="15"/>
  <c r="BP134" i="15" s="1"/>
  <c r="BQ134" i="15" s="1"/>
  <c r="BO138" i="15"/>
  <c r="BP138" i="15" s="1"/>
  <c r="BQ138" i="15" s="1"/>
  <c r="BO142" i="15"/>
  <c r="BP142" i="15" s="1"/>
  <c r="BQ142" i="15" s="1"/>
  <c r="BO146" i="15"/>
  <c r="BP146" i="15" s="1"/>
  <c r="BQ146" i="15" s="1"/>
  <c r="BO150" i="15"/>
  <c r="BP150" i="15" s="1"/>
  <c r="BQ150" i="15" s="1"/>
  <c r="BO154" i="15"/>
  <c r="BP154" i="15" s="1"/>
  <c r="BQ154" i="15" s="1"/>
  <c r="BO158" i="15"/>
  <c r="BP158" i="15" s="1"/>
  <c r="BQ158" i="15" s="1"/>
  <c r="BO162" i="15"/>
  <c r="BP162" i="15" s="1"/>
  <c r="BQ162" i="15" s="1"/>
  <c r="BO166" i="15"/>
  <c r="BP166" i="15" s="1"/>
  <c r="BQ166" i="15" s="1"/>
  <c r="BO170" i="15"/>
  <c r="BP170" i="15" s="1"/>
  <c r="BQ170" i="15" s="1"/>
  <c r="BO174" i="15"/>
  <c r="BP174" i="15" s="1"/>
  <c r="BQ174" i="15" s="1"/>
  <c r="BO178" i="15"/>
  <c r="BP178" i="15" s="1"/>
  <c r="BQ178" i="15" s="1"/>
  <c r="BO182" i="15"/>
  <c r="BP182" i="15" s="1"/>
  <c r="BQ182" i="15" s="1"/>
  <c r="BO186" i="15"/>
  <c r="BP186" i="15" s="1"/>
  <c r="BQ186" i="15" s="1"/>
  <c r="BO190" i="15"/>
  <c r="BP190" i="15" s="1"/>
  <c r="BQ190" i="15" s="1"/>
  <c r="BO194" i="15"/>
  <c r="BP194" i="15" s="1"/>
  <c r="BQ194" i="15" s="1"/>
  <c r="BO198" i="15"/>
  <c r="BP198" i="15" s="1"/>
  <c r="BQ198" i="15" s="1"/>
  <c r="BO202" i="15"/>
  <c r="BP202" i="15" s="1"/>
  <c r="BQ202" i="15" s="1"/>
  <c r="BO206" i="15"/>
  <c r="BP206" i="15" s="1"/>
  <c r="BQ206" i="15" s="1"/>
  <c r="BO210" i="15"/>
  <c r="BP210" i="15" s="1"/>
  <c r="BQ210" i="15" s="1"/>
  <c r="BO214" i="15"/>
  <c r="BP214" i="15" s="1"/>
  <c r="BQ214" i="15" s="1"/>
  <c r="BO218" i="15"/>
  <c r="BP218" i="15" s="1"/>
  <c r="BQ218" i="15" s="1"/>
  <c r="BO222" i="15"/>
  <c r="BP222" i="15" s="1"/>
  <c r="BQ222" i="15" s="1"/>
  <c r="BO226" i="15"/>
  <c r="BP226" i="15" s="1"/>
  <c r="BQ226" i="15" s="1"/>
  <c r="BO3" i="15"/>
  <c r="BP3" i="15" s="1"/>
  <c r="BQ3" i="15" s="1"/>
  <c r="BO7" i="15"/>
  <c r="BP7" i="15" s="1"/>
  <c r="BQ7" i="15" s="1"/>
  <c r="BO11" i="15"/>
  <c r="BP11" i="15" s="1"/>
  <c r="BQ11" i="15" s="1"/>
  <c r="BO15" i="15"/>
  <c r="BP15" i="15" s="1"/>
  <c r="BQ15" i="15" s="1"/>
  <c r="BO19" i="15"/>
  <c r="BP19" i="15" s="1"/>
  <c r="BQ19" i="15" s="1"/>
  <c r="BO23" i="15"/>
  <c r="BP23" i="15" s="1"/>
  <c r="BQ23" i="15" s="1"/>
  <c r="BO27" i="15"/>
  <c r="BP27" i="15" s="1"/>
  <c r="BQ27" i="15" s="1"/>
  <c r="BO31" i="15"/>
  <c r="BP31" i="15" s="1"/>
  <c r="BQ31" i="15" s="1"/>
  <c r="BO35" i="15"/>
  <c r="BP35" i="15" s="1"/>
  <c r="BQ35" i="15" s="1"/>
  <c r="BO39" i="15"/>
  <c r="BP39" i="15" s="1"/>
  <c r="BQ39" i="15" s="1"/>
  <c r="BO43" i="15"/>
  <c r="BP43" i="15" s="1"/>
  <c r="BQ43" i="15" s="1"/>
  <c r="BO47" i="15"/>
  <c r="BP47" i="15" s="1"/>
  <c r="BQ47" i="15" s="1"/>
  <c r="BO51" i="15"/>
  <c r="BP51" i="15" s="1"/>
  <c r="BQ51" i="15" s="1"/>
  <c r="BO55" i="15"/>
  <c r="BP55" i="15" s="1"/>
  <c r="BQ55" i="15" s="1"/>
  <c r="BO59" i="15"/>
  <c r="BP59" i="15" s="1"/>
  <c r="BQ59" i="15" s="1"/>
  <c r="BO63" i="15"/>
  <c r="BP63" i="15" s="1"/>
  <c r="BQ63" i="15" s="1"/>
  <c r="BO67" i="15"/>
  <c r="BP67" i="15" s="1"/>
  <c r="BQ67" i="15" s="1"/>
  <c r="BO71" i="15"/>
  <c r="BP71" i="15" s="1"/>
  <c r="BQ71" i="15" s="1"/>
  <c r="BO75" i="15"/>
  <c r="BP75" i="15" s="1"/>
  <c r="BQ75" i="15" s="1"/>
  <c r="BO79" i="15"/>
  <c r="BP79" i="15" s="1"/>
  <c r="BQ79" i="15" s="1"/>
  <c r="BO83" i="15"/>
  <c r="BP83" i="15" s="1"/>
  <c r="BQ83" i="15" s="1"/>
  <c r="BO87" i="15"/>
  <c r="BP87" i="15" s="1"/>
  <c r="BQ87" i="15" s="1"/>
  <c r="BO91" i="15"/>
  <c r="BP91" i="15" s="1"/>
  <c r="BQ91" i="15" s="1"/>
  <c r="BO95" i="15"/>
  <c r="BP95" i="15" s="1"/>
  <c r="BQ95" i="15" s="1"/>
  <c r="BO99" i="15"/>
  <c r="BP99" i="15" s="1"/>
  <c r="BQ99" i="15" s="1"/>
  <c r="BO103" i="15"/>
  <c r="BP103" i="15" s="1"/>
  <c r="BQ103" i="15" s="1"/>
  <c r="BO107" i="15"/>
  <c r="BP107" i="15" s="1"/>
  <c r="BQ107" i="15" s="1"/>
  <c r="BO111" i="15"/>
  <c r="BP111" i="15" s="1"/>
  <c r="BQ111" i="15" s="1"/>
  <c r="BO115" i="15"/>
  <c r="BP115" i="15" s="1"/>
  <c r="BQ115" i="15" s="1"/>
  <c r="BO119" i="15"/>
  <c r="BP119" i="15" s="1"/>
  <c r="BQ119" i="15" s="1"/>
  <c r="BO123" i="15"/>
  <c r="BP123" i="15" s="1"/>
  <c r="BQ123" i="15" s="1"/>
  <c r="BO127" i="15"/>
  <c r="BP127" i="15" s="1"/>
  <c r="BQ127" i="15" s="1"/>
  <c r="BO131" i="15"/>
  <c r="BP131" i="15" s="1"/>
  <c r="BQ131" i="15" s="1"/>
  <c r="BO135" i="15"/>
  <c r="BP135" i="15" s="1"/>
  <c r="BQ135" i="15" s="1"/>
  <c r="BO139" i="15"/>
  <c r="BP139" i="15" s="1"/>
  <c r="BQ139" i="15" s="1"/>
  <c r="BO143" i="15"/>
  <c r="BP143" i="15" s="1"/>
  <c r="BQ143" i="15" s="1"/>
  <c r="BO147" i="15"/>
  <c r="BP147" i="15" s="1"/>
  <c r="BQ147" i="15" s="1"/>
  <c r="BO151" i="15"/>
  <c r="BP151" i="15" s="1"/>
  <c r="BQ151" i="15" s="1"/>
  <c r="BO155" i="15"/>
  <c r="BP155" i="15" s="1"/>
  <c r="BQ155" i="15" s="1"/>
  <c r="BO159" i="15"/>
  <c r="BP159" i="15" s="1"/>
  <c r="BQ159" i="15" s="1"/>
  <c r="BO163" i="15"/>
  <c r="BP163" i="15" s="1"/>
  <c r="BQ163" i="15" s="1"/>
  <c r="BO167" i="15"/>
  <c r="BP167" i="15" s="1"/>
  <c r="BQ167" i="15" s="1"/>
  <c r="BO171" i="15"/>
  <c r="BP171" i="15" s="1"/>
  <c r="BQ171" i="15" s="1"/>
  <c r="BO175" i="15"/>
  <c r="BP175" i="15" s="1"/>
  <c r="BQ175" i="15" s="1"/>
  <c r="BO179" i="15"/>
  <c r="BP179" i="15" s="1"/>
  <c r="BQ179" i="15" s="1"/>
  <c r="BO183" i="15"/>
  <c r="BP183" i="15" s="1"/>
  <c r="BQ183" i="15" s="1"/>
  <c r="BO187" i="15"/>
  <c r="BP187" i="15" s="1"/>
  <c r="BQ187" i="15" s="1"/>
  <c r="BO191" i="15"/>
  <c r="BP191" i="15" s="1"/>
  <c r="BQ191" i="15" s="1"/>
  <c r="BO195" i="15"/>
  <c r="BP195" i="15" s="1"/>
  <c r="BQ195" i="15" s="1"/>
  <c r="BO199" i="15"/>
  <c r="BP199" i="15" s="1"/>
  <c r="BQ199" i="15" s="1"/>
  <c r="BO203" i="15"/>
  <c r="BP203" i="15" s="1"/>
  <c r="BQ203" i="15" s="1"/>
  <c r="BO207" i="15"/>
  <c r="BP207" i="15" s="1"/>
  <c r="BQ207" i="15" s="1"/>
  <c r="BO211" i="15"/>
  <c r="BP211" i="15" s="1"/>
  <c r="BQ211" i="15" s="1"/>
  <c r="BO215" i="15"/>
  <c r="BP215" i="15" s="1"/>
  <c r="BQ215" i="15" s="1"/>
  <c r="BO219" i="15"/>
  <c r="BP219" i="15" s="1"/>
  <c r="BQ219" i="15" s="1"/>
  <c r="BO223" i="15"/>
  <c r="BP223" i="15" s="1"/>
  <c r="BQ223" i="15" s="1"/>
  <c r="BO227" i="15"/>
  <c r="BP227" i="15" s="1"/>
  <c r="BQ227" i="15" s="1"/>
  <c r="BO4" i="15"/>
  <c r="BP4" i="15" s="1"/>
  <c r="BQ4" i="15" s="1"/>
  <c r="BO8" i="15"/>
  <c r="BP8" i="15" s="1"/>
  <c r="BQ8" i="15" s="1"/>
  <c r="BO12" i="15"/>
  <c r="BP12" i="15" s="1"/>
  <c r="BQ12" i="15" s="1"/>
  <c r="BO16" i="15"/>
  <c r="BP16" i="15" s="1"/>
  <c r="BQ16" i="15" s="1"/>
  <c r="BO20" i="15"/>
  <c r="BP20" i="15" s="1"/>
  <c r="BQ20" i="15" s="1"/>
  <c r="BO24" i="15"/>
  <c r="BP24" i="15" s="1"/>
  <c r="BQ24" i="15" s="1"/>
  <c r="BO28" i="15"/>
  <c r="BP28" i="15" s="1"/>
  <c r="BQ28" i="15" s="1"/>
  <c r="BO32" i="15"/>
  <c r="BP32" i="15" s="1"/>
  <c r="BQ32" i="15" s="1"/>
  <c r="BO36" i="15"/>
  <c r="BP36" i="15" s="1"/>
  <c r="BQ36" i="15" s="1"/>
  <c r="BO40" i="15"/>
  <c r="BP40" i="15" s="1"/>
  <c r="BQ40" i="15" s="1"/>
  <c r="BO44" i="15"/>
  <c r="BP44" i="15" s="1"/>
  <c r="BQ44" i="15" s="1"/>
  <c r="BO48" i="15"/>
  <c r="BP48" i="15" s="1"/>
  <c r="BQ48" i="15" s="1"/>
  <c r="BO52" i="15"/>
  <c r="BP52" i="15" s="1"/>
  <c r="BQ52" i="15" s="1"/>
  <c r="BO56" i="15"/>
  <c r="BP56" i="15" s="1"/>
  <c r="BQ56" i="15" s="1"/>
  <c r="BO60" i="15"/>
  <c r="BP60" i="15" s="1"/>
  <c r="BQ60" i="15" s="1"/>
  <c r="BO64" i="15"/>
  <c r="BP64" i="15" s="1"/>
  <c r="BQ64" i="15" s="1"/>
  <c r="BO68" i="15"/>
  <c r="BP68" i="15" s="1"/>
  <c r="BQ68" i="15" s="1"/>
  <c r="BO72" i="15"/>
  <c r="BP72" i="15" s="1"/>
  <c r="BQ72" i="15" s="1"/>
  <c r="BO76" i="15"/>
  <c r="BP76" i="15" s="1"/>
  <c r="BQ76" i="15" s="1"/>
  <c r="BO80" i="15"/>
  <c r="BP80" i="15" s="1"/>
  <c r="BQ80" i="15" s="1"/>
  <c r="BO84" i="15"/>
  <c r="BP84" i="15" s="1"/>
  <c r="BQ84" i="15" s="1"/>
  <c r="BO88" i="15"/>
  <c r="BP88" i="15" s="1"/>
  <c r="BQ88" i="15" s="1"/>
  <c r="BO92" i="15"/>
  <c r="BP92" i="15" s="1"/>
  <c r="BQ92" i="15" s="1"/>
  <c r="BO96" i="15"/>
  <c r="BP96" i="15" s="1"/>
  <c r="BQ96" i="15" s="1"/>
  <c r="BO100" i="15"/>
  <c r="BP100" i="15" s="1"/>
  <c r="BQ100" i="15" s="1"/>
  <c r="BO104" i="15"/>
  <c r="BP104" i="15" s="1"/>
  <c r="BQ104" i="15" s="1"/>
  <c r="BO108" i="15"/>
  <c r="BP108" i="15" s="1"/>
  <c r="BQ108" i="15" s="1"/>
  <c r="BO112" i="15"/>
  <c r="BP112" i="15" s="1"/>
  <c r="BQ112" i="15" s="1"/>
  <c r="BO116" i="15"/>
  <c r="BP116" i="15" s="1"/>
  <c r="BQ116" i="15" s="1"/>
  <c r="BO120" i="15"/>
  <c r="BP120" i="15" s="1"/>
  <c r="BQ120" i="15" s="1"/>
  <c r="BO124" i="15"/>
  <c r="BP124" i="15" s="1"/>
  <c r="BQ124" i="15" s="1"/>
  <c r="BO128" i="15"/>
  <c r="BP128" i="15" s="1"/>
  <c r="BQ128" i="15" s="1"/>
  <c r="BO132" i="15"/>
  <c r="BP132" i="15" s="1"/>
  <c r="BQ132" i="15" s="1"/>
  <c r="BO136" i="15"/>
  <c r="BP136" i="15" s="1"/>
  <c r="BQ136" i="15" s="1"/>
  <c r="BO140" i="15"/>
  <c r="BP140" i="15" s="1"/>
  <c r="BQ140" i="15" s="1"/>
  <c r="BO144" i="15"/>
  <c r="BP144" i="15" s="1"/>
  <c r="BQ144" i="15" s="1"/>
  <c r="BO148" i="15"/>
  <c r="BP148" i="15" s="1"/>
  <c r="BQ148" i="15" s="1"/>
  <c r="BO152" i="15"/>
  <c r="BP152" i="15" s="1"/>
  <c r="BQ152" i="15" s="1"/>
  <c r="BO156" i="15"/>
  <c r="BP156" i="15" s="1"/>
  <c r="BQ156" i="15" s="1"/>
  <c r="BO160" i="15"/>
  <c r="BP160" i="15" s="1"/>
  <c r="BQ160" i="15" s="1"/>
  <c r="BO164" i="15"/>
  <c r="BP164" i="15" s="1"/>
  <c r="BQ164" i="15" s="1"/>
  <c r="BO168" i="15"/>
  <c r="BP168" i="15" s="1"/>
  <c r="BQ168" i="15" s="1"/>
  <c r="BO172" i="15"/>
  <c r="BP172" i="15" s="1"/>
  <c r="BQ172" i="15" s="1"/>
  <c r="BO176" i="15"/>
  <c r="BP176" i="15" s="1"/>
  <c r="BQ176" i="15" s="1"/>
  <c r="BO180" i="15"/>
  <c r="BP180" i="15" s="1"/>
  <c r="BQ180" i="15" s="1"/>
  <c r="BO184" i="15"/>
  <c r="BP184" i="15" s="1"/>
  <c r="BQ184" i="15" s="1"/>
  <c r="BO188" i="15"/>
  <c r="BP188" i="15" s="1"/>
  <c r="BQ188" i="15" s="1"/>
  <c r="BO192" i="15"/>
  <c r="BP192" i="15" s="1"/>
  <c r="BQ192" i="15" s="1"/>
  <c r="BO196" i="15"/>
  <c r="BP196" i="15" s="1"/>
  <c r="BQ196" i="15" s="1"/>
  <c r="BO200" i="15"/>
  <c r="BP200" i="15" s="1"/>
  <c r="BQ200" i="15" s="1"/>
  <c r="BO204" i="15"/>
  <c r="BP204" i="15" s="1"/>
  <c r="BQ204" i="15" s="1"/>
  <c r="BO208" i="15"/>
  <c r="BP208" i="15" s="1"/>
  <c r="BQ208" i="15" s="1"/>
  <c r="BO212" i="15"/>
  <c r="BP212" i="15" s="1"/>
  <c r="BQ212" i="15" s="1"/>
  <c r="BO216" i="15"/>
  <c r="BP216" i="15" s="1"/>
  <c r="BQ216" i="15" s="1"/>
  <c r="BO220" i="15"/>
  <c r="BP220" i="15" s="1"/>
  <c r="BQ220" i="15" s="1"/>
  <c r="BO224" i="15"/>
  <c r="BP224" i="15" s="1"/>
  <c r="BQ224" i="15" s="1"/>
  <c r="BO2" i="15"/>
  <c r="BO9" i="15"/>
  <c r="BP9" i="15" s="1"/>
  <c r="BQ9" i="15" s="1"/>
  <c r="BO25" i="15"/>
  <c r="BP25" i="15" s="1"/>
  <c r="BQ25" i="15" s="1"/>
  <c r="BO41" i="15"/>
  <c r="BP41" i="15" s="1"/>
  <c r="BQ41" i="15" s="1"/>
  <c r="BO57" i="15"/>
  <c r="BP57" i="15" s="1"/>
  <c r="BQ57" i="15" s="1"/>
  <c r="BO73" i="15"/>
  <c r="BP73" i="15" s="1"/>
  <c r="BQ73" i="15" s="1"/>
  <c r="BO89" i="15"/>
  <c r="BP89" i="15" s="1"/>
  <c r="BQ89" i="15" s="1"/>
  <c r="BO105" i="15"/>
  <c r="BP105" i="15" s="1"/>
  <c r="BQ105" i="15" s="1"/>
  <c r="BO121" i="15"/>
  <c r="BP121" i="15" s="1"/>
  <c r="BQ121" i="15" s="1"/>
  <c r="BO137" i="15"/>
  <c r="BP137" i="15" s="1"/>
  <c r="BQ137" i="15" s="1"/>
  <c r="BO153" i="15"/>
  <c r="BP153" i="15" s="1"/>
  <c r="BQ153" i="15" s="1"/>
  <c r="BO169" i="15"/>
  <c r="BP169" i="15" s="1"/>
  <c r="BQ169" i="15" s="1"/>
  <c r="BO185" i="15"/>
  <c r="BP185" i="15" s="1"/>
  <c r="BQ185" i="15" s="1"/>
  <c r="BO201" i="15"/>
  <c r="BP201" i="15" s="1"/>
  <c r="BQ201" i="15" s="1"/>
  <c r="BO217" i="15"/>
  <c r="BP217" i="15" s="1"/>
  <c r="BQ217" i="15" s="1"/>
  <c r="BO37" i="15"/>
  <c r="BP37" i="15" s="1"/>
  <c r="BQ37" i="15" s="1"/>
  <c r="BO85" i="15"/>
  <c r="BP85" i="15" s="1"/>
  <c r="BQ85" i="15" s="1"/>
  <c r="BO133" i="15"/>
  <c r="BP133" i="15" s="1"/>
  <c r="BQ133" i="15" s="1"/>
  <c r="BO181" i="15"/>
  <c r="BP181" i="15" s="1"/>
  <c r="BQ181" i="15" s="1"/>
  <c r="BO13" i="15"/>
  <c r="BP13" i="15" s="1"/>
  <c r="BQ13" i="15" s="1"/>
  <c r="BO29" i="15"/>
  <c r="BP29" i="15" s="1"/>
  <c r="BQ29" i="15" s="1"/>
  <c r="BO45" i="15"/>
  <c r="BP45" i="15" s="1"/>
  <c r="BQ45" i="15" s="1"/>
  <c r="BO61" i="15"/>
  <c r="BP61" i="15" s="1"/>
  <c r="BQ61" i="15" s="1"/>
  <c r="BO77" i="15"/>
  <c r="BP77" i="15" s="1"/>
  <c r="BQ77" i="15" s="1"/>
  <c r="BO93" i="15"/>
  <c r="BP93" i="15" s="1"/>
  <c r="BQ93" i="15" s="1"/>
  <c r="BO109" i="15"/>
  <c r="BP109" i="15" s="1"/>
  <c r="BQ109" i="15" s="1"/>
  <c r="BO125" i="15"/>
  <c r="BP125" i="15" s="1"/>
  <c r="BQ125" i="15" s="1"/>
  <c r="BO141" i="15"/>
  <c r="BP141" i="15" s="1"/>
  <c r="BQ141" i="15" s="1"/>
  <c r="BO157" i="15"/>
  <c r="BP157" i="15" s="1"/>
  <c r="BQ157" i="15" s="1"/>
  <c r="BO173" i="15"/>
  <c r="BP173" i="15" s="1"/>
  <c r="BQ173" i="15" s="1"/>
  <c r="BO189" i="15"/>
  <c r="BP189" i="15" s="1"/>
  <c r="BQ189" i="15" s="1"/>
  <c r="BO205" i="15"/>
  <c r="BP205" i="15" s="1"/>
  <c r="BQ205" i="15" s="1"/>
  <c r="BO221" i="15"/>
  <c r="BP221" i="15" s="1"/>
  <c r="BQ221" i="15" s="1"/>
  <c r="BO5" i="15"/>
  <c r="BP5" i="15" s="1"/>
  <c r="BQ5" i="15" s="1"/>
  <c r="BO69" i="15"/>
  <c r="BP69" i="15" s="1"/>
  <c r="BQ69" i="15" s="1"/>
  <c r="BO117" i="15"/>
  <c r="BP117" i="15" s="1"/>
  <c r="BQ117" i="15" s="1"/>
  <c r="BO165" i="15"/>
  <c r="BP165" i="15" s="1"/>
  <c r="BQ165" i="15" s="1"/>
  <c r="BO213" i="15"/>
  <c r="BP213" i="15" s="1"/>
  <c r="BQ213" i="15" s="1"/>
  <c r="BO17" i="15"/>
  <c r="BP17" i="15" s="1"/>
  <c r="BQ17" i="15" s="1"/>
  <c r="BO33" i="15"/>
  <c r="BP33" i="15" s="1"/>
  <c r="BQ33" i="15" s="1"/>
  <c r="BO49" i="15"/>
  <c r="BP49" i="15" s="1"/>
  <c r="BQ49" i="15" s="1"/>
  <c r="BO65" i="15"/>
  <c r="BP65" i="15" s="1"/>
  <c r="BQ65" i="15" s="1"/>
  <c r="BO81" i="15"/>
  <c r="BP81" i="15" s="1"/>
  <c r="BQ81" i="15" s="1"/>
  <c r="BO97" i="15"/>
  <c r="BP97" i="15" s="1"/>
  <c r="BQ97" i="15" s="1"/>
  <c r="BO113" i="15"/>
  <c r="BP113" i="15" s="1"/>
  <c r="BQ113" i="15" s="1"/>
  <c r="BO129" i="15"/>
  <c r="BP129" i="15" s="1"/>
  <c r="BQ129" i="15" s="1"/>
  <c r="BO145" i="15"/>
  <c r="BP145" i="15" s="1"/>
  <c r="BQ145" i="15" s="1"/>
  <c r="BO161" i="15"/>
  <c r="BP161" i="15" s="1"/>
  <c r="BQ161" i="15" s="1"/>
  <c r="BO177" i="15"/>
  <c r="BP177" i="15" s="1"/>
  <c r="BQ177" i="15" s="1"/>
  <c r="BO193" i="15"/>
  <c r="BP193" i="15" s="1"/>
  <c r="BQ193" i="15" s="1"/>
  <c r="BO209" i="15"/>
  <c r="BP209" i="15" s="1"/>
  <c r="BQ209" i="15" s="1"/>
  <c r="BO225" i="15"/>
  <c r="BP225" i="15" s="1"/>
  <c r="BQ225" i="15" s="1"/>
  <c r="BO21" i="15"/>
  <c r="BP21" i="15" s="1"/>
  <c r="BQ21" i="15" s="1"/>
  <c r="BO53" i="15"/>
  <c r="BP53" i="15" s="1"/>
  <c r="BQ53" i="15" s="1"/>
  <c r="BO101" i="15"/>
  <c r="BP101" i="15" s="1"/>
  <c r="BQ101" i="15" s="1"/>
  <c r="BO149" i="15"/>
  <c r="BP149" i="15" s="1"/>
  <c r="BQ149" i="15" s="1"/>
  <c r="BO197" i="15"/>
  <c r="BP197" i="15" s="1"/>
  <c r="BQ197" i="15" s="1"/>
  <c r="AK5" i="15"/>
  <c r="AL5" i="15" s="1"/>
  <c r="AM5" i="15" s="1"/>
  <c r="AK9" i="15"/>
  <c r="AL9" i="15" s="1"/>
  <c r="AM9" i="15" s="1"/>
  <c r="AK13" i="15"/>
  <c r="AL13" i="15" s="1"/>
  <c r="AM13" i="15" s="1"/>
  <c r="AK17" i="15"/>
  <c r="AL17" i="15" s="1"/>
  <c r="AM17" i="15" s="1"/>
  <c r="AK21" i="15"/>
  <c r="AL21" i="15" s="1"/>
  <c r="AM21" i="15" s="1"/>
  <c r="AK25" i="15"/>
  <c r="AL25" i="15" s="1"/>
  <c r="AM25" i="15" s="1"/>
  <c r="AK29" i="15"/>
  <c r="AL29" i="15" s="1"/>
  <c r="AM29" i="15" s="1"/>
  <c r="AK33" i="15"/>
  <c r="AL33" i="15" s="1"/>
  <c r="AM33" i="15" s="1"/>
  <c r="AK37" i="15"/>
  <c r="AL37" i="15" s="1"/>
  <c r="AM37" i="15" s="1"/>
  <c r="AK41" i="15"/>
  <c r="AL41" i="15" s="1"/>
  <c r="AM41" i="15" s="1"/>
  <c r="AK45" i="15"/>
  <c r="AL45" i="15" s="1"/>
  <c r="AM45" i="15" s="1"/>
  <c r="AK49" i="15"/>
  <c r="AL49" i="15" s="1"/>
  <c r="AM49" i="15" s="1"/>
  <c r="AK53" i="15"/>
  <c r="AL53" i="15" s="1"/>
  <c r="AM53" i="15" s="1"/>
  <c r="AK57" i="15"/>
  <c r="AL57" i="15" s="1"/>
  <c r="AM57" i="15" s="1"/>
  <c r="AK61" i="15"/>
  <c r="AL61" i="15" s="1"/>
  <c r="AM61" i="15" s="1"/>
  <c r="AK65" i="15"/>
  <c r="AL65" i="15" s="1"/>
  <c r="AM65" i="15" s="1"/>
  <c r="AK69" i="15"/>
  <c r="AL69" i="15" s="1"/>
  <c r="AM69" i="15" s="1"/>
  <c r="AK73" i="15"/>
  <c r="AL73" i="15" s="1"/>
  <c r="AM73" i="15" s="1"/>
  <c r="AK77" i="15"/>
  <c r="AL77" i="15" s="1"/>
  <c r="AM77" i="15" s="1"/>
  <c r="AK81" i="15"/>
  <c r="AL81" i="15" s="1"/>
  <c r="AM81" i="15" s="1"/>
  <c r="AK85" i="15"/>
  <c r="AL85" i="15" s="1"/>
  <c r="AM85" i="15" s="1"/>
  <c r="AK89" i="15"/>
  <c r="AL89" i="15" s="1"/>
  <c r="AM89" i="15" s="1"/>
  <c r="AK93" i="15"/>
  <c r="AL93" i="15" s="1"/>
  <c r="AM93" i="15" s="1"/>
  <c r="AK97" i="15"/>
  <c r="AL97" i="15" s="1"/>
  <c r="AM97" i="15" s="1"/>
  <c r="AK101" i="15"/>
  <c r="AL101" i="15" s="1"/>
  <c r="AM101" i="15" s="1"/>
  <c r="AK105" i="15"/>
  <c r="AL105" i="15" s="1"/>
  <c r="AM105" i="15" s="1"/>
  <c r="AK109" i="15"/>
  <c r="AL109" i="15" s="1"/>
  <c r="AM109" i="15" s="1"/>
  <c r="AK113" i="15"/>
  <c r="AL113" i="15" s="1"/>
  <c r="AM113" i="15" s="1"/>
  <c r="AK117" i="15"/>
  <c r="AL117" i="15" s="1"/>
  <c r="AM117" i="15" s="1"/>
  <c r="AK121" i="15"/>
  <c r="AL121" i="15" s="1"/>
  <c r="AM121" i="15" s="1"/>
  <c r="AK125" i="15"/>
  <c r="AL125" i="15" s="1"/>
  <c r="AM125" i="15" s="1"/>
  <c r="AK129" i="15"/>
  <c r="AL129" i="15" s="1"/>
  <c r="AM129" i="15" s="1"/>
  <c r="AK133" i="15"/>
  <c r="AL133" i="15" s="1"/>
  <c r="AM133" i="15" s="1"/>
  <c r="AK137" i="15"/>
  <c r="AL137" i="15" s="1"/>
  <c r="AM137" i="15" s="1"/>
  <c r="AK141" i="15"/>
  <c r="AL141" i="15" s="1"/>
  <c r="AM141" i="15" s="1"/>
  <c r="AK145" i="15"/>
  <c r="AL145" i="15" s="1"/>
  <c r="AM145" i="15" s="1"/>
  <c r="AK149" i="15"/>
  <c r="AL149" i="15" s="1"/>
  <c r="AM149" i="15" s="1"/>
  <c r="AK153" i="15"/>
  <c r="AL153" i="15" s="1"/>
  <c r="AM153" i="15" s="1"/>
  <c r="AK157" i="15"/>
  <c r="AL157" i="15" s="1"/>
  <c r="AM157" i="15" s="1"/>
  <c r="AK161" i="15"/>
  <c r="AL161" i="15" s="1"/>
  <c r="AM161" i="15" s="1"/>
  <c r="AK165" i="15"/>
  <c r="AL165" i="15" s="1"/>
  <c r="AM165" i="15" s="1"/>
  <c r="AK169" i="15"/>
  <c r="AL169" i="15" s="1"/>
  <c r="AM169" i="15" s="1"/>
  <c r="AK173" i="15"/>
  <c r="AL173" i="15" s="1"/>
  <c r="AM173" i="15" s="1"/>
  <c r="AK177" i="15"/>
  <c r="AL177" i="15" s="1"/>
  <c r="AM177" i="15" s="1"/>
  <c r="AK181" i="15"/>
  <c r="AL181" i="15" s="1"/>
  <c r="AM181" i="15" s="1"/>
  <c r="AK185" i="15"/>
  <c r="AL185" i="15" s="1"/>
  <c r="AM185" i="15" s="1"/>
  <c r="AK189" i="15"/>
  <c r="AL189" i="15" s="1"/>
  <c r="AM189" i="15" s="1"/>
  <c r="AK193" i="15"/>
  <c r="AL193" i="15" s="1"/>
  <c r="AM193" i="15" s="1"/>
  <c r="AK197" i="15"/>
  <c r="AL197" i="15" s="1"/>
  <c r="AM197" i="15" s="1"/>
  <c r="AK201" i="15"/>
  <c r="AL201" i="15" s="1"/>
  <c r="AM201" i="15" s="1"/>
  <c r="AK205" i="15"/>
  <c r="AL205" i="15" s="1"/>
  <c r="AM205" i="15" s="1"/>
  <c r="AK209" i="15"/>
  <c r="AL209" i="15" s="1"/>
  <c r="AM209" i="15" s="1"/>
  <c r="AK213" i="15"/>
  <c r="AL213" i="15" s="1"/>
  <c r="AM213" i="15" s="1"/>
  <c r="AK217" i="15"/>
  <c r="AL217" i="15" s="1"/>
  <c r="AM217" i="15" s="1"/>
  <c r="AK221" i="15"/>
  <c r="AL221" i="15" s="1"/>
  <c r="AM221" i="15" s="1"/>
  <c r="AK225" i="15"/>
  <c r="AL225" i="15" s="1"/>
  <c r="AM225" i="15" s="1"/>
  <c r="AK4" i="15"/>
  <c r="AL4" i="15" s="1"/>
  <c r="AM4" i="15" s="1"/>
  <c r="AK12" i="15"/>
  <c r="AL12" i="15" s="1"/>
  <c r="AM12" i="15" s="1"/>
  <c r="AK16" i="15"/>
  <c r="AL16" i="15" s="1"/>
  <c r="AM16" i="15" s="1"/>
  <c r="AK24" i="15"/>
  <c r="AL24" i="15" s="1"/>
  <c r="AM24" i="15" s="1"/>
  <c r="AK32" i="15"/>
  <c r="AL32" i="15" s="1"/>
  <c r="AM32" i="15" s="1"/>
  <c r="AK40" i="15"/>
  <c r="AL40" i="15" s="1"/>
  <c r="AM40" i="15" s="1"/>
  <c r="AK48" i="15"/>
  <c r="AL48" i="15" s="1"/>
  <c r="AM48" i="15" s="1"/>
  <c r="AK56" i="15"/>
  <c r="AL56" i="15" s="1"/>
  <c r="AM56" i="15" s="1"/>
  <c r="AK64" i="15"/>
  <c r="AL64" i="15" s="1"/>
  <c r="AM64" i="15" s="1"/>
  <c r="AK72" i="15"/>
  <c r="AL72" i="15" s="1"/>
  <c r="AM72" i="15" s="1"/>
  <c r="AK80" i="15"/>
  <c r="AL80" i="15" s="1"/>
  <c r="AM80" i="15" s="1"/>
  <c r="AK88" i="15"/>
  <c r="AL88" i="15" s="1"/>
  <c r="AM88" i="15" s="1"/>
  <c r="AK96" i="15"/>
  <c r="AL96" i="15" s="1"/>
  <c r="AM96" i="15" s="1"/>
  <c r="AK104" i="15"/>
  <c r="AL104" i="15" s="1"/>
  <c r="AM104" i="15" s="1"/>
  <c r="AK112" i="15"/>
  <c r="AL112" i="15" s="1"/>
  <c r="AM112" i="15" s="1"/>
  <c r="AK120" i="15"/>
  <c r="AL120" i="15" s="1"/>
  <c r="AM120" i="15" s="1"/>
  <c r="AK128" i="15"/>
  <c r="AL128" i="15" s="1"/>
  <c r="AM128" i="15" s="1"/>
  <c r="AK136" i="15"/>
  <c r="AL136" i="15" s="1"/>
  <c r="AM136" i="15" s="1"/>
  <c r="AK140" i="15"/>
  <c r="AL140" i="15" s="1"/>
  <c r="AM140" i="15" s="1"/>
  <c r="AK148" i="15"/>
  <c r="AL148" i="15" s="1"/>
  <c r="AM148" i="15" s="1"/>
  <c r="AK156" i="15"/>
  <c r="AL156" i="15" s="1"/>
  <c r="AM156" i="15" s="1"/>
  <c r="AK168" i="15"/>
  <c r="AL168" i="15" s="1"/>
  <c r="AM168" i="15" s="1"/>
  <c r="AK176" i="15"/>
  <c r="AL176" i="15" s="1"/>
  <c r="AM176" i="15" s="1"/>
  <c r="AK184" i="15"/>
  <c r="AL184" i="15" s="1"/>
  <c r="AM184" i="15" s="1"/>
  <c r="AK192" i="15"/>
  <c r="AL192" i="15" s="1"/>
  <c r="AM192" i="15" s="1"/>
  <c r="AK196" i="15"/>
  <c r="AL196" i="15" s="1"/>
  <c r="AM196" i="15" s="1"/>
  <c r="AK204" i="15"/>
  <c r="AL204" i="15" s="1"/>
  <c r="AM204" i="15" s="1"/>
  <c r="AK212" i="15"/>
  <c r="AL212" i="15" s="1"/>
  <c r="AM212" i="15" s="1"/>
  <c r="AK220" i="15"/>
  <c r="AL220" i="15" s="1"/>
  <c r="AM220" i="15" s="1"/>
  <c r="AK2" i="15"/>
  <c r="AK6" i="15"/>
  <c r="AL6" i="15" s="1"/>
  <c r="AM6" i="15" s="1"/>
  <c r="AK10" i="15"/>
  <c r="AL10" i="15" s="1"/>
  <c r="AM10" i="15" s="1"/>
  <c r="AK14" i="15"/>
  <c r="AL14" i="15" s="1"/>
  <c r="AM14" i="15" s="1"/>
  <c r="AK18" i="15"/>
  <c r="AL18" i="15" s="1"/>
  <c r="AM18" i="15" s="1"/>
  <c r="AK22" i="15"/>
  <c r="AL22" i="15" s="1"/>
  <c r="AM22" i="15" s="1"/>
  <c r="AK26" i="15"/>
  <c r="AL26" i="15" s="1"/>
  <c r="AM26" i="15" s="1"/>
  <c r="AK30" i="15"/>
  <c r="AL30" i="15" s="1"/>
  <c r="AM30" i="15" s="1"/>
  <c r="AK34" i="15"/>
  <c r="AL34" i="15" s="1"/>
  <c r="AM34" i="15" s="1"/>
  <c r="AK38" i="15"/>
  <c r="AL38" i="15" s="1"/>
  <c r="AM38" i="15" s="1"/>
  <c r="AK42" i="15"/>
  <c r="AL42" i="15" s="1"/>
  <c r="AM42" i="15" s="1"/>
  <c r="AK46" i="15"/>
  <c r="AL46" i="15" s="1"/>
  <c r="AM46" i="15" s="1"/>
  <c r="AK50" i="15"/>
  <c r="AL50" i="15" s="1"/>
  <c r="AM50" i="15" s="1"/>
  <c r="AK54" i="15"/>
  <c r="AL54" i="15" s="1"/>
  <c r="AM54" i="15" s="1"/>
  <c r="AK58" i="15"/>
  <c r="AL58" i="15" s="1"/>
  <c r="AM58" i="15" s="1"/>
  <c r="AK62" i="15"/>
  <c r="AL62" i="15" s="1"/>
  <c r="AM62" i="15" s="1"/>
  <c r="AK66" i="15"/>
  <c r="AL66" i="15" s="1"/>
  <c r="AM66" i="15" s="1"/>
  <c r="AK70" i="15"/>
  <c r="AL70" i="15" s="1"/>
  <c r="AM70" i="15" s="1"/>
  <c r="AK74" i="15"/>
  <c r="AL74" i="15" s="1"/>
  <c r="AM74" i="15" s="1"/>
  <c r="AK78" i="15"/>
  <c r="AL78" i="15" s="1"/>
  <c r="AM78" i="15" s="1"/>
  <c r="AK82" i="15"/>
  <c r="AL82" i="15" s="1"/>
  <c r="AM82" i="15" s="1"/>
  <c r="AK86" i="15"/>
  <c r="AL86" i="15" s="1"/>
  <c r="AM86" i="15" s="1"/>
  <c r="AK90" i="15"/>
  <c r="AL90" i="15" s="1"/>
  <c r="AM90" i="15" s="1"/>
  <c r="AK94" i="15"/>
  <c r="AL94" i="15" s="1"/>
  <c r="AM94" i="15" s="1"/>
  <c r="AK98" i="15"/>
  <c r="AL98" i="15" s="1"/>
  <c r="AM98" i="15" s="1"/>
  <c r="AK102" i="15"/>
  <c r="AL102" i="15" s="1"/>
  <c r="AM102" i="15" s="1"/>
  <c r="AK106" i="15"/>
  <c r="AL106" i="15" s="1"/>
  <c r="AM106" i="15" s="1"/>
  <c r="AK110" i="15"/>
  <c r="AL110" i="15" s="1"/>
  <c r="AM110" i="15" s="1"/>
  <c r="AK114" i="15"/>
  <c r="AL114" i="15" s="1"/>
  <c r="AM114" i="15" s="1"/>
  <c r="AK118" i="15"/>
  <c r="AL118" i="15" s="1"/>
  <c r="AM118" i="15" s="1"/>
  <c r="AK122" i="15"/>
  <c r="AL122" i="15" s="1"/>
  <c r="AM122" i="15" s="1"/>
  <c r="AK126" i="15"/>
  <c r="AL126" i="15" s="1"/>
  <c r="AM126" i="15" s="1"/>
  <c r="AK130" i="15"/>
  <c r="AL130" i="15" s="1"/>
  <c r="AM130" i="15" s="1"/>
  <c r="AK134" i="15"/>
  <c r="AL134" i="15" s="1"/>
  <c r="AM134" i="15" s="1"/>
  <c r="AK138" i="15"/>
  <c r="AL138" i="15" s="1"/>
  <c r="AM138" i="15" s="1"/>
  <c r="AK142" i="15"/>
  <c r="AL142" i="15" s="1"/>
  <c r="AM142" i="15" s="1"/>
  <c r="AK146" i="15"/>
  <c r="AL146" i="15" s="1"/>
  <c r="AM146" i="15" s="1"/>
  <c r="AK150" i="15"/>
  <c r="AL150" i="15" s="1"/>
  <c r="AM150" i="15" s="1"/>
  <c r="AK154" i="15"/>
  <c r="AL154" i="15" s="1"/>
  <c r="AM154" i="15" s="1"/>
  <c r="AK158" i="15"/>
  <c r="AL158" i="15" s="1"/>
  <c r="AM158" i="15" s="1"/>
  <c r="AK162" i="15"/>
  <c r="AL162" i="15" s="1"/>
  <c r="AM162" i="15" s="1"/>
  <c r="AK166" i="15"/>
  <c r="AL166" i="15" s="1"/>
  <c r="AM166" i="15" s="1"/>
  <c r="AK170" i="15"/>
  <c r="AL170" i="15" s="1"/>
  <c r="AM170" i="15" s="1"/>
  <c r="AK174" i="15"/>
  <c r="AL174" i="15" s="1"/>
  <c r="AM174" i="15" s="1"/>
  <c r="AK178" i="15"/>
  <c r="AL178" i="15" s="1"/>
  <c r="AM178" i="15" s="1"/>
  <c r="AK182" i="15"/>
  <c r="AL182" i="15" s="1"/>
  <c r="AM182" i="15" s="1"/>
  <c r="AK186" i="15"/>
  <c r="AL186" i="15" s="1"/>
  <c r="AM186" i="15" s="1"/>
  <c r="AK190" i="15"/>
  <c r="AL190" i="15" s="1"/>
  <c r="AM190" i="15" s="1"/>
  <c r="AK194" i="15"/>
  <c r="AL194" i="15" s="1"/>
  <c r="AM194" i="15" s="1"/>
  <c r="AK198" i="15"/>
  <c r="AL198" i="15" s="1"/>
  <c r="AM198" i="15" s="1"/>
  <c r="AK202" i="15"/>
  <c r="AL202" i="15" s="1"/>
  <c r="AM202" i="15" s="1"/>
  <c r="AK206" i="15"/>
  <c r="AL206" i="15" s="1"/>
  <c r="AM206" i="15" s="1"/>
  <c r="AK210" i="15"/>
  <c r="AL210" i="15" s="1"/>
  <c r="AM210" i="15" s="1"/>
  <c r="AK214" i="15"/>
  <c r="AL214" i="15" s="1"/>
  <c r="AM214" i="15" s="1"/>
  <c r="AK218" i="15"/>
  <c r="AL218" i="15" s="1"/>
  <c r="AM218" i="15" s="1"/>
  <c r="AK222" i="15"/>
  <c r="AL222" i="15" s="1"/>
  <c r="AM222" i="15" s="1"/>
  <c r="AK226" i="15"/>
  <c r="AL226" i="15" s="1"/>
  <c r="AM226" i="15" s="1"/>
  <c r="AK3" i="15"/>
  <c r="AL3" i="15" s="1"/>
  <c r="AM3" i="15" s="1"/>
  <c r="AK7" i="15"/>
  <c r="AL7" i="15" s="1"/>
  <c r="AM7" i="15" s="1"/>
  <c r="AK11" i="15"/>
  <c r="AL11" i="15" s="1"/>
  <c r="AM11" i="15" s="1"/>
  <c r="AK15" i="15"/>
  <c r="AL15" i="15" s="1"/>
  <c r="AM15" i="15" s="1"/>
  <c r="AK19" i="15"/>
  <c r="AL19" i="15" s="1"/>
  <c r="AM19" i="15" s="1"/>
  <c r="AK23" i="15"/>
  <c r="AL23" i="15" s="1"/>
  <c r="AM23" i="15" s="1"/>
  <c r="AK27" i="15"/>
  <c r="AL27" i="15" s="1"/>
  <c r="AM27" i="15" s="1"/>
  <c r="AK31" i="15"/>
  <c r="AL31" i="15" s="1"/>
  <c r="AM31" i="15" s="1"/>
  <c r="AK35" i="15"/>
  <c r="AL35" i="15" s="1"/>
  <c r="AM35" i="15" s="1"/>
  <c r="AK39" i="15"/>
  <c r="AL39" i="15" s="1"/>
  <c r="AM39" i="15" s="1"/>
  <c r="AK43" i="15"/>
  <c r="AL43" i="15" s="1"/>
  <c r="AM43" i="15" s="1"/>
  <c r="AK47" i="15"/>
  <c r="AL47" i="15" s="1"/>
  <c r="AM47" i="15" s="1"/>
  <c r="AK51" i="15"/>
  <c r="AL51" i="15" s="1"/>
  <c r="AM51" i="15" s="1"/>
  <c r="AK55" i="15"/>
  <c r="AL55" i="15" s="1"/>
  <c r="AM55" i="15" s="1"/>
  <c r="AK59" i="15"/>
  <c r="AL59" i="15" s="1"/>
  <c r="AM59" i="15" s="1"/>
  <c r="AK63" i="15"/>
  <c r="AL63" i="15" s="1"/>
  <c r="AM63" i="15" s="1"/>
  <c r="AK67" i="15"/>
  <c r="AL67" i="15" s="1"/>
  <c r="AM67" i="15" s="1"/>
  <c r="AK71" i="15"/>
  <c r="AL71" i="15" s="1"/>
  <c r="AM71" i="15" s="1"/>
  <c r="AK75" i="15"/>
  <c r="AL75" i="15" s="1"/>
  <c r="AM75" i="15" s="1"/>
  <c r="AK79" i="15"/>
  <c r="AL79" i="15" s="1"/>
  <c r="AM79" i="15" s="1"/>
  <c r="AK83" i="15"/>
  <c r="AL83" i="15" s="1"/>
  <c r="AM83" i="15" s="1"/>
  <c r="AK87" i="15"/>
  <c r="AL87" i="15" s="1"/>
  <c r="AM87" i="15" s="1"/>
  <c r="AK91" i="15"/>
  <c r="AL91" i="15" s="1"/>
  <c r="AM91" i="15" s="1"/>
  <c r="AK95" i="15"/>
  <c r="AL95" i="15" s="1"/>
  <c r="AM95" i="15" s="1"/>
  <c r="AK99" i="15"/>
  <c r="AL99" i="15" s="1"/>
  <c r="AM99" i="15" s="1"/>
  <c r="AK103" i="15"/>
  <c r="AL103" i="15" s="1"/>
  <c r="AM103" i="15" s="1"/>
  <c r="AK107" i="15"/>
  <c r="AL107" i="15" s="1"/>
  <c r="AM107" i="15" s="1"/>
  <c r="AK111" i="15"/>
  <c r="AL111" i="15" s="1"/>
  <c r="AM111" i="15" s="1"/>
  <c r="AK115" i="15"/>
  <c r="AL115" i="15" s="1"/>
  <c r="AM115" i="15" s="1"/>
  <c r="AK119" i="15"/>
  <c r="AL119" i="15" s="1"/>
  <c r="AM119" i="15" s="1"/>
  <c r="AK123" i="15"/>
  <c r="AL123" i="15" s="1"/>
  <c r="AM123" i="15" s="1"/>
  <c r="AK127" i="15"/>
  <c r="AL127" i="15" s="1"/>
  <c r="AM127" i="15" s="1"/>
  <c r="AK131" i="15"/>
  <c r="AL131" i="15" s="1"/>
  <c r="AM131" i="15" s="1"/>
  <c r="AK135" i="15"/>
  <c r="AL135" i="15" s="1"/>
  <c r="AM135" i="15" s="1"/>
  <c r="AK139" i="15"/>
  <c r="AL139" i="15" s="1"/>
  <c r="AM139" i="15" s="1"/>
  <c r="AK143" i="15"/>
  <c r="AL143" i="15" s="1"/>
  <c r="AM143" i="15" s="1"/>
  <c r="AK147" i="15"/>
  <c r="AL147" i="15" s="1"/>
  <c r="AM147" i="15" s="1"/>
  <c r="AK151" i="15"/>
  <c r="AL151" i="15" s="1"/>
  <c r="AM151" i="15" s="1"/>
  <c r="AK155" i="15"/>
  <c r="AL155" i="15" s="1"/>
  <c r="AM155" i="15" s="1"/>
  <c r="AK159" i="15"/>
  <c r="AL159" i="15" s="1"/>
  <c r="AM159" i="15" s="1"/>
  <c r="AK163" i="15"/>
  <c r="AL163" i="15" s="1"/>
  <c r="AM163" i="15" s="1"/>
  <c r="AK167" i="15"/>
  <c r="AL167" i="15" s="1"/>
  <c r="AM167" i="15" s="1"/>
  <c r="AK171" i="15"/>
  <c r="AL171" i="15" s="1"/>
  <c r="AM171" i="15" s="1"/>
  <c r="AK175" i="15"/>
  <c r="AL175" i="15" s="1"/>
  <c r="AM175" i="15" s="1"/>
  <c r="AK179" i="15"/>
  <c r="AL179" i="15" s="1"/>
  <c r="AM179" i="15" s="1"/>
  <c r="AK183" i="15"/>
  <c r="AL183" i="15" s="1"/>
  <c r="AM183" i="15" s="1"/>
  <c r="AK187" i="15"/>
  <c r="AL187" i="15" s="1"/>
  <c r="AM187" i="15" s="1"/>
  <c r="AK191" i="15"/>
  <c r="AL191" i="15" s="1"/>
  <c r="AM191" i="15" s="1"/>
  <c r="AK195" i="15"/>
  <c r="AL195" i="15" s="1"/>
  <c r="AM195" i="15" s="1"/>
  <c r="AK199" i="15"/>
  <c r="AL199" i="15" s="1"/>
  <c r="AM199" i="15" s="1"/>
  <c r="AK203" i="15"/>
  <c r="AL203" i="15" s="1"/>
  <c r="AM203" i="15" s="1"/>
  <c r="AK207" i="15"/>
  <c r="AL207" i="15" s="1"/>
  <c r="AM207" i="15" s="1"/>
  <c r="AK211" i="15"/>
  <c r="AL211" i="15" s="1"/>
  <c r="AM211" i="15" s="1"/>
  <c r="AK215" i="15"/>
  <c r="AL215" i="15" s="1"/>
  <c r="AM215" i="15" s="1"/>
  <c r="AK219" i="15"/>
  <c r="AL219" i="15" s="1"/>
  <c r="AM219" i="15" s="1"/>
  <c r="AK223" i="15"/>
  <c r="AL223" i="15" s="1"/>
  <c r="AM223" i="15" s="1"/>
  <c r="AK227" i="15"/>
  <c r="AL227" i="15" s="1"/>
  <c r="AM227" i="15" s="1"/>
  <c r="AK8" i="15"/>
  <c r="AL8" i="15" s="1"/>
  <c r="AM8" i="15" s="1"/>
  <c r="AK20" i="15"/>
  <c r="AL20" i="15" s="1"/>
  <c r="AM20" i="15" s="1"/>
  <c r="AK28" i="15"/>
  <c r="AL28" i="15" s="1"/>
  <c r="AM28" i="15" s="1"/>
  <c r="AK36" i="15"/>
  <c r="AL36" i="15" s="1"/>
  <c r="AM36" i="15" s="1"/>
  <c r="AK44" i="15"/>
  <c r="AL44" i="15" s="1"/>
  <c r="AM44" i="15" s="1"/>
  <c r="AK52" i="15"/>
  <c r="AL52" i="15" s="1"/>
  <c r="AM52" i="15" s="1"/>
  <c r="AK60" i="15"/>
  <c r="AL60" i="15" s="1"/>
  <c r="AM60" i="15" s="1"/>
  <c r="AK68" i="15"/>
  <c r="AL68" i="15" s="1"/>
  <c r="AM68" i="15" s="1"/>
  <c r="AK76" i="15"/>
  <c r="AL76" i="15" s="1"/>
  <c r="AM76" i="15" s="1"/>
  <c r="AK84" i="15"/>
  <c r="AL84" i="15" s="1"/>
  <c r="AM84" i="15" s="1"/>
  <c r="AK92" i="15"/>
  <c r="AL92" i="15" s="1"/>
  <c r="AM92" i="15" s="1"/>
  <c r="AK100" i="15"/>
  <c r="AL100" i="15" s="1"/>
  <c r="AM100" i="15" s="1"/>
  <c r="AK108" i="15"/>
  <c r="AL108" i="15" s="1"/>
  <c r="AM108" i="15" s="1"/>
  <c r="AK116" i="15"/>
  <c r="AL116" i="15" s="1"/>
  <c r="AM116" i="15" s="1"/>
  <c r="AK124" i="15"/>
  <c r="AL124" i="15" s="1"/>
  <c r="AM124" i="15" s="1"/>
  <c r="AK132" i="15"/>
  <c r="AL132" i="15" s="1"/>
  <c r="AM132" i="15" s="1"/>
  <c r="AK144" i="15"/>
  <c r="AL144" i="15" s="1"/>
  <c r="AM144" i="15" s="1"/>
  <c r="AK152" i="15"/>
  <c r="AL152" i="15" s="1"/>
  <c r="AM152" i="15" s="1"/>
  <c r="AK160" i="15"/>
  <c r="AL160" i="15" s="1"/>
  <c r="AM160" i="15" s="1"/>
  <c r="AK164" i="15"/>
  <c r="AL164" i="15" s="1"/>
  <c r="AM164" i="15" s="1"/>
  <c r="AK172" i="15"/>
  <c r="AL172" i="15" s="1"/>
  <c r="AM172" i="15" s="1"/>
  <c r="AK180" i="15"/>
  <c r="AL180" i="15" s="1"/>
  <c r="AM180" i="15" s="1"/>
  <c r="AK188" i="15"/>
  <c r="AL188" i="15" s="1"/>
  <c r="AM188" i="15" s="1"/>
  <c r="AK200" i="15"/>
  <c r="AL200" i="15" s="1"/>
  <c r="AM200" i="15" s="1"/>
  <c r="AK208" i="15"/>
  <c r="AL208" i="15" s="1"/>
  <c r="AM208" i="15" s="1"/>
  <c r="AK216" i="15"/>
  <c r="AL216" i="15" s="1"/>
  <c r="AM216" i="15" s="1"/>
  <c r="AK224" i="15"/>
  <c r="AL224" i="15" s="1"/>
  <c r="AM224" i="15" s="1"/>
  <c r="DQ12" i="15"/>
  <c r="DR12" i="15" s="1"/>
  <c r="DS12" i="15" s="1"/>
  <c r="DQ24" i="15"/>
  <c r="DR24" i="15" s="1"/>
  <c r="DS24" i="15" s="1"/>
  <c r="DQ38" i="15"/>
  <c r="DR38" i="15" s="1"/>
  <c r="DS38" i="15" s="1"/>
  <c r="DQ50" i="15"/>
  <c r="DR50" i="15" s="1"/>
  <c r="DS50" i="15" s="1"/>
  <c r="DQ117" i="15"/>
  <c r="DR117" i="15" s="1"/>
  <c r="DS117" i="15" s="1"/>
  <c r="DQ129" i="15"/>
  <c r="DR129" i="15" s="1"/>
  <c r="DS129" i="15" s="1"/>
  <c r="DQ35" i="15"/>
  <c r="DR35" i="15" s="1"/>
  <c r="DS35" i="15" s="1"/>
  <c r="DQ59" i="15"/>
  <c r="DR59" i="15" s="1"/>
  <c r="DS59" i="15" s="1"/>
  <c r="DQ198" i="15"/>
  <c r="DR198" i="15" s="1"/>
  <c r="DS198" i="15" s="1"/>
  <c r="DQ210" i="15"/>
  <c r="DR210" i="15" s="1"/>
  <c r="DS210" i="15" s="1"/>
  <c r="DQ151" i="15"/>
  <c r="DR151" i="15" s="1"/>
  <c r="DS151" i="15" s="1"/>
  <c r="DQ163" i="15"/>
  <c r="DR163" i="15" s="1"/>
  <c r="DS163" i="15" s="1"/>
  <c r="DQ47" i="15"/>
  <c r="DR47" i="15" s="1"/>
  <c r="DS47" i="15" s="1"/>
  <c r="DQ124" i="15"/>
  <c r="DR124" i="15" s="1"/>
  <c r="DS124" i="15" s="1"/>
  <c r="P128" i="15"/>
  <c r="Q128" i="15" s="1"/>
  <c r="R128" i="15" s="1"/>
  <c r="BL4" i="15"/>
  <c r="BM4" i="15" s="1"/>
  <c r="BN4" i="15" s="1"/>
  <c r="BL8" i="15"/>
  <c r="BM8" i="15" s="1"/>
  <c r="BN8" i="15" s="1"/>
  <c r="BL12" i="15"/>
  <c r="BM12" i="15" s="1"/>
  <c r="BN12" i="15" s="1"/>
  <c r="BL16" i="15"/>
  <c r="BM16" i="15" s="1"/>
  <c r="BN16" i="15" s="1"/>
  <c r="BL20" i="15"/>
  <c r="BM20" i="15" s="1"/>
  <c r="BN20" i="15" s="1"/>
  <c r="BL24" i="15"/>
  <c r="BM24" i="15" s="1"/>
  <c r="BN24" i="15" s="1"/>
  <c r="BL28" i="15"/>
  <c r="BM28" i="15" s="1"/>
  <c r="BN28" i="15" s="1"/>
  <c r="BL32" i="15"/>
  <c r="BM32" i="15" s="1"/>
  <c r="BN32" i="15" s="1"/>
  <c r="BL36" i="15"/>
  <c r="BM36" i="15" s="1"/>
  <c r="BN36" i="15" s="1"/>
  <c r="BL40" i="15"/>
  <c r="BM40" i="15" s="1"/>
  <c r="BN40" i="15" s="1"/>
  <c r="BL44" i="15"/>
  <c r="BM44" i="15" s="1"/>
  <c r="BN44" i="15" s="1"/>
  <c r="BL48" i="15"/>
  <c r="BM48" i="15" s="1"/>
  <c r="BN48" i="15" s="1"/>
  <c r="BL52" i="15"/>
  <c r="BM52" i="15" s="1"/>
  <c r="BN52" i="15" s="1"/>
  <c r="BL56" i="15"/>
  <c r="BM56" i="15" s="1"/>
  <c r="BN56" i="15" s="1"/>
  <c r="BL60" i="15"/>
  <c r="BM60" i="15" s="1"/>
  <c r="BN60" i="15" s="1"/>
  <c r="BL64" i="15"/>
  <c r="BM64" i="15" s="1"/>
  <c r="BN64" i="15" s="1"/>
  <c r="BL68" i="15"/>
  <c r="BM68" i="15" s="1"/>
  <c r="BN68" i="15" s="1"/>
  <c r="BL72" i="15"/>
  <c r="BM72" i="15" s="1"/>
  <c r="BN72" i="15" s="1"/>
  <c r="BL76" i="15"/>
  <c r="BM76" i="15" s="1"/>
  <c r="BN76" i="15" s="1"/>
  <c r="BL80" i="15"/>
  <c r="BM80" i="15" s="1"/>
  <c r="BN80" i="15" s="1"/>
  <c r="BL84" i="15"/>
  <c r="BM84" i="15" s="1"/>
  <c r="BN84" i="15" s="1"/>
  <c r="BL88" i="15"/>
  <c r="BM88" i="15" s="1"/>
  <c r="BN88" i="15" s="1"/>
  <c r="BL92" i="15"/>
  <c r="BM92" i="15" s="1"/>
  <c r="BN92" i="15" s="1"/>
  <c r="BL96" i="15"/>
  <c r="BM96" i="15" s="1"/>
  <c r="BN96" i="15" s="1"/>
  <c r="BL100" i="15"/>
  <c r="BM100" i="15" s="1"/>
  <c r="BN100" i="15" s="1"/>
  <c r="BL104" i="15"/>
  <c r="BM104" i="15" s="1"/>
  <c r="BN104" i="15" s="1"/>
  <c r="BL108" i="15"/>
  <c r="BM108" i="15" s="1"/>
  <c r="BN108" i="15" s="1"/>
  <c r="BL112" i="15"/>
  <c r="BM112" i="15" s="1"/>
  <c r="BN112" i="15" s="1"/>
  <c r="BL116" i="15"/>
  <c r="BM116" i="15" s="1"/>
  <c r="BN116" i="15" s="1"/>
  <c r="BL120" i="15"/>
  <c r="BM120" i="15" s="1"/>
  <c r="BN120" i="15" s="1"/>
  <c r="BL124" i="15"/>
  <c r="BM124" i="15" s="1"/>
  <c r="BN124" i="15" s="1"/>
  <c r="BL128" i="15"/>
  <c r="BM128" i="15" s="1"/>
  <c r="BN128" i="15" s="1"/>
  <c r="BL132" i="15"/>
  <c r="BM132" i="15" s="1"/>
  <c r="BN132" i="15" s="1"/>
  <c r="BL136" i="15"/>
  <c r="BM136" i="15" s="1"/>
  <c r="BN136" i="15" s="1"/>
  <c r="BL140" i="15"/>
  <c r="BM140" i="15" s="1"/>
  <c r="BN140" i="15" s="1"/>
  <c r="BL144" i="15"/>
  <c r="BM144" i="15" s="1"/>
  <c r="BN144" i="15" s="1"/>
  <c r="BL148" i="15"/>
  <c r="BM148" i="15" s="1"/>
  <c r="BN148" i="15" s="1"/>
  <c r="BL152" i="15"/>
  <c r="BM152" i="15" s="1"/>
  <c r="BN152" i="15" s="1"/>
  <c r="BL156" i="15"/>
  <c r="BM156" i="15" s="1"/>
  <c r="BN156" i="15" s="1"/>
  <c r="BL160" i="15"/>
  <c r="BM160" i="15" s="1"/>
  <c r="BN160" i="15" s="1"/>
  <c r="BL164" i="15"/>
  <c r="BM164" i="15" s="1"/>
  <c r="BN164" i="15" s="1"/>
  <c r="BL168" i="15"/>
  <c r="BM168" i="15" s="1"/>
  <c r="BN168" i="15" s="1"/>
  <c r="BL172" i="15"/>
  <c r="BM172" i="15" s="1"/>
  <c r="BN172" i="15" s="1"/>
  <c r="BL176" i="15"/>
  <c r="BM176" i="15" s="1"/>
  <c r="BN176" i="15" s="1"/>
  <c r="BL180" i="15"/>
  <c r="BM180" i="15" s="1"/>
  <c r="BN180" i="15" s="1"/>
  <c r="BL184" i="15"/>
  <c r="BM184" i="15" s="1"/>
  <c r="BN184" i="15" s="1"/>
  <c r="BL188" i="15"/>
  <c r="BM188" i="15" s="1"/>
  <c r="BN188" i="15" s="1"/>
  <c r="BL192" i="15"/>
  <c r="BM192" i="15" s="1"/>
  <c r="BN192" i="15" s="1"/>
  <c r="BL196" i="15"/>
  <c r="BM196" i="15" s="1"/>
  <c r="BN196" i="15" s="1"/>
  <c r="BL200" i="15"/>
  <c r="BM200" i="15" s="1"/>
  <c r="BN200" i="15" s="1"/>
  <c r="BL204" i="15"/>
  <c r="BM204" i="15" s="1"/>
  <c r="BN204" i="15" s="1"/>
  <c r="BL208" i="15"/>
  <c r="BM208" i="15" s="1"/>
  <c r="BN208" i="15" s="1"/>
  <c r="BL212" i="15"/>
  <c r="BM212" i="15" s="1"/>
  <c r="BN212" i="15" s="1"/>
  <c r="BL216" i="15"/>
  <c r="BM216" i="15" s="1"/>
  <c r="BN216" i="15" s="1"/>
  <c r="BL220" i="15"/>
  <c r="BM220" i="15" s="1"/>
  <c r="BN220" i="15" s="1"/>
  <c r="BL224" i="15"/>
  <c r="BM224" i="15" s="1"/>
  <c r="BN224" i="15" s="1"/>
  <c r="BL2" i="15"/>
  <c r="BL5" i="15"/>
  <c r="BM5" i="15" s="1"/>
  <c r="BN5" i="15" s="1"/>
  <c r="BL9" i="15"/>
  <c r="BM9" i="15" s="1"/>
  <c r="BN9" i="15" s="1"/>
  <c r="BL13" i="15"/>
  <c r="BM13" i="15" s="1"/>
  <c r="BN13" i="15" s="1"/>
  <c r="BL17" i="15"/>
  <c r="BM17" i="15" s="1"/>
  <c r="BN17" i="15" s="1"/>
  <c r="BL21" i="15"/>
  <c r="BM21" i="15" s="1"/>
  <c r="BN21" i="15" s="1"/>
  <c r="BL25" i="15"/>
  <c r="BM25" i="15" s="1"/>
  <c r="BN25" i="15" s="1"/>
  <c r="BL29" i="15"/>
  <c r="BM29" i="15" s="1"/>
  <c r="BN29" i="15" s="1"/>
  <c r="BL33" i="15"/>
  <c r="BM33" i="15" s="1"/>
  <c r="BN33" i="15" s="1"/>
  <c r="BL37" i="15"/>
  <c r="BM37" i="15" s="1"/>
  <c r="BN37" i="15" s="1"/>
  <c r="BL41" i="15"/>
  <c r="BM41" i="15" s="1"/>
  <c r="BN41" i="15" s="1"/>
  <c r="BL45" i="15"/>
  <c r="BM45" i="15" s="1"/>
  <c r="BN45" i="15" s="1"/>
  <c r="BL49" i="15"/>
  <c r="BM49" i="15" s="1"/>
  <c r="BN49" i="15" s="1"/>
  <c r="BL53" i="15"/>
  <c r="BM53" i="15" s="1"/>
  <c r="BN53" i="15" s="1"/>
  <c r="BL57" i="15"/>
  <c r="BM57" i="15" s="1"/>
  <c r="BN57" i="15" s="1"/>
  <c r="BL61" i="15"/>
  <c r="BM61" i="15" s="1"/>
  <c r="BN61" i="15" s="1"/>
  <c r="BL65" i="15"/>
  <c r="BM65" i="15" s="1"/>
  <c r="BN65" i="15" s="1"/>
  <c r="BL69" i="15"/>
  <c r="BM69" i="15" s="1"/>
  <c r="BN69" i="15" s="1"/>
  <c r="BL73" i="15"/>
  <c r="BM73" i="15" s="1"/>
  <c r="BN73" i="15" s="1"/>
  <c r="BL77" i="15"/>
  <c r="BM77" i="15" s="1"/>
  <c r="BN77" i="15" s="1"/>
  <c r="BL81" i="15"/>
  <c r="BM81" i="15" s="1"/>
  <c r="BN81" i="15" s="1"/>
  <c r="BL85" i="15"/>
  <c r="BM85" i="15" s="1"/>
  <c r="BN85" i="15" s="1"/>
  <c r="BL89" i="15"/>
  <c r="BM89" i="15" s="1"/>
  <c r="BN89" i="15" s="1"/>
  <c r="BL93" i="15"/>
  <c r="BM93" i="15" s="1"/>
  <c r="BN93" i="15" s="1"/>
  <c r="BL97" i="15"/>
  <c r="BM97" i="15" s="1"/>
  <c r="BN97" i="15" s="1"/>
  <c r="BL101" i="15"/>
  <c r="BM101" i="15" s="1"/>
  <c r="BN101" i="15" s="1"/>
  <c r="BL105" i="15"/>
  <c r="BM105" i="15" s="1"/>
  <c r="BN105" i="15" s="1"/>
  <c r="BL109" i="15"/>
  <c r="BM109" i="15" s="1"/>
  <c r="BN109" i="15" s="1"/>
  <c r="BL113" i="15"/>
  <c r="BM113" i="15" s="1"/>
  <c r="BN113" i="15" s="1"/>
  <c r="BL117" i="15"/>
  <c r="BM117" i="15" s="1"/>
  <c r="BN117" i="15" s="1"/>
  <c r="BL121" i="15"/>
  <c r="BM121" i="15" s="1"/>
  <c r="BN121" i="15" s="1"/>
  <c r="BL125" i="15"/>
  <c r="BM125" i="15" s="1"/>
  <c r="BN125" i="15" s="1"/>
  <c r="BL129" i="15"/>
  <c r="BM129" i="15" s="1"/>
  <c r="BN129" i="15" s="1"/>
  <c r="BL133" i="15"/>
  <c r="BM133" i="15" s="1"/>
  <c r="BN133" i="15" s="1"/>
  <c r="BL137" i="15"/>
  <c r="BM137" i="15" s="1"/>
  <c r="BN137" i="15" s="1"/>
  <c r="BL141" i="15"/>
  <c r="BM141" i="15" s="1"/>
  <c r="BN141" i="15" s="1"/>
  <c r="BL145" i="15"/>
  <c r="BM145" i="15" s="1"/>
  <c r="BN145" i="15" s="1"/>
  <c r="BL149" i="15"/>
  <c r="BM149" i="15" s="1"/>
  <c r="BN149" i="15" s="1"/>
  <c r="BL153" i="15"/>
  <c r="BM153" i="15" s="1"/>
  <c r="BN153" i="15" s="1"/>
  <c r="BL157" i="15"/>
  <c r="BM157" i="15" s="1"/>
  <c r="BN157" i="15" s="1"/>
  <c r="BL161" i="15"/>
  <c r="BM161" i="15" s="1"/>
  <c r="BN161" i="15" s="1"/>
  <c r="BL165" i="15"/>
  <c r="BM165" i="15" s="1"/>
  <c r="BN165" i="15" s="1"/>
  <c r="BL169" i="15"/>
  <c r="BM169" i="15" s="1"/>
  <c r="BN169" i="15" s="1"/>
  <c r="BL173" i="15"/>
  <c r="BM173" i="15" s="1"/>
  <c r="BN173" i="15" s="1"/>
  <c r="BL177" i="15"/>
  <c r="BM177" i="15" s="1"/>
  <c r="BN177" i="15" s="1"/>
  <c r="BL181" i="15"/>
  <c r="BM181" i="15" s="1"/>
  <c r="BN181" i="15" s="1"/>
  <c r="BL185" i="15"/>
  <c r="BM185" i="15" s="1"/>
  <c r="BN185" i="15" s="1"/>
  <c r="BL189" i="15"/>
  <c r="BM189" i="15" s="1"/>
  <c r="BN189" i="15" s="1"/>
  <c r="BL193" i="15"/>
  <c r="BM193" i="15" s="1"/>
  <c r="BN193" i="15" s="1"/>
  <c r="BL197" i="15"/>
  <c r="BM197" i="15" s="1"/>
  <c r="BN197" i="15" s="1"/>
  <c r="BL201" i="15"/>
  <c r="BM201" i="15" s="1"/>
  <c r="BN201" i="15" s="1"/>
  <c r="BL205" i="15"/>
  <c r="BM205" i="15" s="1"/>
  <c r="BN205" i="15" s="1"/>
  <c r="BL209" i="15"/>
  <c r="BM209" i="15" s="1"/>
  <c r="BN209" i="15" s="1"/>
  <c r="BL213" i="15"/>
  <c r="BM213" i="15" s="1"/>
  <c r="BN213" i="15" s="1"/>
  <c r="BL217" i="15"/>
  <c r="BM217" i="15" s="1"/>
  <c r="BN217" i="15" s="1"/>
  <c r="BL221" i="15"/>
  <c r="BM221" i="15" s="1"/>
  <c r="BN221" i="15" s="1"/>
  <c r="BL225" i="15"/>
  <c r="BM225" i="15" s="1"/>
  <c r="BN225" i="15" s="1"/>
  <c r="BL6" i="15"/>
  <c r="BM6" i="15" s="1"/>
  <c r="BN6" i="15" s="1"/>
  <c r="BL10" i="15"/>
  <c r="BM10" i="15" s="1"/>
  <c r="BN10" i="15" s="1"/>
  <c r="BL14" i="15"/>
  <c r="BM14" i="15" s="1"/>
  <c r="BN14" i="15" s="1"/>
  <c r="BL18" i="15"/>
  <c r="BM18" i="15" s="1"/>
  <c r="BN18" i="15" s="1"/>
  <c r="BL22" i="15"/>
  <c r="BM22" i="15" s="1"/>
  <c r="BN22" i="15" s="1"/>
  <c r="BL26" i="15"/>
  <c r="BM26" i="15" s="1"/>
  <c r="BN26" i="15" s="1"/>
  <c r="BL30" i="15"/>
  <c r="BM30" i="15" s="1"/>
  <c r="BN30" i="15" s="1"/>
  <c r="BL34" i="15"/>
  <c r="BM34" i="15" s="1"/>
  <c r="BN34" i="15" s="1"/>
  <c r="BL38" i="15"/>
  <c r="BM38" i="15" s="1"/>
  <c r="BN38" i="15" s="1"/>
  <c r="BL42" i="15"/>
  <c r="BM42" i="15" s="1"/>
  <c r="BN42" i="15" s="1"/>
  <c r="BL46" i="15"/>
  <c r="BM46" i="15" s="1"/>
  <c r="BN46" i="15" s="1"/>
  <c r="BL50" i="15"/>
  <c r="BM50" i="15" s="1"/>
  <c r="BN50" i="15" s="1"/>
  <c r="BL54" i="15"/>
  <c r="BM54" i="15" s="1"/>
  <c r="BN54" i="15" s="1"/>
  <c r="BL58" i="15"/>
  <c r="BM58" i="15" s="1"/>
  <c r="BN58" i="15" s="1"/>
  <c r="BL62" i="15"/>
  <c r="BM62" i="15" s="1"/>
  <c r="BN62" i="15" s="1"/>
  <c r="BL66" i="15"/>
  <c r="BM66" i="15" s="1"/>
  <c r="BN66" i="15" s="1"/>
  <c r="BL70" i="15"/>
  <c r="BM70" i="15" s="1"/>
  <c r="BN70" i="15" s="1"/>
  <c r="BL74" i="15"/>
  <c r="BM74" i="15" s="1"/>
  <c r="BN74" i="15" s="1"/>
  <c r="BL78" i="15"/>
  <c r="BM78" i="15" s="1"/>
  <c r="BN78" i="15" s="1"/>
  <c r="BL82" i="15"/>
  <c r="BM82" i="15" s="1"/>
  <c r="BN82" i="15" s="1"/>
  <c r="BL86" i="15"/>
  <c r="BM86" i="15" s="1"/>
  <c r="BN86" i="15" s="1"/>
  <c r="BL90" i="15"/>
  <c r="BM90" i="15" s="1"/>
  <c r="BN90" i="15" s="1"/>
  <c r="BL94" i="15"/>
  <c r="BM94" i="15" s="1"/>
  <c r="BN94" i="15" s="1"/>
  <c r="BL98" i="15"/>
  <c r="BM98" i="15" s="1"/>
  <c r="BN98" i="15" s="1"/>
  <c r="BL102" i="15"/>
  <c r="BM102" i="15" s="1"/>
  <c r="BN102" i="15" s="1"/>
  <c r="BL106" i="15"/>
  <c r="BM106" i="15" s="1"/>
  <c r="BN106" i="15" s="1"/>
  <c r="BL110" i="15"/>
  <c r="BM110" i="15" s="1"/>
  <c r="BN110" i="15" s="1"/>
  <c r="BL114" i="15"/>
  <c r="BM114" i="15" s="1"/>
  <c r="BN114" i="15" s="1"/>
  <c r="BL118" i="15"/>
  <c r="BM118" i="15" s="1"/>
  <c r="BN118" i="15" s="1"/>
  <c r="BL122" i="15"/>
  <c r="BM122" i="15" s="1"/>
  <c r="BN122" i="15" s="1"/>
  <c r="BL126" i="15"/>
  <c r="BM126" i="15" s="1"/>
  <c r="BN126" i="15" s="1"/>
  <c r="BL130" i="15"/>
  <c r="BM130" i="15" s="1"/>
  <c r="BN130" i="15" s="1"/>
  <c r="BL134" i="15"/>
  <c r="BM134" i="15" s="1"/>
  <c r="BN134" i="15" s="1"/>
  <c r="BL138" i="15"/>
  <c r="BM138" i="15" s="1"/>
  <c r="BN138" i="15" s="1"/>
  <c r="BL142" i="15"/>
  <c r="BM142" i="15" s="1"/>
  <c r="BN142" i="15" s="1"/>
  <c r="BL146" i="15"/>
  <c r="BM146" i="15" s="1"/>
  <c r="BN146" i="15" s="1"/>
  <c r="BL150" i="15"/>
  <c r="BM150" i="15" s="1"/>
  <c r="BN150" i="15" s="1"/>
  <c r="BL154" i="15"/>
  <c r="BM154" i="15" s="1"/>
  <c r="BN154" i="15" s="1"/>
  <c r="BL158" i="15"/>
  <c r="BM158" i="15" s="1"/>
  <c r="BN158" i="15" s="1"/>
  <c r="BL162" i="15"/>
  <c r="BM162" i="15" s="1"/>
  <c r="BN162" i="15" s="1"/>
  <c r="BL166" i="15"/>
  <c r="BM166" i="15" s="1"/>
  <c r="BN166" i="15" s="1"/>
  <c r="BL170" i="15"/>
  <c r="BM170" i="15" s="1"/>
  <c r="BN170" i="15" s="1"/>
  <c r="BL174" i="15"/>
  <c r="BM174" i="15" s="1"/>
  <c r="BN174" i="15" s="1"/>
  <c r="BL178" i="15"/>
  <c r="BM178" i="15" s="1"/>
  <c r="BN178" i="15" s="1"/>
  <c r="BL182" i="15"/>
  <c r="BM182" i="15" s="1"/>
  <c r="BN182" i="15" s="1"/>
  <c r="BL186" i="15"/>
  <c r="BM186" i="15" s="1"/>
  <c r="BN186" i="15" s="1"/>
  <c r="BL190" i="15"/>
  <c r="BM190" i="15" s="1"/>
  <c r="BN190" i="15" s="1"/>
  <c r="BL194" i="15"/>
  <c r="BM194" i="15" s="1"/>
  <c r="BN194" i="15" s="1"/>
  <c r="BL198" i="15"/>
  <c r="BM198" i="15" s="1"/>
  <c r="BN198" i="15" s="1"/>
  <c r="BL202" i="15"/>
  <c r="BM202" i="15" s="1"/>
  <c r="BN202" i="15" s="1"/>
  <c r="BL206" i="15"/>
  <c r="BM206" i="15" s="1"/>
  <c r="BN206" i="15" s="1"/>
  <c r="BL210" i="15"/>
  <c r="BM210" i="15" s="1"/>
  <c r="BN210" i="15" s="1"/>
  <c r="BL214" i="15"/>
  <c r="BM214" i="15" s="1"/>
  <c r="BN214" i="15" s="1"/>
  <c r="BL218" i="15"/>
  <c r="BM218" i="15" s="1"/>
  <c r="BN218" i="15" s="1"/>
  <c r="BL222" i="15"/>
  <c r="BM222" i="15" s="1"/>
  <c r="BN222" i="15" s="1"/>
  <c r="BL226" i="15"/>
  <c r="BM226" i="15" s="1"/>
  <c r="BN226" i="15" s="1"/>
  <c r="BL7" i="15"/>
  <c r="BM7" i="15" s="1"/>
  <c r="BN7" i="15" s="1"/>
  <c r="BL23" i="15"/>
  <c r="BM23" i="15" s="1"/>
  <c r="BN23" i="15" s="1"/>
  <c r="BL39" i="15"/>
  <c r="BM39" i="15" s="1"/>
  <c r="BN39" i="15" s="1"/>
  <c r="BL55" i="15"/>
  <c r="BM55" i="15" s="1"/>
  <c r="BN55" i="15" s="1"/>
  <c r="BL71" i="15"/>
  <c r="BM71" i="15" s="1"/>
  <c r="BN71" i="15" s="1"/>
  <c r="BL87" i="15"/>
  <c r="BM87" i="15" s="1"/>
  <c r="BN87" i="15" s="1"/>
  <c r="BL103" i="15"/>
  <c r="BM103" i="15" s="1"/>
  <c r="BN103" i="15" s="1"/>
  <c r="BL119" i="15"/>
  <c r="BM119" i="15" s="1"/>
  <c r="BN119" i="15" s="1"/>
  <c r="BL135" i="15"/>
  <c r="BM135" i="15" s="1"/>
  <c r="BN135" i="15" s="1"/>
  <c r="BL151" i="15"/>
  <c r="BM151" i="15" s="1"/>
  <c r="BN151" i="15" s="1"/>
  <c r="BL167" i="15"/>
  <c r="BM167" i="15" s="1"/>
  <c r="BN167" i="15" s="1"/>
  <c r="BL183" i="15"/>
  <c r="BM183" i="15" s="1"/>
  <c r="BN183" i="15" s="1"/>
  <c r="BL199" i="15"/>
  <c r="BM199" i="15" s="1"/>
  <c r="BN199" i="15" s="1"/>
  <c r="BL215" i="15"/>
  <c r="BM215" i="15" s="1"/>
  <c r="BN215" i="15" s="1"/>
  <c r="BL3" i="15"/>
  <c r="BM3" i="15" s="1"/>
  <c r="BN3" i="15" s="1"/>
  <c r="BL67" i="15"/>
  <c r="BM67" i="15" s="1"/>
  <c r="BN67" i="15" s="1"/>
  <c r="BL99" i="15"/>
  <c r="BM99" i="15" s="1"/>
  <c r="BN99" i="15" s="1"/>
  <c r="BL163" i="15"/>
  <c r="BM163" i="15" s="1"/>
  <c r="BN163" i="15" s="1"/>
  <c r="BL211" i="15"/>
  <c r="BM211" i="15" s="1"/>
  <c r="BN211" i="15" s="1"/>
  <c r="BL11" i="15"/>
  <c r="BM11" i="15" s="1"/>
  <c r="BN11" i="15" s="1"/>
  <c r="BL27" i="15"/>
  <c r="BM27" i="15" s="1"/>
  <c r="BN27" i="15" s="1"/>
  <c r="BL43" i="15"/>
  <c r="BM43" i="15" s="1"/>
  <c r="BN43" i="15" s="1"/>
  <c r="BL59" i="15"/>
  <c r="BM59" i="15" s="1"/>
  <c r="BN59" i="15" s="1"/>
  <c r="BL75" i="15"/>
  <c r="BM75" i="15" s="1"/>
  <c r="BN75" i="15" s="1"/>
  <c r="BL91" i="15"/>
  <c r="BM91" i="15" s="1"/>
  <c r="BN91" i="15" s="1"/>
  <c r="BL107" i="15"/>
  <c r="BM107" i="15" s="1"/>
  <c r="BN107" i="15" s="1"/>
  <c r="BL123" i="15"/>
  <c r="BM123" i="15" s="1"/>
  <c r="BN123" i="15" s="1"/>
  <c r="BL139" i="15"/>
  <c r="BM139" i="15" s="1"/>
  <c r="BN139" i="15" s="1"/>
  <c r="BL155" i="15"/>
  <c r="BM155" i="15" s="1"/>
  <c r="BN155" i="15" s="1"/>
  <c r="BL171" i="15"/>
  <c r="BM171" i="15" s="1"/>
  <c r="BN171" i="15" s="1"/>
  <c r="BL187" i="15"/>
  <c r="BM187" i="15" s="1"/>
  <c r="BN187" i="15" s="1"/>
  <c r="BL203" i="15"/>
  <c r="BM203" i="15" s="1"/>
  <c r="BN203" i="15" s="1"/>
  <c r="BL219" i="15"/>
  <c r="BM219" i="15" s="1"/>
  <c r="BN219" i="15" s="1"/>
  <c r="BL35" i="15"/>
  <c r="BM35" i="15" s="1"/>
  <c r="BN35" i="15" s="1"/>
  <c r="BL83" i="15"/>
  <c r="BM83" i="15" s="1"/>
  <c r="BN83" i="15" s="1"/>
  <c r="BL131" i="15"/>
  <c r="BM131" i="15" s="1"/>
  <c r="BN131" i="15" s="1"/>
  <c r="BL179" i="15"/>
  <c r="BM179" i="15" s="1"/>
  <c r="BN179" i="15" s="1"/>
  <c r="BL227" i="15"/>
  <c r="BM227" i="15" s="1"/>
  <c r="BN227" i="15" s="1"/>
  <c r="BL15" i="15"/>
  <c r="BM15" i="15" s="1"/>
  <c r="BN15" i="15" s="1"/>
  <c r="BL31" i="15"/>
  <c r="BM31" i="15" s="1"/>
  <c r="BN31" i="15" s="1"/>
  <c r="BL47" i="15"/>
  <c r="BM47" i="15" s="1"/>
  <c r="BN47" i="15" s="1"/>
  <c r="BL63" i="15"/>
  <c r="BM63" i="15" s="1"/>
  <c r="BN63" i="15" s="1"/>
  <c r="BL79" i="15"/>
  <c r="BM79" i="15" s="1"/>
  <c r="BN79" i="15" s="1"/>
  <c r="BL95" i="15"/>
  <c r="BM95" i="15" s="1"/>
  <c r="BN95" i="15" s="1"/>
  <c r="BL111" i="15"/>
  <c r="BM111" i="15" s="1"/>
  <c r="BN111" i="15" s="1"/>
  <c r="BL127" i="15"/>
  <c r="BM127" i="15" s="1"/>
  <c r="BN127" i="15" s="1"/>
  <c r="BL143" i="15"/>
  <c r="BM143" i="15" s="1"/>
  <c r="BN143" i="15" s="1"/>
  <c r="BL159" i="15"/>
  <c r="BM159" i="15" s="1"/>
  <c r="BN159" i="15" s="1"/>
  <c r="BL175" i="15"/>
  <c r="BM175" i="15" s="1"/>
  <c r="BN175" i="15" s="1"/>
  <c r="BL191" i="15"/>
  <c r="BM191" i="15" s="1"/>
  <c r="BN191" i="15" s="1"/>
  <c r="BL207" i="15"/>
  <c r="BM207" i="15" s="1"/>
  <c r="BN207" i="15" s="1"/>
  <c r="BL223" i="15"/>
  <c r="BM223" i="15" s="1"/>
  <c r="BN223" i="15" s="1"/>
  <c r="BL19" i="15"/>
  <c r="BM19" i="15" s="1"/>
  <c r="BN19" i="15" s="1"/>
  <c r="BL51" i="15"/>
  <c r="BM51" i="15" s="1"/>
  <c r="BN51" i="15" s="1"/>
  <c r="BL115" i="15"/>
  <c r="BM115" i="15" s="1"/>
  <c r="BN115" i="15" s="1"/>
  <c r="BL147" i="15"/>
  <c r="BM147" i="15" s="1"/>
  <c r="BN147" i="15" s="1"/>
  <c r="BL195" i="15"/>
  <c r="BM195" i="15" s="1"/>
  <c r="BN195" i="15" s="1"/>
  <c r="DW4" i="15"/>
  <c r="DX4" i="15" s="1"/>
  <c r="DY4" i="15" s="1"/>
  <c r="DW8" i="15"/>
  <c r="DX8" i="15" s="1"/>
  <c r="DY8" i="15" s="1"/>
  <c r="DW12" i="15"/>
  <c r="DX12" i="15" s="1"/>
  <c r="DY12" i="15" s="1"/>
  <c r="DW16" i="15"/>
  <c r="DX16" i="15" s="1"/>
  <c r="DY16" i="15" s="1"/>
  <c r="DW20" i="15"/>
  <c r="DX20" i="15" s="1"/>
  <c r="DY20" i="15" s="1"/>
  <c r="DW24" i="15"/>
  <c r="DX24" i="15" s="1"/>
  <c r="DY24" i="15" s="1"/>
  <c r="DW28" i="15"/>
  <c r="DX28" i="15" s="1"/>
  <c r="DY28" i="15" s="1"/>
  <c r="DW32" i="15"/>
  <c r="DX32" i="15" s="1"/>
  <c r="DY32" i="15" s="1"/>
  <c r="DW36" i="15"/>
  <c r="DX36" i="15" s="1"/>
  <c r="DY36" i="15" s="1"/>
  <c r="DW40" i="15"/>
  <c r="DX40" i="15" s="1"/>
  <c r="DY40" i="15" s="1"/>
  <c r="DW44" i="15"/>
  <c r="DX44" i="15" s="1"/>
  <c r="DY44" i="15" s="1"/>
  <c r="DW48" i="15"/>
  <c r="DX48" i="15" s="1"/>
  <c r="DY48" i="15" s="1"/>
  <c r="DW52" i="15"/>
  <c r="DX52" i="15" s="1"/>
  <c r="DY52" i="15" s="1"/>
  <c r="DW56" i="15"/>
  <c r="DX56" i="15" s="1"/>
  <c r="DY56" i="15" s="1"/>
  <c r="DW60" i="15"/>
  <c r="DX60" i="15" s="1"/>
  <c r="DY60" i="15" s="1"/>
  <c r="DW64" i="15"/>
  <c r="DX64" i="15" s="1"/>
  <c r="DY64" i="15" s="1"/>
  <c r="DW68" i="15"/>
  <c r="DX68" i="15" s="1"/>
  <c r="DY68" i="15" s="1"/>
  <c r="DW72" i="15"/>
  <c r="DX72" i="15" s="1"/>
  <c r="DY72" i="15" s="1"/>
  <c r="DW76" i="15"/>
  <c r="DX76" i="15" s="1"/>
  <c r="DY76" i="15" s="1"/>
  <c r="DW5" i="15"/>
  <c r="DX5" i="15" s="1"/>
  <c r="DY5" i="15" s="1"/>
  <c r="DW9" i="15"/>
  <c r="DX9" i="15" s="1"/>
  <c r="DY9" i="15" s="1"/>
  <c r="DW13" i="15"/>
  <c r="DX13" i="15" s="1"/>
  <c r="DY13" i="15" s="1"/>
  <c r="DW17" i="15"/>
  <c r="DX17" i="15" s="1"/>
  <c r="DY17" i="15" s="1"/>
  <c r="DW21" i="15"/>
  <c r="DX21" i="15" s="1"/>
  <c r="DY21" i="15" s="1"/>
  <c r="DW25" i="15"/>
  <c r="DX25" i="15" s="1"/>
  <c r="DY25" i="15" s="1"/>
  <c r="DW29" i="15"/>
  <c r="DX29" i="15" s="1"/>
  <c r="DY29" i="15" s="1"/>
  <c r="DW33" i="15"/>
  <c r="DX33" i="15" s="1"/>
  <c r="DY33" i="15" s="1"/>
  <c r="DW37" i="15"/>
  <c r="DX37" i="15" s="1"/>
  <c r="DY37" i="15" s="1"/>
  <c r="DW41" i="15"/>
  <c r="DX41" i="15" s="1"/>
  <c r="DY41" i="15" s="1"/>
  <c r="DW45" i="15"/>
  <c r="DX45" i="15" s="1"/>
  <c r="DY45" i="15" s="1"/>
  <c r="DW49" i="15"/>
  <c r="DX49" i="15" s="1"/>
  <c r="DY49" i="15" s="1"/>
  <c r="DW53" i="15"/>
  <c r="DX53" i="15" s="1"/>
  <c r="DY53" i="15" s="1"/>
  <c r="DW57" i="15"/>
  <c r="DX57" i="15" s="1"/>
  <c r="DY57" i="15" s="1"/>
  <c r="DW61" i="15"/>
  <c r="DX61" i="15" s="1"/>
  <c r="DY61" i="15" s="1"/>
  <c r="DW65" i="15"/>
  <c r="DX65" i="15" s="1"/>
  <c r="DY65" i="15" s="1"/>
  <c r="DW69" i="15"/>
  <c r="DX69" i="15" s="1"/>
  <c r="DY69" i="15" s="1"/>
  <c r="DW73" i="15"/>
  <c r="DX73" i="15" s="1"/>
  <c r="DY73" i="15" s="1"/>
  <c r="DW3" i="15"/>
  <c r="DX3" i="15" s="1"/>
  <c r="DY3" i="15" s="1"/>
  <c r="DW11" i="15"/>
  <c r="DX11" i="15" s="1"/>
  <c r="DY11" i="15" s="1"/>
  <c r="DW19" i="15"/>
  <c r="DX19" i="15" s="1"/>
  <c r="DY19" i="15" s="1"/>
  <c r="DW27" i="15"/>
  <c r="DX27" i="15" s="1"/>
  <c r="DY27" i="15" s="1"/>
  <c r="DW35" i="15"/>
  <c r="DX35" i="15" s="1"/>
  <c r="DY35" i="15" s="1"/>
  <c r="DW43" i="15"/>
  <c r="DX43" i="15" s="1"/>
  <c r="DY43" i="15" s="1"/>
  <c r="DW51" i="15"/>
  <c r="DX51" i="15" s="1"/>
  <c r="DY51" i="15" s="1"/>
  <c r="DW59" i="15"/>
  <c r="DX59" i="15" s="1"/>
  <c r="DY59" i="15" s="1"/>
  <c r="DW67" i="15"/>
  <c r="DX67" i="15" s="1"/>
  <c r="DY67" i="15" s="1"/>
  <c r="DW75" i="15"/>
  <c r="DX75" i="15" s="1"/>
  <c r="DY75" i="15" s="1"/>
  <c r="DW80" i="15"/>
  <c r="DX80" i="15" s="1"/>
  <c r="DY80" i="15" s="1"/>
  <c r="DW84" i="15"/>
  <c r="DX84" i="15" s="1"/>
  <c r="DY84" i="15" s="1"/>
  <c r="DW88" i="15"/>
  <c r="DX88" i="15" s="1"/>
  <c r="DY88" i="15" s="1"/>
  <c r="DW92" i="15"/>
  <c r="DX92" i="15" s="1"/>
  <c r="DY92" i="15" s="1"/>
  <c r="DW96" i="15"/>
  <c r="DX96" i="15" s="1"/>
  <c r="DY96" i="15" s="1"/>
  <c r="DW100" i="15"/>
  <c r="DX100" i="15" s="1"/>
  <c r="DY100" i="15" s="1"/>
  <c r="DW104" i="15"/>
  <c r="DX104" i="15" s="1"/>
  <c r="DY104" i="15" s="1"/>
  <c r="DW108" i="15"/>
  <c r="DX108" i="15" s="1"/>
  <c r="DY108" i="15" s="1"/>
  <c r="DW112" i="15"/>
  <c r="DX112" i="15" s="1"/>
  <c r="DY112" i="15" s="1"/>
  <c r="DW116" i="15"/>
  <c r="DX116" i="15" s="1"/>
  <c r="DY116" i="15" s="1"/>
  <c r="DW120" i="15"/>
  <c r="DX120" i="15" s="1"/>
  <c r="DY120" i="15" s="1"/>
  <c r="DW124" i="15"/>
  <c r="DX124" i="15" s="1"/>
  <c r="DY124" i="15" s="1"/>
  <c r="DW128" i="15"/>
  <c r="DX128" i="15" s="1"/>
  <c r="DY128" i="15" s="1"/>
  <c r="DW132" i="15"/>
  <c r="DX132" i="15" s="1"/>
  <c r="DY132" i="15" s="1"/>
  <c r="DW136" i="15"/>
  <c r="DX136" i="15" s="1"/>
  <c r="DY136" i="15" s="1"/>
  <c r="DW140" i="15"/>
  <c r="DX140" i="15" s="1"/>
  <c r="DY140" i="15" s="1"/>
  <c r="DW144" i="15"/>
  <c r="DX144" i="15" s="1"/>
  <c r="DY144" i="15" s="1"/>
  <c r="DW148" i="15"/>
  <c r="DX148" i="15" s="1"/>
  <c r="DY148" i="15" s="1"/>
  <c r="DW152" i="15"/>
  <c r="DX152" i="15" s="1"/>
  <c r="DY152" i="15" s="1"/>
  <c r="DW156" i="15"/>
  <c r="DX156" i="15" s="1"/>
  <c r="DY156" i="15" s="1"/>
  <c r="DW160" i="15"/>
  <c r="DX160" i="15" s="1"/>
  <c r="DY160" i="15" s="1"/>
  <c r="DW164" i="15"/>
  <c r="DX164" i="15" s="1"/>
  <c r="DY164" i="15" s="1"/>
  <c r="DW168" i="15"/>
  <c r="DX168" i="15" s="1"/>
  <c r="DY168" i="15" s="1"/>
  <c r="DW172" i="15"/>
  <c r="DX172" i="15" s="1"/>
  <c r="DY172" i="15" s="1"/>
  <c r="DW176" i="15"/>
  <c r="DX176" i="15" s="1"/>
  <c r="DY176" i="15" s="1"/>
  <c r="DW180" i="15"/>
  <c r="DX180" i="15" s="1"/>
  <c r="DY180" i="15" s="1"/>
  <c r="DW184" i="15"/>
  <c r="DX184" i="15" s="1"/>
  <c r="DY184" i="15" s="1"/>
  <c r="DW188" i="15"/>
  <c r="DX188" i="15" s="1"/>
  <c r="DY188" i="15" s="1"/>
  <c r="DW192" i="15"/>
  <c r="DX192" i="15" s="1"/>
  <c r="DY192" i="15" s="1"/>
  <c r="DW196" i="15"/>
  <c r="DX196" i="15" s="1"/>
  <c r="DY196" i="15" s="1"/>
  <c r="DW200" i="15"/>
  <c r="DX200" i="15" s="1"/>
  <c r="DY200" i="15" s="1"/>
  <c r="DW204" i="15"/>
  <c r="DX204" i="15" s="1"/>
  <c r="DY204" i="15" s="1"/>
  <c r="DW208" i="15"/>
  <c r="DX208" i="15" s="1"/>
  <c r="DY208" i="15" s="1"/>
  <c r="DW212" i="15"/>
  <c r="DX212" i="15" s="1"/>
  <c r="DY212" i="15" s="1"/>
  <c r="DW216" i="15"/>
  <c r="DX216" i="15" s="1"/>
  <c r="DY216" i="15" s="1"/>
  <c r="DW220" i="15"/>
  <c r="DX220" i="15" s="1"/>
  <c r="DY220" i="15" s="1"/>
  <c r="DW224" i="15"/>
  <c r="DX224" i="15" s="1"/>
  <c r="DY224" i="15" s="1"/>
  <c r="DW2" i="15"/>
  <c r="DX2" i="15" s="1"/>
  <c r="DW6" i="15"/>
  <c r="DX6" i="15" s="1"/>
  <c r="DY6" i="15" s="1"/>
  <c r="DW14" i="15"/>
  <c r="DX14" i="15" s="1"/>
  <c r="DY14" i="15" s="1"/>
  <c r="DW22" i="15"/>
  <c r="DX22" i="15" s="1"/>
  <c r="DY22" i="15" s="1"/>
  <c r="DW30" i="15"/>
  <c r="DX30" i="15" s="1"/>
  <c r="DY30" i="15" s="1"/>
  <c r="DW38" i="15"/>
  <c r="DX38" i="15" s="1"/>
  <c r="DY38" i="15" s="1"/>
  <c r="DW46" i="15"/>
  <c r="DX46" i="15" s="1"/>
  <c r="DY46" i="15" s="1"/>
  <c r="DW54" i="15"/>
  <c r="DX54" i="15" s="1"/>
  <c r="DY54" i="15" s="1"/>
  <c r="DW62" i="15"/>
  <c r="DX62" i="15" s="1"/>
  <c r="DY62" i="15" s="1"/>
  <c r="DW70" i="15"/>
  <c r="DX70" i="15" s="1"/>
  <c r="DY70" i="15" s="1"/>
  <c r="DW77" i="15"/>
  <c r="DX77" i="15" s="1"/>
  <c r="DY77" i="15" s="1"/>
  <c r="DW81" i="15"/>
  <c r="DX81" i="15" s="1"/>
  <c r="DY81" i="15" s="1"/>
  <c r="DW85" i="15"/>
  <c r="DX85" i="15" s="1"/>
  <c r="DY85" i="15" s="1"/>
  <c r="DW89" i="15"/>
  <c r="DX89" i="15" s="1"/>
  <c r="DY89" i="15" s="1"/>
  <c r="DW93" i="15"/>
  <c r="DX93" i="15" s="1"/>
  <c r="DY93" i="15" s="1"/>
  <c r="DW97" i="15"/>
  <c r="DX97" i="15" s="1"/>
  <c r="DY97" i="15" s="1"/>
  <c r="DW101" i="15"/>
  <c r="DX101" i="15" s="1"/>
  <c r="DY101" i="15" s="1"/>
  <c r="DW105" i="15"/>
  <c r="DX105" i="15" s="1"/>
  <c r="DY105" i="15" s="1"/>
  <c r="DW109" i="15"/>
  <c r="DX109" i="15" s="1"/>
  <c r="DY109" i="15" s="1"/>
  <c r="DW113" i="15"/>
  <c r="DX113" i="15" s="1"/>
  <c r="DY113" i="15" s="1"/>
  <c r="DW117" i="15"/>
  <c r="DX117" i="15" s="1"/>
  <c r="DY117" i="15" s="1"/>
  <c r="DW121" i="15"/>
  <c r="DX121" i="15" s="1"/>
  <c r="DY121" i="15" s="1"/>
  <c r="DW125" i="15"/>
  <c r="DX125" i="15" s="1"/>
  <c r="DY125" i="15" s="1"/>
  <c r="DW129" i="15"/>
  <c r="DX129" i="15" s="1"/>
  <c r="DY129" i="15" s="1"/>
  <c r="DW133" i="15"/>
  <c r="DX133" i="15" s="1"/>
  <c r="DY133" i="15" s="1"/>
  <c r="DW137" i="15"/>
  <c r="DX137" i="15" s="1"/>
  <c r="DY137" i="15" s="1"/>
  <c r="DW141" i="15"/>
  <c r="DX141" i="15" s="1"/>
  <c r="DY141" i="15" s="1"/>
  <c r="DW145" i="15"/>
  <c r="DX145" i="15" s="1"/>
  <c r="DY145" i="15" s="1"/>
  <c r="DW149" i="15"/>
  <c r="DX149" i="15" s="1"/>
  <c r="DY149" i="15" s="1"/>
  <c r="DW153" i="15"/>
  <c r="DX153" i="15" s="1"/>
  <c r="DY153" i="15" s="1"/>
  <c r="DW157" i="15"/>
  <c r="DX157" i="15" s="1"/>
  <c r="DY157" i="15" s="1"/>
  <c r="DW161" i="15"/>
  <c r="DX161" i="15" s="1"/>
  <c r="DY161" i="15" s="1"/>
  <c r="DW165" i="15"/>
  <c r="DX165" i="15" s="1"/>
  <c r="DY165" i="15" s="1"/>
  <c r="DW169" i="15"/>
  <c r="DX169" i="15" s="1"/>
  <c r="DY169" i="15" s="1"/>
  <c r="DW173" i="15"/>
  <c r="DX173" i="15" s="1"/>
  <c r="DY173" i="15" s="1"/>
  <c r="DW177" i="15"/>
  <c r="DX177" i="15" s="1"/>
  <c r="DY177" i="15" s="1"/>
  <c r="DW181" i="15"/>
  <c r="DX181" i="15" s="1"/>
  <c r="DY181" i="15" s="1"/>
  <c r="DW185" i="15"/>
  <c r="DX185" i="15" s="1"/>
  <c r="DY185" i="15" s="1"/>
  <c r="DW189" i="15"/>
  <c r="DX189" i="15" s="1"/>
  <c r="DY189" i="15" s="1"/>
  <c r="DW193" i="15"/>
  <c r="DX193" i="15" s="1"/>
  <c r="DY193" i="15" s="1"/>
  <c r="DW197" i="15"/>
  <c r="DX197" i="15" s="1"/>
  <c r="DY197" i="15" s="1"/>
  <c r="DW201" i="15"/>
  <c r="DX201" i="15" s="1"/>
  <c r="DY201" i="15" s="1"/>
  <c r="DW205" i="15"/>
  <c r="DX205" i="15" s="1"/>
  <c r="DY205" i="15" s="1"/>
  <c r="DW209" i="15"/>
  <c r="DX209" i="15" s="1"/>
  <c r="DY209" i="15" s="1"/>
  <c r="DW213" i="15"/>
  <c r="DX213" i="15" s="1"/>
  <c r="DY213" i="15" s="1"/>
  <c r="DW217" i="15"/>
  <c r="DX217" i="15" s="1"/>
  <c r="DY217" i="15" s="1"/>
  <c r="DW221" i="15"/>
  <c r="DX221" i="15" s="1"/>
  <c r="DY221" i="15" s="1"/>
  <c r="DW225" i="15"/>
  <c r="DX225" i="15" s="1"/>
  <c r="DY225" i="15" s="1"/>
  <c r="DW7" i="15"/>
  <c r="DX7" i="15" s="1"/>
  <c r="DY7" i="15" s="1"/>
  <c r="DW15" i="15"/>
  <c r="DX15" i="15" s="1"/>
  <c r="DY15" i="15" s="1"/>
  <c r="DW23" i="15"/>
  <c r="DX23" i="15" s="1"/>
  <c r="DY23" i="15" s="1"/>
  <c r="DW31" i="15"/>
  <c r="DX31" i="15" s="1"/>
  <c r="DY31" i="15" s="1"/>
  <c r="DW39" i="15"/>
  <c r="DX39" i="15" s="1"/>
  <c r="DY39" i="15" s="1"/>
  <c r="DW47" i="15"/>
  <c r="DX47" i="15" s="1"/>
  <c r="DY47" i="15" s="1"/>
  <c r="DW55" i="15"/>
  <c r="DX55" i="15" s="1"/>
  <c r="DY55" i="15" s="1"/>
  <c r="DW63" i="15"/>
  <c r="DX63" i="15" s="1"/>
  <c r="DY63" i="15" s="1"/>
  <c r="DW71" i="15"/>
  <c r="DX71" i="15" s="1"/>
  <c r="DY71" i="15" s="1"/>
  <c r="DW78" i="15"/>
  <c r="DX78" i="15" s="1"/>
  <c r="DY78" i="15" s="1"/>
  <c r="DW82" i="15"/>
  <c r="DX82" i="15" s="1"/>
  <c r="DY82" i="15" s="1"/>
  <c r="DW86" i="15"/>
  <c r="DX86" i="15" s="1"/>
  <c r="DY86" i="15" s="1"/>
  <c r="DW90" i="15"/>
  <c r="DX90" i="15" s="1"/>
  <c r="DY90" i="15" s="1"/>
  <c r="DW94" i="15"/>
  <c r="DX94" i="15" s="1"/>
  <c r="DY94" i="15" s="1"/>
  <c r="DW98" i="15"/>
  <c r="DX98" i="15" s="1"/>
  <c r="DY98" i="15" s="1"/>
  <c r="DW102" i="15"/>
  <c r="DX102" i="15" s="1"/>
  <c r="DY102" i="15" s="1"/>
  <c r="DW106" i="15"/>
  <c r="DX106" i="15" s="1"/>
  <c r="DY106" i="15" s="1"/>
  <c r="DW110" i="15"/>
  <c r="DX110" i="15" s="1"/>
  <c r="DY110" i="15" s="1"/>
  <c r="DW114" i="15"/>
  <c r="DX114" i="15" s="1"/>
  <c r="DY114" i="15" s="1"/>
  <c r="DW118" i="15"/>
  <c r="DX118" i="15" s="1"/>
  <c r="DY118" i="15" s="1"/>
  <c r="DW122" i="15"/>
  <c r="DX122" i="15" s="1"/>
  <c r="DY122" i="15" s="1"/>
  <c r="DW126" i="15"/>
  <c r="DX126" i="15" s="1"/>
  <c r="DY126" i="15" s="1"/>
  <c r="DW130" i="15"/>
  <c r="DX130" i="15" s="1"/>
  <c r="DY130" i="15" s="1"/>
  <c r="DW134" i="15"/>
  <c r="DX134" i="15" s="1"/>
  <c r="DY134" i="15" s="1"/>
  <c r="DW138" i="15"/>
  <c r="DX138" i="15" s="1"/>
  <c r="DY138" i="15" s="1"/>
  <c r="DW142" i="15"/>
  <c r="DX142" i="15" s="1"/>
  <c r="DY142" i="15" s="1"/>
  <c r="DW146" i="15"/>
  <c r="DX146" i="15" s="1"/>
  <c r="DY146" i="15" s="1"/>
  <c r="DW150" i="15"/>
  <c r="DX150" i="15" s="1"/>
  <c r="DY150" i="15" s="1"/>
  <c r="DW154" i="15"/>
  <c r="DX154" i="15" s="1"/>
  <c r="DY154" i="15" s="1"/>
  <c r="DW158" i="15"/>
  <c r="DX158" i="15" s="1"/>
  <c r="DY158" i="15" s="1"/>
  <c r="DW162" i="15"/>
  <c r="DX162" i="15" s="1"/>
  <c r="DY162" i="15" s="1"/>
  <c r="DW166" i="15"/>
  <c r="DX166" i="15" s="1"/>
  <c r="DY166" i="15" s="1"/>
  <c r="DW170" i="15"/>
  <c r="DX170" i="15" s="1"/>
  <c r="DY170" i="15" s="1"/>
  <c r="DW174" i="15"/>
  <c r="DX174" i="15" s="1"/>
  <c r="DY174" i="15" s="1"/>
  <c r="DW178" i="15"/>
  <c r="DX178" i="15" s="1"/>
  <c r="DY178" i="15" s="1"/>
  <c r="DW182" i="15"/>
  <c r="DX182" i="15" s="1"/>
  <c r="DY182" i="15" s="1"/>
  <c r="DW186" i="15"/>
  <c r="DX186" i="15" s="1"/>
  <c r="DY186" i="15" s="1"/>
  <c r="DW190" i="15"/>
  <c r="DX190" i="15" s="1"/>
  <c r="DY190" i="15" s="1"/>
  <c r="DW194" i="15"/>
  <c r="DX194" i="15" s="1"/>
  <c r="DY194" i="15" s="1"/>
  <c r="DW198" i="15"/>
  <c r="DX198" i="15" s="1"/>
  <c r="DY198" i="15" s="1"/>
  <c r="DW202" i="15"/>
  <c r="DX202" i="15" s="1"/>
  <c r="DY202" i="15" s="1"/>
  <c r="DW206" i="15"/>
  <c r="DX206" i="15" s="1"/>
  <c r="DY206" i="15" s="1"/>
  <c r="DW210" i="15"/>
  <c r="DX210" i="15" s="1"/>
  <c r="DY210" i="15" s="1"/>
  <c r="DW214" i="15"/>
  <c r="DX214" i="15" s="1"/>
  <c r="DY214" i="15" s="1"/>
  <c r="DW218" i="15"/>
  <c r="DX218" i="15" s="1"/>
  <c r="DY218" i="15" s="1"/>
  <c r="DW222" i="15"/>
  <c r="DX222" i="15" s="1"/>
  <c r="DY222" i="15" s="1"/>
  <c r="DW226" i="15"/>
  <c r="DX226" i="15" s="1"/>
  <c r="DY226" i="15" s="1"/>
  <c r="DW10" i="15"/>
  <c r="DX10" i="15" s="1"/>
  <c r="DY10" i="15" s="1"/>
  <c r="DW42" i="15"/>
  <c r="DX42" i="15" s="1"/>
  <c r="DY42" i="15" s="1"/>
  <c r="DW74" i="15"/>
  <c r="DX74" i="15" s="1"/>
  <c r="DY74" i="15" s="1"/>
  <c r="DW91" i="15"/>
  <c r="DX91" i="15" s="1"/>
  <c r="DY91" i="15" s="1"/>
  <c r="DW107" i="15"/>
  <c r="DX107" i="15" s="1"/>
  <c r="DY107" i="15" s="1"/>
  <c r="DW123" i="15"/>
  <c r="DX123" i="15" s="1"/>
  <c r="DY123" i="15" s="1"/>
  <c r="DW139" i="15"/>
  <c r="DX139" i="15" s="1"/>
  <c r="DY139" i="15" s="1"/>
  <c r="DW155" i="15"/>
  <c r="DX155" i="15" s="1"/>
  <c r="DY155" i="15" s="1"/>
  <c r="DW171" i="15"/>
  <c r="DX171" i="15" s="1"/>
  <c r="DY171" i="15" s="1"/>
  <c r="DW187" i="15"/>
  <c r="DX187" i="15" s="1"/>
  <c r="DY187" i="15" s="1"/>
  <c r="DW203" i="15"/>
  <c r="DX203" i="15" s="1"/>
  <c r="DY203" i="15" s="1"/>
  <c r="DW219" i="15"/>
  <c r="DX219" i="15" s="1"/>
  <c r="DY219" i="15" s="1"/>
  <c r="DW18" i="15"/>
  <c r="DX18" i="15" s="1"/>
  <c r="DY18" i="15" s="1"/>
  <c r="DW50" i="15"/>
  <c r="DX50" i="15" s="1"/>
  <c r="DY50" i="15" s="1"/>
  <c r="DW79" i="15"/>
  <c r="DX79" i="15" s="1"/>
  <c r="DY79" i="15" s="1"/>
  <c r="DW95" i="15"/>
  <c r="DX95" i="15" s="1"/>
  <c r="DY95" i="15" s="1"/>
  <c r="DW111" i="15"/>
  <c r="DX111" i="15" s="1"/>
  <c r="DY111" i="15" s="1"/>
  <c r="DW127" i="15"/>
  <c r="DX127" i="15" s="1"/>
  <c r="DY127" i="15" s="1"/>
  <c r="DW143" i="15"/>
  <c r="DX143" i="15" s="1"/>
  <c r="DY143" i="15" s="1"/>
  <c r="DW159" i="15"/>
  <c r="DX159" i="15" s="1"/>
  <c r="DY159" i="15" s="1"/>
  <c r="DW175" i="15"/>
  <c r="DX175" i="15" s="1"/>
  <c r="DY175" i="15" s="1"/>
  <c r="DW191" i="15"/>
  <c r="DX191" i="15" s="1"/>
  <c r="DY191" i="15" s="1"/>
  <c r="DW207" i="15"/>
  <c r="DX207" i="15" s="1"/>
  <c r="DY207" i="15" s="1"/>
  <c r="DW223" i="15"/>
  <c r="DX223" i="15" s="1"/>
  <c r="DY223" i="15" s="1"/>
  <c r="DW26" i="15"/>
  <c r="DX26" i="15" s="1"/>
  <c r="DY26" i="15" s="1"/>
  <c r="DW58" i="15"/>
  <c r="DX58" i="15" s="1"/>
  <c r="DY58" i="15" s="1"/>
  <c r="DW83" i="15"/>
  <c r="DX83" i="15" s="1"/>
  <c r="DY83" i="15" s="1"/>
  <c r="DW99" i="15"/>
  <c r="DX99" i="15" s="1"/>
  <c r="DY99" i="15" s="1"/>
  <c r="DW115" i="15"/>
  <c r="DX115" i="15" s="1"/>
  <c r="DY115" i="15" s="1"/>
  <c r="DW131" i="15"/>
  <c r="DX131" i="15" s="1"/>
  <c r="DY131" i="15" s="1"/>
  <c r="DW147" i="15"/>
  <c r="DX147" i="15" s="1"/>
  <c r="DY147" i="15" s="1"/>
  <c r="DW163" i="15"/>
  <c r="DX163" i="15" s="1"/>
  <c r="DY163" i="15" s="1"/>
  <c r="DW179" i="15"/>
  <c r="DX179" i="15" s="1"/>
  <c r="DY179" i="15" s="1"/>
  <c r="DW195" i="15"/>
  <c r="DX195" i="15" s="1"/>
  <c r="DY195" i="15" s="1"/>
  <c r="DW211" i="15"/>
  <c r="DX211" i="15" s="1"/>
  <c r="DY211" i="15" s="1"/>
  <c r="DW227" i="15"/>
  <c r="DX227" i="15" s="1"/>
  <c r="DY227" i="15" s="1"/>
  <c r="DW87" i="15"/>
  <c r="DX87" i="15" s="1"/>
  <c r="DY87" i="15" s="1"/>
  <c r="DW151" i="15"/>
  <c r="DX151" i="15" s="1"/>
  <c r="DY151" i="15" s="1"/>
  <c r="DW215" i="15"/>
  <c r="DX215" i="15" s="1"/>
  <c r="DY215" i="15" s="1"/>
  <c r="DW103" i="15"/>
  <c r="DX103" i="15" s="1"/>
  <c r="DY103" i="15" s="1"/>
  <c r="DW167" i="15"/>
  <c r="DX167" i="15" s="1"/>
  <c r="DY167" i="15" s="1"/>
  <c r="DW34" i="15"/>
  <c r="DX34" i="15" s="1"/>
  <c r="DY34" i="15" s="1"/>
  <c r="DW119" i="15"/>
  <c r="DX119" i="15" s="1"/>
  <c r="DY119" i="15" s="1"/>
  <c r="DW183" i="15"/>
  <c r="DX183" i="15" s="1"/>
  <c r="DY183" i="15" s="1"/>
  <c r="DW199" i="15"/>
  <c r="DX199" i="15" s="1"/>
  <c r="DY199" i="15" s="1"/>
  <c r="DW66" i="15"/>
  <c r="DX66" i="15" s="1"/>
  <c r="DY66" i="15" s="1"/>
  <c r="DW135" i="15"/>
  <c r="DX135" i="15" s="1"/>
  <c r="DY135" i="15" s="1"/>
  <c r="DH11" i="15"/>
  <c r="DI11" i="15" s="1"/>
  <c r="DJ11" i="15" s="1"/>
  <c r="DH75" i="15"/>
  <c r="DI75" i="15" s="1"/>
  <c r="DJ75" i="15" s="1"/>
  <c r="DH95" i="15"/>
  <c r="DI95" i="15" s="1"/>
  <c r="DJ95" i="15" s="1"/>
  <c r="DH139" i="15"/>
  <c r="DI139" i="15" s="1"/>
  <c r="DJ139" i="15" s="1"/>
  <c r="DH203" i="15"/>
  <c r="DI203" i="15" s="1"/>
  <c r="DJ203" i="15" s="1"/>
  <c r="DH223" i="15"/>
  <c r="DI223" i="15" s="1"/>
  <c r="DJ223" i="15" s="1"/>
  <c r="DH40" i="15"/>
  <c r="DI40" i="15" s="1"/>
  <c r="DJ40" i="15" s="1"/>
  <c r="DH80" i="15"/>
  <c r="DI80" i="15" s="1"/>
  <c r="DJ80" i="15" s="1"/>
  <c r="DH92" i="15"/>
  <c r="DI92" i="15" s="1"/>
  <c r="DJ92" i="15" s="1"/>
  <c r="DH112" i="15"/>
  <c r="DI112" i="15" s="1"/>
  <c r="DJ112" i="15" s="1"/>
  <c r="DH128" i="15"/>
  <c r="DI128" i="15" s="1"/>
  <c r="DJ128" i="15" s="1"/>
  <c r="DH140" i="15"/>
  <c r="DI140" i="15" s="1"/>
  <c r="DJ140" i="15" s="1"/>
  <c r="DH144" i="15"/>
  <c r="DI144" i="15" s="1"/>
  <c r="DJ144" i="15" s="1"/>
  <c r="DH160" i="15"/>
  <c r="DI160" i="15" s="1"/>
  <c r="DJ160" i="15" s="1"/>
  <c r="DH172" i="15"/>
  <c r="DI172" i="15" s="1"/>
  <c r="DJ172" i="15" s="1"/>
  <c r="DH176" i="15"/>
  <c r="DI176" i="15" s="1"/>
  <c r="DJ176" i="15" s="1"/>
  <c r="DH192" i="15"/>
  <c r="DI192" i="15" s="1"/>
  <c r="DJ192" i="15" s="1"/>
  <c r="DH204" i="15"/>
  <c r="DI204" i="15" s="1"/>
  <c r="DJ204" i="15" s="1"/>
  <c r="DH208" i="15"/>
  <c r="DI208" i="15" s="1"/>
  <c r="DJ208" i="15" s="1"/>
  <c r="DH224" i="15"/>
  <c r="DI224" i="15" s="1"/>
  <c r="DJ224" i="15" s="1"/>
  <c r="DH9" i="15"/>
  <c r="DI9" i="15" s="1"/>
  <c r="DJ9" i="15" s="1"/>
  <c r="DH13" i="15"/>
  <c r="DI13" i="15" s="1"/>
  <c r="DJ13" i="15" s="1"/>
  <c r="DH29" i="15"/>
  <c r="DI29" i="15" s="1"/>
  <c r="DJ29" i="15" s="1"/>
  <c r="DH41" i="15"/>
  <c r="DI41" i="15" s="1"/>
  <c r="DJ41" i="15" s="1"/>
  <c r="DH45" i="15"/>
  <c r="DI45" i="15" s="1"/>
  <c r="DJ45" i="15" s="1"/>
  <c r="DH61" i="15"/>
  <c r="DI61" i="15" s="1"/>
  <c r="DJ61" i="15" s="1"/>
  <c r="DH73" i="15"/>
  <c r="DI73" i="15" s="1"/>
  <c r="DJ73" i="15" s="1"/>
  <c r="DH77" i="15"/>
  <c r="DI77" i="15" s="1"/>
  <c r="DJ77" i="15" s="1"/>
  <c r="DH93" i="15"/>
  <c r="DI93" i="15" s="1"/>
  <c r="DJ93" i="15" s="1"/>
  <c r="DH105" i="15"/>
  <c r="DI105" i="15" s="1"/>
  <c r="DJ105" i="15" s="1"/>
  <c r="DH109" i="15"/>
  <c r="DI109" i="15" s="1"/>
  <c r="DJ109" i="15" s="1"/>
  <c r="DH125" i="15"/>
  <c r="DI125" i="15" s="1"/>
  <c r="DJ125" i="15" s="1"/>
  <c r="DH137" i="15"/>
  <c r="DI137" i="15" s="1"/>
  <c r="DJ137" i="15" s="1"/>
  <c r="DH141" i="15"/>
  <c r="DI141" i="15" s="1"/>
  <c r="DJ141" i="15" s="1"/>
  <c r="DH157" i="15"/>
  <c r="DI157" i="15" s="1"/>
  <c r="DJ157" i="15" s="1"/>
  <c r="DH169" i="15"/>
  <c r="DI169" i="15" s="1"/>
  <c r="DJ169" i="15" s="1"/>
  <c r="DH173" i="15"/>
  <c r="DI173" i="15" s="1"/>
  <c r="DJ173" i="15" s="1"/>
  <c r="DH189" i="15"/>
  <c r="DI189" i="15" s="1"/>
  <c r="DJ189" i="15" s="1"/>
  <c r="DH201" i="15"/>
  <c r="DI201" i="15" s="1"/>
  <c r="DJ201" i="15" s="1"/>
  <c r="DH205" i="15"/>
  <c r="DI205" i="15" s="1"/>
  <c r="DJ205" i="15" s="1"/>
  <c r="DH221" i="15"/>
  <c r="DI221" i="15" s="1"/>
  <c r="DJ221" i="15" s="1"/>
  <c r="DH30" i="15"/>
  <c r="DI30" i="15" s="1"/>
  <c r="DJ30" i="15" s="1"/>
  <c r="DH46" i="15"/>
  <c r="DI46" i="15" s="1"/>
  <c r="DJ46" i="15" s="1"/>
  <c r="DH110" i="15"/>
  <c r="DI110" i="15" s="1"/>
  <c r="DJ110" i="15" s="1"/>
  <c r="DH158" i="15"/>
  <c r="DI158" i="15" s="1"/>
  <c r="DJ158" i="15" s="1"/>
  <c r="DH174" i="15"/>
  <c r="DI174" i="15" s="1"/>
  <c r="DJ174" i="15" s="1"/>
  <c r="DH18" i="15"/>
  <c r="DI18" i="15" s="1"/>
  <c r="DJ18" i="15" s="1"/>
  <c r="DH66" i="15"/>
  <c r="DI66" i="15" s="1"/>
  <c r="DJ66" i="15" s="1"/>
  <c r="DH82" i="15"/>
  <c r="DI82" i="15" s="1"/>
  <c r="DJ82" i="15" s="1"/>
  <c r="DH146" i="15"/>
  <c r="DI146" i="15" s="1"/>
  <c r="DJ146" i="15" s="1"/>
  <c r="DH194" i="15"/>
  <c r="DI194" i="15" s="1"/>
  <c r="DJ194" i="15" s="1"/>
  <c r="DH210" i="15"/>
  <c r="DI210" i="15" s="1"/>
  <c r="DJ210" i="15" s="1"/>
  <c r="DH38" i="15"/>
  <c r="DI38" i="15" s="1"/>
  <c r="DJ38" i="15" s="1"/>
  <c r="DH86" i="15"/>
  <c r="DI86" i="15" s="1"/>
  <c r="DJ86" i="15" s="1"/>
  <c r="DH102" i="15"/>
  <c r="DI102" i="15" s="1"/>
  <c r="DJ102" i="15" s="1"/>
  <c r="DH166" i="15"/>
  <c r="DI166" i="15" s="1"/>
  <c r="DJ166" i="15" s="1"/>
  <c r="DH214" i="15"/>
  <c r="DI214" i="15" s="1"/>
  <c r="DJ214" i="15" s="1"/>
  <c r="DH58" i="15"/>
  <c r="DI58" i="15" s="1"/>
  <c r="DJ58" i="15" s="1"/>
  <c r="DH74" i="15"/>
  <c r="DI74" i="15" s="1"/>
  <c r="DJ74" i="15" s="1"/>
  <c r="DH26" i="15"/>
  <c r="DI26" i="15" s="1"/>
  <c r="DJ26" i="15" s="1"/>
  <c r="DH90" i="15"/>
  <c r="DI90" i="15" s="1"/>
  <c r="DJ90" i="15" s="1"/>
  <c r="DH106" i="15"/>
  <c r="DI106" i="15" s="1"/>
  <c r="DJ106" i="15" s="1"/>
  <c r="BI50" i="15"/>
  <c r="BJ50" i="15" s="1"/>
  <c r="BK50" i="15" s="1"/>
  <c r="BI79" i="15"/>
  <c r="BJ79" i="15" s="1"/>
  <c r="BK79" i="15" s="1"/>
  <c r="BI108" i="15"/>
  <c r="BJ108" i="15" s="1"/>
  <c r="BK108" i="15" s="1"/>
  <c r="BI97" i="15"/>
  <c r="BJ97" i="15" s="1"/>
  <c r="BK97" i="15" s="1"/>
  <c r="DN5" i="15"/>
  <c r="DO5" i="15" s="1"/>
  <c r="DP5" i="15" s="1"/>
  <c r="DN9" i="15"/>
  <c r="DO9" i="15" s="1"/>
  <c r="DP9" i="15" s="1"/>
  <c r="DN13" i="15"/>
  <c r="DO13" i="15" s="1"/>
  <c r="DP13" i="15" s="1"/>
  <c r="DN17" i="15"/>
  <c r="DO17" i="15" s="1"/>
  <c r="DP17" i="15" s="1"/>
  <c r="DN21" i="15"/>
  <c r="DO21" i="15" s="1"/>
  <c r="DP21" i="15" s="1"/>
  <c r="DN25" i="15"/>
  <c r="DO25" i="15" s="1"/>
  <c r="DP25" i="15" s="1"/>
  <c r="DN29" i="15"/>
  <c r="DO29" i="15" s="1"/>
  <c r="DP29" i="15" s="1"/>
  <c r="DN33" i="15"/>
  <c r="DO33" i="15" s="1"/>
  <c r="DP33" i="15" s="1"/>
  <c r="DN37" i="15"/>
  <c r="DO37" i="15" s="1"/>
  <c r="DP37" i="15" s="1"/>
  <c r="DN41" i="15"/>
  <c r="DO41" i="15" s="1"/>
  <c r="DP41" i="15" s="1"/>
  <c r="DN45" i="15"/>
  <c r="DO45" i="15" s="1"/>
  <c r="DP45" i="15" s="1"/>
  <c r="DN49" i="15"/>
  <c r="DO49" i="15" s="1"/>
  <c r="DP49" i="15" s="1"/>
  <c r="DN53" i="15"/>
  <c r="DO53" i="15" s="1"/>
  <c r="DP53" i="15" s="1"/>
  <c r="DN57" i="15"/>
  <c r="DO57" i="15" s="1"/>
  <c r="DP57" i="15" s="1"/>
  <c r="DN61" i="15"/>
  <c r="DO61" i="15" s="1"/>
  <c r="DP61" i="15" s="1"/>
  <c r="DN65" i="15"/>
  <c r="DO65" i="15" s="1"/>
  <c r="DP65" i="15" s="1"/>
  <c r="DN69" i="15"/>
  <c r="DO69" i="15" s="1"/>
  <c r="DP69" i="15" s="1"/>
  <c r="DN73" i="15"/>
  <c r="DO73" i="15" s="1"/>
  <c r="DP73" i="15" s="1"/>
  <c r="DN77" i="15"/>
  <c r="DO77" i="15" s="1"/>
  <c r="DP77" i="15" s="1"/>
  <c r="DN81" i="15"/>
  <c r="DO81" i="15" s="1"/>
  <c r="DP81" i="15" s="1"/>
  <c r="DN85" i="15"/>
  <c r="DO85" i="15" s="1"/>
  <c r="DP85" i="15" s="1"/>
  <c r="DN89" i="15"/>
  <c r="DO89" i="15" s="1"/>
  <c r="DP89" i="15" s="1"/>
  <c r="DN93" i="15"/>
  <c r="DO93" i="15" s="1"/>
  <c r="DP93" i="15" s="1"/>
  <c r="DN97" i="15"/>
  <c r="DO97" i="15" s="1"/>
  <c r="DP97" i="15" s="1"/>
  <c r="DN101" i="15"/>
  <c r="DO101" i="15" s="1"/>
  <c r="DP101" i="15" s="1"/>
  <c r="DN105" i="15"/>
  <c r="DO105" i="15" s="1"/>
  <c r="DP105" i="15" s="1"/>
  <c r="DN109" i="15"/>
  <c r="DO109" i="15" s="1"/>
  <c r="DP109" i="15" s="1"/>
  <c r="DN113" i="15"/>
  <c r="DO113" i="15" s="1"/>
  <c r="DP113" i="15" s="1"/>
  <c r="DN117" i="15"/>
  <c r="DO117" i="15" s="1"/>
  <c r="DP117" i="15" s="1"/>
  <c r="DN121" i="15"/>
  <c r="DO121" i="15" s="1"/>
  <c r="DP121" i="15" s="1"/>
  <c r="DN125" i="15"/>
  <c r="DO125" i="15" s="1"/>
  <c r="DP125" i="15" s="1"/>
  <c r="DN129" i="15"/>
  <c r="DO129" i="15" s="1"/>
  <c r="DP129" i="15" s="1"/>
  <c r="DN133" i="15"/>
  <c r="DO133" i="15" s="1"/>
  <c r="DP133" i="15" s="1"/>
  <c r="DN137" i="15"/>
  <c r="DO137" i="15" s="1"/>
  <c r="DP137" i="15" s="1"/>
  <c r="DN141" i="15"/>
  <c r="DO141" i="15" s="1"/>
  <c r="DP141" i="15" s="1"/>
  <c r="DN145" i="15"/>
  <c r="DO145" i="15" s="1"/>
  <c r="DP145" i="15" s="1"/>
  <c r="DN149" i="15"/>
  <c r="DO149" i="15" s="1"/>
  <c r="DP149" i="15" s="1"/>
  <c r="DN153" i="15"/>
  <c r="DO153" i="15" s="1"/>
  <c r="DP153" i="15" s="1"/>
  <c r="DN157" i="15"/>
  <c r="DO157" i="15" s="1"/>
  <c r="DP157" i="15" s="1"/>
  <c r="DN161" i="15"/>
  <c r="DO161" i="15" s="1"/>
  <c r="DP161" i="15" s="1"/>
  <c r="DN165" i="15"/>
  <c r="DO165" i="15" s="1"/>
  <c r="DP165" i="15" s="1"/>
  <c r="DN169" i="15"/>
  <c r="DO169" i="15" s="1"/>
  <c r="DP169" i="15" s="1"/>
  <c r="DN173" i="15"/>
  <c r="DO173" i="15" s="1"/>
  <c r="DP173" i="15" s="1"/>
  <c r="DN177" i="15"/>
  <c r="DO177" i="15" s="1"/>
  <c r="DP177" i="15" s="1"/>
  <c r="DN181" i="15"/>
  <c r="DO181" i="15" s="1"/>
  <c r="DP181" i="15" s="1"/>
  <c r="DN185" i="15"/>
  <c r="DO185" i="15" s="1"/>
  <c r="DP185" i="15" s="1"/>
  <c r="DN189" i="15"/>
  <c r="DO189" i="15" s="1"/>
  <c r="DP189" i="15" s="1"/>
  <c r="DN193" i="15"/>
  <c r="DO193" i="15" s="1"/>
  <c r="DP193" i="15" s="1"/>
  <c r="DN197" i="15"/>
  <c r="DO197" i="15" s="1"/>
  <c r="DP197" i="15" s="1"/>
  <c r="DN201" i="15"/>
  <c r="DO201" i="15" s="1"/>
  <c r="DP201" i="15" s="1"/>
  <c r="DN205" i="15"/>
  <c r="DO205" i="15" s="1"/>
  <c r="DP205" i="15" s="1"/>
  <c r="DN209" i="15"/>
  <c r="DO209" i="15" s="1"/>
  <c r="DP209" i="15" s="1"/>
  <c r="DN213" i="15"/>
  <c r="DO213" i="15" s="1"/>
  <c r="DP213" i="15" s="1"/>
  <c r="DN217" i="15"/>
  <c r="DO217" i="15" s="1"/>
  <c r="DP217" i="15" s="1"/>
  <c r="DN221" i="15"/>
  <c r="DO221" i="15" s="1"/>
  <c r="DP221" i="15" s="1"/>
  <c r="DN225" i="15"/>
  <c r="DO225" i="15" s="1"/>
  <c r="DP225" i="15" s="1"/>
  <c r="DN6" i="15"/>
  <c r="DO6" i="15" s="1"/>
  <c r="DP6" i="15" s="1"/>
  <c r="DN10" i="15"/>
  <c r="DO10" i="15" s="1"/>
  <c r="DP10" i="15" s="1"/>
  <c r="DN14" i="15"/>
  <c r="DO14" i="15" s="1"/>
  <c r="DP14" i="15" s="1"/>
  <c r="DN18" i="15"/>
  <c r="DO18" i="15" s="1"/>
  <c r="DP18" i="15" s="1"/>
  <c r="DN22" i="15"/>
  <c r="DO22" i="15" s="1"/>
  <c r="DP22" i="15" s="1"/>
  <c r="DN26" i="15"/>
  <c r="DO26" i="15" s="1"/>
  <c r="DP26" i="15" s="1"/>
  <c r="DN30" i="15"/>
  <c r="DO30" i="15" s="1"/>
  <c r="DP30" i="15" s="1"/>
  <c r="DN34" i="15"/>
  <c r="DO34" i="15" s="1"/>
  <c r="DP34" i="15" s="1"/>
  <c r="DN38" i="15"/>
  <c r="DO38" i="15" s="1"/>
  <c r="DP38" i="15" s="1"/>
  <c r="DN42" i="15"/>
  <c r="DO42" i="15" s="1"/>
  <c r="DP42" i="15" s="1"/>
  <c r="DN46" i="15"/>
  <c r="DO46" i="15" s="1"/>
  <c r="DP46" i="15" s="1"/>
  <c r="DN50" i="15"/>
  <c r="DO50" i="15" s="1"/>
  <c r="DP50" i="15" s="1"/>
  <c r="DN54" i="15"/>
  <c r="DO54" i="15" s="1"/>
  <c r="DP54" i="15" s="1"/>
  <c r="DN58" i="15"/>
  <c r="DO58" i="15" s="1"/>
  <c r="DP58" i="15" s="1"/>
  <c r="DN62" i="15"/>
  <c r="DO62" i="15" s="1"/>
  <c r="DP62" i="15" s="1"/>
  <c r="DN66" i="15"/>
  <c r="DO66" i="15" s="1"/>
  <c r="DP66" i="15" s="1"/>
  <c r="DN70" i="15"/>
  <c r="DO70" i="15" s="1"/>
  <c r="DP70" i="15" s="1"/>
  <c r="DN74" i="15"/>
  <c r="DO74" i="15" s="1"/>
  <c r="DP74" i="15" s="1"/>
  <c r="DN78" i="15"/>
  <c r="DO78" i="15" s="1"/>
  <c r="DP78" i="15" s="1"/>
  <c r="DN82" i="15"/>
  <c r="DO82" i="15" s="1"/>
  <c r="DP82" i="15" s="1"/>
  <c r="DN86" i="15"/>
  <c r="DO86" i="15" s="1"/>
  <c r="DP86" i="15" s="1"/>
  <c r="DN90" i="15"/>
  <c r="DO90" i="15" s="1"/>
  <c r="DP90" i="15" s="1"/>
  <c r="DN94" i="15"/>
  <c r="DO94" i="15" s="1"/>
  <c r="DP94" i="15" s="1"/>
  <c r="DN98" i="15"/>
  <c r="DO98" i="15" s="1"/>
  <c r="DP98" i="15" s="1"/>
  <c r="DN102" i="15"/>
  <c r="DO102" i="15" s="1"/>
  <c r="DP102" i="15" s="1"/>
  <c r="DN106" i="15"/>
  <c r="DO106" i="15" s="1"/>
  <c r="DP106" i="15" s="1"/>
  <c r="DN110" i="15"/>
  <c r="DO110" i="15" s="1"/>
  <c r="DP110" i="15" s="1"/>
  <c r="DN114" i="15"/>
  <c r="DO114" i="15" s="1"/>
  <c r="DP114" i="15" s="1"/>
  <c r="DN118" i="15"/>
  <c r="DO118" i="15" s="1"/>
  <c r="DP118" i="15" s="1"/>
  <c r="DN122" i="15"/>
  <c r="DO122" i="15" s="1"/>
  <c r="DP122" i="15" s="1"/>
  <c r="DN126" i="15"/>
  <c r="DO126" i="15" s="1"/>
  <c r="DP126" i="15" s="1"/>
  <c r="DN130" i="15"/>
  <c r="DO130" i="15" s="1"/>
  <c r="DP130" i="15" s="1"/>
  <c r="DN134" i="15"/>
  <c r="DO134" i="15" s="1"/>
  <c r="DP134" i="15" s="1"/>
  <c r="DN138" i="15"/>
  <c r="DO138" i="15" s="1"/>
  <c r="DP138" i="15" s="1"/>
  <c r="DN142" i="15"/>
  <c r="DO142" i="15" s="1"/>
  <c r="DP142" i="15" s="1"/>
  <c r="DN146" i="15"/>
  <c r="DO146" i="15" s="1"/>
  <c r="DP146" i="15" s="1"/>
  <c r="DN150" i="15"/>
  <c r="DO150" i="15" s="1"/>
  <c r="DP150" i="15" s="1"/>
  <c r="DN154" i="15"/>
  <c r="DO154" i="15" s="1"/>
  <c r="DP154" i="15" s="1"/>
  <c r="DN158" i="15"/>
  <c r="DO158" i="15" s="1"/>
  <c r="DP158" i="15" s="1"/>
  <c r="DN162" i="15"/>
  <c r="DO162" i="15" s="1"/>
  <c r="DP162" i="15" s="1"/>
  <c r="DN166" i="15"/>
  <c r="DO166" i="15" s="1"/>
  <c r="DP166" i="15" s="1"/>
  <c r="DN170" i="15"/>
  <c r="DO170" i="15" s="1"/>
  <c r="DP170" i="15" s="1"/>
  <c r="DN174" i="15"/>
  <c r="DO174" i="15" s="1"/>
  <c r="DP174" i="15" s="1"/>
  <c r="DN178" i="15"/>
  <c r="DO178" i="15" s="1"/>
  <c r="DP178" i="15" s="1"/>
  <c r="DN182" i="15"/>
  <c r="DO182" i="15" s="1"/>
  <c r="DP182" i="15" s="1"/>
  <c r="DN186" i="15"/>
  <c r="DO186" i="15" s="1"/>
  <c r="DP186" i="15" s="1"/>
  <c r="DN190" i="15"/>
  <c r="DO190" i="15" s="1"/>
  <c r="DP190" i="15" s="1"/>
  <c r="DN194" i="15"/>
  <c r="DO194" i="15" s="1"/>
  <c r="DP194" i="15" s="1"/>
  <c r="DN198" i="15"/>
  <c r="DO198" i="15" s="1"/>
  <c r="DP198" i="15" s="1"/>
  <c r="DN202" i="15"/>
  <c r="DO202" i="15" s="1"/>
  <c r="DP202" i="15" s="1"/>
  <c r="DN206" i="15"/>
  <c r="DO206" i="15" s="1"/>
  <c r="DP206" i="15" s="1"/>
  <c r="DN210" i="15"/>
  <c r="DO210" i="15" s="1"/>
  <c r="DP210" i="15" s="1"/>
  <c r="DN214" i="15"/>
  <c r="DO214" i="15" s="1"/>
  <c r="DP214" i="15" s="1"/>
  <c r="DN218" i="15"/>
  <c r="DO218" i="15" s="1"/>
  <c r="DP218" i="15" s="1"/>
  <c r="DN222" i="15"/>
  <c r="DO222" i="15" s="1"/>
  <c r="DP222" i="15" s="1"/>
  <c r="DN226" i="15"/>
  <c r="DO226" i="15" s="1"/>
  <c r="DP226" i="15" s="1"/>
  <c r="DN3" i="15"/>
  <c r="DO3" i="15" s="1"/>
  <c r="DP3" i="15" s="1"/>
  <c r="DN7" i="15"/>
  <c r="DO7" i="15" s="1"/>
  <c r="DP7" i="15" s="1"/>
  <c r="DN11" i="15"/>
  <c r="DO11" i="15" s="1"/>
  <c r="DP11" i="15" s="1"/>
  <c r="DN15" i="15"/>
  <c r="DO15" i="15" s="1"/>
  <c r="DP15" i="15" s="1"/>
  <c r="DN19" i="15"/>
  <c r="DO19" i="15" s="1"/>
  <c r="DP19" i="15" s="1"/>
  <c r="DN23" i="15"/>
  <c r="DO23" i="15" s="1"/>
  <c r="DP23" i="15" s="1"/>
  <c r="DN27" i="15"/>
  <c r="DO27" i="15" s="1"/>
  <c r="DP27" i="15" s="1"/>
  <c r="DN31" i="15"/>
  <c r="DO31" i="15" s="1"/>
  <c r="DP31" i="15" s="1"/>
  <c r="DN35" i="15"/>
  <c r="DO35" i="15" s="1"/>
  <c r="DP35" i="15" s="1"/>
  <c r="DN39" i="15"/>
  <c r="DO39" i="15" s="1"/>
  <c r="DP39" i="15" s="1"/>
  <c r="DN43" i="15"/>
  <c r="DO43" i="15" s="1"/>
  <c r="DP43" i="15" s="1"/>
  <c r="DN47" i="15"/>
  <c r="DO47" i="15" s="1"/>
  <c r="DP47" i="15" s="1"/>
  <c r="DN51" i="15"/>
  <c r="DO51" i="15" s="1"/>
  <c r="DP51" i="15" s="1"/>
  <c r="DN55" i="15"/>
  <c r="DO55" i="15" s="1"/>
  <c r="DP55" i="15" s="1"/>
  <c r="DN59" i="15"/>
  <c r="DO59" i="15" s="1"/>
  <c r="DP59" i="15" s="1"/>
  <c r="DN63" i="15"/>
  <c r="DO63" i="15" s="1"/>
  <c r="DP63" i="15" s="1"/>
  <c r="DN67" i="15"/>
  <c r="DO67" i="15" s="1"/>
  <c r="DP67" i="15" s="1"/>
  <c r="DN71" i="15"/>
  <c r="DO71" i="15" s="1"/>
  <c r="DP71" i="15" s="1"/>
  <c r="DN75" i="15"/>
  <c r="DO75" i="15" s="1"/>
  <c r="DP75" i="15" s="1"/>
  <c r="DN79" i="15"/>
  <c r="DO79" i="15" s="1"/>
  <c r="DP79" i="15" s="1"/>
  <c r="DN83" i="15"/>
  <c r="DO83" i="15" s="1"/>
  <c r="DP83" i="15" s="1"/>
  <c r="DN87" i="15"/>
  <c r="DO87" i="15" s="1"/>
  <c r="DP87" i="15" s="1"/>
  <c r="DN91" i="15"/>
  <c r="DO91" i="15" s="1"/>
  <c r="DP91" i="15" s="1"/>
  <c r="DN95" i="15"/>
  <c r="DO95" i="15" s="1"/>
  <c r="DP95" i="15" s="1"/>
  <c r="DN99" i="15"/>
  <c r="DO99" i="15" s="1"/>
  <c r="DP99" i="15" s="1"/>
  <c r="DN103" i="15"/>
  <c r="DO103" i="15" s="1"/>
  <c r="DP103" i="15" s="1"/>
  <c r="DN107" i="15"/>
  <c r="DO107" i="15" s="1"/>
  <c r="DP107" i="15" s="1"/>
  <c r="DN111" i="15"/>
  <c r="DO111" i="15" s="1"/>
  <c r="DP111" i="15" s="1"/>
  <c r="DN115" i="15"/>
  <c r="DO115" i="15" s="1"/>
  <c r="DP115" i="15" s="1"/>
  <c r="DN119" i="15"/>
  <c r="DO119" i="15" s="1"/>
  <c r="DP119" i="15" s="1"/>
  <c r="DN123" i="15"/>
  <c r="DO123" i="15" s="1"/>
  <c r="DP123" i="15" s="1"/>
  <c r="DN127" i="15"/>
  <c r="DO127" i="15" s="1"/>
  <c r="DP127" i="15" s="1"/>
  <c r="DN131" i="15"/>
  <c r="DO131" i="15" s="1"/>
  <c r="DP131" i="15" s="1"/>
  <c r="DN135" i="15"/>
  <c r="DO135" i="15" s="1"/>
  <c r="DP135" i="15" s="1"/>
  <c r="DN139" i="15"/>
  <c r="DO139" i="15" s="1"/>
  <c r="DP139" i="15" s="1"/>
  <c r="DN143" i="15"/>
  <c r="DO143" i="15" s="1"/>
  <c r="DP143" i="15" s="1"/>
  <c r="DN147" i="15"/>
  <c r="DO147" i="15" s="1"/>
  <c r="DP147" i="15" s="1"/>
  <c r="DN151" i="15"/>
  <c r="DO151" i="15" s="1"/>
  <c r="DP151" i="15" s="1"/>
  <c r="DN155" i="15"/>
  <c r="DO155" i="15" s="1"/>
  <c r="DP155" i="15" s="1"/>
  <c r="DN159" i="15"/>
  <c r="DO159" i="15" s="1"/>
  <c r="DP159" i="15" s="1"/>
  <c r="DN163" i="15"/>
  <c r="DO163" i="15" s="1"/>
  <c r="DP163" i="15" s="1"/>
  <c r="DN167" i="15"/>
  <c r="DO167" i="15" s="1"/>
  <c r="DP167" i="15" s="1"/>
  <c r="DN171" i="15"/>
  <c r="DO171" i="15" s="1"/>
  <c r="DP171" i="15" s="1"/>
  <c r="DN175" i="15"/>
  <c r="DO175" i="15" s="1"/>
  <c r="DP175" i="15" s="1"/>
  <c r="DN179" i="15"/>
  <c r="DO179" i="15" s="1"/>
  <c r="DP179" i="15" s="1"/>
  <c r="DN183" i="15"/>
  <c r="DO183" i="15" s="1"/>
  <c r="DP183" i="15" s="1"/>
  <c r="DN187" i="15"/>
  <c r="DO187" i="15" s="1"/>
  <c r="DP187" i="15" s="1"/>
  <c r="DN191" i="15"/>
  <c r="DO191" i="15" s="1"/>
  <c r="DP191" i="15" s="1"/>
  <c r="DN195" i="15"/>
  <c r="DO195" i="15" s="1"/>
  <c r="DP195" i="15" s="1"/>
  <c r="DN199" i="15"/>
  <c r="DO199" i="15" s="1"/>
  <c r="DP199" i="15" s="1"/>
  <c r="DN203" i="15"/>
  <c r="DO203" i="15" s="1"/>
  <c r="DP203" i="15" s="1"/>
  <c r="DN207" i="15"/>
  <c r="DO207" i="15" s="1"/>
  <c r="DP207" i="15" s="1"/>
  <c r="DN211" i="15"/>
  <c r="DO211" i="15" s="1"/>
  <c r="DP211" i="15" s="1"/>
  <c r="DN215" i="15"/>
  <c r="DO215" i="15" s="1"/>
  <c r="DP215" i="15" s="1"/>
  <c r="DN219" i="15"/>
  <c r="DO219" i="15" s="1"/>
  <c r="DP219" i="15" s="1"/>
  <c r="DN223" i="15"/>
  <c r="DO223" i="15" s="1"/>
  <c r="DP223" i="15" s="1"/>
  <c r="DN227" i="15"/>
  <c r="DO227" i="15" s="1"/>
  <c r="DP227" i="15" s="1"/>
  <c r="DN8" i="15"/>
  <c r="DO8" i="15" s="1"/>
  <c r="DP8" i="15" s="1"/>
  <c r="DN24" i="15"/>
  <c r="DO24" i="15" s="1"/>
  <c r="DP24" i="15" s="1"/>
  <c r="DN40" i="15"/>
  <c r="DO40" i="15" s="1"/>
  <c r="DP40" i="15" s="1"/>
  <c r="DN56" i="15"/>
  <c r="DO56" i="15" s="1"/>
  <c r="DP56" i="15" s="1"/>
  <c r="DN72" i="15"/>
  <c r="DO72" i="15" s="1"/>
  <c r="DP72" i="15" s="1"/>
  <c r="DN88" i="15"/>
  <c r="DO88" i="15" s="1"/>
  <c r="DP88" i="15" s="1"/>
  <c r="DN104" i="15"/>
  <c r="DO104" i="15" s="1"/>
  <c r="DP104" i="15" s="1"/>
  <c r="DN120" i="15"/>
  <c r="DO120" i="15" s="1"/>
  <c r="DP120" i="15" s="1"/>
  <c r="DN136" i="15"/>
  <c r="DO136" i="15" s="1"/>
  <c r="DP136" i="15" s="1"/>
  <c r="DN152" i="15"/>
  <c r="DO152" i="15" s="1"/>
  <c r="DP152" i="15" s="1"/>
  <c r="DN168" i="15"/>
  <c r="DO168" i="15" s="1"/>
  <c r="DP168" i="15" s="1"/>
  <c r="DN184" i="15"/>
  <c r="DO184" i="15" s="1"/>
  <c r="DP184" i="15" s="1"/>
  <c r="DN200" i="15"/>
  <c r="DO200" i="15" s="1"/>
  <c r="DP200" i="15" s="1"/>
  <c r="DN216" i="15"/>
  <c r="DO216" i="15" s="1"/>
  <c r="DP216" i="15" s="1"/>
  <c r="DN12" i="15"/>
  <c r="DO12" i="15" s="1"/>
  <c r="DP12" i="15" s="1"/>
  <c r="DN28" i="15"/>
  <c r="DO28" i="15" s="1"/>
  <c r="DP28" i="15" s="1"/>
  <c r="DN44" i="15"/>
  <c r="DO44" i="15" s="1"/>
  <c r="DP44" i="15" s="1"/>
  <c r="DN60" i="15"/>
  <c r="DO60" i="15" s="1"/>
  <c r="DP60" i="15" s="1"/>
  <c r="DN76" i="15"/>
  <c r="DO76" i="15" s="1"/>
  <c r="DP76" i="15" s="1"/>
  <c r="DN92" i="15"/>
  <c r="DO92" i="15" s="1"/>
  <c r="DP92" i="15" s="1"/>
  <c r="DN108" i="15"/>
  <c r="DO108" i="15" s="1"/>
  <c r="DP108" i="15" s="1"/>
  <c r="DN124" i="15"/>
  <c r="DO124" i="15" s="1"/>
  <c r="DP124" i="15" s="1"/>
  <c r="DN140" i="15"/>
  <c r="DO140" i="15" s="1"/>
  <c r="DP140" i="15" s="1"/>
  <c r="DN156" i="15"/>
  <c r="DO156" i="15" s="1"/>
  <c r="DP156" i="15" s="1"/>
  <c r="DN172" i="15"/>
  <c r="DO172" i="15" s="1"/>
  <c r="DP172" i="15" s="1"/>
  <c r="DN188" i="15"/>
  <c r="DO188" i="15" s="1"/>
  <c r="DP188" i="15" s="1"/>
  <c r="DN204" i="15"/>
  <c r="DO204" i="15" s="1"/>
  <c r="DP204" i="15" s="1"/>
  <c r="DN220" i="15"/>
  <c r="DO220" i="15" s="1"/>
  <c r="DP220" i="15" s="1"/>
  <c r="DN16" i="15"/>
  <c r="DO16" i="15" s="1"/>
  <c r="DP16" i="15" s="1"/>
  <c r="DN32" i="15"/>
  <c r="DO32" i="15" s="1"/>
  <c r="DP32" i="15" s="1"/>
  <c r="DN48" i="15"/>
  <c r="DO48" i="15" s="1"/>
  <c r="DP48" i="15" s="1"/>
  <c r="DN64" i="15"/>
  <c r="DO64" i="15" s="1"/>
  <c r="DP64" i="15" s="1"/>
  <c r="DN80" i="15"/>
  <c r="DO80" i="15" s="1"/>
  <c r="DP80" i="15" s="1"/>
  <c r="DN96" i="15"/>
  <c r="DO96" i="15" s="1"/>
  <c r="DP96" i="15" s="1"/>
  <c r="DN112" i="15"/>
  <c r="DO112" i="15" s="1"/>
  <c r="DP112" i="15" s="1"/>
  <c r="DN128" i="15"/>
  <c r="DO128" i="15" s="1"/>
  <c r="DP128" i="15" s="1"/>
  <c r="DN144" i="15"/>
  <c r="DO144" i="15" s="1"/>
  <c r="DP144" i="15" s="1"/>
  <c r="DN160" i="15"/>
  <c r="DO160" i="15" s="1"/>
  <c r="DP160" i="15" s="1"/>
  <c r="DN176" i="15"/>
  <c r="DO176" i="15" s="1"/>
  <c r="DP176" i="15" s="1"/>
  <c r="DN192" i="15"/>
  <c r="DO192" i="15" s="1"/>
  <c r="DP192" i="15" s="1"/>
  <c r="DN208" i="15"/>
  <c r="DO208" i="15" s="1"/>
  <c r="DP208" i="15" s="1"/>
  <c r="DN224" i="15"/>
  <c r="DO224" i="15" s="1"/>
  <c r="DP224" i="15" s="1"/>
  <c r="DN4" i="15"/>
  <c r="DO4" i="15" s="1"/>
  <c r="DP4" i="15" s="1"/>
  <c r="DN68" i="15"/>
  <c r="DO68" i="15" s="1"/>
  <c r="DP68" i="15" s="1"/>
  <c r="DN132" i="15"/>
  <c r="DO132" i="15" s="1"/>
  <c r="DP132" i="15" s="1"/>
  <c r="DN196" i="15"/>
  <c r="DO196" i="15" s="1"/>
  <c r="DP196" i="15" s="1"/>
  <c r="DN20" i="15"/>
  <c r="DO20" i="15" s="1"/>
  <c r="DP20" i="15" s="1"/>
  <c r="DN84" i="15"/>
  <c r="DO84" i="15" s="1"/>
  <c r="DP84" i="15" s="1"/>
  <c r="DN148" i="15"/>
  <c r="DO148" i="15" s="1"/>
  <c r="DP148" i="15" s="1"/>
  <c r="DN212" i="15"/>
  <c r="DO212" i="15" s="1"/>
  <c r="DP212" i="15" s="1"/>
  <c r="DN36" i="15"/>
  <c r="DO36" i="15" s="1"/>
  <c r="DP36" i="15" s="1"/>
  <c r="DN100" i="15"/>
  <c r="DO100" i="15" s="1"/>
  <c r="DP100" i="15" s="1"/>
  <c r="DN164" i="15"/>
  <c r="DO164" i="15" s="1"/>
  <c r="DP164" i="15" s="1"/>
  <c r="DN2" i="15"/>
  <c r="DO2" i="15" s="1"/>
  <c r="DN52" i="15"/>
  <c r="DO52" i="15" s="1"/>
  <c r="DP52" i="15" s="1"/>
  <c r="DN116" i="15"/>
  <c r="DO116" i="15" s="1"/>
  <c r="DP116" i="15" s="1"/>
  <c r="DN180" i="15"/>
  <c r="DO180" i="15" s="1"/>
  <c r="DP180" i="15" s="1"/>
  <c r="B10" i="4"/>
  <c r="B11" i="4" s="1"/>
  <c r="AB24" i="14"/>
  <c r="AB30" i="14"/>
  <c r="AB34" i="14"/>
  <c r="AB40" i="14"/>
  <c r="AB46" i="14"/>
  <c r="AB50" i="14"/>
  <c r="AB54" i="14"/>
  <c r="AB60" i="14"/>
  <c r="AB66" i="14"/>
  <c r="AB80" i="14"/>
  <c r="AB86" i="14"/>
  <c r="AB92" i="14"/>
  <c r="AB98" i="14"/>
  <c r="AB112" i="14"/>
  <c r="AB118" i="14"/>
  <c r="AB130" i="14"/>
  <c r="AB198" i="14"/>
  <c r="AB222" i="14"/>
  <c r="Z125" i="14"/>
  <c r="Z133" i="14"/>
  <c r="Z137" i="14"/>
  <c r="Z165" i="14"/>
  <c r="Z169" i="14"/>
  <c r="Z197" i="14"/>
  <c r="AB2" i="14"/>
  <c r="AB6" i="14"/>
  <c r="AB12" i="14"/>
  <c r="AB18" i="14"/>
  <c r="AB32" i="14"/>
  <c r="AB48" i="14"/>
  <c r="AB64" i="14"/>
  <c r="AB70" i="14"/>
  <c r="AB76" i="14"/>
  <c r="AB82" i="14"/>
  <c r="AB96" i="14"/>
  <c r="AB102" i="14"/>
  <c r="AB108" i="14"/>
  <c r="AB114" i="14"/>
  <c r="AB126" i="14"/>
  <c r="AB138" i="14"/>
  <c r="AB186" i="14"/>
  <c r="AB190" i="14"/>
  <c r="AB202" i="14"/>
  <c r="AB206" i="14"/>
  <c r="AB218" i="14"/>
  <c r="AB226" i="14"/>
  <c r="Z121" i="14"/>
  <c r="Z141" i="14"/>
  <c r="Z181" i="14"/>
  <c r="Z185" i="14"/>
  <c r="Z213" i="14"/>
  <c r="Z217" i="14"/>
  <c r="AB3" i="14"/>
  <c r="AB9" i="14"/>
  <c r="AB19" i="14"/>
  <c r="AB25" i="14"/>
  <c r="AB35" i="14"/>
  <c r="AB41" i="14"/>
  <c r="AB53" i="14"/>
  <c r="AB57" i="14"/>
  <c r="AB61" i="14"/>
  <c r="AB65" i="14"/>
  <c r="AB71" i="14"/>
  <c r="AB75" i="14"/>
  <c r="AB85" i="14"/>
  <c r="AB89" i="14"/>
  <c r="AB101" i="14"/>
  <c r="AB105" i="14"/>
  <c r="AB109" i="14"/>
  <c r="AB115" i="14"/>
  <c r="AB119" i="14"/>
  <c r="AB123" i="14"/>
  <c r="AB127" i="14"/>
  <c r="AB131" i="14"/>
  <c r="AB137" i="14"/>
  <c r="AB141" i="14"/>
  <c r="AB145" i="14"/>
  <c r="AB151" i="14"/>
  <c r="AB155" i="14"/>
  <c r="AB159" i="14"/>
  <c r="AB163" i="14"/>
  <c r="AB167" i="14"/>
  <c r="AB169" i="14"/>
  <c r="AB173" i="14"/>
  <c r="AB177" i="14"/>
  <c r="AB181" i="14"/>
  <c r="AB185" i="14"/>
  <c r="AB8" i="14"/>
  <c r="AB14" i="14"/>
  <c r="AB16" i="14"/>
  <c r="AB22" i="14"/>
  <c r="AB28" i="14"/>
  <c r="AB38" i="14"/>
  <c r="AB44" i="14"/>
  <c r="AB56" i="14"/>
  <c r="AB62" i="14"/>
  <c r="AB72" i="14"/>
  <c r="AB78" i="14"/>
  <c r="AB88" i="14"/>
  <c r="AB94" i="14"/>
  <c r="AB104" i="14"/>
  <c r="AB110" i="14"/>
  <c r="AB122" i="14"/>
  <c r="AB134" i="14"/>
  <c r="AB142" i="14"/>
  <c r="AB146" i="14"/>
  <c r="AB150" i="14"/>
  <c r="AB154" i="14"/>
  <c r="AB158" i="14"/>
  <c r="AB162" i="14"/>
  <c r="AB166" i="14"/>
  <c r="AB170" i="14"/>
  <c r="AB174" i="14"/>
  <c r="AB178" i="14"/>
  <c r="AB182" i="14"/>
  <c r="AB194" i="14"/>
  <c r="AB210" i="14"/>
  <c r="AB214" i="14"/>
  <c r="Z9" i="14"/>
  <c r="Z149" i="14"/>
  <c r="Z153" i="14"/>
  <c r="Z157" i="14"/>
  <c r="Z173" i="14"/>
  <c r="Z189" i="14"/>
  <c r="Z201" i="14"/>
  <c r="Z205" i="14"/>
  <c r="Z221" i="14"/>
  <c r="AB5" i="14"/>
  <c r="AB7" i="14"/>
  <c r="AB11" i="14"/>
  <c r="AB13" i="14"/>
  <c r="AB17" i="14"/>
  <c r="AB21" i="14"/>
  <c r="AB23" i="14"/>
  <c r="AB27" i="14"/>
  <c r="AB29" i="14"/>
  <c r="AB33" i="14"/>
  <c r="AB37" i="14"/>
  <c r="AB39" i="14"/>
  <c r="AB43" i="14"/>
  <c r="AB45" i="14"/>
  <c r="AB49" i="14"/>
  <c r="AB51" i="14"/>
  <c r="AB55" i="14"/>
  <c r="AB59" i="14"/>
  <c r="AB67" i="14"/>
  <c r="AB69" i="14"/>
  <c r="AB73" i="14"/>
  <c r="AB77" i="14"/>
  <c r="AB81" i="14"/>
  <c r="AB83" i="14"/>
  <c r="AB87" i="14"/>
  <c r="AB91" i="14"/>
  <c r="AB93" i="14"/>
  <c r="AB97" i="14"/>
  <c r="AB99" i="14"/>
  <c r="AB103" i="14"/>
  <c r="AB107" i="14"/>
  <c r="AB113" i="14"/>
  <c r="AB117" i="14"/>
  <c r="AB121" i="14"/>
  <c r="AB125" i="14"/>
  <c r="AB129" i="14"/>
  <c r="AB133" i="14"/>
  <c r="AB135" i="14"/>
  <c r="AB139" i="14"/>
  <c r="AB143" i="14"/>
  <c r="AB147" i="14"/>
  <c r="AB149" i="14"/>
  <c r="AB153" i="14"/>
  <c r="AB157" i="14"/>
  <c r="AB161" i="14"/>
  <c r="AB165" i="14"/>
  <c r="AB189" i="14"/>
  <c r="AB193" i="14"/>
  <c r="AB197" i="14"/>
  <c r="Z2" i="14"/>
  <c r="Z4" i="14"/>
  <c r="Z8" i="14"/>
  <c r="Z10" i="14"/>
  <c r="Z14" i="14"/>
  <c r="Z16" i="14"/>
  <c r="Z18" i="14"/>
  <c r="Z20" i="14"/>
  <c r="Z24" i="14"/>
  <c r="Z26" i="14"/>
  <c r="Z30" i="14"/>
  <c r="Z32" i="14"/>
  <c r="Z34" i="14"/>
  <c r="Z36" i="14"/>
  <c r="Z40" i="14"/>
  <c r="Z42" i="14"/>
  <c r="Z46" i="14"/>
  <c r="Z48" i="14"/>
  <c r="Z50" i="14"/>
  <c r="Z52" i="14"/>
  <c r="Z56" i="14"/>
  <c r="Z58" i="14"/>
  <c r="Z62" i="14"/>
  <c r="Z64" i="14"/>
  <c r="Z66" i="14"/>
  <c r="Z68" i="14"/>
  <c r="Z72" i="14"/>
  <c r="Z74" i="14"/>
  <c r="Z78" i="14"/>
  <c r="Z80" i="14"/>
  <c r="Z82" i="14"/>
  <c r="Z84" i="14"/>
  <c r="Z88" i="14"/>
  <c r="Z90" i="14"/>
  <c r="Z94" i="14"/>
  <c r="Z96" i="14"/>
  <c r="Z98" i="14"/>
  <c r="Z100" i="14"/>
  <c r="Z104" i="14"/>
  <c r="Z106" i="14"/>
  <c r="Z110" i="14"/>
  <c r="Z112" i="14"/>
  <c r="Z114" i="14"/>
  <c r="Z116" i="14"/>
  <c r="Z120" i="14"/>
  <c r="Z122" i="14"/>
  <c r="Z126" i="14"/>
  <c r="Z128" i="14"/>
  <c r="Z130" i="14"/>
  <c r="Z132" i="14"/>
  <c r="Z136" i="14"/>
  <c r="Z138" i="14"/>
  <c r="Z142" i="14"/>
  <c r="Z144" i="14"/>
  <c r="Z146" i="14"/>
  <c r="Z148" i="14"/>
  <c r="Z152" i="14"/>
  <c r="Z154" i="14"/>
  <c r="Z158" i="14"/>
  <c r="Z160" i="14"/>
  <c r="Z162" i="14"/>
  <c r="Z164" i="14"/>
  <c r="Z168" i="14"/>
  <c r="Z170" i="14"/>
  <c r="Z174" i="14"/>
  <c r="Z176" i="14"/>
  <c r="Z178" i="14"/>
  <c r="Z180" i="14"/>
  <c r="Z184" i="14"/>
  <c r="Z186" i="14"/>
  <c r="Z190" i="14"/>
  <c r="Z192" i="14"/>
  <c r="Z194" i="14"/>
  <c r="Z196" i="14"/>
  <c r="Z200" i="14"/>
  <c r="Z202" i="14"/>
  <c r="Z206" i="14"/>
  <c r="Z208" i="14"/>
  <c r="Z210" i="14"/>
  <c r="Z212" i="14"/>
  <c r="Z216" i="14"/>
  <c r="Z218" i="14"/>
  <c r="Z222" i="14"/>
  <c r="Z224" i="14"/>
  <c r="Z226" i="14"/>
  <c r="BK121" i="14"/>
  <c r="BK57" i="14"/>
  <c r="BK185" i="14"/>
  <c r="BK169" i="14"/>
  <c r="BK217" i="14"/>
  <c r="BK153" i="14"/>
  <c r="BK89" i="14"/>
  <c r="BK25" i="14"/>
  <c r="BK105" i="14"/>
  <c r="BK41" i="14"/>
  <c r="BK201" i="14"/>
  <c r="BK137" i="14"/>
  <c r="BK73" i="14"/>
  <c r="BK9" i="14"/>
  <c r="BJ216" i="14"/>
  <c r="BJ88" i="14"/>
  <c r="BJ200" i="14"/>
  <c r="BJ136" i="14"/>
  <c r="BJ72" i="14"/>
  <c r="BJ8" i="14"/>
  <c r="BK213" i="14"/>
  <c r="BK197" i="14"/>
  <c r="BK181" i="14"/>
  <c r="BK165" i="14"/>
  <c r="BK149" i="14"/>
  <c r="BK133" i="14"/>
  <c r="BK117" i="14"/>
  <c r="BK101" i="14"/>
  <c r="BK85" i="14"/>
  <c r="BK69" i="14"/>
  <c r="BK53" i="14"/>
  <c r="BK37" i="14"/>
  <c r="BK21" i="14"/>
  <c r="BK5" i="14"/>
  <c r="BJ152" i="14"/>
  <c r="BJ24" i="14"/>
  <c r="BJ184" i="14"/>
  <c r="BJ120" i="14"/>
  <c r="BJ56" i="14"/>
  <c r="BK225" i="14"/>
  <c r="BK209" i="14"/>
  <c r="BK193" i="14"/>
  <c r="BK177" i="14"/>
  <c r="BK161" i="14"/>
  <c r="BK145" i="14"/>
  <c r="BK129" i="14"/>
  <c r="BK113" i="14"/>
  <c r="BK97" i="14"/>
  <c r="BK81" i="14"/>
  <c r="BK65" i="14"/>
  <c r="BK49" i="14"/>
  <c r="BK33" i="14"/>
  <c r="BK17" i="14"/>
  <c r="BJ168" i="14"/>
  <c r="BJ104" i="14"/>
  <c r="BJ40" i="14"/>
  <c r="BK221" i="14"/>
  <c r="BK205" i="14"/>
  <c r="BK189" i="14"/>
  <c r="BK173" i="14"/>
  <c r="BK157" i="14"/>
  <c r="BK141" i="14"/>
  <c r="BK125" i="14"/>
  <c r="BK109" i="14"/>
  <c r="BK93" i="14"/>
  <c r="BK77" i="14"/>
  <c r="BK61" i="14"/>
  <c r="BK45" i="14"/>
  <c r="BK29" i="14"/>
  <c r="BK13" i="14"/>
  <c r="BJ212" i="14"/>
  <c r="BJ196" i="14"/>
  <c r="BJ180" i="14"/>
  <c r="BJ164" i="14"/>
  <c r="BJ148" i="14"/>
  <c r="BJ132" i="14"/>
  <c r="BJ116" i="14"/>
  <c r="BJ100" i="14"/>
  <c r="BJ84" i="14"/>
  <c r="BJ68" i="14"/>
  <c r="BJ52" i="14"/>
  <c r="BJ36" i="14"/>
  <c r="BJ20" i="14"/>
  <c r="BJ4" i="14"/>
  <c r="BK224" i="14"/>
  <c r="BK220" i="14"/>
  <c r="BK216" i="14"/>
  <c r="BK212" i="14"/>
  <c r="BK208" i="14"/>
  <c r="BK204" i="14"/>
  <c r="BK200" i="14"/>
  <c r="BK196" i="14"/>
  <c r="BK192" i="14"/>
  <c r="BK188" i="14"/>
  <c r="BK184" i="14"/>
  <c r="BK180" i="14"/>
  <c r="BK176" i="14"/>
  <c r="BK172" i="14"/>
  <c r="BK168" i="14"/>
  <c r="BK164" i="14"/>
  <c r="BK160" i="14"/>
  <c r="BK156" i="14"/>
  <c r="BK152" i="14"/>
  <c r="BK148" i="14"/>
  <c r="BK144" i="14"/>
  <c r="BK140" i="14"/>
  <c r="BK136" i="14"/>
  <c r="BK132" i="14"/>
  <c r="BK128" i="14"/>
  <c r="BK124" i="14"/>
  <c r="BK120" i="14"/>
  <c r="BK116" i="14"/>
  <c r="BK112" i="14"/>
  <c r="BK108" i="14"/>
  <c r="BK104" i="14"/>
  <c r="BK100" i="14"/>
  <c r="BK96" i="14"/>
  <c r="BK92" i="14"/>
  <c r="BK88" i="14"/>
  <c r="BK84" i="14"/>
  <c r="BK80" i="14"/>
  <c r="BK76" i="14"/>
  <c r="BK72" i="14"/>
  <c r="BK68" i="14"/>
  <c r="BK64" i="14"/>
  <c r="BK60" i="14"/>
  <c r="BK56" i="14"/>
  <c r="BK52" i="14"/>
  <c r="BK48" i="14"/>
  <c r="BK44" i="14"/>
  <c r="BK40" i="14"/>
  <c r="BK36" i="14"/>
  <c r="BK32" i="14"/>
  <c r="BK28" i="14"/>
  <c r="BK24" i="14"/>
  <c r="BK20" i="14"/>
  <c r="BK16" i="14"/>
  <c r="BK12" i="14"/>
  <c r="BK8" i="14"/>
  <c r="BK4" i="14"/>
  <c r="BJ224" i="14"/>
  <c r="BJ208" i="14"/>
  <c r="BJ192" i="14"/>
  <c r="BJ176" i="14"/>
  <c r="BJ160" i="14"/>
  <c r="BJ144" i="14"/>
  <c r="BJ128" i="14"/>
  <c r="BJ112" i="14"/>
  <c r="BJ96" i="14"/>
  <c r="BJ80" i="14"/>
  <c r="BJ64" i="14"/>
  <c r="BJ48" i="14"/>
  <c r="BJ32" i="14"/>
  <c r="BJ16" i="14"/>
  <c r="BK227" i="14"/>
  <c r="BK223" i="14"/>
  <c r="BK219" i="14"/>
  <c r="BK215" i="14"/>
  <c r="BK211" i="14"/>
  <c r="BK207" i="14"/>
  <c r="BK203" i="14"/>
  <c r="BK199" i="14"/>
  <c r="BK195" i="14"/>
  <c r="BK191" i="14"/>
  <c r="BK187" i="14"/>
  <c r="BK183" i="14"/>
  <c r="BK179" i="14"/>
  <c r="BK175" i="14"/>
  <c r="BK171" i="14"/>
  <c r="BK167" i="14"/>
  <c r="BK163" i="14"/>
  <c r="BK159" i="14"/>
  <c r="BK155" i="14"/>
  <c r="BK151" i="14"/>
  <c r="BK147" i="14"/>
  <c r="BK143" i="14"/>
  <c r="BK139" i="14"/>
  <c r="BK135" i="14"/>
  <c r="BK131" i="14"/>
  <c r="BK127" i="14"/>
  <c r="BK123" i="14"/>
  <c r="BK119" i="14"/>
  <c r="BK115" i="14"/>
  <c r="BK111" i="14"/>
  <c r="BK107" i="14"/>
  <c r="BK103" i="14"/>
  <c r="BK99" i="14"/>
  <c r="BK95" i="14"/>
  <c r="BK91" i="14"/>
  <c r="BK87" i="14"/>
  <c r="BK83" i="14"/>
  <c r="BK79" i="14"/>
  <c r="BK75" i="14"/>
  <c r="BK71" i="14"/>
  <c r="BK67" i="14"/>
  <c r="BK63" i="14"/>
  <c r="BK59" i="14"/>
  <c r="BK55" i="14"/>
  <c r="BK51" i="14"/>
  <c r="BK47" i="14"/>
  <c r="BK43" i="14"/>
  <c r="BK39" i="14"/>
  <c r="BK35" i="14"/>
  <c r="BK31" i="14"/>
  <c r="BK27" i="14"/>
  <c r="BK23" i="14"/>
  <c r="BK19" i="14"/>
  <c r="BK15" i="14"/>
  <c r="BK11" i="14"/>
  <c r="BK7" i="14"/>
  <c r="BK3" i="14"/>
  <c r="BJ220" i="14"/>
  <c r="BJ204" i="14"/>
  <c r="BJ188" i="14"/>
  <c r="BJ172" i="14"/>
  <c r="BJ156" i="14"/>
  <c r="BJ140" i="14"/>
  <c r="BJ124" i="14"/>
  <c r="BJ108" i="14"/>
  <c r="BJ92" i="14"/>
  <c r="BJ76" i="14"/>
  <c r="BJ60" i="14"/>
  <c r="BJ44" i="14"/>
  <c r="BJ28" i="14"/>
  <c r="BJ12" i="14"/>
  <c r="BK226" i="14"/>
  <c r="BK222" i="14"/>
  <c r="BK218" i="14"/>
  <c r="BK214" i="14"/>
  <c r="BK210" i="14"/>
  <c r="BK206" i="14"/>
  <c r="BK202" i="14"/>
  <c r="BK198" i="14"/>
  <c r="BK194" i="14"/>
  <c r="BK190" i="14"/>
  <c r="BK186" i="14"/>
  <c r="BK182" i="14"/>
  <c r="BK178" i="14"/>
  <c r="BK174" i="14"/>
  <c r="BK170" i="14"/>
  <c r="BK166" i="14"/>
  <c r="BK162" i="14"/>
  <c r="BK158" i="14"/>
  <c r="BK154" i="14"/>
  <c r="BK150" i="14"/>
  <c r="BK146" i="14"/>
  <c r="BK142" i="14"/>
  <c r="BK138" i="14"/>
  <c r="BK134" i="14"/>
  <c r="BK130" i="14"/>
  <c r="BK126" i="14"/>
  <c r="BK122" i="14"/>
  <c r="BK118" i="14"/>
  <c r="BK114" i="14"/>
  <c r="BK110" i="14"/>
  <c r="BK106" i="14"/>
  <c r="BK102" i="14"/>
  <c r="BK98" i="14"/>
  <c r="BK94" i="14"/>
  <c r="BK90" i="14"/>
  <c r="BK86" i="14"/>
  <c r="BK82" i="14"/>
  <c r="BK78" i="14"/>
  <c r="BK74" i="14"/>
  <c r="BK70" i="14"/>
  <c r="BK66" i="14"/>
  <c r="BK62" i="14"/>
  <c r="BK58" i="14"/>
  <c r="BK54" i="14"/>
  <c r="BK50" i="14"/>
  <c r="BK46" i="14"/>
  <c r="BK42" i="14"/>
  <c r="BK38" i="14"/>
  <c r="BK34" i="14"/>
  <c r="BK30" i="14"/>
  <c r="BK26" i="14"/>
  <c r="BK22" i="14"/>
  <c r="BK18" i="14"/>
  <c r="BK14" i="14"/>
  <c r="BK10" i="14"/>
  <c r="BK6" i="14"/>
  <c r="BK2" i="14"/>
  <c r="Z13" i="14"/>
  <c r="BJ13" i="14"/>
  <c r="Z19" i="14"/>
  <c r="BJ19" i="14"/>
  <c r="Z23" i="14"/>
  <c r="BJ23" i="14"/>
  <c r="Z29" i="14"/>
  <c r="BJ29" i="14"/>
  <c r="Z33" i="14"/>
  <c r="BJ33" i="14"/>
  <c r="Z39" i="14"/>
  <c r="BJ39" i="14"/>
  <c r="Z45" i="14"/>
  <c r="BJ45" i="14"/>
  <c r="Z47" i="14"/>
  <c r="BJ47" i="14"/>
  <c r="Z53" i="14"/>
  <c r="BJ53" i="14"/>
  <c r="Z57" i="14"/>
  <c r="BJ57" i="14"/>
  <c r="Z63" i="14"/>
  <c r="BJ63" i="14"/>
  <c r="Z67" i="14"/>
  <c r="BJ67" i="14"/>
  <c r="Z71" i="14"/>
  <c r="BJ71" i="14"/>
  <c r="Z75" i="14"/>
  <c r="BJ75" i="14"/>
  <c r="Z79" i="14"/>
  <c r="BJ79" i="14"/>
  <c r="Z85" i="14"/>
  <c r="BJ85" i="14"/>
  <c r="Z89" i="14"/>
  <c r="BJ89" i="14"/>
  <c r="Z95" i="14"/>
  <c r="BJ95" i="14"/>
  <c r="Z99" i="14"/>
  <c r="BJ99" i="14"/>
  <c r="Z105" i="14"/>
  <c r="BJ105" i="14"/>
  <c r="Z109" i="14"/>
  <c r="BJ109" i="14"/>
  <c r="Z115" i="14"/>
  <c r="BJ115" i="14"/>
  <c r="Z119" i="14"/>
  <c r="BJ119" i="14"/>
  <c r="Z183" i="14"/>
  <c r="BJ183" i="14"/>
  <c r="Z187" i="14"/>
  <c r="BJ187" i="14"/>
  <c r="Z191" i="14"/>
  <c r="BJ191" i="14"/>
  <c r="Z195" i="14"/>
  <c r="BJ195" i="14"/>
  <c r="Z199" i="14"/>
  <c r="BJ199" i="14"/>
  <c r="Z203" i="14"/>
  <c r="BJ203" i="14"/>
  <c r="Z207" i="14"/>
  <c r="BJ207" i="14"/>
  <c r="Z227" i="14"/>
  <c r="BJ227" i="14"/>
  <c r="BJ225" i="14"/>
  <c r="BJ217" i="14"/>
  <c r="BJ209" i="14"/>
  <c r="BJ201" i="14"/>
  <c r="BJ193" i="14"/>
  <c r="BJ185" i="14"/>
  <c r="BJ177" i="14"/>
  <c r="BJ169" i="14"/>
  <c r="BJ161" i="14"/>
  <c r="BJ153" i="14"/>
  <c r="BJ145" i="14"/>
  <c r="BJ137" i="14"/>
  <c r="BJ129" i="14"/>
  <c r="BJ121" i="14"/>
  <c r="BJ9" i="14"/>
  <c r="Z5" i="14"/>
  <c r="BJ5" i="14"/>
  <c r="Z11" i="14"/>
  <c r="BJ11" i="14"/>
  <c r="Z17" i="14"/>
  <c r="BJ17" i="14"/>
  <c r="Z25" i="14"/>
  <c r="BJ25" i="14"/>
  <c r="Z35" i="14"/>
  <c r="BJ35" i="14"/>
  <c r="Z41" i="14"/>
  <c r="BJ41" i="14"/>
  <c r="Z51" i="14"/>
  <c r="BJ51" i="14"/>
  <c r="Z61" i="14"/>
  <c r="BJ61" i="14"/>
  <c r="Z73" i="14"/>
  <c r="BJ73" i="14"/>
  <c r="Z83" i="14"/>
  <c r="BJ83" i="14"/>
  <c r="Z91" i="14"/>
  <c r="BJ91" i="14"/>
  <c r="Z101" i="14"/>
  <c r="BJ101" i="14"/>
  <c r="Z111" i="14"/>
  <c r="BJ111" i="14"/>
  <c r="Z123" i="14"/>
  <c r="BJ123" i="14"/>
  <c r="Z127" i="14"/>
  <c r="BJ127" i="14"/>
  <c r="Z131" i="14"/>
  <c r="BJ131" i="14"/>
  <c r="Z135" i="14"/>
  <c r="BJ135" i="14"/>
  <c r="Z139" i="14"/>
  <c r="BJ139" i="14"/>
  <c r="Z143" i="14"/>
  <c r="BJ143" i="14"/>
  <c r="Z147" i="14"/>
  <c r="BJ147" i="14"/>
  <c r="Z151" i="14"/>
  <c r="BJ151" i="14"/>
  <c r="Z155" i="14"/>
  <c r="BJ155" i="14"/>
  <c r="Z179" i="14"/>
  <c r="BJ179" i="14"/>
  <c r="Z211" i="14"/>
  <c r="BJ211" i="14"/>
  <c r="Z215" i="14"/>
  <c r="BJ215" i="14"/>
  <c r="BJ221" i="14"/>
  <c r="BJ213" i="14"/>
  <c r="BJ205" i="14"/>
  <c r="BJ197" i="14"/>
  <c r="BJ189" i="14"/>
  <c r="BJ181" i="14"/>
  <c r="BJ173" i="14"/>
  <c r="BJ165" i="14"/>
  <c r="BJ157" i="14"/>
  <c r="BJ149" i="14"/>
  <c r="BJ141" i="14"/>
  <c r="BJ133" i="14"/>
  <c r="BJ125" i="14"/>
  <c r="Z3" i="14"/>
  <c r="BJ3" i="14"/>
  <c r="Z7" i="14"/>
  <c r="BJ7" i="14"/>
  <c r="Z15" i="14"/>
  <c r="BJ15" i="14"/>
  <c r="Z21" i="14"/>
  <c r="BJ21" i="14"/>
  <c r="Z27" i="14"/>
  <c r="BJ27" i="14"/>
  <c r="Z31" i="14"/>
  <c r="BJ31" i="14"/>
  <c r="Z37" i="14"/>
  <c r="BJ37" i="14"/>
  <c r="Z43" i="14"/>
  <c r="BJ43" i="14"/>
  <c r="Z49" i="14"/>
  <c r="BJ49" i="14"/>
  <c r="Z55" i="14"/>
  <c r="BJ55" i="14"/>
  <c r="Z59" i="14"/>
  <c r="BJ59" i="14"/>
  <c r="Z65" i="14"/>
  <c r="BJ65" i="14"/>
  <c r="Z69" i="14"/>
  <c r="BJ69" i="14"/>
  <c r="Z77" i="14"/>
  <c r="BJ77" i="14"/>
  <c r="Z81" i="14"/>
  <c r="BJ81" i="14"/>
  <c r="Z87" i="14"/>
  <c r="BJ87" i="14"/>
  <c r="Z93" i="14"/>
  <c r="BJ93" i="14"/>
  <c r="Z97" i="14"/>
  <c r="BJ97" i="14"/>
  <c r="Z103" i="14"/>
  <c r="BJ103" i="14"/>
  <c r="Z107" i="14"/>
  <c r="BJ107" i="14"/>
  <c r="Z113" i="14"/>
  <c r="BJ113" i="14"/>
  <c r="Z117" i="14"/>
  <c r="BJ117" i="14"/>
  <c r="Z159" i="14"/>
  <c r="BJ159" i="14"/>
  <c r="Z163" i="14"/>
  <c r="BJ163" i="14"/>
  <c r="Z167" i="14"/>
  <c r="BJ167" i="14"/>
  <c r="Z171" i="14"/>
  <c r="BJ171" i="14"/>
  <c r="Z175" i="14"/>
  <c r="BJ175" i="14"/>
  <c r="Z219" i="14"/>
  <c r="BJ219" i="14"/>
  <c r="Z223" i="14"/>
  <c r="BJ223" i="14"/>
  <c r="BJ226" i="14"/>
  <c r="BJ222" i="14"/>
  <c r="BJ218" i="14"/>
  <c r="BJ214" i="14"/>
  <c r="BJ210" i="14"/>
  <c r="BJ206" i="14"/>
  <c r="BJ202" i="14"/>
  <c r="BJ198" i="14"/>
  <c r="BJ194" i="14"/>
  <c r="BJ190" i="14"/>
  <c r="BJ186" i="14"/>
  <c r="BJ182" i="14"/>
  <c r="BJ178" i="14"/>
  <c r="BJ174" i="14"/>
  <c r="BJ170" i="14"/>
  <c r="BJ166" i="14"/>
  <c r="BJ162" i="14"/>
  <c r="BJ158" i="14"/>
  <c r="BJ154" i="14"/>
  <c r="BJ150" i="14"/>
  <c r="BJ146" i="14"/>
  <c r="BJ142" i="14"/>
  <c r="BJ138" i="14"/>
  <c r="BJ134" i="14"/>
  <c r="BJ130" i="14"/>
  <c r="BJ126" i="14"/>
  <c r="BJ122" i="14"/>
  <c r="BJ118" i="14"/>
  <c r="BJ114" i="14"/>
  <c r="BJ110" i="14"/>
  <c r="BJ106" i="14"/>
  <c r="BJ102" i="14"/>
  <c r="BJ98" i="14"/>
  <c r="BJ94" i="14"/>
  <c r="BJ90" i="14"/>
  <c r="BJ86" i="14"/>
  <c r="BJ82" i="14"/>
  <c r="BJ78" i="14"/>
  <c r="BJ74" i="14"/>
  <c r="BJ70" i="14"/>
  <c r="BJ66" i="14"/>
  <c r="BJ62" i="14"/>
  <c r="BJ58" i="14"/>
  <c r="BJ54" i="14"/>
  <c r="BJ50" i="14"/>
  <c r="BJ46" i="14"/>
  <c r="BJ42" i="14"/>
  <c r="BJ38" i="14"/>
  <c r="BJ34" i="14"/>
  <c r="BJ30" i="14"/>
  <c r="BJ26" i="14"/>
  <c r="BJ22" i="14"/>
  <c r="BJ18" i="14"/>
  <c r="BJ14" i="14"/>
  <c r="BJ10" i="14"/>
  <c r="BJ6" i="14"/>
  <c r="BJ2" i="14"/>
  <c r="H30" i="4" l="1"/>
  <c r="AA2" i="15"/>
  <c r="P161" i="15"/>
  <c r="Q161" i="15" s="1"/>
  <c r="R161" i="15" s="1"/>
  <c r="P90" i="15"/>
  <c r="Q90" i="15" s="1"/>
  <c r="R90" i="15" s="1"/>
  <c r="BI193" i="15"/>
  <c r="BJ193" i="15" s="1"/>
  <c r="BK193" i="15" s="1"/>
  <c r="BI15" i="15"/>
  <c r="BJ15" i="15" s="1"/>
  <c r="BK15" i="15" s="1"/>
  <c r="DH27" i="15"/>
  <c r="DI27" i="15" s="1"/>
  <c r="DJ27" i="15" s="1"/>
  <c r="DH43" i="15"/>
  <c r="DI43" i="15" s="1"/>
  <c r="DJ43" i="15" s="1"/>
  <c r="DH107" i="15"/>
  <c r="DI107" i="15" s="1"/>
  <c r="DJ107" i="15" s="1"/>
  <c r="DH171" i="15"/>
  <c r="DI171" i="15" s="1"/>
  <c r="DJ171" i="15" s="1"/>
  <c r="DH8" i="15"/>
  <c r="DI8" i="15" s="1"/>
  <c r="DJ8" i="15" s="1"/>
  <c r="DH64" i="15"/>
  <c r="DI64" i="15" s="1"/>
  <c r="DJ64" i="15" s="1"/>
  <c r="DH96" i="15"/>
  <c r="DI96" i="15" s="1"/>
  <c r="DJ96" i="15" s="1"/>
  <c r="DH63" i="15"/>
  <c r="DI63" i="15" s="1"/>
  <c r="DJ63" i="15" s="1"/>
  <c r="DH127" i="15"/>
  <c r="DI127" i="15" s="1"/>
  <c r="DJ127" i="15" s="1"/>
  <c r="DH191" i="15"/>
  <c r="DI191" i="15" s="1"/>
  <c r="DJ191" i="15" s="1"/>
  <c r="DH28" i="15"/>
  <c r="DI28" i="15" s="1"/>
  <c r="DJ28" i="15" s="1"/>
  <c r="DH76" i="15"/>
  <c r="DI76" i="15" s="1"/>
  <c r="DJ76" i="15" s="1"/>
  <c r="DH108" i="15"/>
  <c r="DI108" i="15" s="1"/>
  <c r="DJ108" i="15" s="1"/>
  <c r="DQ8" i="15"/>
  <c r="DR8" i="15" s="1"/>
  <c r="DS8" i="15" s="1"/>
  <c r="DQ44" i="15"/>
  <c r="DR44" i="15" s="1"/>
  <c r="DS44" i="15" s="1"/>
  <c r="DQ6" i="15"/>
  <c r="DR6" i="15" s="1"/>
  <c r="DS6" i="15" s="1"/>
  <c r="DQ70" i="15"/>
  <c r="DR70" i="15" s="1"/>
  <c r="DS70" i="15" s="1"/>
  <c r="DQ65" i="15"/>
  <c r="DR65" i="15" s="1"/>
  <c r="DS65" i="15" s="1"/>
  <c r="DQ149" i="15"/>
  <c r="DR149" i="15" s="1"/>
  <c r="DS149" i="15" s="1"/>
  <c r="DQ213" i="15"/>
  <c r="DR213" i="15" s="1"/>
  <c r="DS213" i="15" s="1"/>
  <c r="DQ99" i="15"/>
  <c r="DR99" i="15" s="1"/>
  <c r="DS99" i="15" s="1"/>
  <c r="DQ166" i="15"/>
  <c r="DR166" i="15" s="1"/>
  <c r="DS166" i="15" s="1"/>
  <c r="DQ5" i="15"/>
  <c r="DR5" i="15" s="1"/>
  <c r="DS5" i="15" s="1"/>
  <c r="DQ119" i="15"/>
  <c r="DR119" i="15" s="1"/>
  <c r="DS119" i="15" s="1"/>
  <c r="DQ183" i="15"/>
  <c r="DR183" i="15" s="1"/>
  <c r="DS183" i="15" s="1"/>
  <c r="DQ120" i="15"/>
  <c r="DR120" i="15" s="1"/>
  <c r="DS120" i="15" s="1"/>
  <c r="DQ204" i="15"/>
  <c r="DR204" i="15" s="1"/>
  <c r="DS204" i="15" s="1"/>
  <c r="DQ132" i="15"/>
  <c r="DR132" i="15" s="1"/>
  <c r="DS132" i="15" s="1"/>
  <c r="DQ56" i="15"/>
  <c r="DR56" i="15" s="1"/>
  <c r="DS56" i="15" s="1"/>
  <c r="DQ18" i="15"/>
  <c r="DR18" i="15" s="1"/>
  <c r="DS18" i="15" s="1"/>
  <c r="DQ82" i="15"/>
  <c r="DR82" i="15" s="1"/>
  <c r="DS82" i="15" s="1"/>
  <c r="DQ89" i="15"/>
  <c r="DR89" i="15" s="1"/>
  <c r="DS89" i="15" s="1"/>
  <c r="DQ161" i="15"/>
  <c r="DR161" i="15" s="1"/>
  <c r="DS161" i="15" s="1"/>
  <c r="DQ225" i="15"/>
  <c r="DR225" i="15" s="1"/>
  <c r="DS225" i="15" s="1"/>
  <c r="DQ114" i="15"/>
  <c r="DR114" i="15" s="1"/>
  <c r="DS114" i="15" s="1"/>
  <c r="DQ178" i="15"/>
  <c r="DR178" i="15" s="1"/>
  <c r="DS178" i="15" s="1"/>
  <c r="DQ29" i="15"/>
  <c r="DR29" i="15" s="1"/>
  <c r="DS29" i="15" s="1"/>
  <c r="DQ131" i="15"/>
  <c r="DR131" i="15" s="1"/>
  <c r="DS131" i="15" s="1"/>
  <c r="DQ195" i="15"/>
  <c r="DR195" i="15" s="1"/>
  <c r="DS195" i="15" s="1"/>
  <c r="DQ168" i="15"/>
  <c r="DR168" i="15" s="1"/>
  <c r="DS168" i="15" s="1"/>
  <c r="DQ55" i="15"/>
  <c r="DR55" i="15" s="1"/>
  <c r="DS55" i="15" s="1"/>
  <c r="DQ148" i="15"/>
  <c r="DR148" i="15" s="1"/>
  <c r="DS148" i="15" s="1"/>
  <c r="S15" i="15"/>
  <c r="T15" i="15" s="1"/>
  <c r="U15" i="15" s="1"/>
  <c r="S51" i="15"/>
  <c r="T51" i="15" s="1"/>
  <c r="U51" i="15" s="1"/>
  <c r="S115" i="15"/>
  <c r="T115" i="15" s="1"/>
  <c r="U115" i="15" s="1"/>
  <c r="S179" i="15"/>
  <c r="T179" i="15" s="1"/>
  <c r="U179" i="15" s="1"/>
  <c r="S34" i="15"/>
  <c r="T34" i="15" s="1"/>
  <c r="U34" i="15" s="1"/>
  <c r="S218" i="15"/>
  <c r="T218" i="15" s="1"/>
  <c r="U218" i="15" s="1"/>
  <c r="S64" i="15"/>
  <c r="T64" i="15" s="1"/>
  <c r="U64" i="15" s="1"/>
  <c r="S128" i="15"/>
  <c r="T128" i="15" s="1"/>
  <c r="U128" i="15" s="1"/>
  <c r="S192" i="15"/>
  <c r="T192" i="15" s="1"/>
  <c r="U192" i="15" s="1"/>
  <c r="S98" i="15"/>
  <c r="T98" i="15" s="1"/>
  <c r="U98" i="15" s="1"/>
  <c r="S25" i="15"/>
  <c r="T25" i="15" s="1"/>
  <c r="U25" i="15" s="1"/>
  <c r="S89" i="15"/>
  <c r="T89" i="15" s="1"/>
  <c r="U89" i="15" s="1"/>
  <c r="S153" i="15"/>
  <c r="T153" i="15" s="1"/>
  <c r="U153" i="15" s="1"/>
  <c r="S217" i="15"/>
  <c r="T217" i="15" s="1"/>
  <c r="U217" i="15" s="1"/>
  <c r="S166" i="15"/>
  <c r="T166" i="15" s="1"/>
  <c r="U166" i="15" s="1"/>
  <c r="S63" i="15"/>
  <c r="T63" i="15" s="1"/>
  <c r="U63" i="15" s="1"/>
  <c r="S127" i="15"/>
  <c r="T127" i="15" s="1"/>
  <c r="U127" i="15" s="1"/>
  <c r="S191" i="15"/>
  <c r="T191" i="15" s="1"/>
  <c r="U191" i="15" s="1"/>
  <c r="S70" i="15"/>
  <c r="T70" i="15" s="1"/>
  <c r="U70" i="15" s="1"/>
  <c r="S12" i="15"/>
  <c r="T12" i="15" s="1"/>
  <c r="U12" i="15" s="1"/>
  <c r="S76" i="15"/>
  <c r="T76" i="15" s="1"/>
  <c r="U76" i="15" s="1"/>
  <c r="S140" i="15"/>
  <c r="T140" i="15" s="1"/>
  <c r="U140" i="15" s="1"/>
  <c r="S204" i="15"/>
  <c r="T204" i="15" s="1"/>
  <c r="U204" i="15" s="1"/>
  <c r="S134" i="15"/>
  <c r="T134" i="15" s="1"/>
  <c r="U134" i="15" s="1"/>
  <c r="S37" i="15"/>
  <c r="T37" i="15" s="1"/>
  <c r="U37" i="15" s="1"/>
  <c r="S101" i="15"/>
  <c r="T101" i="15" s="1"/>
  <c r="U101" i="15" s="1"/>
  <c r="S165" i="15"/>
  <c r="T165" i="15" s="1"/>
  <c r="U165" i="15" s="1"/>
  <c r="S6" i="15"/>
  <c r="T6" i="15" s="1"/>
  <c r="U6" i="15" s="1"/>
  <c r="S202" i="15"/>
  <c r="T202" i="15" s="1"/>
  <c r="U202" i="15" s="1"/>
  <c r="CV7" i="15"/>
  <c r="CW7" i="15" s="1"/>
  <c r="CX7" i="15" s="1"/>
  <c r="CV19" i="15"/>
  <c r="CW19" i="15" s="1"/>
  <c r="CX19" i="15" s="1"/>
  <c r="CV83" i="15"/>
  <c r="CW83" i="15" s="1"/>
  <c r="CX83" i="15" s="1"/>
  <c r="CV147" i="15"/>
  <c r="CW147" i="15" s="1"/>
  <c r="CX147" i="15" s="1"/>
  <c r="CV211" i="15"/>
  <c r="CW211" i="15" s="1"/>
  <c r="CX211" i="15" s="1"/>
  <c r="CV48" i="15"/>
  <c r="CW48" i="15" s="1"/>
  <c r="CX48" i="15" s="1"/>
  <c r="CV112" i="15"/>
  <c r="CW112" i="15" s="1"/>
  <c r="CX112" i="15" s="1"/>
  <c r="CV176" i="15"/>
  <c r="CW176" i="15" s="1"/>
  <c r="CX176" i="15" s="1"/>
  <c r="CV13" i="15"/>
  <c r="CW13" i="15" s="1"/>
  <c r="CX13" i="15" s="1"/>
  <c r="CV77" i="15"/>
  <c r="CW77" i="15" s="1"/>
  <c r="CX77" i="15" s="1"/>
  <c r="CV141" i="15"/>
  <c r="CW141" i="15" s="1"/>
  <c r="CX141" i="15" s="1"/>
  <c r="CV205" i="15"/>
  <c r="CW205" i="15" s="1"/>
  <c r="CX205" i="15" s="1"/>
  <c r="CV174" i="15"/>
  <c r="CW174" i="15" s="1"/>
  <c r="CX174" i="15" s="1"/>
  <c r="CV210" i="15"/>
  <c r="CW210" i="15" s="1"/>
  <c r="CX210" i="15" s="1"/>
  <c r="CV26" i="15"/>
  <c r="CW26" i="15" s="1"/>
  <c r="CX26" i="15" s="1"/>
  <c r="CV23" i="15"/>
  <c r="CW23" i="15" s="1"/>
  <c r="CX23" i="15" s="1"/>
  <c r="CV87" i="15"/>
  <c r="CW87" i="15" s="1"/>
  <c r="CX87" i="15" s="1"/>
  <c r="CV151" i="15"/>
  <c r="CW151" i="15" s="1"/>
  <c r="CX151" i="15" s="1"/>
  <c r="CV215" i="15"/>
  <c r="CW215" i="15" s="1"/>
  <c r="CX215" i="15" s="1"/>
  <c r="CV52" i="15"/>
  <c r="CW52" i="15" s="1"/>
  <c r="CX52" i="15" s="1"/>
  <c r="CV116" i="15"/>
  <c r="CW116" i="15" s="1"/>
  <c r="CX116" i="15" s="1"/>
  <c r="CV180" i="15"/>
  <c r="CW180" i="15" s="1"/>
  <c r="CX180" i="15" s="1"/>
  <c r="CV17" i="15"/>
  <c r="CW17" i="15" s="1"/>
  <c r="CX17" i="15" s="1"/>
  <c r="CV81" i="15"/>
  <c r="CW81" i="15" s="1"/>
  <c r="CX81" i="15" s="1"/>
  <c r="CV145" i="15"/>
  <c r="CW145" i="15" s="1"/>
  <c r="CX145" i="15" s="1"/>
  <c r="CV209" i="15"/>
  <c r="CW209" i="15" s="1"/>
  <c r="CX209" i="15" s="1"/>
  <c r="CV190" i="15"/>
  <c r="CW190" i="15" s="1"/>
  <c r="CX190" i="15" s="1"/>
  <c r="CV226" i="15"/>
  <c r="CW226" i="15" s="1"/>
  <c r="CX226" i="15" s="1"/>
  <c r="CV90" i="15"/>
  <c r="CW90" i="15" s="1"/>
  <c r="CX90" i="15" s="1"/>
  <c r="G8" i="15"/>
  <c r="H8" i="15" s="1"/>
  <c r="I8" i="15" s="1"/>
  <c r="G64" i="15"/>
  <c r="H64" i="15" s="1"/>
  <c r="I64" i="15" s="1"/>
  <c r="G144" i="15"/>
  <c r="H144" i="15" s="1"/>
  <c r="I144" i="15" s="1"/>
  <c r="G57" i="15"/>
  <c r="H57" i="15" s="1"/>
  <c r="I57" i="15" s="1"/>
  <c r="G121" i="15"/>
  <c r="H121" i="15" s="1"/>
  <c r="I121" i="15" s="1"/>
  <c r="G34" i="15"/>
  <c r="H34" i="15" s="1"/>
  <c r="I34" i="15" s="1"/>
  <c r="G98" i="15"/>
  <c r="H98" i="15" s="1"/>
  <c r="I98" i="15" s="1"/>
  <c r="G39" i="15"/>
  <c r="H39" i="15" s="1"/>
  <c r="I39" i="15" s="1"/>
  <c r="G188" i="15"/>
  <c r="H188" i="15" s="1"/>
  <c r="I188" i="15" s="1"/>
  <c r="G107" i="15"/>
  <c r="H107" i="15" s="1"/>
  <c r="I107" i="15" s="1"/>
  <c r="G205" i="15"/>
  <c r="H205" i="15" s="1"/>
  <c r="I205" i="15" s="1"/>
  <c r="G158" i="15"/>
  <c r="H158" i="15" s="1"/>
  <c r="I158" i="15" s="1"/>
  <c r="G222" i="15"/>
  <c r="H222" i="15" s="1"/>
  <c r="I222" i="15" s="1"/>
  <c r="G183" i="15"/>
  <c r="H183" i="15" s="1"/>
  <c r="I183" i="15" s="1"/>
  <c r="G80" i="15"/>
  <c r="H80" i="15" s="1"/>
  <c r="I80" i="15" s="1"/>
  <c r="G5" i="15"/>
  <c r="H5" i="15" s="1"/>
  <c r="I5" i="15" s="1"/>
  <c r="G69" i="15"/>
  <c r="H69" i="15" s="1"/>
  <c r="I69" i="15" s="1"/>
  <c r="G133" i="15"/>
  <c r="H133" i="15" s="1"/>
  <c r="I133" i="15" s="1"/>
  <c r="G46" i="15"/>
  <c r="H46" i="15" s="1"/>
  <c r="I46" i="15" s="1"/>
  <c r="G110" i="15"/>
  <c r="H110" i="15" s="1"/>
  <c r="I110" i="15" s="1"/>
  <c r="G87" i="15"/>
  <c r="H87" i="15" s="1"/>
  <c r="I87" i="15" s="1"/>
  <c r="G200" i="15"/>
  <c r="H200" i="15" s="1"/>
  <c r="I200" i="15" s="1"/>
  <c r="G153" i="15"/>
  <c r="H153" i="15" s="1"/>
  <c r="I153" i="15" s="1"/>
  <c r="G217" i="15"/>
  <c r="H217" i="15" s="1"/>
  <c r="I217" i="15" s="1"/>
  <c r="G170" i="15"/>
  <c r="H170" i="15" s="1"/>
  <c r="I170" i="15" s="1"/>
  <c r="G67" i="15"/>
  <c r="H67" i="15" s="1"/>
  <c r="I67" i="15" s="1"/>
  <c r="G51" i="15"/>
  <c r="H51" i="15" s="1"/>
  <c r="I51" i="15" s="1"/>
  <c r="DZ61" i="15"/>
  <c r="EA61" i="15" s="1"/>
  <c r="EB61" i="15" s="1"/>
  <c r="DZ14" i="15"/>
  <c r="EA14" i="15" s="1"/>
  <c r="EB14" i="15" s="1"/>
  <c r="DZ30" i="15"/>
  <c r="EA30" i="15" s="1"/>
  <c r="EB30" i="15" s="1"/>
  <c r="CG30" i="15"/>
  <c r="CH30" i="15" s="1"/>
  <c r="CI30" i="15" s="1"/>
  <c r="CG110" i="15"/>
  <c r="CH110" i="15" s="1"/>
  <c r="CI110" i="15" s="1"/>
  <c r="CG7" i="15"/>
  <c r="CH7" i="15" s="1"/>
  <c r="CI7" i="15" s="1"/>
  <c r="CG135" i="15"/>
  <c r="CH135" i="15" s="1"/>
  <c r="CI135" i="15" s="1"/>
  <c r="CG36" i="15"/>
  <c r="CH36" i="15" s="1"/>
  <c r="CI36" i="15" s="1"/>
  <c r="CG164" i="15"/>
  <c r="CH164" i="15" s="1"/>
  <c r="CI164" i="15" s="1"/>
  <c r="CG41" i="15"/>
  <c r="CH41" i="15" s="1"/>
  <c r="CI41" i="15" s="1"/>
  <c r="CG33" i="15"/>
  <c r="CH33" i="15" s="1"/>
  <c r="CI33" i="15" s="1"/>
  <c r="CG130" i="15"/>
  <c r="CH130" i="15" s="1"/>
  <c r="CI130" i="15" s="1"/>
  <c r="CG27" i="15"/>
  <c r="CH27" i="15" s="1"/>
  <c r="CI27" i="15" s="1"/>
  <c r="CG155" i="15"/>
  <c r="CH155" i="15" s="1"/>
  <c r="CI155" i="15" s="1"/>
  <c r="CG56" i="15"/>
  <c r="CH56" i="15" s="1"/>
  <c r="CI56" i="15" s="1"/>
  <c r="CG184" i="15"/>
  <c r="CH184" i="15" s="1"/>
  <c r="CI184" i="15" s="1"/>
  <c r="CG121" i="15"/>
  <c r="CH121" i="15" s="1"/>
  <c r="CI121" i="15" s="1"/>
  <c r="CG113" i="15"/>
  <c r="CH113" i="15" s="1"/>
  <c r="CI113" i="15" s="1"/>
  <c r="BR76" i="15"/>
  <c r="BS76" i="15" s="1"/>
  <c r="BT76" i="15" s="1"/>
  <c r="BR8" i="15"/>
  <c r="BS8" i="15" s="1"/>
  <c r="BT8" i="15" s="1"/>
  <c r="BR180" i="15"/>
  <c r="BS180" i="15" s="1"/>
  <c r="BT180" i="15" s="1"/>
  <c r="BR121" i="15"/>
  <c r="BS121" i="15" s="1"/>
  <c r="BT121" i="15" s="1"/>
  <c r="BR70" i="15"/>
  <c r="BS70" i="15" s="1"/>
  <c r="BT70" i="15" s="1"/>
  <c r="BR59" i="15"/>
  <c r="BS59" i="15" s="1"/>
  <c r="BT59" i="15" s="1"/>
  <c r="BR115" i="15"/>
  <c r="BS115" i="15" s="1"/>
  <c r="BT115" i="15" s="1"/>
  <c r="BR36" i="15"/>
  <c r="BS36" i="15" s="1"/>
  <c r="BT36" i="15" s="1"/>
  <c r="BR204" i="15"/>
  <c r="BS204" i="15" s="1"/>
  <c r="BT204" i="15" s="1"/>
  <c r="BR149" i="15"/>
  <c r="BS149" i="15" s="1"/>
  <c r="BT149" i="15" s="1"/>
  <c r="BR98" i="15"/>
  <c r="BS98" i="15" s="1"/>
  <c r="BT98" i="15" s="1"/>
  <c r="BR155" i="15"/>
  <c r="BS155" i="15" s="1"/>
  <c r="BT155" i="15" s="1"/>
  <c r="BR227" i="15"/>
  <c r="BS227" i="15" s="1"/>
  <c r="BT227" i="15" s="1"/>
  <c r="EF8" i="15"/>
  <c r="EG8" i="15" s="1"/>
  <c r="EH8" i="15" s="1"/>
  <c r="EF165" i="15"/>
  <c r="EG165" i="15" s="1"/>
  <c r="EH165" i="15" s="1"/>
  <c r="EF130" i="15"/>
  <c r="EG130" i="15" s="1"/>
  <c r="EH130" i="15" s="1"/>
  <c r="EF155" i="15"/>
  <c r="EG155" i="15" s="1"/>
  <c r="EH155" i="15" s="1"/>
  <c r="EF71" i="15"/>
  <c r="EG71" i="15" s="1"/>
  <c r="EH71" i="15" s="1"/>
  <c r="EF88" i="15"/>
  <c r="EG88" i="15" s="1"/>
  <c r="EH88" i="15" s="1"/>
  <c r="EF169" i="15"/>
  <c r="EG169" i="15" s="1"/>
  <c r="EH169" i="15" s="1"/>
  <c r="EF134" i="15"/>
  <c r="EG134" i="15" s="1"/>
  <c r="EH134" i="15" s="1"/>
  <c r="EF171" i="15"/>
  <c r="EG171" i="15" s="1"/>
  <c r="EH171" i="15" s="1"/>
  <c r="EF79" i="15"/>
  <c r="EG79" i="15" s="1"/>
  <c r="EH79" i="15" s="1"/>
  <c r="EF216" i="15"/>
  <c r="EG216" i="15" s="1"/>
  <c r="EH216" i="15" s="1"/>
  <c r="CJ211" i="15"/>
  <c r="CK211" i="15" s="1"/>
  <c r="CL211" i="15" s="1"/>
  <c r="CJ79" i="15"/>
  <c r="CK79" i="15" s="1"/>
  <c r="CL79" i="15" s="1"/>
  <c r="CJ141" i="15"/>
  <c r="CK141" i="15" s="1"/>
  <c r="CL141" i="15" s="1"/>
  <c r="CJ154" i="15"/>
  <c r="CK154" i="15" s="1"/>
  <c r="CL154" i="15" s="1"/>
  <c r="CJ83" i="15"/>
  <c r="CK83" i="15" s="1"/>
  <c r="CL83" i="15" s="1"/>
  <c r="CJ145" i="15"/>
  <c r="CK145" i="15" s="1"/>
  <c r="CL145" i="15" s="1"/>
  <c r="CJ218" i="15"/>
  <c r="CK218" i="15" s="1"/>
  <c r="CL218" i="15" s="1"/>
  <c r="BI21" i="15"/>
  <c r="BJ21" i="15" s="1"/>
  <c r="BK21" i="15" s="1"/>
  <c r="BI207" i="15"/>
  <c r="BJ207" i="15" s="1"/>
  <c r="BK207" i="15" s="1"/>
  <c r="BI178" i="15"/>
  <c r="BJ178" i="15" s="1"/>
  <c r="BK178" i="15" s="1"/>
  <c r="DH42" i="15"/>
  <c r="DI42" i="15" s="1"/>
  <c r="DJ42" i="15" s="1"/>
  <c r="DH10" i="15"/>
  <c r="DI10" i="15" s="1"/>
  <c r="DJ10" i="15" s="1"/>
  <c r="DH150" i="15"/>
  <c r="DI150" i="15" s="1"/>
  <c r="DJ150" i="15" s="1"/>
  <c r="DH22" i="15"/>
  <c r="DI22" i="15" s="1"/>
  <c r="DJ22" i="15" s="1"/>
  <c r="DH130" i="15"/>
  <c r="DI130" i="15" s="1"/>
  <c r="DJ130" i="15" s="1"/>
  <c r="DH222" i="15"/>
  <c r="DI222" i="15" s="1"/>
  <c r="DJ222" i="15" s="1"/>
  <c r="DH94" i="15"/>
  <c r="DI94" i="15" s="1"/>
  <c r="DJ94" i="15" s="1"/>
  <c r="DH217" i="15"/>
  <c r="DI217" i="15" s="1"/>
  <c r="DJ217" i="15" s="1"/>
  <c r="DH185" i="15"/>
  <c r="DI185" i="15" s="1"/>
  <c r="DJ185" i="15" s="1"/>
  <c r="DH153" i="15"/>
  <c r="DI153" i="15" s="1"/>
  <c r="DJ153" i="15" s="1"/>
  <c r="DH121" i="15"/>
  <c r="DI121" i="15" s="1"/>
  <c r="DJ121" i="15" s="1"/>
  <c r="DH89" i="15"/>
  <c r="DI89" i="15" s="1"/>
  <c r="DJ89" i="15" s="1"/>
  <c r="DH57" i="15"/>
  <c r="DI57" i="15" s="1"/>
  <c r="DJ57" i="15" s="1"/>
  <c r="DH25" i="15"/>
  <c r="DI25" i="15" s="1"/>
  <c r="DJ25" i="15" s="1"/>
  <c r="DH220" i="15"/>
  <c r="DI220" i="15" s="1"/>
  <c r="DJ220" i="15" s="1"/>
  <c r="DH188" i="15"/>
  <c r="DI188" i="15" s="1"/>
  <c r="DJ188" i="15" s="1"/>
  <c r="DH156" i="15"/>
  <c r="DI156" i="15" s="1"/>
  <c r="DJ156" i="15" s="1"/>
  <c r="DH124" i="15"/>
  <c r="DI124" i="15" s="1"/>
  <c r="DJ124" i="15" s="1"/>
  <c r="DH60" i="15"/>
  <c r="DI60" i="15" s="1"/>
  <c r="DJ60" i="15" s="1"/>
  <c r="DH159" i="15"/>
  <c r="DI159" i="15" s="1"/>
  <c r="DJ159" i="15" s="1"/>
  <c r="DH31" i="15"/>
  <c r="DI31" i="15" s="1"/>
  <c r="DJ31" i="15" s="1"/>
  <c r="DQ208" i="15"/>
  <c r="DR208" i="15" s="1"/>
  <c r="DS208" i="15" s="1"/>
  <c r="DQ227" i="15"/>
  <c r="DR227" i="15" s="1"/>
  <c r="DS227" i="15" s="1"/>
  <c r="DQ93" i="15"/>
  <c r="DR93" i="15" s="1"/>
  <c r="DS93" i="15" s="1"/>
  <c r="DQ146" i="15"/>
  <c r="DR146" i="15" s="1"/>
  <c r="DS146" i="15" s="1"/>
  <c r="DQ193" i="15"/>
  <c r="DR193" i="15" s="1"/>
  <c r="DS193" i="15" s="1"/>
  <c r="DQ25" i="15"/>
  <c r="DR25" i="15" s="1"/>
  <c r="DS25" i="15" s="1"/>
  <c r="DQ88" i="15"/>
  <c r="DR88" i="15" s="1"/>
  <c r="DS88" i="15" s="1"/>
  <c r="S102" i="15"/>
  <c r="T102" i="15" s="1"/>
  <c r="U102" i="15" s="1"/>
  <c r="S133" i="15"/>
  <c r="T133" i="15" s="1"/>
  <c r="U133" i="15" s="1"/>
  <c r="S5" i="15"/>
  <c r="T5" i="15" s="1"/>
  <c r="U5" i="15" s="1"/>
  <c r="S172" i="15"/>
  <c r="T172" i="15" s="1"/>
  <c r="U172" i="15" s="1"/>
  <c r="S44" i="15"/>
  <c r="T44" i="15" s="1"/>
  <c r="U44" i="15" s="1"/>
  <c r="S223" i="15"/>
  <c r="T223" i="15" s="1"/>
  <c r="U223" i="15" s="1"/>
  <c r="S95" i="15"/>
  <c r="T95" i="15" s="1"/>
  <c r="U95" i="15" s="1"/>
  <c r="CV186" i="15"/>
  <c r="CW186" i="15" s="1"/>
  <c r="CX186" i="15" s="1"/>
  <c r="CV98" i="15"/>
  <c r="CW98" i="15" s="1"/>
  <c r="CX98" i="15" s="1"/>
  <c r="CV177" i="15"/>
  <c r="CW177" i="15" s="1"/>
  <c r="CX177" i="15" s="1"/>
  <c r="CV49" i="15"/>
  <c r="CW49" i="15" s="1"/>
  <c r="CX49" i="15" s="1"/>
  <c r="CV148" i="15"/>
  <c r="CW148" i="15" s="1"/>
  <c r="CX148" i="15" s="1"/>
  <c r="CV20" i="15"/>
  <c r="CW20" i="15" s="1"/>
  <c r="CX20" i="15" s="1"/>
  <c r="CV119" i="15"/>
  <c r="CW119" i="15" s="1"/>
  <c r="CX119" i="15" s="1"/>
  <c r="G219" i="15"/>
  <c r="H219" i="15" s="1"/>
  <c r="I219" i="15" s="1"/>
  <c r="G202" i="15"/>
  <c r="H202" i="15" s="1"/>
  <c r="I202" i="15" s="1"/>
  <c r="G185" i="15"/>
  <c r="H185" i="15" s="1"/>
  <c r="I185" i="15" s="1"/>
  <c r="G168" i="15"/>
  <c r="H168" i="15" s="1"/>
  <c r="I168" i="15" s="1"/>
  <c r="G78" i="15"/>
  <c r="H78" i="15" s="1"/>
  <c r="I78" i="15" s="1"/>
  <c r="G101" i="15"/>
  <c r="H101" i="15" s="1"/>
  <c r="I101" i="15" s="1"/>
  <c r="G120" i="15"/>
  <c r="H120" i="15" s="1"/>
  <c r="I120" i="15" s="1"/>
  <c r="CG157" i="15"/>
  <c r="CH157" i="15" s="1"/>
  <c r="CI157" i="15" s="1"/>
  <c r="CG120" i="15"/>
  <c r="CH120" i="15" s="1"/>
  <c r="CI120" i="15" s="1"/>
  <c r="CG91" i="15"/>
  <c r="CH91" i="15" s="1"/>
  <c r="CI91" i="15" s="1"/>
  <c r="CG66" i="15"/>
  <c r="CH66" i="15" s="1"/>
  <c r="CI66" i="15" s="1"/>
  <c r="BR182" i="15"/>
  <c r="BS182" i="15" s="1"/>
  <c r="BT182" i="15" s="1"/>
  <c r="BR65" i="15"/>
  <c r="BS65" i="15" s="1"/>
  <c r="BT65" i="15" s="1"/>
  <c r="EF124" i="15"/>
  <c r="EG124" i="15" s="1"/>
  <c r="EH124" i="15" s="1"/>
  <c r="EF50" i="15"/>
  <c r="EG50" i="15" s="1"/>
  <c r="EH50" i="15" s="1"/>
  <c r="CJ130" i="15"/>
  <c r="CK130" i="15" s="1"/>
  <c r="CL130" i="15" s="1"/>
  <c r="DZ149" i="15"/>
  <c r="EA149" i="15" s="1"/>
  <c r="EB149" i="15" s="1"/>
  <c r="BX7" i="15"/>
  <c r="BY7" i="15" s="1"/>
  <c r="BZ7" i="15" s="1"/>
  <c r="BX41" i="15"/>
  <c r="BY41" i="15" s="1"/>
  <c r="BZ41" i="15" s="1"/>
  <c r="BI44" i="15"/>
  <c r="BJ44" i="15" s="1"/>
  <c r="BK44" i="15" s="1"/>
  <c r="P103" i="15"/>
  <c r="Q103" i="15" s="1"/>
  <c r="R103" i="15" s="1"/>
  <c r="BI205" i="15"/>
  <c r="BJ205" i="15" s="1"/>
  <c r="BK205" i="15" s="1"/>
  <c r="BI172" i="15"/>
  <c r="BJ172" i="15" s="1"/>
  <c r="BK172" i="15" s="1"/>
  <c r="BI143" i="15"/>
  <c r="BJ143" i="15" s="1"/>
  <c r="BK143" i="15" s="1"/>
  <c r="BI114" i="15"/>
  <c r="BJ114" i="15" s="1"/>
  <c r="BK114" i="15" s="1"/>
  <c r="DQ160" i="15"/>
  <c r="DR160" i="15" s="1"/>
  <c r="DS160" i="15" s="1"/>
  <c r="DQ215" i="15"/>
  <c r="DR215" i="15" s="1"/>
  <c r="DS215" i="15" s="1"/>
  <c r="DQ69" i="15"/>
  <c r="DR69" i="15" s="1"/>
  <c r="DS69" i="15" s="1"/>
  <c r="DQ134" i="15"/>
  <c r="DR134" i="15" s="1"/>
  <c r="DS134" i="15" s="1"/>
  <c r="DQ181" i="15"/>
  <c r="DR181" i="15" s="1"/>
  <c r="DS181" i="15" s="1"/>
  <c r="DQ102" i="15"/>
  <c r="DR102" i="15" s="1"/>
  <c r="DS102" i="15" s="1"/>
  <c r="DQ76" i="15"/>
  <c r="DR76" i="15" s="1"/>
  <c r="DS76" i="15" s="1"/>
  <c r="S66" i="15"/>
  <c r="T66" i="15" s="1"/>
  <c r="U66" i="15" s="1"/>
  <c r="S121" i="15"/>
  <c r="T121" i="15" s="1"/>
  <c r="U121" i="15" s="1"/>
  <c r="S198" i="15"/>
  <c r="T198" i="15" s="1"/>
  <c r="U198" i="15" s="1"/>
  <c r="S160" i="15"/>
  <c r="T160" i="15" s="1"/>
  <c r="U160" i="15" s="1"/>
  <c r="S32" i="15"/>
  <c r="T32" i="15" s="1"/>
  <c r="U32" i="15" s="1"/>
  <c r="S211" i="15"/>
  <c r="T211" i="15" s="1"/>
  <c r="U211" i="15" s="1"/>
  <c r="S83" i="15"/>
  <c r="T83" i="15" s="1"/>
  <c r="U83" i="15" s="1"/>
  <c r="CV122" i="15"/>
  <c r="CW122" i="15" s="1"/>
  <c r="CX122" i="15" s="1"/>
  <c r="CV82" i="15"/>
  <c r="CW82" i="15" s="1"/>
  <c r="CX82" i="15" s="1"/>
  <c r="CV173" i="15"/>
  <c r="CW173" i="15" s="1"/>
  <c r="CX173" i="15" s="1"/>
  <c r="CV45" i="15"/>
  <c r="CW45" i="15" s="1"/>
  <c r="CX45" i="15" s="1"/>
  <c r="CV144" i="15"/>
  <c r="CW144" i="15" s="1"/>
  <c r="CX144" i="15" s="1"/>
  <c r="CV16" i="15"/>
  <c r="CW16" i="15" s="1"/>
  <c r="CX16" i="15" s="1"/>
  <c r="CV115" i="15"/>
  <c r="CW115" i="15" s="1"/>
  <c r="CX115" i="15" s="1"/>
  <c r="G171" i="15"/>
  <c r="H171" i="15" s="1"/>
  <c r="I171" i="15" s="1"/>
  <c r="G190" i="15"/>
  <c r="H190" i="15" s="1"/>
  <c r="I190" i="15" s="1"/>
  <c r="G173" i="15"/>
  <c r="H173" i="15" s="1"/>
  <c r="I173" i="15" s="1"/>
  <c r="G156" i="15"/>
  <c r="H156" i="15" s="1"/>
  <c r="I156" i="15" s="1"/>
  <c r="G66" i="15"/>
  <c r="H66" i="15" s="1"/>
  <c r="I66" i="15" s="1"/>
  <c r="G89" i="15"/>
  <c r="H89" i="15" s="1"/>
  <c r="I89" i="15" s="1"/>
  <c r="G104" i="15"/>
  <c r="H104" i="15" s="1"/>
  <c r="I104" i="15" s="1"/>
  <c r="CG77" i="15"/>
  <c r="CH77" i="15" s="1"/>
  <c r="CI77" i="15" s="1"/>
  <c r="CG100" i="15"/>
  <c r="CH100" i="15" s="1"/>
  <c r="CI100" i="15" s="1"/>
  <c r="CG71" i="15"/>
  <c r="CH71" i="15" s="1"/>
  <c r="CI71" i="15" s="1"/>
  <c r="CG46" i="15"/>
  <c r="CH46" i="15" s="1"/>
  <c r="CI46" i="15" s="1"/>
  <c r="BR154" i="15"/>
  <c r="BS154" i="15" s="1"/>
  <c r="BT154" i="15" s="1"/>
  <c r="BR37" i="15"/>
  <c r="BS37" i="15" s="1"/>
  <c r="BT37" i="15" s="1"/>
  <c r="EF116" i="15"/>
  <c r="EG116" i="15" s="1"/>
  <c r="EH116" i="15" s="1"/>
  <c r="EF42" i="15"/>
  <c r="EG42" i="15" s="1"/>
  <c r="EH42" i="15" s="1"/>
  <c r="CJ114" i="15"/>
  <c r="CK114" i="15" s="1"/>
  <c r="CL114" i="15" s="1"/>
  <c r="DZ141" i="15"/>
  <c r="EA141" i="15" s="1"/>
  <c r="EB141" i="15" s="1"/>
  <c r="P39" i="15"/>
  <c r="Q39" i="15" s="1"/>
  <c r="R39" i="15" s="1"/>
  <c r="P167" i="15"/>
  <c r="Q167" i="15" s="1"/>
  <c r="R167" i="15" s="1"/>
  <c r="P64" i="15"/>
  <c r="Q64" i="15" s="1"/>
  <c r="R64" i="15" s="1"/>
  <c r="P192" i="15"/>
  <c r="Q192" i="15" s="1"/>
  <c r="R192" i="15" s="1"/>
  <c r="P97" i="15"/>
  <c r="Q97" i="15" s="1"/>
  <c r="R97" i="15" s="1"/>
  <c r="P201" i="15"/>
  <c r="Q201" i="15" s="1"/>
  <c r="R201" i="15" s="1"/>
  <c r="P82" i="15"/>
  <c r="Q82" i="15" s="1"/>
  <c r="R82" i="15" s="1"/>
  <c r="P14" i="15"/>
  <c r="Q14" i="15" s="1"/>
  <c r="R14" i="15" s="1"/>
  <c r="P71" i="15"/>
  <c r="Q71" i="15" s="1"/>
  <c r="R71" i="15" s="1"/>
  <c r="P199" i="15"/>
  <c r="Q199" i="15" s="1"/>
  <c r="R199" i="15" s="1"/>
  <c r="P96" i="15"/>
  <c r="Q96" i="15" s="1"/>
  <c r="R96" i="15" s="1"/>
  <c r="P224" i="15"/>
  <c r="Q224" i="15" s="1"/>
  <c r="R224" i="15" s="1"/>
  <c r="P129" i="15"/>
  <c r="Q129" i="15" s="1"/>
  <c r="R129" i="15" s="1"/>
  <c r="P225" i="15"/>
  <c r="Q225" i="15" s="1"/>
  <c r="R225" i="15" s="1"/>
  <c r="P10" i="15"/>
  <c r="Q10" i="15" s="1"/>
  <c r="R10" i="15" s="1"/>
  <c r="P94" i="15"/>
  <c r="Q94" i="15" s="1"/>
  <c r="R94" i="15" s="1"/>
  <c r="BX42" i="15"/>
  <c r="BY42" i="15" s="1"/>
  <c r="BZ42" i="15" s="1"/>
  <c r="BX71" i="15"/>
  <c r="BY71" i="15" s="1"/>
  <c r="BZ71" i="15" s="1"/>
  <c r="BX100" i="15"/>
  <c r="BY100" i="15" s="1"/>
  <c r="BZ100" i="15" s="1"/>
  <c r="BX61" i="15"/>
  <c r="BY61" i="15" s="1"/>
  <c r="BZ61" i="15" s="1"/>
  <c r="BX106" i="15"/>
  <c r="BY106" i="15" s="1"/>
  <c r="BZ106" i="15" s="1"/>
  <c r="BX135" i="15"/>
  <c r="BY135" i="15" s="1"/>
  <c r="BZ135" i="15" s="1"/>
  <c r="BX164" i="15"/>
  <c r="BY164" i="15" s="1"/>
  <c r="BZ164" i="15" s="1"/>
  <c r="BX193" i="15"/>
  <c r="BY193" i="15" s="1"/>
  <c r="BZ193" i="15" s="1"/>
  <c r="D80" i="15"/>
  <c r="E80" i="15" s="1"/>
  <c r="F80" i="15" s="1"/>
  <c r="D221" i="15"/>
  <c r="E221" i="15" s="1"/>
  <c r="F221" i="15" s="1"/>
  <c r="D102" i="15"/>
  <c r="E102" i="15" s="1"/>
  <c r="F102" i="15" s="1"/>
  <c r="D144" i="15"/>
  <c r="E144" i="15" s="1"/>
  <c r="F144" i="15" s="1"/>
  <c r="D101" i="15"/>
  <c r="E101" i="15" s="1"/>
  <c r="F101" i="15" s="1"/>
  <c r="EI223" i="15"/>
  <c r="EJ223" i="15" s="1"/>
  <c r="EK223" i="15" s="1"/>
  <c r="EI148" i="15"/>
  <c r="EJ148" i="15" s="1"/>
  <c r="EK148" i="15" s="1"/>
  <c r="EI45" i="15"/>
  <c r="EJ45" i="15" s="1"/>
  <c r="EK45" i="15" s="1"/>
  <c r="CP105" i="15"/>
  <c r="CQ105" i="15" s="1"/>
  <c r="CR105" i="15" s="1"/>
  <c r="CP78" i="15"/>
  <c r="CQ78" i="15" s="1"/>
  <c r="CR78" i="15" s="1"/>
  <c r="CP178" i="15"/>
  <c r="CQ178" i="15" s="1"/>
  <c r="CR178" i="15" s="1"/>
  <c r="BI141" i="15"/>
  <c r="BJ141" i="15" s="1"/>
  <c r="BK141" i="15" s="1"/>
  <c r="BI213" i="15"/>
  <c r="BJ213" i="15" s="1"/>
  <c r="BK213" i="15" s="1"/>
  <c r="BI156" i="15"/>
  <c r="BJ156" i="15" s="1"/>
  <c r="BK156" i="15" s="1"/>
  <c r="BI28" i="15"/>
  <c r="BJ28" i="15" s="1"/>
  <c r="BK28" i="15" s="1"/>
  <c r="BI127" i="15"/>
  <c r="BJ127" i="15" s="1"/>
  <c r="BK127" i="15" s="1"/>
  <c r="BI226" i="15"/>
  <c r="BJ226" i="15" s="1"/>
  <c r="BK226" i="15" s="1"/>
  <c r="BI98" i="15"/>
  <c r="BJ98" i="15" s="1"/>
  <c r="BK98" i="15" s="1"/>
  <c r="BI34" i="15"/>
  <c r="BJ34" i="15" s="1"/>
  <c r="BK34" i="15" s="1"/>
  <c r="P150" i="15"/>
  <c r="Q150" i="15" s="1"/>
  <c r="R150" i="15" s="1"/>
  <c r="P7" i="15"/>
  <c r="Q7" i="15" s="1"/>
  <c r="R7" i="15" s="1"/>
  <c r="BX170" i="15"/>
  <c r="BY170" i="15" s="1"/>
  <c r="BZ170" i="15" s="1"/>
  <c r="BI77" i="15"/>
  <c r="BJ77" i="15" s="1"/>
  <c r="BK77" i="15" s="1"/>
  <c r="BI121" i="15"/>
  <c r="BJ121" i="15" s="1"/>
  <c r="BK121" i="15" s="1"/>
  <c r="BI149" i="15"/>
  <c r="BJ149" i="15" s="1"/>
  <c r="BK149" i="15" s="1"/>
  <c r="BI204" i="15"/>
  <c r="BJ204" i="15" s="1"/>
  <c r="BK204" i="15" s="1"/>
  <c r="BI140" i="15"/>
  <c r="BJ140" i="15" s="1"/>
  <c r="BK140" i="15" s="1"/>
  <c r="BI76" i="15"/>
  <c r="BJ76" i="15" s="1"/>
  <c r="BK76" i="15" s="1"/>
  <c r="BI12" i="15"/>
  <c r="BJ12" i="15" s="1"/>
  <c r="BK12" i="15" s="1"/>
  <c r="BI175" i="15"/>
  <c r="BJ175" i="15" s="1"/>
  <c r="BK175" i="15" s="1"/>
  <c r="BI111" i="15"/>
  <c r="BJ111" i="15" s="1"/>
  <c r="BK111" i="15" s="1"/>
  <c r="BI47" i="15"/>
  <c r="BJ47" i="15" s="1"/>
  <c r="BK47" i="15" s="1"/>
  <c r="BI210" i="15"/>
  <c r="BJ210" i="15" s="1"/>
  <c r="BK210" i="15" s="1"/>
  <c r="BI146" i="15"/>
  <c r="BJ146" i="15" s="1"/>
  <c r="BK146" i="15" s="1"/>
  <c r="BI82" i="15"/>
  <c r="BJ82" i="15" s="1"/>
  <c r="BK82" i="15" s="1"/>
  <c r="BI18" i="15"/>
  <c r="BJ18" i="15" s="1"/>
  <c r="BK18" i="15" s="1"/>
  <c r="DH218" i="15"/>
  <c r="DI218" i="15" s="1"/>
  <c r="DJ218" i="15" s="1"/>
  <c r="DH202" i="15"/>
  <c r="DI202" i="15" s="1"/>
  <c r="DJ202" i="15" s="1"/>
  <c r="DH186" i="15"/>
  <c r="DI186" i="15" s="1"/>
  <c r="DJ186" i="15" s="1"/>
  <c r="DH198" i="15"/>
  <c r="DI198" i="15" s="1"/>
  <c r="DJ198" i="15" s="1"/>
  <c r="DH134" i="15"/>
  <c r="DI134" i="15" s="1"/>
  <c r="DJ134" i="15" s="1"/>
  <c r="DH70" i="15"/>
  <c r="DI70" i="15" s="1"/>
  <c r="DJ70" i="15" s="1"/>
  <c r="DH6" i="15"/>
  <c r="DI6" i="15" s="1"/>
  <c r="DJ6" i="15" s="1"/>
  <c r="DH178" i="15"/>
  <c r="DI178" i="15" s="1"/>
  <c r="DJ178" i="15" s="1"/>
  <c r="DH114" i="15"/>
  <c r="DI114" i="15" s="1"/>
  <c r="DJ114" i="15" s="1"/>
  <c r="DH50" i="15"/>
  <c r="DI50" i="15" s="1"/>
  <c r="DJ50" i="15" s="1"/>
  <c r="DH206" i="15"/>
  <c r="DI206" i="15" s="1"/>
  <c r="DJ206" i="15" s="1"/>
  <c r="DH142" i="15"/>
  <c r="DI142" i="15" s="1"/>
  <c r="DJ142" i="15" s="1"/>
  <c r="DH78" i="15"/>
  <c r="DI78" i="15" s="1"/>
  <c r="DJ78" i="15" s="1"/>
  <c r="DH14" i="15"/>
  <c r="DI14" i="15" s="1"/>
  <c r="DJ14" i="15" s="1"/>
  <c r="DH213" i="15"/>
  <c r="DI213" i="15" s="1"/>
  <c r="DJ213" i="15" s="1"/>
  <c r="DH197" i="15"/>
  <c r="DI197" i="15" s="1"/>
  <c r="DJ197" i="15" s="1"/>
  <c r="DH181" i="15"/>
  <c r="DI181" i="15" s="1"/>
  <c r="DJ181" i="15" s="1"/>
  <c r="DH165" i="15"/>
  <c r="DI165" i="15" s="1"/>
  <c r="DJ165" i="15" s="1"/>
  <c r="DH149" i="15"/>
  <c r="DI149" i="15" s="1"/>
  <c r="DJ149" i="15" s="1"/>
  <c r="DH133" i="15"/>
  <c r="DI133" i="15" s="1"/>
  <c r="DJ133" i="15" s="1"/>
  <c r="DH117" i="15"/>
  <c r="DI117" i="15" s="1"/>
  <c r="DJ117" i="15" s="1"/>
  <c r="DH101" i="15"/>
  <c r="DI101" i="15" s="1"/>
  <c r="DJ101" i="15" s="1"/>
  <c r="DH85" i="15"/>
  <c r="DI85" i="15" s="1"/>
  <c r="DJ85" i="15" s="1"/>
  <c r="DH69" i="15"/>
  <c r="DI69" i="15" s="1"/>
  <c r="DJ69" i="15" s="1"/>
  <c r="DH53" i="15"/>
  <c r="DI53" i="15" s="1"/>
  <c r="DJ53" i="15" s="1"/>
  <c r="DH37" i="15"/>
  <c r="DI37" i="15" s="1"/>
  <c r="DJ37" i="15" s="1"/>
  <c r="DH21" i="15"/>
  <c r="DI21" i="15" s="1"/>
  <c r="DJ21" i="15" s="1"/>
  <c r="DH5" i="15"/>
  <c r="DI5" i="15" s="1"/>
  <c r="DJ5" i="15" s="1"/>
  <c r="DH216" i="15"/>
  <c r="DI216" i="15" s="1"/>
  <c r="DJ216" i="15" s="1"/>
  <c r="DH200" i="15"/>
  <c r="DI200" i="15" s="1"/>
  <c r="DJ200" i="15" s="1"/>
  <c r="DH184" i="15"/>
  <c r="DI184" i="15" s="1"/>
  <c r="DJ184" i="15" s="1"/>
  <c r="DH168" i="15"/>
  <c r="DI168" i="15" s="1"/>
  <c r="DJ168" i="15" s="1"/>
  <c r="DH152" i="15"/>
  <c r="DI152" i="15" s="1"/>
  <c r="DJ152" i="15" s="1"/>
  <c r="DH136" i="15"/>
  <c r="DI136" i="15" s="1"/>
  <c r="DJ136" i="15" s="1"/>
  <c r="DH120" i="15"/>
  <c r="DI120" i="15" s="1"/>
  <c r="DJ120" i="15" s="1"/>
  <c r="DH104" i="15"/>
  <c r="DI104" i="15" s="1"/>
  <c r="DJ104" i="15" s="1"/>
  <c r="DH88" i="15"/>
  <c r="DI88" i="15" s="1"/>
  <c r="DJ88" i="15" s="1"/>
  <c r="DH72" i="15"/>
  <c r="DI72" i="15" s="1"/>
  <c r="DJ72" i="15" s="1"/>
  <c r="DH56" i="15"/>
  <c r="DI56" i="15" s="1"/>
  <c r="DJ56" i="15" s="1"/>
  <c r="DH24" i="15"/>
  <c r="DI24" i="15" s="1"/>
  <c r="DJ24" i="15" s="1"/>
  <c r="DH219" i="15"/>
  <c r="DI219" i="15" s="1"/>
  <c r="DJ219" i="15" s="1"/>
  <c r="DH187" i="15"/>
  <c r="DI187" i="15" s="1"/>
  <c r="DJ187" i="15" s="1"/>
  <c r="DH155" i="15"/>
  <c r="DI155" i="15" s="1"/>
  <c r="DJ155" i="15" s="1"/>
  <c r="DH123" i="15"/>
  <c r="DI123" i="15" s="1"/>
  <c r="DJ123" i="15" s="1"/>
  <c r="DH91" i="15"/>
  <c r="DI91" i="15" s="1"/>
  <c r="DJ91" i="15" s="1"/>
  <c r="DH59" i="15"/>
  <c r="DI59" i="15" s="1"/>
  <c r="DJ59" i="15" s="1"/>
  <c r="P190" i="15"/>
  <c r="Q190" i="15" s="1"/>
  <c r="R190" i="15" s="1"/>
  <c r="P70" i="15"/>
  <c r="Q70" i="15" s="1"/>
  <c r="R70" i="15" s="1"/>
  <c r="P33" i="15"/>
  <c r="Q33" i="15" s="1"/>
  <c r="R33" i="15" s="1"/>
  <c r="P2" i="15"/>
  <c r="Q2" i="15" s="1"/>
  <c r="R2" i="15" s="1"/>
  <c r="DQ164" i="15"/>
  <c r="DR164" i="15" s="1"/>
  <c r="DS164" i="15" s="1"/>
  <c r="DQ31" i="15"/>
  <c r="DR31" i="15" s="1"/>
  <c r="DS31" i="15" s="1"/>
  <c r="DQ144" i="15"/>
  <c r="DR144" i="15" s="1"/>
  <c r="DS144" i="15" s="1"/>
  <c r="DQ188" i="15"/>
  <c r="DR188" i="15" s="1"/>
  <c r="DS188" i="15" s="1"/>
  <c r="DQ15" i="15"/>
  <c r="DR15" i="15" s="1"/>
  <c r="DS15" i="15" s="1"/>
  <c r="DQ103" i="15"/>
  <c r="DR103" i="15" s="1"/>
  <c r="DS103" i="15" s="1"/>
  <c r="DQ211" i="15"/>
  <c r="DR211" i="15" s="1"/>
  <c r="DS211" i="15" s="1"/>
  <c r="DQ179" i="15"/>
  <c r="DR179" i="15" s="1"/>
  <c r="DS179" i="15" s="1"/>
  <c r="DQ147" i="15"/>
  <c r="DR147" i="15" s="1"/>
  <c r="DS147" i="15" s="1"/>
  <c r="DQ115" i="15"/>
  <c r="DR115" i="15" s="1"/>
  <c r="DS115" i="15" s="1"/>
  <c r="DQ61" i="15"/>
  <c r="DR61" i="15" s="1"/>
  <c r="DS61" i="15" s="1"/>
  <c r="DQ226" i="15"/>
  <c r="DR226" i="15" s="1"/>
  <c r="DS226" i="15" s="1"/>
  <c r="DQ194" i="15"/>
  <c r="DR194" i="15" s="1"/>
  <c r="DS194" i="15" s="1"/>
  <c r="DQ162" i="15"/>
  <c r="DR162" i="15" s="1"/>
  <c r="DS162" i="15" s="1"/>
  <c r="DQ130" i="15"/>
  <c r="DR130" i="15" s="1"/>
  <c r="DS130" i="15" s="1"/>
  <c r="DQ91" i="15"/>
  <c r="DR91" i="15" s="1"/>
  <c r="DS91" i="15" s="1"/>
  <c r="DQ27" i="15"/>
  <c r="DR27" i="15" s="1"/>
  <c r="DS27" i="15" s="1"/>
  <c r="DQ209" i="15"/>
  <c r="DR209" i="15" s="1"/>
  <c r="DS209" i="15" s="1"/>
  <c r="DQ177" i="15"/>
  <c r="DR177" i="15" s="1"/>
  <c r="DS177" i="15" s="1"/>
  <c r="DQ145" i="15"/>
  <c r="DR145" i="15" s="1"/>
  <c r="DS145" i="15" s="1"/>
  <c r="DQ113" i="15"/>
  <c r="DR113" i="15" s="1"/>
  <c r="DS113" i="15" s="1"/>
  <c r="DQ57" i="15"/>
  <c r="DR57" i="15" s="1"/>
  <c r="DS57" i="15" s="1"/>
  <c r="DQ98" i="15"/>
  <c r="DR98" i="15" s="1"/>
  <c r="DS98" i="15" s="1"/>
  <c r="DQ66" i="15"/>
  <c r="DR66" i="15" s="1"/>
  <c r="DS66" i="15" s="1"/>
  <c r="DQ34" i="15"/>
  <c r="DR34" i="15" s="1"/>
  <c r="DS34" i="15" s="1"/>
  <c r="DQ104" i="15"/>
  <c r="DR104" i="15" s="1"/>
  <c r="DS104" i="15" s="1"/>
  <c r="DQ72" i="15"/>
  <c r="DR72" i="15" s="1"/>
  <c r="DS72" i="15" s="1"/>
  <c r="DQ40" i="15"/>
  <c r="DR40" i="15" s="1"/>
  <c r="DS40" i="15" s="1"/>
  <c r="S154" i="15"/>
  <c r="T154" i="15" s="1"/>
  <c r="U154" i="15" s="1"/>
  <c r="S54" i="15"/>
  <c r="T54" i="15" s="1"/>
  <c r="U54" i="15" s="1"/>
  <c r="S213" i="15"/>
  <c r="T213" i="15" s="1"/>
  <c r="U213" i="15" s="1"/>
  <c r="S181" i="15"/>
  <c r="T181" i="15" s="1"/>
  <c r="U181" i="15" s="1"/>
  <c r="S149" i="15"/>
  <c r="T149" i="15" s="1"/>
  <c r="U149" i="15" s="1"/>
  <c r="S117" i="15"/>
  <c r="T117" i="15" s="1"/>
  <c r="U117" i="15" s="1"/>
  <c r="S85" i="15"/>
  <c r="T85" i="15" s="1"/>
  <c r="U85" i="15" s="1"/>
  <c r="S53" i="15"/>
  <c r="T53" i="15" s="1"/>
  <c r="U53" i="15" s="1"/>
  <c r="S21" i="15"/>
  <c r="T21" i="15" s="1"/>
  <c r="U21" i="15" s="1"/>
  <c r="S182" i="15"/>
  <c r="T182" i="15" s="1"/>
  <c r="U182" i="15" s="1"/>
  <c r="S86" i="15"/>
  <c r="T86" i="15" s="1"/>
  <c r="U86" i="15" s="1"/>
  <c r="S220" i="15"/>
  <c r="T220" i="15" s="1"/>
  <c r="U220" i="15" s="1"/>
  <c r="S188" i="15"/>
  <c r="T188" i="15" s="1"/>
  <c r="U188" i="15" s="1"/>
  <c r="S156" i="15"/>
  <c r="T156" i="15" s="1"/>
  <c r="U156" i="15" s="1"/>
  <c r="S124" i="15"/>
  <c r="T124" i="15" s="1"/>
  <c r="U124" i="15" s="1"/>
  <c r="S92" i="15"/>
  <c r="T92" i="15" s="1"/>
  <c r="U92" i="15" s="1"/>
  <c r="S60" i="15"/>
  <c r="T60" i="15" s="1"/>
  <c r="U60" i="15" s="1"/>
  <c r="S28" i="15"/>
  <c r="T28" i="15" s="1"/>
  <c r="U28" i="15" s="1"/>
  <c r="S206" i="15"/>
  <c r="T206" i="15" s="1"/>
  <c r="U206" i="15" s="1"/>
  <c r="S118" i="15"/>
  <c r="T118" i="15" s="1"/>
  <c r="U118" i="15" s="1"/>
  <c r="S26" i="15"/>
  <c r="T26" i="15" s="1"/>
  <c r="U26" i="15" s="1"/>
  <c r="S207" i="15"/>
  <c r="T207" i="15" s="1"/>
  <c r="U207" i="15" s="1"/>
  <c r="S175" i="15"/>
  <c r="T175" i="15" s="1"/>
  <c r="U175" i="15" s="1"/>
  <c r="S143" i="15"/>
  <c r="T143" i="15" s="1"/>
  <c r="U143" i="15" s="1"/>
  <c r="S111" i="15"/>
  <c r="T111" i="15" s="1"/>
  <c r="U111" i="15" s="1"/>
  <c r="S79" i="15"/>
  <c r="T79" i="15" s="1"/>
  <c r="U79" i="15" s="1"/>
  <c r="S47" i="15"/>
  <c r="T47" i="15" s="1"/>
  <c r="U47" i="15" s="1"/>
  <c r="BX36" i="15"/>
  <c r="BY36" i="15" s="1"/>
  <c r="BZ36" i="15" s="1"/>
  <c r="CV10" i="15"/>
  <c r="CW10" i="15" s="1"/>
  <c r="CX10" i="15" s="1"/>
  <c r="CV106" i="15"/>
  <c r="CW106" i="15" s="1"/>
  <c r="CX106" i="15" s="1"/>
  <c r="CV182" i="15"/>
  <c r="CW182" i="15" s="1"/>
  <c r="CX182" i="15" s="1"/>
  <c r="CV54" i="15"/>
  <c r="CW54" i="15" s="1"/>
  <c r="CX54" i="15" s="1"/>
  <c r="CV162" i="15"/>
  <c r="CW162" i="15" s="1"/>
  <c r="CX162" i="15" s="1"/>
  <c r="CV34" i="15"/>
  <c r="CW34" i="15" s="1"/>
  <c r="CX34" i="15" s="1"/>
  <c r="CV126" i="15"/>
  <c r="CW126" i="15" s="1"/>
  <c r="CX126" i="15" s="1"/>
  <c r="CV225" i="15"/>
  <c r="CW225" i="15" s="1"/>
  <c r="CX225" i="15" s="1"/>
  <c r="CV193" i="15"/>
  <c r="CW193" i="15" s="1"/>
  <c r="CX193" i="15" s="1"/>
  <c r="CV161" i="15"/>
  <c r="CW161" i="15" s="1"/>
  <c r="CX161" i="15" s="1"/>
  <c r="CV129" i="15"/>
  <c r="CW129" i="15" s="1"/>
  <c r="CX129" i="15" s="1"/>
  <c r="CV97" i="15"/>
  <c r="CW97" i="15" s="1"/>
  <c r="CX97" i="15" s="1"/>
  <c r="CV65" i="15"/>
  <c r="CW65" i="15" s="1"/>
  <c r="CX65" i="15" s="1"/>
  <c r="CV33" i="15"/>
  <c r="CW33" i="15" s="1"/>
  <c r="CX33" i="15" s="1"/>
  <c r="CV2" i="15"/>
  <c r="CW2" i="15" s="1"/>
  <c r="CV196" i="15"/>
  <c r="CW196" i="15" s="1"/>
  <c r="CX196" i="15" s="1"/>
  <c r="CV164" i="15"/>
  <c r="CW164" i="15" s="1"/>
  <c r="CX164" i="15" s="1"/>
  <c r="CV132" i="15"/>
  <c r="CW132" i="15" s="1"/>
  <c r="CX132" i="15" s="1"/>
  <c r="CV100" i="15"/>
  <c r="CW100" i="15" s="1"/>
  <c r="CX100" i="15" s="1"/>
  <c r="CV68" i="15"/>
  <c r="CW68" i="15" s="1"/>
  <c r="CX68" i="15" s="1"/>
  <c r="CV36" i="15"/>
  <c r="CW36" i="15" s="1"/>
  <c r="CX36" i="15" s="1"/>
  <c r="CV4" i="15"/>
  <c r="CW4" i="15" s="1"/>
  <c r="CX4" i="15" s="1"/>
  <c r="CV199" i="15"/>
  <c r="CW199" i="15" s="1"/>
  <c r="CX199" i="15" s="1"/>
  <c r="CV167" i="15"/>
  <c r="CW167" i="15" s="1"/>
  <c r="CX167" i="15" s="1"/>
  <c r="CV135" i="15"/>
  <c r="CW135" i="15" s="1"/>
  <c r="CX135" i="15" s="1"/>
  <c r="CV103" i="15"/>
  <c r="CW103" i="15" s="1"/>
  <c r="CX103" i="15" s="1"/>
  <c r="CV71" i="15"/>
  <c r="CW71" i="15" s="1"/>
  <c r="CX71" i="15" s="1"/>
  <c r="CV39" i="15"/>
  <c r="CW39" i="15" s="1"/>
  <c r="CX39" i="15" s="1"/>
  <c r="D16" i="15"/>
  <c r="E16" i="15" s="1"/>
  <c r="F16" i="15" s="1"/>
  <c r="G155" i="15"/>
  <c r="H155" i="15" s="1"/>
  <c r="I155" i="15" s="1"/>
  <c r="G167" i="15"/>
  <c r="H167" i="15" s="1"/>
  <c r="I167" i="15" s="1"/>
  <c r="G195" i="15"/>
  <c r="H195" i="15" s="1"/>
  <c r="I195" i="15" s="1"/>
  <c r="G218" i="15"/>
  <c r="H218" i="15" s="1"/>
  <c r="I218" i="15" s="1"/>
  <c r="G186" i="15"/>
  <c r="H186" i="15" s="1"/>
  <c r="I186" i="15" s="1"/>
  <c r="G154" i="15"/>
  <c r="H154" i="15" s="1"/>
  <c r="I154" i="15" s="1"/>
  <c r="G31" i="15"/>
  <c r="H31" i="15" s="1"/>
  <c r="I31" i="15" s="1"/>
  <c r="G201" i="15"/>
  <c r="H201" i="15" s="1"/>
  <c r="I201" i="15" s="1"/>
  <c r="G169" i="15"/>
  <c r="H169" i="15" s="1"/>
  <c r="I169" i="15" s="1"/>
  <c r="G91" i="15"/>
  <c r="H91" i="15" s="1"/>
  <c r="I91" i="15" s="1"/>
  <c r="G216" i="15"/>
  <c r="H216" i="15" s="1"/>
  <c r="I216" i="15" s="1"/>
  <c r="G184" i="15"/>
  <c r="H184" i="15" s="1"/>
  <c r="I184" i="15" s="1"/>
  <c r="G151" i="15"/>
  <c r="H151" i="15" s="1"/>
  <c r="I151" i="15" s="1"/>
  <c r="G23" i="15"/>
  <c r="H23" i="15" s="1"/>
  <c r="I23" i="15" s="1"/>
  <c r="G126" i="15"/>
  <c r="H126" i="15" s="1"/>
  <c r="I126" i="15" s="1"/>
  <c r="G94" i="15"/>
  <c r="H94" i="15" s="1"/>
  <c r="I94" i="15" s="1"/>
  <c r="G62" i="15"/>
  <c r="H62" i="15" s="1"/>
  <c r="I62" i="15" s="1"/>
  <c r="G30" i="15"/>
  <c r="H30" i="15" s="1"/>
  <c r="I30" i="15" s="1"/>
  <c r="G149" i="15"/>
  <c r="H149" i="15" s="1"/>
  <c r="I149" i="15" s="1"/>
  <c r="G117" i="15"/>
  <c r="H117" i="15" s="1"/>
  <c r="I117" i="15" s="1"/>
  <c r="G85" i="15"/>
  <c r="H85" i="15" s="1"/>
  <c r="I85" i="15" s="1"/>
  <c r="G53" i="15"/>
  <c r="H53" i="15" s="1"/>
  <c r="I53" i="15" s="1"/>
  <c r="G21" i="15"/>
  <c r="H21" i="15" s="1"/>
  <c r="I21" i="15" s="1"/>
  <c r="G140" i="15"/>
  <c r="H140" i="15" s="1"/>
  <c r="I140" i="15" s="1"/>
  <c r="G100" i="15"/>
  <c r="H100" i="15" s="1"/>
  <c r="I100" i="15" s="1"/>
  <c r="G56" i="15"/>
  <c r="H56" i="15" s="1"/>
  <c r="I56" i="15" s="1"/>
  <c r="CG209" i="15"/>
  <c r="CH209" i="15" s="1"/>
  <c r="CI209" i="15" s="1"/>
  <c r="CG29" i="15"/>
  <c r="CH29" i="15" s="1"/>
  <c r="CI29" i="15" s="1"/>
  <c r="CG213" i="15"/>
  <c r="CH213" i="15" s="1"/>
  <c r="CI213" i="15" s="1"/>
  <c r="CG216" i="15"/>
  <c r="CH216" i="15" s="1"/>
  <c r="CI216" i="15" s="1"/>
  <c r="CG152" i="15"/>
  <c r="CH152" i="15" s="1"/>
  <c r="CI152" i="15" s="1"/>
  <c r="CG88" i="15"/>
  <c r="CH88" i="15" s="1"/>
  <c r="CI88" i="15" s="1"/>
  <c r="CG24" i="15"/>
  <c r="CH24" i="15" s="1"/>
  <c r="CI24" i="15" s="1"/>
  <c r="CG187" i="15"/>
  <c r="CH187" i="15" s="1"/>
  <c r="CI187" i="15" s="1"/>
  <c r="CG123" i="15"/>
  <c r="CH123" i="15" s="1"/>
  <c r="CI123" i="15" s="1"/>
  <c r="CG59" i="15"/>
  <c r="CH59" i="15" s="1"/>
  <c r="CI59" i="15" s="1"/>
  <c r="CG226" i="15"/>
  <c r="CH226" i="15" s="1"/>
  <c r="CI226" i="15" s="1"/>
  <c r="CG162" i="15"/>
  <c r="CH162" i="15" s="1"/>
  <c r="CI162" i="15" s="1"/>
  <c r="CG98" i="15"/>
  <c r="CH98" i="15" s="1"/>
  <c r="CI98" i="15" s="1"/>
  <c r="BR51" i="15"/>
  <c r="BS51" i="15" s="1"/>
  <c r="BT51" i="15" s="1"/>
  <c r="BR15" i="15"/>
  <c r="BS15" i="15" s="1"/>
  <c r="BT15" i="15" s="1"/>
  <c r="BR226" i="15"/>
  <c r="BS226" i="15" s="1"/>
  <c r="BT226" i="15" s="1"/>
  <c r="BR138" i="15"/>
  <c r="BS138" i="15" s="1"/>
  <c r="BT138" i="15" s="1"/>
  <c r="BR54" i="15"/>
  <c r="BS54" i="15" s="1"/>
  <c r="BT54" i="15" s="1"/>
  <c r="BR193" i="15"/>
  <c r="BS193" i="15" s="1"/>
  <c r="BT193" i="15" s="1"/>
  <c r="BR105" i="15"/>
  <c r="BS105" i="15" s="1"/>
  <c r="BT105" i="15" s="1"/>
  <c r="BR21" i="15"/>
  <c r="BS21" i="15" s="1"/>
  <c r="BT21" i="15" s="1"/>
  <c r="BR164" i="15"/>
  <c r="BS164" i="15" s="1"/>
  <c r="BT164" i="15" s="1"/>
  <c r="EF48" i="15"/>
  <c r="EG48" i="15" s="1"/>
  <c r="EH48" i="15" s="1"/>
  <c r="EF167" i="15"/>
  <c r="EG167" i="15" s="1"/>
  <c r="EH167" i="15" s="1"/>
  <c r="EF212" i="15"/>
  <c r="EG212" i="15" s="1"/>
  <c r="EH212" i="15" s="1"/>
  <c r="EF36" i="15"/>
  <c r="EG36" i="15" s="1"/>
  <c r="EH36" i="15" s="1"/>
  <c r="EF83" i="15"/>
  <c r="EG83" i="15" s="1"/>
  <c r="EH83" i="15" s="1"/>
  <c r="EF178" i="15"/>
  <c r="EG178" i="15" s="1"/>
  <c r="EH178" i="15" s="1"/>
  <c r="EF90" i="15"/>
  <c r="EG90" i="15" s="1"/>
  <c r="EH90" i="15" s="1"/>
  <c r="EF213" i="15"/>
  <c r="EG213" i="15" s="1"/>
  <c r="EH213" i="15" s="1"/>
  <c r="EF129" i="15"/>
  <c r="EG129" i="15" s="1"/>
  <c r="EH129" i="15" s="1"/>
  <c r="CJ150" i="15"/>
  <c r="CK150" i="15" s="1"/>
  <c r="CL150" i="15" s="1"/>
  <c r="CJ110" i="15"/>
  <c r="CK110" i="15" s="1"/>
  <c r="CL110" i="15" s="1"/>
  <c r="CJ17" i="15"/>
  <c r="CK17" i="15" s="1"/>
  <c r="CL17" i="15" s="1"/>
  <c r="DZ217" i="15"/>
  <c r="EA217" i="15" s="1"/>
  <c r="EB217" i="15" s="1"/>
  <c r="DZ224" i="15"/>
  <c r="EA224" i="15" s="1"/>
  <c r="EB224" i="15" s="1"/>
  <c r="BI185" i="15"/>
  <c r="BJ185" i="15" s="1"/>
  <c r="BK185" i="15" s="1"/>
  <c r="BI220" i="15"/>
  <c r="BJ220" i="15" s="1"/>
  <c r="BK220" i="15" s="1"/>
  <c r="BI92" i="15"/>
  <c r="BJ92" i="15" s="1"/>
  <c r="BK92" i="15" s="1"/>
  <c r="BI191" i="15"/>
  <c r="BJ191" i="15" s="1"/>
  <c r="BK191" i="15" s="1"/>
  <c r="BI63" i="15"/>
  <c r="BJ63" i="15" s="1"/>
  <c r="BK63" i="15" s="1"/>
  <c r="BI162" i="15"/>
  <c r="BJ162" i="15" s="1"/>
  <c r="BK162" i="15" s="1"/>
  <c r="P66" i="15"/>
  <c r="Q66" i="15" s="1"/>
  <c r="R66" i="15" s="1"/>
  <c r="P65" i="15"/>
  <c r="Q65" i="15" s="1"/>
  <c r="R65" i="15" s="1"/>
  <c r="P32" i="15"/>
  <c r="Q32" i="15" s="1"/>
  <c r="R32" i="15" s="1"/>
  <c r="BX5" i="15"/>
  <c r="BY5" i="15" s="1"/>
  <c r="BZ5" i="15" s="1"/>
  <c r="D208" i="15"/>
  <c r="E208" i="15" s="1"/>
  <c r="F208" i="15" s="1"/>
  <c r="O30" i="4"/>
  <c r="DH3" i="15"/>
  <c r="DI3" i="15" s="1"/>
  <c r="DJ3" i="15" s="1"/>
  <c r="DH19" i="15"/>
  <c r="DI19" i="15" s="1"/>
  <c r="DJ19" i="15" s="1"/>
  <c r="DH35" i="15"/>
  <c r="DI35" i="15" s="1"/>
  <c r="DJ35" i="15" s="1"/>
  <c r="DH51" i="15"/>
  <c r="DI51" i="15" s="1"/>
  <c r="DJ51" i="15" s="1"/>
  <c r="DH67" i="15"/>
  <c r="DI67" i="15" s="1"/>
  <c r="DJ67" i="15" s="1"/>
  <c r="DH83" i="15"/>
  <c r="DI83" i="15" s="1"/>
  <c r="DJ83" i="15" s="1"/>
  <c r="DH99" i="15"/>
  <c r="DI99" i="15" s="1"/>
  <c r="DJ99" i="15" s="1"/>
  <c r="DH115" i="15"/>
  <c r="DI115" i="15" s="1"/>
  <c r="DJ115" i="15" s="1"/>
  <c r="DH131" i="15"/>
  <c r="DI131" i="15" s="1"/>
  <c r="DJ131" i="15" s="1"/>
  <c r="DH147" i="15"/>
  <c r="DI147" i="15" s="1"/>
  <c r="DJ147" i="15" s="1"/>
  <c r="DH163" i="15"/>
  <c r="DI163" i="15" s="1"/>
  <c r="DJ163" i="15" s="1"/>
  <c r="DH179" i="15"/>
  <c r="DI179" i="15" s="1"/>
  <c r="DJ179" i="15" s="1"/>
  <c r="DH195" i="15"/>
  <c r="DI195" i="15" s="1"/>
  <c r="DJ195" i="15" s="1"/>
  <c r="DH211" i="15"/>
  <c r="DI211" i="15" s="1"/>
  <c r="DJ211" i="15" s="1"/>
  <c r="DH227" i="15"/>
  <c r="DI227" i="15" s="1"/>
  <c r="DJ227" i="15" s="1"/>
  <c r="DH16" i="15"/>
  <c r="DI16" i="15" s="1"/>
  <c r="DJ16" i="15" s="1"/>
  <c r="DH32" i="15"/>
  <c r="DI32" i="15" s="1"/>
  <c r="DJ32" i="15" s="1"/>
  <c r="DH48" i="15"/>
  <c r="DI48" i="15" s="1"/>
  <c r="DJ48" i="15" s="1"/>
  <c r="DH7" i="15"/>
  <c r="DI7" i="15" s="1"/>
  <c r="DJ7" i="15" s="1"/>
  <c r="DH23" i="15"/>
  <c r="DI23" i="15" s="1"/>
  <c r="DJ23" i="15" s="1"/>
  <c r="DH39" i="15"/>
  <c r="DI39" i="15" s="1"/>
  <c r="DJ39" i="15" s="1"/>
  <c r="DH55" i="15"/>
  <c r="DI55" i="15" s="1"/>
  <c r="DJ55" i="15" s="1"/>
  <c r="DH71" i="15"/>
  <c r="DI71" i="15" s="1"/>
  <c r="DJ71" i="15" s="1"/>
  <c r="DH87" i="15"/>
  <c r="DI87" i="15" s="1"/>
  <c r="DJ87" i="15" s="1"/>
  <c r="DH103" i="15"/>
  <c r="DI103" i="15" s="1"/>
  <c r="DJ103" i="15" s="1"/>
  <c r="DH119" i="15"/>
  <c r="DI119" i="15" s="1"/>
  <c r="DJ119" i="15" s="1"/>
  <c r="DH135" i="15"/>
  <c r="DI135" i="15" s="1"/>
  <c r="DJ135" i="15" s="1"/>
  <c r="DH151" i="15"/>
  <c r="DI151" i="15" s="1"/>
  <c r="DJ151" i="15" s="1"/>
  <c r="DH167" i="15"/>
  <c r="DI167" i="15" s="1"/>
  <c r="DJ167" i="15" s="1"/>
  <c r="DH183" i="15"/>
  <c r="DI183" i="15" s="1"/>
  <c r="DJ183" i="15" s="1"/>
  <c r="DH199" i="15"/>
  <c r="DI199" i="15" s="1"/>
  <c r="DJ199" i="15" s="1"/>
  <c r="DH215" i="15"/>
  <c r="DI215" i="15" s="1"/>
  <c r="DJ215" i="15" s="1"/>
  <c r="DH4" i="15"/>
  <c r="DI4" i="15" s="1"/>
  <c r="DJ4" i="15" s="1"/>
  <c r="DH20" i="15"/>
  <c r="DI20" i="15" s="1"/>
  <c r="DJ20" i="15" s="1"/>
  <c r="DH36" i="15"/>
  <c r="DI36" i="15" s="1"/>
  <c r="DJ36" i="15" s="1"/>
  <c r="DH52" i="15"/>
  <c r="DI52" i="15" s="1"/>
  <c r="DJ52" i="15" s="1"/>
  <c r="R30" i="4"/>
  <c r="DQ16" i="15"/>
  <c r="DR16" i="15" s="1"/>
  <c r="DS16" i="15" s="1"/>
  <c r="DQ32" i="15"/>
  <c r="DR32" i="15" s="1"/>
  <c r="DS32" i="15" s="1"/>
  <c r="DQ48" i="15"/>
  <c r="DR48" i="15" s="1"/>
  <c r="DS48" i="15" s="1"/>
  <c r="DQ64" i="15"/>
  <c r="DR64" i="15" s="1"/>
  <c r="DS64" i="15" s="1"/>
  <c r="DQ80" i="15"/>
  <c r="DR80" i="15" s="1"/>
  <c r="DS80" i="15" s="1"/>
  <c r="DQ96" i="15"/>
  <c r="DR96" i="15" s="1"/>
  <c r="DS96" i="15" s="1"/>
  <c r="DQ10" i="15"/>
  <c r="DR10" i="15" s="1"/>
  <c r="DS10" i="15" s="1"/>
  <c r="DQ26" i="15"/>
  <c r="DR26" i="15" s="1"/>
  <c r="DS26" i="15" s="1"/>
  <c r="DQ42" i="15"/>
  <c r="DR42" i="15" s="1"/>
  <c r="DS42" i="15" s="1"/>
  <c r="DQ58" i="15"/>
  <c r="DR58" i="15" s="1"/>
  <c r="DS58" i="15" s="1"/>
  <c r="DQ74" i="15"/>
  <c r="DR74" i="15" s="1"/>
  <c r="DS74" i="15" s="1"/>
  <c r="DQ90" i="15"/>
  <c r="DR90" i="15" s="1"/>
  <c r="DS90" i="15" s="1"/>
  <c r="DQ9" i="15"/>
  <c r="DR9" i="15" s="1"/>
  <c r="DS9" i="15" s="1"/>
  <c r="DQ41" i="15"/>
  <c r="DR41" i="15" s="1"/>
  <c r="DS41" i="15" s="1"/>
  <c r="DQ73" i="15"/>
  <c r="DR73" i="15" s="1"/>
  <c r="DS73" i="15" s="1"/>
  <c r="DQ105" i="15"/>
  <c r="DR105" i="15" s="1"/>
  <c r="DS105" i="15" s="1"/>
  <c r="DQ121" i="15"/>
  <c r="DR121" i="15" s="1"/>
  <c r="DS121" i="15" s="1"/>
  <c r="DQ137" i="15"/>
  <c r="DR137" i="15" s="1"/>
  <c r="DS137" i="15" s="1"/>
  <c r="DQ153" i="15"/>
  <c r="DR153" i="15" s="1"/>
  <c r="DS153" i="15" s="1"/>
  <c r="DQ169" i="15"/>
  <c r="DR169" i="15" s="1"/>
  <c r="DS169" i="15" s="1"/>
  <c r="DQ185" i="15"/>
  <c r="DR185" i="15" s="1"/>
  <c r="DS185" i="15" s="1"/>
  <c r="DQ201" i="15"/>
  <c r="DR201" i="15" s="1"/>
  <c r="DS201" i="15" s="1"/>
  <c r="DQ217" i="15"/>
  <c r="DR217" i="15" s="1"/>
  <c r="DS217" i="15" s="1"/>
  <c r="DQ11" i="15"/>
  <c r="DR11" i="15" s="1"/>
  <c r="DS11" i="15" s="1"/>
  <c r="DQ43" i="15"/>
  <c r="DR43" i="15" s="1"/>
  <c r="DS43" i="15" s="1"/>
  <c r="DQ75" i="15"/>
  <c r="DR75" i="15" s="1"/>
  <c r="DS75" i="15" s="1"/>
  <c r="DQ106" i="15"/>
  <c r="DR106" i="15" s="1"/>
  <c r="DS106" i="15" s="1"/>
  <c r="DQ122" i="15"/>
  <c r="DR122" i="15" s="1"/>
  <c r="DS122" i="15" s="1"/>
  <c r="DQ138" i="15"/>
  <c r="DR138" i="15" s="1"/>
  <c r="DS138" i="15" s="1"/>
  <c r="DQ154" i="15"/>
  <c r="DR154" i="15" s="1"/>
  <c r="DS154" i="15" s="1"/>
  <c r="DQ170" i="15"/>
  <c r="DR170" i="15" s="1"/>
  <c r="DS170" i="15" s="1"/>
  <c r="DQ186" i="15"/>
  <c r="DR186" i="15" s="1"/>
  <c r="DS186" i="15" s="1"/>
  <c r="DQ202" i="15"/>
  <c r="DR202" i="15" s="1"/>
  <c r="DS202" i="15" s="1"/>
  <c r="DQ218" i="15"/>
  <c r="DR218" i="15" s="1"/>
  <c r="DS218" i="15" s="1"/>
  <c r="DQ13" i="15"/>
  <c r="DR13" i="15" s="1"/>
  <c r="DS13" i="15" s="1"/>
  <c r="DQ45" i="15"/>
  <c r="DR45" i="15" s="1"/>
  <c r="DS45" i="15" s="1"/>
  <c r="DQ77" i="15"/>
  <c r="DR77" i="15" s="1"/>
  <c r="DS77" i="15" s="1"/>
  <c r="DQ107" i="15"/>
  <c r="DR107" i="15" s="1"/>
  <c r="DS107" i="15" s="1"/>
  <c r="DQ123" i="15"/>
  <c r="DR123" i="15" s="1"/>
  <c r="DS123" i="15" s="1"/>
  <c r="DQ139" i="15"/>
  <c r="DR139" i="15" s="1"/>
  <c r="DS139" i="15" s="1"/>
  <c r="DQ155" i="15"/>
  <c r="DR155" i="15" s="1"/>
  <c r="DS155" i="15" s="1"/>
  <c r="DQ171" i="15"/>
  <c r="DR171" i="15" s="1"/>
  <c r="DS171" i="15" s="1"/>
  <c r="DQ187" i="15"/>
  <c r="DR187" i="15" s="1"/>
  <c r="DS187" i="15" s="1"/>
  <c r="DQ203" i="15"/>
  <c r="DR203" i="15" s="1"/>
  <c r="DS203" i="15" s="1"/>
  <c r="DQ219" i="15"/>
  <c r="DR219" i="15" s="1"/>
  <c r="DS219" i="15" s="1"/>
  <c r="DQ39" i="15"/>
  <c r="DR39" i="15" s="1"/>
  <c r="DS39" i="15" s="1"/>
  <c r="DQ136" i="15"/>
  <c r="DR136" i="15" s="1"/>
  <c r="DS136" i="15" s="1"/>
  <c r="DQ200" i="15"/>
  <c r="DR200" i="15" s="1"/>
  <c r="DS200" i="15" s="1"/>
  <c r="DQ79" i="15"/>
  <c r="DR79" i="15" s="1"/>
  <c r="DS79" i="15" s="1"/>
  <c r="DQ156" i="15"/>
  <c r="DR156" i="15" s="1"/>
  <c r="DS156" i="15" s="1"/>
  <c r="DQ220" i="15"/>
  <c r="DR220" i="15" s="1"/>
  <c r="DS220" i="15" s="1"/>
  <c r="DQ112" i="15"/>
  <c r="DR112" i="15" s="1"/>
  <c r="DS112" i="15" s="1"/>
  <c r="DQ176" i="15"/>
  <c r="DR176" i="15" s="1"/>
  <c r="DS176" i="15" s="1"/>
  <c r="DQ116" i="15"/>
  <c r="DR116" i="15" s="1"/>
  <c r="DS116" i="15" s="1"/>
  <c r="DQ196" i="15"/>
  <c r="DR196" i="15" s="1"/>
  <c r="DS196" i="15" s="1"/>
  <c r="DQ2" i="15"/>
  <c r="DR2" i="15" s="1"/>
  <c r="DS2" i="15" s="1"/>
  <c r="DQ4" i="15"/>
  <c r="DR4" i="15" s="1"/>
  <c r="DS4" i="15" s="1"/>
  <c r="DQ20" i="15"/>
  <c r="DR20" i="15" s="1"/>
  <c r="DS20" i="15" s="1"/>
  <c r="DQ36" i="15"/>
  <c r="DR36" i="15" s="1"/>
  <c r="DS36" i="15" s="1"/>
  <c r="DQ52" i="15"/>
  <c r="DR52" i="15" s="1"/>
  <c r="DS52" i="15" s="1"/>
  <c r="DQ68" i="15"/>
  <c r="DR68" i="15" s="1"/>
  <c r="DS68" i="15" s="1"/>
  <c r="DQ84" i="15"/>
  <c r="DR84" i="15" s="1"/>
  <c r="DS84" i="15" s="1"/>
  <c r="DQ100" i="15"/>
  <c r="DR100" i="15" s="1"/>
  <c r="DS100" i="15" s="1"/>
  <c r="DQ14" i="15"/>
  <c r="DR14" i="15" s="1"/>
  <c r="DS14" i="15" s="1"/>
  <c r="DQ30" i="15"/>
  <c r="DR30" i="15" s="1"/>
  <c r="DS30" i="15" s="1"/>
  <c r="DQ46" i="15"/>
  <c r="DR46" i="15" s="1"/>
  <c r="DS46" i="15" s="1"/>
  <c r="DQ62" i="15"/>
  <c r="DR62" i="15" s="1"/>
  <c r="DS62" i="15" s="1"/>
  <c r="DQ78" i="15"/>
  <c r="DR78" i="15" s="1"/>
  <c r="DS78" i="15" s="1"/>
  <c r="DQ94" i="15"/>
  <c r="DR94" i="15" s="1"/>
  <c r="DS94" i="15" s="1"/>
  <c r="DQ17" i="15"/>
  <c r="DR17" i="15" s="1"/>
  <c r="DS17" i="15" s="1"/>
  <c r="DQ49" i="15"/>
  <c r="DR49" i="15" s="1"/>
  <c r="DS49" i="15" s="1"/>
  <c r="DQ81" i="15"/>
  <c r="DR81" i="15" s="1"/>
  <c r="DS81" i="15" s="1"/>
  <c r="DQ109" i="15"/>
  <c r="DR109" i="15" s="1"/>
  <c r="DS109" i="15" s="1"/>
  <c r="DQ125" i="15"/>
  <c r="DR125" i="15" s="1"/>
  <c r="DS125" i="15" s="1"/>
  <c r="DQ141" i="15"/>
  <c r="DR141" i="15" s="1"/>
  <c r="DS141" i="15" s="1"/>
  <c r="DQ157" i="15"/>
  <c r="DR157" i="15" s="1"/>
  <c r="DS157" i="15" s="1"/>
  <c r="DQ173" i="15"/>
  <c r="DR173" i="15" s="1"/>
  <c r="DS173" i="15" s="1"/>
  <c r="DQ189" i="15"/>
  <c r="DR189" i="15" s="1"/>
  <c r="DS189" i="15" s="1"/>
  <c r="DQ205" i="15"/>
  <c r="DR205" i="15" s="1"/>
  <c r="DS205" i="15" s="1"/>
  <c r="DQ221" i="15"/>
  <c r="DR221" i="15" s="1"/>
  <c r="DS221" i="15" s="1"/>
  <c r="DQ19" i="15"/>
  <c r="DR19" i="15" s="1"/>
  <c r="DS19" i="15" s="1"/>
  <c r="DQ51" i="15"/>
  <c r="DR51" i="15" s="1"/>
  <c r="DS51" i="15" s="1"/>
  <c r="DQ83" i="15"/>
  <c r="DR83" i="15" s="1"/>
  <c r="DS83" i="15" s="1"/>
  <c r="DQ110" i="15"/>
  <c r="DR110" i="15" s="1"/>
  <c r="DS110" i="15" s="1"/>
  <c r="DQ126" i="15"/>
  <c r="DR126" i="15" s="1"/>
  <c r="DS126" i="15" s="1"/>
  <c r="DQ142" i="15"/>
  <c r="DR142" i="15" s="1"/>
  <c r="DS142" i="15" s="1"/>
  <c r="DQ158" i="15"/>
  <c r="DR158" i="15" s="1"/>
  <c r="DS158" i="15" s="1"/>
  <c r="DQ174" i="15"/>
  <c r="DR174" i="15" s="1"/>
  <c r="DS174" i="15" s="1"/>
  <c r="DQ190" i="15"/>
  <c r="DR190" i="15" s="1"/>
  <c r="DS190" i="15" s="1"/>
  <c r="DQ206" i="15"/>
  <c r="DR206" i="15" s="1"/>
  <c r="DS206" i="15" s="1"/>
  <c r="DQ222" i="15"/>
  <c r="DR222" i="15" s="1"/>
  <c r="DS222" i="15" s="1"/>
  <c r="DQ21" i="15"/>
  <c r="DR21" i="15" s="1"/>
  <c r="DS21" i="15" s="1"/>
  <c r="DQ53" i="15"/>
  <c r="DR53" i="15" s="1"/>
  <c r="DS53" i="15" s="1"/>
  <c r="DQ85" i="15"/>
  <c r="DR85" i="15" s="1"/>
  <c r="DS85" i="15" s="1"/>
  <c r="DQ111" i="15"/>
  <c r="DR111" i="15" s="1"/>
  <c r="DS111" i="15" s="1"/>
  <c r="DQ127" i="15"/>
  <c r="DR127" i="15" s="1"/>
  <c r="DS127" i="15" s="1"/>
  <c r="DQ143" i="15"/>
  <c r="DR143" i="15" s="1"/>
  <c r="DS143" i="15" s="1"/>
  <c r="DQ159" i="15"/>
  <c r="DR159" i="15" s="1"/>
  <c r="DS159" i="15" s="1"/>
  <c r="DQ175" i="15"/>
  <c r="DR175" i="15" s="1"/>
  <c r="DS175" i="15" s="1"/>
  <c r="DQ191" i="15"/>
  <c r="DR191" i="15" s="1"/>
  <c r="DS191" i="15" s="1"/>
  <c r="DQ207" i="15"/>
  <c r="DR207" i="15" s="1"/>
  <c r="DS207" i="15" s="1"/>
  <c r="DQ223" i="15"/>
  <c r="DR223" i="15" s="1"/>
  <c r="DS223" i="15" s="1"/>
  <c r="DQ71" i="15"/>
  <c r="DR71" i="15" s="1"/>
  <c r="DS71" i="15" s="1"/>
  <c r="DQ152" i="15"/>
  <c r="DR152" i="15" s="1"/>
  <c r="DS152" i="15" s="1"/>
  <c r="DQ216" i="15"/>
  <c r="DR216" i="15" s="1"/>
  <c r="DS216" i="15" s="1"/>
  <c r="DQ108" i="15"/>
  <c r="DR108" i="15" s="1"/>
  <c r="DS108" i="15" s="1"/>
  <c r="DQ172" i="15"/>
  <c r="DR172" i="15" s="1"/>
  <c r="DS172" i="15" s="1"/>
  <c r="DQ23" i="15"/>
  <c r="DR23" i="15" s="1"/>
  <c r="DS23" i="15" s="1"/>
  <c r="DQ128" i="15"/>
  <c r="DR128" i="15" s="1"/>
  <c r="DS128" i="15" s="1"/>
  <c r="DQ192" i="15"/>
  <c r="DR192" i="15" s="1"/>
  <c r="DS192" i="15" s="1"/>
  <c r="DQ180" i="15"/>
  <c r="DR180" i="15" s="1"/>
  <c r="DS180" i="15" s="1"/>
  <c r="DQ63" i="15"/>
  <c r="DR63" i="15" s="1"/>
  <c r="DS63" i="15" s="1"/>
  <c r="DQ95" i="15"/>
  <c r="DR95" i="15" s="1"/>
  <c r="DS95" i="15" s="1"/>
  <c r="S7" i="15"/>
  <c r="T7" i="15" s="1"/>
  <c r="U7" i="15" s="1"/>
  <c r="S23" i="15"/>
  <c r="T23" i="15" s="1"/>
  <c r="U23" i="15" s="1"/>
  <c r="S39" i="15"/>
  <c r="T39" i="15" s="1"/>
  <c r="U39" i="15" s="1"/>
  <c r="S55" i="15"/>
  <c r="T55" i="15" s="1"/>
  <c r="U55" i="15" s="1"/>
  <c r="S71" i="15"/>
  <c r="T71" i="15" s="1"/>
  <c r="U71" i="15" s="1"/>
  <c r="S87" i="15"/>
  <c r="T87" i="15" s="1"/>
  <c r="U87" i="15" s="1"/>
  <c r="S103" i="15"/>
  <c r="T103" i="15" s="1"/>
  <c r="U103" i="15" s="1"/>
  <c r="S119" i="15"/>
  <c r="T119" i="15" s="1"/>
  <c r="U119" i="15" s="1"/>
  <c r="S135" i="15"/>
  <c r="T135" i="15" s="1"/>
  <c r="U135" i="15" s="1"/>
  <c r="S151" i="15"/>
  <c r="T151" i="15" s="1"/>
  <c r="U151" i="15" s="1"/>
  <c r="S167" i="15"/>
  <c r="T167" i="15" s="1"/>
  <c r="U167" i="15" s="1"/>
  <c r="S183" i="15"/>
  <c r="T183" i="15" s="1"/>
  <c r="U183" i="15" s="1"/>
  <c r="S199" i="15"/>
  <c r="T199" i="15" s="1"/>
  <c r="U199" i="15" s="1"/>
  <c r="S215" i="15"/>
  <c r="T215" i="15" s="1"/>
  <c r="U215" i="15" s="1"/>
  <c r="S2" i="15"/>
  <c r="T2" i="15" s="1"/>
  <c r="U2" i="15" s="1"/>
  <c r="S46" i="15"/>
  <c r="T46" i="15" s="1"/>
  <c r="U46" i="15" s="1"/>
  <c r="S94" i="15"/>
  <c r="T94" i="15" s="1"/>
  <c r="U94" i="15" s="1"/>
  <c r="S138" i="15"/>
  <c r="T138" i="15" s="1"/>
  <c r="U138" i="15" s="1"/>
  <c r="S186" i="15"/>
  <c r="T186" i="15" s="1"/>
  <c r="U186" i="15" s="1"/>
  <c r="S4" i="15"/>
  <c r="T4" i="15" s="1"/>
  <c r="U4" i="15" s="1"/>
  <c r="S20" i="15"/>
  <c r="T20" i="15" s="1"/>
  <c r="U20" i="15" s="1"/>
  <c r="S36" i="15"/>
  <c r="T36" i="15" s="1"/>
  <c r="U36" i="15" s="1"/>
  <c r="S52" i="15"/>
  <c r="T52" i="15" s="1"/>
  <c r="U52" i="15" s="1"/>
  <c r="S68" i="15"/>
  <c r="T68" i="15" s="1"/>
  <c r="U68" i="15" s="1"/>
  <c r="S84" i="15"/>
  <c r="T84" i="15" s="1"/>
  <c r="U84" i="15" s="1"/>
  <c r="S100" i="15"/>
  <c r="T100" i="15" s="1"/>
  <c r="U100" i="15" s="1"/>
  <c r="S116" i="15"/>
  <c r="T116" i="15" s="1"/>
  <c r="U116" i="15" s="1"/>
  <c r="S132" i="15"/>
  <c r="T132" i="15" s="1"/>
  <c r="U132" i="15" s="1"/>
  <c r="S148" i="15"/>
  <c r="T148" i="15" s="1"/>
  <c r="U148" i="15" s="1"/>
  <c r="S164" i="15"/>
  <c r="T164" i="15" s="1"/>
  <c r="U164" i="15" s="1"/>
  <c r="S180" i="15"/>
  <c r="T180" i="15" s="1"/>
  <c r="U180" i="15" s="1"/>
  <c r="S196" i="15"/>
  <c r="T196" i="15" s="1"/>
  <c r="U196" i="15" s="1"/>
  <c r="S212" i="15"/>
  <c r="T212" i="15" s="1"/>
  <c r="U212" i="15" s="1"/>
  <c r="S10" i="15"/>
  <c r="T10" i="15" s="1"/>
  <c r="U10" i="15" s="1"/>
  <c r="S62" i="15"/>
  <c r="T62" i="15" s="1"/>
  <c r="U62" i="15" s="1"/>
  <c r="S110" i="15"/>
  <c r="T110" i="15" s="1"/>
  <c r="U110" i="15" s="1"/>
  <c r="S158" i="15"/>
  <c r="T158" i="15" s="1"/>
  <c r="U158" i="15" s="1"/>
  <c r="S210" i="15"/>
  <c r="T210" i="15" s="1"/>
  <c r="U210" i="15" s="1"/>
  <c r="S13" i="15"/>
  <c r="T13" i="15" s="1"/>
  <c r="U13" i="15" s="1"/>
  <c r="S29" i="15"/>
  <c r="T29" i="15" s="1"/>
  <c r="U29" i="15" s="1"/>
  <c r="S45" i="15"/>
  <c r="T45" i="15" s="1"/>
  <c r="U45" i="15" s="1"/>
  <c r="S61" i="15"/>
  <c r="T61" i="15" s="1"/>
  <c r="U61" i="15" s="1"/>
  <c r="S77" i="15"/>
  <c r="T77" i="15" s="1"/>
  <c r="U77" i="15" s="1"/>
  <c r="S93" i="15"/>
  <c r="T93" i="15" s="1"/>
  <c r="U93" i="15" s="1"/>
  <c r="S109" i="15"/>
  <c r="T109" i="15" s="1"/>
  <c r="U109" i="15" s="1"/>
  <c r="S125" i="15"/>
  <c r="T125" i="15" s="1"/>
  <c r="U125" i="15" s="1"/>
  <c r="S141" i="15"/>
  <c r="T141" i="15" s="1"/>
  <c r="U141" i="15" s="1"/>
  <c r="S157" i="15"/>
  <c r="T157" i="15" s="1"/>
  <c r="U157" i="15" s="1"/>
  <c r="S173" i="15"/>
  <c r="T173" i="15" s="1"/>
  <c r="U173" i="15" s="1"/>
  <c r="S189" i="15"/>
  <c r="T189" i="15" s="1"/>
  <c r="U189" i="15" s="1"/>
  <c r="S205" i="15"/>
  <c r="T205" i="15" s="1"/>
  <c r="U205" i="15" s="1"/>
  <c r="S221" i="15"/>
  <c r="T221" i="15" s="1"/>
  <c r="U221" i="15" s="1"/>
  <c r="S30" i="15"/>
  <c r="T30" i="15" s="1"/>
  <c r="U30" i="15" s="1"/>
  <c r="S78" i="15"/>
  <c r="T78" i="15" s="1"/>
  <c r="U78" i="15" s="1"/>
  <c r="S130" i="15"/>
  <c r="T130" i="15" s="1"/>
  <c r="U130" i="15" s="1"/>
  <c r="S178" i="15"/>
  <c r="T178" i="15" s="1"/>
  <c r="U178" i="15" s="1"/>
  <c r="S226" i="15"/>
  <c r="T226" i="15" s="1"/>
  <c r="U226" i="15" s="1"/>
  <c r="S11" i="15"/>
  <c r="T11" i="15" s="1"/>
  <c r="U11" i="15" s="1"/>
  <c r="S27" i="15"/>
  <c r="T27" i="15" s="1"/>
  <c r="U27" i="15" s="1"/>
  <c r="S43" i="15"/>
  <c r="T43" i="15" s="1"/>
  <c r="U43" i="15" s="1"/>
  <c r="S59" i="15"/>
  <c r="T59" i="15" s="1"/>
  <c r="U59" i="15" s="1"/>
  <c r="S75" i="15"/>
  <c r="T75" i="15" s="1"/>
  <c r="U75" i="15" s="1"/>
  <c r="S91" i="15"/>
  <c r="T91" i="15" s="1"/>
  <c r="U91" i="15" s="1"/>
  <c r="S107" i="15"/>
  <c r="T107" i="15" s="1"/>
  <c r="U107" i="15" s="1"/>
  <c r="S123" i="15"/>
  <c r="T123" i="15" s="1"/>
  <c r="U123" i="15" s="1"/>
  <c r="S139" i="15"/>
  <c r="T139" i="15" s="1"/>
  <c r="U139" i="15" s="1"/>
  <c r="S155" i="15"/>
  <c r="T155" i="15" s="1"/>
  <c r="U155" i="15" s="1"/>
  <c r="S171" i="15"/>
  <c r="T171" i="15" s="1"/>
  <c r="U171" i="15" s="1"/>
  <c r="S187" i="15"/>
  <c r="T187" i="15" s="1"/>
  <c r="U187" i="15" s="1"/>
  <c r="S203" i="15"/>
  <c r="T203" i="15" s="1"/>
  <c r="U203" i="15" s="1"/>
  <c r="S219" i="15"/>
  <c r="T219" i="15" s="1"/>
  <c r="U219" i="15" s="1"/>
  <c r="S14" i="15"/>
  <c r="T14" i="15" s="1"/>
  <c r="U14" i="15" s="1"/>
  <c r="S58" i="15"/>
  <c r="T58" i="15" s="1"/>
  <c r="U58" i="15" s="1"/>
  <c r="S106" i="15"/>
  <c r="T106" i="15" s="1"/>
  <c r="U106" i="15" s="1"/>
  <c r="S150" i="15"/>
  <c r="T150" i="15" s="1"/>
  <c r="U150" i="15" s="1"/>
  <c r="S194" i="15"/>
  <c r="T194" i="15" s="1"/>
  <c r="U194" i="15" s="1"/>
  <c r="S8" i="15"/>
  <c r="T8" i="15" s="1"/>
  <c r="U8" i="15" s="1"/>
  <c r="S24" i="15"/>
  <c r="T24" i="15" s="1"/>
  <c r="U24" i="15" s="1"/>
  <c r="S40" i="15"/>
  <c r="T40" i="15" s="1"/>
  <c r="U40" i="15" s="1"/>
  <c r="S56" i="15"/>
  <c r="T56" i="15" s="1"/>
  <c r="U56" i="15" s="1"/>
  <c r="S72" i="15"/>
  <c r="T72" i="15" s="1"/>
  <c r="U72" i="15" s="1"/>
  <c r="S88" i="15"/>
  <c r="T88" i="15" s="1"/>
  <c r="U88" i="15" s="1"/>
  <c r="S104" i="15"/>
  <c r="T104" i="15" s="1"/>
  <c r="U104" i="15" s="1"/>
  <c r="S120" i="15"/>
  <c r="T120" i="15" s="1"/>
  <c r="U120" i="15" s="1"/>
  <c r="S136" i="15"/>
  <c r="T136" i="15" s="1"/>
  <c r="U136" i="15" s="1"/>
  <c r="S152" i="15"/>
  <c r="T152" i="15" s="1"/>
  <c r="U152" i="15" s="1"/>
  <c r="S168" i="15"/>
  <c r="T168" i="15" s="1"/>
  <c r="U168" i="15" s="1"/>
  <c r="S184" i="15"/>
  <c r="T184" i="15" s="1"/>
  <c r="U184" i="15" s="1"/>
  <c r="S200" i="15"/>
  <c r="T200" i="15" s="1"/>
  <c r="U200" i="15" s="1"/>
  <c r="S216" i="15"/>
  <c r="T216" i="15" s="1"/>
  <c r="U216" i="15" s="1"/>
  <c r="S22" i="15"/>
  <c r="T22" i="15" s="1"/>
  <c r="U22" i="15" s="1"/>
  <c r="S74" i="15"/>
  <c r="T74" i="15" s="1"/>
  <c r="U74" i="15" s="1"/>
  <c r="S122" i="15"/>
  <c r="T122" i="15" s="1"/>
  <c r="U122" i="15" s="1"/>
  <c r="S170" i="15"/>
  <c r="T170" i="15" s="1"/>
  <c r="U170" i="15" s="1"/>
  <c r="S222" i="15"/>
  <c r="T222" i="15" s="1"/>
  <c r="U222" i="15" s="1"/>
  <c r="S17" i="15"/>
  <c r="T17" i="15" s="1"/>
  <c r="U17" i="15" s="1"/>
  <c r="S33" i="15"/>
  <c r="T33" i="15" s="1"/>
  <c r="U33" i="15" s="1"/>
  <c r="S49" i="15"/>
  <c r="T49" i="15" s="1"/>
  <c r="U49" i="15" s="1"/>
  <c r="S65" i="15"/>
  <c r="T65" i="15" s="1"/>
  <c r="U65" i="15" s="1"/>
  <c r="S81" i="15"/>
  <c r="T81" i="15" s="1"/>
  <c r="U81" i="15" s="1"/>
  <c r="S97" i="15"/>
  <c r="T97" i="15" s="1"/>
  <c r="U97" i="15" s="1"/>
  <c r="S113" i="15"/>
  <c r="T113" i="15" s="1"/>
  <c r="U113" i="15" s="1"/>
  <c r="S129" i="15"/>
  <c r="T129" i="15" s="1"/>
  <c r="U129" i="15" s="1"/>
  <c r="S145" i="15"/>
  <c r="T145" i="15" s="1"/>
  <c r="U145" i="15" s="1"/>
  <c r="S161" i="15"/>
  <c r="T161" i="15" s="1"/>
  <c r="U161" i="15" s="1"/>
  <c r="S177" i="15"/>
  <c r="T177" i="15" s="1"/>
  <c r="U177" i="15" s="1"/>
  <c r="S193" i="15"/>
  <c r="T193" i="15" s="1"/>
  <c r="U193" i="15" s="1"/>
  <c r="S209" i="15"/>
  <c r="T209" i="15" s="1"/>
  <c r="U209" i="15" s="1"/>
  <c r="S225" i="15"/>
  <c r="T225" i="15" s="1"/>
  <c r="U225" i="15" s="1"/>
  <c r="S42" i="15"/>
  <c r="T42" i="15" s="1"/>
  <c r="U42" i="15" s="1"/>
  <c r="S90" i="15"/>
  <c r="T90" i="15" s="1"/>
  <c r="U90" i="15" s="1"/>
  <c r="S142" i="15"/>
  <c r="T142" i="15" s="1"/>
  <c r="U142" i="15" s="1"/>
  <c r="S190" i="15"/>
  <c r="T190" i="15" s="1"/>
  <c r="U190" i="15" s="1"/>
  <c r="K30" i="4"/>
  <c r="CV11" i="15"/>
  <c r="CW11" i="15" s="1"/>
  <c r="CX11" i="15" s="1"/>
  <c r="CV27" i="15"/>
  <c r="CW27" i="15" s="1"/>
  <c r="CX27" i="15" s="1"/>
  <c r="CV43" i="15"/>
  <c r="CW43" i="15" s="1"/>
  <c r="CX43" i="15" s="1"/>
  <c r="CV59" i="15"/>
  <c r="CW59" i="15" s="1"/>
  <c r="CX59" i="15" s="1"/>
  <c r="CV75" i="15"/>
  <c r="CW75" i="15" s="1"/>
  <c r="CX75" i="15" s="1"/>
  <c r="CV91" i="15"/>
  <c r="CW91" i="15" s="1"/>
  <c r="CX91" i="15" s="1"/>
  <c r="CV107" i="15"/>
  <c r="CW107" i="15" s="1"/>
  <c r="CX107" i="15" s="1"/>
  <c r="CV123" i="15"/>
  <c r="CW123" i="15" s="1"/>
  <c r="CX123" i="15" s="1"/>
  <c r="CV139" i="15"/>
  <c r="CW139" i="15" s="1"/>
  <c r="CX139" i="15" s="1"/>
  <c r="CV155" i="15"/>
  <c r="CW155" i="15" s="1"/>
  <c r="CX155" i="15" s="1"/>
  <c r="CV171" i="15"/>
  <c r="CW171" i="15" s="1"/>
  <c r="CX171" i="15" s="1"/>
  <c r="CV187" i="15"/>
  <c r="CW187" i="15" s="1"/>
  <c r="CX187" i="15" s="1"/>
  <c r="CV203" i="15"/>
  <c r="CW203" i="15" s="1"/>
  <c r="CX203" i="15" s="1"/>
  <c r="CV219" i="15"/>
  <c r="CW219" i="15" s="1"/>
  <c r="CX219" i="15" s="1"/>
  <c r="CV8" i="15"/>
  <c r="CW8" i="15" s="1"/>
  <c r="CX8" i="15" s="1"/>
  <c r="CV24" i="15"/>
  <c r="CW24" i="15" s="1"/>
  <c r="CX24" i="15" s="1"/>
  <c r="CV40" i="15"/>
  <c r="CW40" i="15" s="1"/>
  <c r="CX40" i="15" s="1"/>
  <c r="CV56" i="15"/>
  <c r="CW56" i="15" s="1"/>
  <c r="CX56" i="15" s="1"/>
  <c r="CV72" i="15"/>
  <c r="CW72" i="15" s="1"/>
  <c r="CX72" i="15" s="1"/>
  <c r="CV88" i="15"/>
  <c r="CW88" i="15" s="1"/>
  <c r="CX88" i="15" s="1"/>
  <c r="CV104" i="15"/>
  <c r="CW104" i="15" s="1"/>
  <c r="CX104" i="15" s="1"/>
  <c r="CV120" i="15"/>
  <c r="CW120" i="15" s="1"/>
  <c r="CX120" i="15" s="1"/>
  <c r="CV136" i="15"/>
  <c r="CW136" i="15" s="1"/>
  <c r="CX136" i="15" s="1"/>
  <c r="CV152" i="15"/>
  <c r="CW152" i="15" s="1"/>
  <c r="CX152" i="15" s="1"/>
  <c r="CV168" i="15"/>
  <c r="CW168" i="15" s="1"/>
  <c r="CX168" i="15" s="1"/>
  <c r="CV184" i="15"/>
  <c r="CW184" i="15" s="1"/>
  <c r="CX184" i="15" s="1"/>
  <c r="CV200" i="15"/>
  <c r="CW200" i="15" s="1"/>
  <c r="CX200" i="15" s="1"/>
  <c r="CV216" i="15"/>
  <c r="CW216" i="15" s="1"/>
  <c r="CX216" i="15" s="1"/>
  <c r="CV5" i="15"/>
  <c r="CW5" i="15" s="1"/>
  <c r="CX5" i="15" s="1"/>
  <c r="CV21" i="15"/>
  <c r="CW21" i="15" s="1"/>
  <c r="CX21" i="15" s="1"/>
  <c r="CV37" i="15"/>
  <c r="CW37" i="15" s="1"/>
  <c r="CX37" i="15" s="1"/>
  <c r="CV53" i="15"/>
  <c r="CW53" i="15" s="1"/>
  <c r="CX53" i="15" s="1"/>
  <c r="CV69" i="15"/>
  <c r="CW69" i="15" s="1"/>
  <c r="CX69" i="15" s="1"/>
  <c r="CV85" i="15"/>
  <c r="CW85" i="15" s="1"/>
  <c r="CX85" i="15" s="1"/>
  <c r="CV101" i="15"/>
  <c r="CW101" i="15" s="1"/>
  <c r="CX101" i="15" s="1"/>
  <c r="CV117" i="15"/>
  <c r="CW117" i="15" s="1"/>
  <c r="CX117" i="15" s="1"/>
  <c r="CV133" i="15"/>
  <c r="CW133" i="15" s="1"/>
  <c r="CX133" i="15" s="1"/>
  <c r="CV149" i="15"/>
  <c r="CW149" i="15" s="1"/>
  <c r="CX149" i="15" s="1"/>
  <c r="CV165" i="15"/>
  <c r="CW165" i="15" s="1"/>
  <c r="CX165" i="15" s="1"/>
  <c r="CV181" i="15"/>
  <c r="CW181" i="15" s="1"/>
  <c r="CX181" i="15" s="1"/>
  <c r="CV197" i="15"/>
  <c r="CW197" i="15" s="1"/>
  <c r="CX197" i="15" s="1"/>
  <c r="CV213" i="15"/>
  <c r="CW213" i="15" s="1"/>
  <c r="CX213" i="15" s="1"/>
  <c r="CV14" i="15"/>
  <c r="CW14" i="15" s="1"/>
  <c r="CX14" i="15" s="1"/>
  <c r="CV78" i="15"/>
  <c r="CW78" i="15" s="1"/>
  <c r="CX78" i="15" s="1"/>
  <c r="CV142" i="15"/>
  <c r="CW142" i="15" s="1"/>
  <c r="CX142" i="15" s="1"/>
  <c r="CV206" i="15"/>
  <c r="CW206" i="15" s="1"/>
  <c r="CX206" i="15" s="1"/>
  <c r="CV50" i="15"/>
  <c r="CW50" i="15" s="1"/>
  <c r="CX50" i="15" s="1"/>
  <c r="CV114" i="15"/>
  <c r="CW114" i="15" s="1"/>
  <c r="CX114" i="15" s="1"/>
  <c r="CV178" i="15"/>
  <c r="CW178" i="15" s="1"/>
  <c r="CX178" i="15" s="1"/>
  <c r="CV6" i="15"/>
  <c r="CW6" i="15" s="1"/>
  <c r="CX6" i="15" s="1"/>
  <c r="CV70" i="15"/>
  <c r="CW70" i="15" s="1"/>
  <c r="CX70" i="15" s="1"/>
  <c r="CV134" i="15"/>
  <c r="CW134" i="15" s="1"/>
  <c r="CX134" i="15" s="1"/>
  <c r="CV198" i="15"/>
  <c r="CW198" i="15" s="1"/>
  <c r="CX198" i="15" s="1"/>
  <c r="CV154" i="15"/>
  <c r="CW154" i="15" s="1"/>
  <c r="CX154" i="15" s="1"/>
  <c r="CV170" i="15"/>
  <c r="CW170" i="15" s="1"/>
  <c r="CX170" i="15" s="1"/>
  <c r="CV138" i="15"/>
  <c r="CW138" i="15" s="1"/>
  <c r="CX138" i="15" s="1"/>
  <c r="CV15" i="15"/>
  <c r="CW15" i="15" s="1"/>
  <c r="CX15" i="15" s="1"/>
  <c r="CV31" i="15"/>
  <c r="CW31" i="15" s="1"/>
  <c r="CX31" i="15" s="1"/>
  <c r="CV47" i="15"/>
  <c r="CW47" i="15" s="1"/>
  <c r="CX47" i="15" s="1"/>
  <c r="CV63" i="15"/>
  <c r="CW63" i="15" s="1"/>
  <c r="CX63" i="15" s="1"/>
  <c r="CV79" i="15"/>
  <c r="CW79" i="15" s="1"/>
  <c r="CX79" i="15" s="1"/>
  <c r="CV95" i="15"/>
  <c r="CW95" i="15" s="1"/>
  <c r="CX95" i="15" s="1"/>
  <c r="CV111" i="15"/>
  <c r="CW111" i="15" s="1"/>
  <c r="CX111" i="15" s="1"/>
  <c r="CV127" i="15"/>
  <c r="CW127" i="15" s="1"/>
  <c r="CX127" i="15" s="1"/>
  <c r="CV143" i="15"/>
  <c r="CW143" i="15" s="1"/>
  <c r="CX143" i="15" s="1"/>
  <c r="CV159" i="15"/>
  <c r="CW159" i="15" s="1"/>
  <c r="CX159" i="15" s="1"/>
  <c r="CV175" i="15"/>
  <c r="CW175" i="15" s="1"/>
  <c r="CX175" i="15" s="1"/>
  <c r="CV191" i="15"/>
  <c r="CW191" i="15" s="1"/>
  <c r="CX191" i="15" s="1"/>
  <c r="CV207" i="15"/>
  <c r="CW207" i="15" s="1"/>
  <c r="CX207" i="15" s="1"/>
  <c r="CV223" i="15"/>
  <c r="CW223" i="15" s="1"/>
  <c r="CX223" i="15" s="1"/>
  <c r="CV12" i="15"/>
  <c r="CW12" i="15" s="1"/>
  <c r="CX12" i="15" s="1"/>
  <c r="CV28" i="15"/>
  <c r="CW28" i="15" s="1"/>
  <c r="CX28" i="15" s="1"/>
  <c r="CV44" i="15"/>
  <c r="CW44" i="15" s="1"/>
  <c r="CX44" i="15" s="1"/>
  <c r="CV60" i="15"/>
  <c r="CW60" i="15" s="1"/>
  <c r="CX60" i="15" s="1"/>
  <c r="CV76" i="15"/>
  <c r="CW76" i="15" s="1"/>
  <c r="CX76" i="15" s="1"/>
  <c r="CV92" i="15"/>
  <c r="CW92" i="15" s="1"/>
  <c r="CX92" i="15" s="1"/>
  <c r="CV108" i="15"/>
  <c r="CW108" i="15" s="1"/>
  <c r="CX108" i="15" s="1"/>
  <c r="CV124" i="15"/>
  <c r="CW124" i="15" s="1"/>
  <c r="CX124" i="15" s="1"/>
  <c r="CV140" i="15"/>
  <c r="CW140" i="15" s="1"/>
  <c r="CX140" i="15" s="1"/>
  <c r="CV156" i="15"/>
  <c r="CW156" i="15" s="1"/>
  <c r="CX156" i="15" s="1"/>
  <c r="CV172" i="15"/>
  <c r="CW172" i="15" s="1"/>
  <c r="CX172" i="15" s="1"/>
  <c r="CV188" i="15"/>
  <c r="CW188" i="15" s="1"/>
  <c r="CX188" i="15" s="1"/>
  <c r="CV204" i="15"/>
  <c r="CW204" i="15" s="1"/>
  <c r="CX204" i="15" s="1"/>
  <c r="CV220" i="15"/>
  <c r="CW220" i="15" s="1"/>
  <c r="CX220" i="15" s="1"/>
  <c r="CV9" i="15"/>
  <c r="CW9" i="15" s="1"/>
  <c r="CX9" i="15" s="1"/>
  <c r="CV25" i="15"/>
  <c r="CW25" i="15" s="1"/>
  <c r="CX25" i="15" s="1"/>
  <c r="CV41" i="15"/>
  <c r="CW41" i="15" s="1"/>
  <c r="CX41" i="15" s="1"/>
  <c r="CV57" i="15"/>
  <c r="CW57" i="15" s="1"/>
  <c r="CX57" i="15" s="1"/>
  <c r="CV73" i="15"/>
  <c r="CW73" i="15" s="1"/>
  <c r="CX73" i="15" s="1"/>
  <c r="CV89" i="15"/>
  <c r="CW89" i="15" s="1"/>
  <c r="CX89" i="15" s="1"/>
  <c r="CV105" i="15"/>
  <c r="CW105" i="15" s="1"/>
  <c r="CX105" i="15" s="1"/>
  <c r="CV121" i="15"/>
  <c r="CW121" i="15" s="1"/>
  <c r="CX121" i="15" s="1"/>
  <c r="CV137" i="15"/>
  <c r="CW137" i="15" s="1"/>
  <c r="CX137" i="15" s="1"/>
  <c r="CV153" i="15"/>
  <c r="CW153" i="15" s="1"/>
  <c r="CX153" i="15" s="1"/>
  <c r="CV169" i="15"/>
  <c r="CW169" i="15" s="1"/>
  <c r="CX169" i="15" s="1"/>
  <c r="CV185" i="15"/>
  <c r="CW185" i="15" s="1"/>
  <c r="CX185" i="15" s="1"/>
  <c r="CV201" i="15"/>
  <c r="CW201" i="15" s="1"/>
  <c r="CX201" i="15" s="1"/>
  <c r="CV217" i="15"/>
  <c r="CW217" i="15" s="1"/>
  <c r="CX217" i="15" s="1"/>
  <c r="CV30" i="15"/>
  <c r="CW30" i="15" s="1"/>
  <c r="CX30" i="15" s="1"/>
  <c r="CV94" i="15"/>
  <c r="CW94" i="15" s="1"/>
  <c r="CX94" i="15" s="1"/>
  <c r="CV158" i="15"/>
  <c r="CW158" i="15" s="1"/>
  <c r="CX158" i="15" s="1"/>
  <c r="CV222" i="15"/>
  <c r="CW222" i="15" s="1"/>
  <c r="CX222" i="15" s="1"/>
  <c r="CV66" i="15"/>
  <c r="CW66" i="15" s="1"/>
  <c r="CX66" i="15" s="1"/>
  <c r="CV130" i="15"/>
  <c r="CW130" i="15" s="1"/>
  <c r="CX130" i="15" s="1"/>
  <c r="CV194" i="15"/>
  <c r="CW194" i="15" s="1"/>
  <c r="CX194" i="15" s="1"/>
  <c r="CV22" i="15"/>
  <c r="CW22" i="15" s="1"/>
  <c r="CX22" i="15" s="1"/>
  <c r="CV86" i="15"/>
  <c r="CW86" i="15" s="1"/>
  <c r="CX86" i="15" s="1"/>
  <c r="CV150" i="15"/>
  <c r="CW150" i="15" s="1"/>
  <c r="CX150" i="15" s="1"/>
  <c r="CV214" i="15"/>
  <c r="CW214" i="15" s="1"/>
  <c r="CX214" i="15" s="1"/>
  <c r="CV218" i="15"/>
  <c r="CW218" i="15" s="1"/>
  <c r="CX218" i="15" s="1"/>
  <c r="CV58" i="15"/>
  <c r="CW58" i="15" s="1"/>
  <c r="CX58" i="15" s="1"/>
  <c r="CV74" i="15"/>
  <c r="CW74" i="15" s="1"/>
  <c r="CX74" i="15" s="1"/>
  <c r="D11" i="4"/>
  <c r="G12" i="15"/>
  <c r="H12" i="15" s="1"/>
  <c r="I12" i="15" s="1"/>
  <c r="G28" i="15"/>
  <c r="H28" i="15" s="1"/>
  <c r="I28" i="15" s="1"/>
  <c r="G44" i="15"/>
  <c r="H44" i="15" s="1"/>
  <c r="I44" i="15" s="1"/>
  <c r="G60" i="15"/>
  <c r="H60" i="15" s="1"/>
  <c r="I60" i="15" s="1"/>
  <c r="G76" i="15"/>
  <c r="H76" i="15" s="1"/>
  <c r="I76" i="15" s="1"/>
  <c r="G92" i="15"/>
  <c r="H92" i="15" s="1"/>
  <c r="I92" i="15" s="1"/>
  <c r="G108" i="15"/>
  <c r="H108" i="15" s="1"/>
  <c r="I108" i="15" s="1"/>
  <c r="G124" i="15"/>
  <c r="H124" i="15" s="1"/>
  <c r="I124" i="15" s="1"/>
  <c r="G16" i="15"/>
  <c r="H16" i="15" s="1"/>
  <c r="I16" i="15" s="1"/>
  <c r="G24" i="15"/>
  <c r="H24" i="15" s="1"/>
  <c r="I24" i="15" s="1"/>
  <c r="G48" i="15"/>
  <c r="H48" i="15" s="1"/>
  <c r="I48" i="15" s="1"/>
  <c r="G68" i="15"/>
  <c r="H68" i="15" s="1"/>
  <c r="I68" i="15" s="1"/>
  <c r="G88" i="15"/>
  <c r="H88" i="15" s="1"/>
  <c r="I88" i="15" s="1"/>
  <c r="G112" i="15"/>
  <c r="H112" i="15" s="1"/>
  <c r="I112" i="15" s="1"/>
  <c r="G132" i="15"/>
  <c r="H132" i="15" s="1"/>
  <c r="I132" i="15" s="1"/>
  <c r="G148" i="15"/>
  <c r="H148" i="15" s="1"/>
  <c r="I148" i="15" s="1"/>
  <c r="G13" i="15"/>
  <c r="H13" i="15" s="1"/>
  <c r="I13" i="15" s="1"/>
  <c r="G29" i="15"/>
  <c r="H29" i="15" s="1"/>
  <c r="I29" i="15" s="1"/>
  <c r="G45" i="15"/>
  <c r="H45" i="15" s="1"/>
  <c r="I45" i="15" s="1"/>
  <c r="G61" i="15"/>
  <c r="H61" i="15" s="1"/>
  <c r="I61" i="15" s="1"/>
  <c r="G77" i="15"/>
  <c r="H77" i="15" s="1"/>
  <c r="I77" i="15" s="1"/>
  <c r="G93" i="15"/>
  <c r="H93" i="15" s="1"/>
  <c r="I93" i="15" s="1"/>
  <c r="G109" i="15"/>
  <c r="H109" i="15" s="1"/>
  <c r="I109" i="15" s="1"/>
  <c r="G125" i="15"/>
  <c r="H125" i="15" s="1"/>
  <c r="I125" i="15" s="1"/>
  <c r="G141" i="15"/>
  <c r="H141" i="15" s="1"/>
  <c r="I141" i="15" s="1"/>
  <c r="G6" i="15"/>
  <c r="H6" i="15" s="1"/>
  <c r="I6" i="15" s="1"/>
  <c r="G22" i="15"/>
  <c r="H22" i="15" s="1"/>
  <c r="I22" i="15" s="1"/>
  <c r="G38" i="15"/>
  <c r="H38" i="15" s="1"/>
  <c r="I38" i="15" s="1"/>
  <c r="G54" i="15"/>
  <c r="H54" i="15" s="1"/>
  <c r="I54" i="15" s="1"/>
  <c r="G70" i="15"/>
  <c r="H70" i="15" s="1"/>
  <c r="I70" i="15" s="1"/>
  <c r="G86" i="15"/>
  <c r="H86" i="15" s="1"/>
  <c r="I86" i="15" s="1"/>
  <c r="G102" i="15"/>
  <c r="H102" i="15" s="1"/>
  <c r="I102" i="15" s="1"/>
  <c r="G118" i="15"/>
  <c r="H118" i="15" s="1"/>
  <c r="I118" i="15" s="1"/>
  <c r="G134" i="15"/>
  <c r="H134" i="15" s="1"/>
  <c r="I134" i="15" s="1"/>
  <c r="G150" i="15"/>
  <c r="H150" i="15" s="1"/>
  <c r="I150" i="15" s="1"/>
  <c r="G55" i="15"/>
  <c r="H55" i="15" s="1"/>
  <c r="I55" i="15" s="1"/>
  <c r="G119" i="15"/>
  <c r="H119" i="15" s="1"/>
  <c r="I119" i="15" s="1"/>
  <c r="G160" i="15"/>
  <c r="H160" i="15" s="1"/>
  <c r="I160" i="15" s="1"/>
  <c r="G176" i="15"/>
  <c r="H176" i="15" s="1"/>
  <c r="I176" i="15" s="1"/>
  <c r="G192" i="15"/>
  <c r="H192" i="15" s="1"/>
  <c r="I192" i="15" s="1"/>
  <c r="G208" i="15"/>
  <c r="H208" i="15" s="1"/>
  <c r="I208" i="15" s="1"/>
  <c r="G224" i="15"/>
  <c r="H224" i="15" s="1"/>
  <c r="I224" i="15" s="1"/>
  <c r="G59" i="15"/>
  <c r="H59" i="15" s="1"/>
  <c r="I59" i="15" s="1"/>
  <c r="G123" i="15"/>
  <c r="H123" i="15" s="1"/>
  <c r="I123" i="15" s="1"/>
  <c r="G161" i="15"/>
  <c r="H161" i="15" s="1"/>
  <c r="I161" i="15" s="1"/>
  <c r="G177" i="15"/>
  <c r="H177" i="15" s="1"/>
  <c r="I177" i="15" s="1"/>
  <c r="G193" i="15"/>
  <c r="H193" i="15" s="1"/>
  <c r="I193" i="15" s="1"/>
  <c r="G209" i="15"/>
  <c r="H209" i="15" s="1"/>
  <c r="I209" i="15" s="1"/>
  <c r="G225" i="15"/>
  <c r="H225" i="15" s="1"/>
  <c r="I225" i="15" s="1"/>
  <c r="G63" i="15"/>
  <c r="H63" i="15" s="1"/>
  <c r="I63" i="15" s="1"/>
  <c r="G127" i="15"/>
  <c r="H127" i="15" s="1"/>
  <c r="I127" i="15" s="1"/>
  <c r="G162" i="15"/>
  <c r="H162" i="15" s="1"/>
  <c r="I162" i="15" s="1"/>
  <c r="G178" i="15"/>
  <c r="H178" i="15" s="1"/>
  <c r="I178" i="15" s="1"/>
  <c r="G194" i="15"/>
  <c r="H194" i="15" s="1"/>
  <c r="I194" i="15" s="1"/>
  <c r="G210" i="15"/>
  <c r="H210" i="15" s="1"/>
  <c r="I210" i="15" s="1"/>
  <c r="G226" i="15"/>
  <c r="H226" i="15" s="1"/>
  <c r="I226" i="15" s="1"/>
  <c r="G163" i="15"/>
  <c r="H163" i="15" s="1"/>
  <c r="I163" i="15" s="1"/>
  <c r="G227" i="15"/>
  <c r="H227" i="15" s="1"/>
  <c r="I227" i="15" s="1"/>
  <c r="G83" i="15"/>
  <c r="H83" i="15" s="1"/>
  <c r="I83" i="15" s="1"/>
  <c r="G199" i="15"/>
  <c r="H199" i="15" s="1"/>
  <c r="I199" i="15" s="1"/>
  <c r="G35" i="15"/>
  <c r="H35" i="15" s="1"/>
  <c r="I35" i="15" s="1"/>
  <c r="G187" i="15"/>
  <c r="H187" i="15" s="1"/>
  <c r="I187" i="15" s="1"/>
  <c r="G191" i="15"/>
  <c r="H191" i="15" s="1"/>
  <c r="I191" i="15" s="1"/>
  <c r="G4" i="15"/>
  <c r="H4" i="15" s="1"/>
  <c r="I4" i="15" s="1"/>
  <c r="G32" i="15"/>
  <c r="H32" i="15" s="1"/>
  <c r="I32" i="15" s="1"/>
  <c r="G52" i="15"/>
  <c r="H52" i="15" s="1"/>
  <c r="I52" i="15" s="1"/>
  <c r="G72" i="15"/>
  <c r="H72" i="15" s="1"/>
  <c r="I72" i="15" s="1"/>
  <c r="G96" i="15"/>
  <c r="H96" i="15" s="1"/>
  <c r="I96" i="15" s="1"/>
  <c r="G116" i="15"/>
  <c r="H116" i="15" s="1"/>
  <c r="I116" i="15" s="1"/>
  <c r="G136" i="15"/>
  <c r="H136" i="15" s="1"/>
  <c r="I136" i="15" s="1"/>
  <c r="G152" i="15"/>
  <c r="H152" i="15" s="1"/>
  <c r="I152" i="15" s="1"/>
  <c r="G17" i="15"/>
  <c r="H17" i="15" s="1"/>
  <c r="I17" i="15" s="1"/>
  <c r="G33" i="15"/>
  <c r="H33" i="15" s="1"/>
  <c r="I33" i="15" s="1"/>
  <c r="G49" i="15"/>
  <c r="H49" i="15" s="1"/>
  <c r="I49" i="15" s="1"/>
  <c r="G65" i="15"/>
  <c r="H65" i="15" s="1"/>
  <c r="I65" i="15" s="1"/>
  <c r="G81" i="15"/>
  <c r="H81" i="15" s="1"/>
  <c r="I81" i="15" s="1"/>
  <c r="G97" i="15"/>
  <c r="H97" i="15" s="1"/>
  <c r="I97" i="15" s="1"/>
  <c r="G113" i="15"/>
  <c r="H113" i="15" s="1"/>
  <c r="I113" i="15" s="1"/>
  <c r="G129" i="15"/>
  <c r="H129" i="15" s="1"/>
  <c r="I129" i="15" s="1"/>
  <c r="G145" i="15"/>
  <c r="H145" i="15" s="1"/>
  <c r="I145" i="15" s="1"/>
  <c r="G10" i="15"/>
  <c r="H10" i="15" s="1"/>
  <c r="I10" i="15" s="1"/>
  <c r="G26" i="15"/>
  <c r="H26" i="15" s="1"/>
  <c r="I26" i="15" s="1"/>
  <c r="G42" i="15"/>
  <c r="H42" i="15" s="1"/>
  <c r="I42" i="15" s="1"/>
  <c r="G58" i="15"/>
  <c r="H58" i="15" s="1"/>
  <c r="I58" i="15" s="1"/>
  <c r="G74" i="15"/>
  <c r="H74" i="15" s="1"/>
  <c r="I74" i="15" s="1"/>
  <c r="G90" i="15"/>
  <c r="H90" i="15" s="1"/>
  <c r="I90" i="15" s="1"/>
  <c r="G106" i="15"/>
  <c r="H106" i="15" s="1"/>
  <c r="I106" i="15" s="1"/>
  <c r="G122" i="15"/>
  <c r="H122" i="15" s="1"/>
  <c r="I122" i="15" s="1"/>
  <c r="G138" i="15"/>
  <c r="H138" i="15" s="1"/>
  <c r="I138" i="15" s="1"/>
  <c r="G7" i="15"/>
  <c r="H7" i="15" s="1"/>
  <c r="I7" i="15" s="1"/>
  <c r="G71" i="15"/>
  <c r="H71" i="15" s="1"/>
  <c r="I71" i="15" s="1"/>
  <c r="G135" i="15"/>
  <c r="H135" i="15" s="1"/>
  <c r="I135" i="15" s="1"/>
  <c r="G164" i="15"/>
  <c r="H164" i="15" s="1"/>
  <c r="I164" i="15" s="1"/>
  <c r="G180" i="15"/>
  <c r="H180" i="15" s="1"/>
  <c r="I180" i="15" s="1"/>
  <c r="G196" i="15"/>
  <c r="H196" i="15" s="1"/>
  <c r="I196" i="15" s="1"/>
  <c r="G212" i="15"/>
  <c r="H212" i="15" s="1"/>
  <c r="I212" i="15" s="1"/>
  <c r="G11" i="15"/>
  <c r="H11" i="15" s="1"/>
  <c r="I11" i="15" s="1"/>
  <c r="G75" i="15"/>
  <c r="H75" i="15" s="1"/>
  <c r="I75" i="15" s="1"/>
  <c r="G139" i="15"/>
  <c r="H139" i="15" s="1"/>
  <c r="I139" i="15" s="1"/>
  <c r="G165" i="15"/>
  <c r="H165" i="15" s="1"/>
  <c r="I165" i="15" s="1"/>
  <c r="G181" i="15"/>
  <c r="H181" i="15" s="1"/>
  <c r="I181" i="15" s="1"/>
  <c r="G197" i="15"/>
  <c r="H197" i="15" s="1"/>
  <c r="I197" i="15" s="1"/>
  <c r="G213" i="15"/>
  <c r="H213" i="15" s="1"/>
  <c r="I213" i="15" s="1"/>
  <c r="G15" i="15"/>
  <c r="H15" i="15" s="1"/>
  <c r="I15" i="15" s="1"/>
  <c r="G79" i="15"/>
  <c r="H79" i="15" s="1"/>
  <c r="I79" i="15" s="1"/>
  <c r="G143" i="15"/>
  <c r="H143" i="15" s="1"/>
  <c r="I143" i="15" s="1"/>
  <c r="G166" i="15"/>
  <c r="H166" i="15" s="1"/>
  <c r="I166" i="15" s="1"/>
  <c r="G182" i="15"/>
  <c r="H182" i="15" s="1"/>
  <c r="I182" i="15" s="1"/>
  <c r="G198" i="15"/>
  <c r="H198" i="15" s="1"/>
  <c r="I198" i="15" s="1"/>
  <c r="G214" i="15"/>
  <c r="H214" i="15" s="1"/>
  <c r="I214" i="15" s="1"/>
  <c r="G3" i="15"/>
  <c r="H3" i="15" s="1"/>
  <c r="I3" i="15" s="1"/>
  <c r="G179" i="15"/>
  <c r="H179" i="15" s="1"/>
  <c r="I179" i="15" s="1"/>
  <c r="G159" i="15"/>
  <c r="H159" i="15" s="1"/>
  <c r="I159" i="15" s="1"/>
  <c r="G147" i="15"/>
  <c r="H147" i="15" s="1"/>
  <c r="I147" i="15" s="1"/>
  <c r="G215" i="15"/>
  <c r="H215" i="15" s="1"/>
  <c r="I215" i="15" s="1"/>
  <c r="G99" i="15"/>
  <c r="H99" i="15" s="1"/>
  <c r="I99" i="15" s="1"/>
  <c r="G203" i="15"/>
  <c r="H203" i="15" s="1"/>
  <c r="I203" i="15" s="1"/>
  <c r="G223" i="15"/>
  <c r="H223" i="15" s="1"/>
  <c r="I223" i="15" s="1"/>
  <c r="DZ7" i="15"/>
  <c r="EA7" i="15" s="1"/>
  <c r="EB7" i="15" s="1"/>
  <c r="DZ11" i="15"/>
  <c r="EA11" i="15" s="1"/>
  <c r="EB11" i="15" s="1"/>
  <c r="DZ31" i="15"/>
  <c r="EA31" i="15" s="1"/>
  <c r="EB31" i="15" s="1"/>
  <c r="DZ51" i="15"/>
  <c r="EA51" i="15" s="1"/>
  <c r="EB51" i="15" s="1"/>
  <c r="DZ71" i="15"/>
  <c r="EA71" i="15" s="1"/>
  <c r="EB71" i="15" s="1"/>
  <c r="DZ8" i="15"/>
  <c r="EA8" i="15" s="1"/>
  <c r="EB8" i="15" s="1"/>
  <c r="DZ24" i="15"/>
  <c r="EA24" i="15" s="1"/>
  <c r="EB24" i="15" s="1"/>
  <c r="DZ40" i="15"/>
  <c r="EA40" i="15" s="1"/>
  <c r="EB40" i="15" s="1"/>
  <c r="DZ56" i="15"/>
  <c r="EA56" i="15" s="1"/>
  <c r="EB56" i="15" s="1"/>
  <c r="DZ72" i="15"/>
  <c r="EA72" i="15" s="1"/>
  <c r="EB72" i="15" s="1"/>
  <c r="DZ13" i="15"/>
  <c r="EA13" i="15" s="1"/>
  <c r="EB13" i="15" s="1"/>
  <c r="DZ45" i="15"/>
  <c r="EA45" i="15" s="1"/>
  <c r="EB45" i="15" s="1"/>
  <c r="DZ77" i="15"/>
  <c r="EA77" i="15" s="1"/>
  <c r="EB77" i="15" s="1"/>
  <c r="DZ95" i="15"/>
  <c r="EA95" i="15" s="1"/>
  <c r="EB95" i="15" s="1"/>
  <c r="DZ111" i="15"/>
  <c r="EA111" i="15" s="1"/>
  <c r="EB111" i="15" s="1"/>
  <c r="DZ127" i="15"/>
  <c r="EA127" i="15" s="1"/>
  <c r="EB127" i="15" s="1"/>
  <c r="DZ143" i="15"/>
  <c r="EA143" i="15" s="1"/>
  <c r="EB143" i="15" s="1"/>
  <c r="DZ159" i="15"/>
  <c r="EA159" i="15" s="1"/>
  <c r="EB159" i="15" s="1"/>
  <c r="DZ175" i="15"/>
  <c r="EA175" i="15" s="1"/>
  <c r="EB175" i="15" s="1"/>
  <c r="DZ191" i="15"/>
  <c r="EA191" i="15" s="1"/>
  <c r="EB191" i="15" s="1"/>
  <c r="DZ207" i="15"/>
  <c r="EA207" i="15" s="1"/>
  <c r="EB207" i="15" s="1"/>
  <c r="DZ223" i="15"/>
  <c r="EA223" i="15" s="1"/>
  <c r="EB223" i="15" s="1"/>
  <c r="DZ22" i="15"/>
  <c r="EA22" i="15" s="1"/>
  <c r="EB22" i="15" s="1"/>
  <c r="DZ54" i="15"/>
  <c r="EA54" i="15" s="1"/>
  <c r="EB54" i="15" s="1"/>
  <c r="DZ84" i="15"/>
  <c r="EA84" i="15" s="1"/>
  <c r="EB84" i="15" s="1"/>
  <c r="DZ100" i="15"/>
  <c r="EA100" i="15" s="1"/>
  <c r="EB100" i="15" s="1"/>
  <c r="DZ116" i="15"/>
  <c r="EA116" i="15" s="1"/>
  <c r="EB116" i="15" s="1"/>
  <c r="DZ132" i="15"/>
  <c r="EA132" i="15" s="1"/>
  <c r="EB132" i="15" s="1"/>
  <c r="DZ148" i="15"/>
  <c r="EA148" i="15" s="1"/>
  <c r="EB148" i="15" s="1"/>
  <c r="DZ164" i="15"/>
  <c r="EA164" i="15" s="1"/>
  <c r="EB164" i="15" s="1"/>
  <c r="DZ180" i="15"/>
  <c r="EA180" i="15" s="1"/>
  <c r="EB180" i="15" s="1"/>
  <c r="DZ196" i="15"/>
  <c r="EA196" i="15" s="1"/>
  <c r="EB196" i="15" s="1"/>
  <c r="DZ212" i="15"/>
  <c r="EA212" i="15" s="1"/>
  <c r="EB212" i="15" s="1"/>
  <c r="DZ2" i="15"/>
  <c r="EA2" i="15" s="1"/>
  <c r="EB2" i="15" s="1"/>
  <c r="DZ33" i="15"/>
  <c r="EA33" i="15" s="1"/>
  <c r="EB33" i="15" s="1"/>
  <c r="DZ65" i="15"/>
  <c r="EA65" i="15" s="1"/>
  <c r="EB65" i="15" s="1"/>
  <c r="DZ50" i="15"/>
  <c r="EA50" i="15" s="1"/>
  <c r="EB50" i="15" s="1"/>
  <c r="DZ106" i="15"/>
  <c r="EA106" i="15" s="1"/>
  <c r="EB106" i="15" s="1"/>
  <c r="DZ138" i="15"/>
  <c r="EA138" i="15" s="1"/>
  <c r="EB138" i="15" s="1"/>
  <c r="DZ170" i="15"/>
  <c r="EA170" i="15" s="1"/>
  <c r="EB170" i="15" s="1"/>
  <c r="DZ202" i="15"/>
  <c r="EA202" i="15" s="1"/>
  <c r="EB202" i="15" s="1"/>
  <c r="DZ26" i="15"/>
  <c r="EA26" i="15" s="1"/>
  <c r="EB26" i="15" s="1"/>
  <c r="DZ101" i="15"/>
  <c r="EA101" i="15" s="1"/>
  <c r="EB101" i="15" s="1"/>
  <c r="DZ133" i="15"/>
  <c r="EA133" i="15" s="1"/>
  <c r="EB133" i="15" s="1"/>
  <c r="DZ165" i="15"/>
  <c r="EA165" i="15" s="1"/>
  <c r="EB165" i="15" s="1"/>
  <c r="DZ197" i="15"/>
  <c r="EA197" i="15" s="1"/>
  <c r="EB197" i="15" s="1"/>
  <c r="DZ34" i="15"/>
  <c r="EA34" i="15" s="1"/>
  <c r="EB34" i="15" s="1"/>
  <c r="DZ102" i="15"/>
  <c r="EA102" i="15" s="1"/>
  <c r="EB102" i="15" s="1"/>
  <c r="DZ134" i="15"/>
  <c r="EA134" i="15" s="1"/>
  <c r="EB134" i="15" s="1"/>
  <c r="DZ166" i="15"/>
  <c r="EA166" i="15" s="1"/>
  <c r="EB166" i="15" s="1"/>
  <c r="DZ198" i="15"/>
  <c r="EA198" i="15" s="1"/>
  <c r="EB198" i="15" s="1"/>
  <c r="DZ15" i="15"/>
  <c r="EA15" i="15" s="1"/>
  <c r="EB15" i="15" s="1"/>
  <c r="DZ3" i="15"/>
  <c r="EA3" i="15" s="1"/>
  <c r="EB3" i="15" s="1"/>
  <c r="DZ43" i="15"/>
  <c r="EA43" i="15" s="1"/>
  <c r="EB43" i="15" s="1"/>
  <c r="DZ67" i="15"/>
  <c r="EA67" i="15" s="1"/>
  <c r="EB67" i="15" s="1"/>
  <c r="DZ12" i="15"/>
  <c r="EA12" i="15" s="1"/>
  <c r="EB12" i="15" s="1"/>
  <c r="DZ32" i="15"/>
  <c r="EA32" i="15" s="1"/>
  <c r="EB32" i="15" s="1"/>
  <c r="DZ52" i="15"/>
  <c r="EA52" i="15" s="1"/>
  <c r="EB52" i="15" s="1"/>
  <c r="DZ76" i="15"/>
  <c r="EA76" i="15" s="1"/>
  <c r="EB76" i="15" s="1"/>
  <c r="DZ29" i="15"/>
  <c r="EA29" i="15" s="1"/>
  <c r="EB29" i="15" s="1"/>
  <c r="DZ69" i="15"/>
  <c r="EA69" i="15" s="1"/>
  <c r="EB69" i="15" s="1"/>
  <c r="DZ99" i="15"/>
  <c r="EA99" i="15" s="1"/>
  <c r="EB99" i="15" s="1"/>
  <c r="DZ119" i="15"/>
  <c r="EA119" i="15" s="1"/>
  <c r="EB119" i="15" s="1"/>
  <c r="DZ139" i="15"/>
  <c r="EA139" i="15" s="1"/>
  <c r="EB139" i="15" s="1"/>
  <c r="DZ163" i="15"/>
  <c r="EA163" i="15" s="1"/>
  <c r="EB163" i="15" s="1"/>
  <c r="DZ183" i="15"/>
  <c r="EA183" i="15" s="1"/>
  <c r="EB183" i="15" s="1"/>
  <c r="DZ203" i="15"/>
  <c r="EA203" i="15" s="1"/>
  <c r="EB203" i="15" s="1"/>
  <c r="DZ227" i="15"/>
  <c r="EA227" i="15" s="1"/>
  <c r="EB227" i="15" s="1"/>
  <c r="DZ38" i="15"/>
  <c r="EA38" i="15" s="1"/>
  <c r="EB38" i="15" s="1"/>
  <c r="DZ78" i="15"/>
  <c r="EA78" i="15" s="1"/>
  <c r="EB78" i="15" s="1"/>
  <c r="DZ104" i="15"/>
  <c r="EA104" i="15" s="1"/>
  <c r="EB104" i="15" s="1"/>
  <c r="DZ124" i="15"/>
  <c r="EA124" i="15" s="1"/>
  <c r="EB124" i="15" s="1"/>
  <c r="DZ144" i="15"/>
  <c r="EA144" i="15" s="1"/>
  <c r="EB144" i="15" s="1"/>
  <c r="DZ168" i="15"/>
  <c r="EA168" i="15" s="1"/>
  <c r="EB168" i="15" s="1"/>
  <c r="DZ188" i="15"/>
  <c r="EA188" i="15" s="1"/>
  <c r="EB188" i="15" s="1"/>
  <c r="DZ208" i="15"/>
  <c r="EA208" i="15" s="1"/>
  <c r="EB208" i="15" s="1"/>
  <c r="DZ9" i="15"/>
  <c r="EA9" i="15" s="1"/>
  <c r="EB9" i="15" s="1"/>
  <c r="DZ49" i="15"/>
  <c r="EA49" i="15" s="1"/>
  <c r="EB49" i="15" s="1"/>
  <c r="DZ18" i="15"/>
  <c r="EA18" i="15" s="1"/>
  <c r="EB18" i="15" s="1"/>
  <c r="DZ114" i="15"/>
  <c r="EA114" i="15" s="1"/>
  <c r="EB114" i="15" s="1"/>
  <c r="DZ154" i="15"/>
  <c r="EA154" i="15" s="1"/>
  <c r="EB154" i="15" s="1"/>
  <c r="DZ194" i="15"/>
  <c r="EA194" i="15" s="1"/>
  <c r="EB194" i="15" s="1"/>
  <c r="DZ58" i="15"/>
  <c r="EA58" i="15" s="1"/>
  <c r="EB58" i="15" s="1"/>
  <c r="DZ117" i="15"/>
  <c r="EA117" i="15" s="1"/>
  <c r="EB117" i="15" s="1"/>
  <c r="DZ157" i="15"/>
  <c r="EA157" i="15" s="1"/>
  <c r="EB157" i="15" s="1"/>
  <c r="DZ205" i="15"/>
  <c r="EA205" i="15" s="1"/>
  <c r="EB205" i="15" s="1"/>
  <c r="DZ86" i="15"/>
  <c r="EA86" i="15" s="1"/>
  <c r="EB86" i="15" s="1"/>
  <c r="DZ126" i="15"/>
  <c r="EA126" i="15" s="1"/>
  <c r="EB126" i="15" s="1"/>
  <c r="DZ174" i="15"/>
  <c r="EA174" i="15" s="1"/>
  <c r="EB174" i="15" s="1"/>
  <c r="DZ214" i="15"/>
  <c r="EA214" i="15" s="1"/>
  <c r="EB214" i="15" s="1"/>
  <c r="DZ145" i="15"/>
  <c r="EA145" i="15" s="1"/>
  <c r="EB145" i="15" s="1"/>
  <c r="DZ121" i="15"/>
  <c r="EA121" i="15" s="1"/>
  <c r="EB121" i="15" s="1"/>
  <c r="DZ10" i="15"/>
  <c r="EA10" i="15" s="1"/>
  <c r="EB10" i="15" s="1"/>
  <c r="DZ193" i="15"/>
  <c r="EA193" i="15" s="1"/>
  <c r="EB193" i="15" s="1"/>
  <c r="DZ105" i="15"/>
  <c r="EA105" i="15" s="1"/>
  <c r="EB105" i="15" s="1"/>
  <c r="DZ19" i="15"/>
  <c r="EA19" i="15" s="1"/>
  <c r="EB19" i="15" s="1"/>
  <c r="DZ47" i="15"/>
  <c r="EA47" i="15" s="1"/>
  <c r="EB47" i="15" s="1"/>
  <c r="DZ75" i="15"/>
  <c r="EA75" i="15" s="1"/>
  <c r="EB75" i="15" s="1"/>
  <c r="DZ16" i="15"/>
  <c r="EA16" i="15" s="1"/>
  <c r="EB16" i="15" s="1"/>
  <c r="DZ36" i="15"/>
  <c r="EA36" i="15" s="1"/>
  <c r="EB36" i="15" s="1"/>
  <c r="DZ60" i="15"/>
  <c r="EA60" i="15" s="1"/>
  <c r="EB60" i="15" s="1"/>
  <c r="DZ80" i="15"/>
  <c r="EA80" i="15" s="1"/>
  <c r="EB80" i="15" s="1"/>
  <c r="DZ37" i="15"/>
  <c r="EA37" i="15" s="1"/>
  <c r="EB37" i="15" s="1"/>
  <c r="DZ83" i="15"/>
  <c r="EA83" i="15" s="1"/>
  <c r="EB83" i="15" s="1"/>
  <c r="DZ103" i="15"/>
  <c r="EA103" i="15" s="1"/>
  <c r="EB103" i="15" s="1"/>
  <c r="DZ123" i="15"/>
  <c r="EA123" i="15" s="1"/>
  <c r="EB123" i="15" s="1"/>
  <c r="DZ147" i="15"/>
  <c r="EA147" i="15" s="1"/>
  <c r="EB147" i="15" s="1"/>
  <c r="DZ167" i="15"/>
  <c r="EA167" i="15" s="1"/>
  <c r="EB167" i="15" s="1"/>
  <c r="DZ187" i="15"/>
  <c r="EA187" i="15" s="1"/>
  <c r="EB187" i="15" s="1"/>
  <c r="DZ211" i="15"/>
  <c r="EA211" i="15" s="1"/>
  <c r="EB211" i="15" s="1"/>
  <c r="DZ6" i="15"/>
  <c r="EA6" i="15" s="1"/>
  <c r="EB6" i="15" s="1"/>
  <c r="DZ46" i="15"/>
  <c r="EA46" i="15" s="1"/>
  <c r="EB46" i="15" s="1"/>
  <c r="DZ88" i="15"/>
  <c r="EA88" i="15" s="1"/>
  <c r="EB88" i="15" s="1"/>
  <c r="DZ108" i="15"/>
  <c r="EA108" i="15" s="1"/>
  <c r="EB108" i="15" s="1"/>
  <c r="DZ128" i="15"/>
  <c r="EA128" i="15" s="1"/>
  <c r="EB128" i="15" s="1"/>
  <c r="DZ152" i="15"/>
  <c r="EA152" i="15" s="1"/>
  <c r="EB152" i="15" s="1"/>
  <c r="DZ172" i="15"/>
  <c r="EA172" i="15" s="1"/>
  <c r="EB172" i="15" s="1"/>
  <c r="DZ192" i="15"/>
  <c r="EA192" i="15" s="1"/>
  <c r="EB192" i="15" s="1"/>
  <c r="DZ216" i="15"/>
  <c r="EA216" i="15" s="1"/>
  <c r="EB216" i="15" s="1"/>
  <c r="DZ17" i="15"/>
  <c r="EA17" i="15" s="1"/>
  <c r="EB17" i="15" s="1"/>
  <c r="DZ57" i="15"/>
  <c r="EA57" i="15" s="1"/>
  <c r="EB57" i="15" s="1"/>
  <c r="DZ82" i="15"/>
  <c r="EA82" i="15" s="1"/>
  <c r="EB82" i="15" s="1"/>
  <c r="DZ122" i="15"/>
  <c r="EA122" i="15" s="1"/>
  <c r="EB122" i="15" s="1"/>
  <c r="DZ162" i="15"/>
  <c r="EA162" i="15" s="1"/>
  <c r="EB162" i="15" s="1"/>
  <c r="DZ210" i="15"/>
  <c r="EA210" i="15" s="1"/>
  <c r="EB210" i="15" s="1"/>
  <c r="DZ85" i="15"/>
  <c r="EA85" i="15" s="1"/>
  <c r="EB85" i="15" s="1"/>
  <c r="DZ125" i="15"/>
  <c r="EA125" i="15" s="1"/>
  <c r="EB125" i="15" s="1"/>
  <c r="DZ173" i="15"/>
  <c r="EA173" i="15" s="1"/>
  <c r="EB173" i="15" s="1"/>
  <c r="DZ213" i="15"/>
  <c r="EA213" i="15" s="1"/>
  <c r="EB213" i="15" s="1"/>
  <c r="DZ94" i="15"/>
  <c r="EA94" i="15" s="1"/>
  <c r="EB94" i="15" s="1"/>
  <c r="DZ142" i="15"/>
  <c r="EA142" i="15" s="1"/>
  <c r="EB142" i="15" s="1"/>
  <c r="DZ182" i="15"/>
  <c r="EA182" i="15" s="1"/>
  <c r="EB182" i="15" s="1"/>
  <c r="DZ222" i="15"/>
  <c r="EA222" i="15" s="1"/>
  <c r="EB222" i="15" s="1"/>
  <c r="DZ177" i="15"/>
  <c r="EA177" i="15" s="1"/>
  <c r="EB177" i="15" s="1"/>
  <c r="DZ153" i="15"/>
  <c r="EA153" i="15" s="1"/>
  <c r="EB153" i="15" s="1"/>
  <c r="DZ97" i="15"/>
  <c r="EA97" i="15" s="1"/>
  <c r="EB97" i="15" s="1"/>
  <c r="DZ225" i="15"/>
  <c r="EA225" i="15" s="1"/>
  <c r="EB225" i="15" s="1"/>
  <c r="DZ137" i="15"/>
  <c r="EA137" i="15" s="1"/>
  <c r="EB137" i="15" s="1"/>
  <c r="DZ27" i="15"/>
  <c r="EA27" i="15" s="1"/>
  <c r="EB27" i="15" s="1"/>
  <c r="DZ79" i="15"/>
  <c r="EA79" i="15" s="1"/>
  <c r="EB79" i="15" s="1"/>
  <c r="DZ44" i="15"/>
  <c r="EA44" i="15" s="1"/>
  <c r="EB44" i="15" s="1"/>
  <c r="DZ5" i="15"/>
  <c r="EA5" i="15" s="1"/>
  <c r="EB5" i="15" s="1"/>
  <c r="DZ87" i="15"/>
  <c r="EA87" i="15" s="1"/>
  <c r="EB87" i="15" s="1"/>
  <c r="DZ131" i="15"/>
  <c r="EA131" i="15" s="1"/>
  <c r="EB131" i="15" s="1"/>
  <c r="DZ171" i="15"/>
  <c r="EA171" i="15" s="1"/>
  <c r="EB171" i="15" s="1"/>
  <c r="DZ215" i="15"/>
  <c r="EA215" i="15" s="1"/>
  <c r="EB215" i="15" s="1"/>
  <c r="DZ62" i="15"/>
  <c r="EA62" i="15" s="1"/>
  <c r="EB62" i="15" s="1"/>
  <c r="DZ112" i="15"/>
  <c r="EA112" i="15" s="1"/>
  <c r="EB112" i="15" s="1"/>
  <c r="DZ156" i="15"/>
  <c r="EA156" i="15" s="1"/>
  <c r="EB156" i="15" s="1"/>
  <c r="DZ200" i="15"/>
  <c r="EA200" i="15" s="1"/>
  <c r="EB200" i="15" s="1"/>
  <c r="DZ25" i="15"/>
  <c r="EA25" i="15" s="1"/>
  <c r="EB25" i="15" s="1"/>
  <c r="DZ90" i="15"/>
  <c r="EA90" i="15" s="1"/>
  <c r="EB90" i="15" s="1"/>
  <c r="DZ178" i="15"/>
  <c r="EA178" i="15" s="1"/>
  <c r="EB178" i="15" s="1"/>
  <c r="DZ93" i="15"/>
  <c r="EA93" i="15" s="1"/>
  <c r="EB93" i="15" s="1"/>
  <c r="DZ181" i="15"/>
  <c r="EA181" i="15" s="1"/>
  <c r="EB181" i="15" s="1"/>
  <c r="DZ110" i="15"/>
  <c r="EA110" i="15" s="1"/>
  <c r="EB110" i="15" s="1"/>
  <c r="DZ190" i="15"/>
  <c r="EA190" i="15" s="1"/>
  <c r="EB190" i="15" s="1"/>
  <c r="DZ209" i="15"/>
  <c r="EA209" i="15" s="1"/>
  <c r="EB209" i="15" s="1"/>
  <c r="DZ129" i="15"/>
  <c r="EA129" i="15" s="1"/>
  <c r="EB129" i="15" s="1"/>
  <c r="DZ169" i="15"/>
  <c r="EA169" i="15" s="1"/>
  <c r="EB169" i="15" s="1"/>
  <c r="DZ35" i="15"/>
  <c r="EA35" i="15" s="1"/>
  <c r="EB35" i="15" s="1"/>
  <c r="DZ4" i="15"/>
  <c r="EA4" i="15" s="1"/>
  <c r="EB4" i="15" s="1"/>
  <c r="DZ48" i="15"/>
  <c r="EA48" i="15" s="1"/>
  <c r="EB48" i="15" s="1"/>
  <c r="DZ21" i="15"/>
  <c r="EA21" i="15" s="1"/>
  <c r="EB21" i="15" s="1"/>
  <c r="DZ91" i="15"/>
  <c r="EA91" i="15" s="1"/>
  <c r="EB91" i="15" s="1"/>
  <c r="DZ135" i="15"/>
  <c r="EA135" i="15" s="1"/>
  <c r="EB135" i="15" s="1"/>
  <c r="DZ179" i="15"/>
  <c r="EA179" i="15" s="1"/>
  <c r="EB179" i="15" s="1"/>
  <c r="DZ219" i="15"/>
  <c r="EA219" i="15" s="1"/>
  <c r="EB219" i="15" s="1"/>
  <c r="DZ70" i="15"/>
  <c r="EA70" i="15" s="1"/>
  <c r="EB70" i="15" s="1"/>
  <c r="DZ120" i="15"/>
  <c r="EA120" i="15" s="1"/>
  <c r="EB120" i="15" s="1"/>
  <c r="DZ160" i="15"/>
  <c r="EA160" i="15" s="1"/>
  <c r="EB160" i="15" s="1"/>
  <c r="DZ204" i="15"/>
  <c r="EA204" i="15" s="1"/>
  <c r="EB204" i="15" s="1"/>
  <c r="DZ41" i="15"/>
  <c r="EA41" i="15" s="1"/>
  <c r="EB41" i="15" s="1"/>
  <c r="DZ98" i="15"/>
  <c r="EA98" i="15" s="1"/>
  <c r="EB98" i="15" s="1"/>
  <c r="DZ186" i="15"/>
  <c r="EA186" i="15" s="1"/>
  <c r="EB186" i="15" s="1"/>
  <c r="DZ109" i="15"/>
  <c r="EA109" i="15" s="1"/>
  <c r="EB109" i="15" s="1"/>
  <c r="DZ189" i="15"/>
  <c r="EA189" i="15" s="1"/>
  <c r="EB189" i="15" s="1"/>
  <c r="DZ118" i="15"/>
  <c r="EA118" i="15" s="1"/>
  <c r="EB118" i="15" s="1"/>
  <c r="DZ206" i="15"/>
  <c r="EA206" i="15" s="1"/>
  <c r="EB206" i="15" s="1"/>
  <c r="DZ89" i="15"/>
  <c r="EA89" i="15" s="1"/>
  <c r="EB89" i="15" s="1"/>
  <c r="DZ161" i="15"/>
  <c r="EA161" i="15" s="1"/>
  <c r="EB161" i="15" s="1"/>
  <c r="DZ59" i="15"/>
  <c r="EA59" i="15" s="1"/>
  <c r="EB59" i="15" s="1"/>
  <c r="DZ64" i="15"/>
  <c r="EA64" i="15" s="1"/>
  <c r="EB64" i="15" s="1"/>
  <c r="DZ107" i="15"/>
  <c r="EA107" i="15" s="1"/>
  <c r="EB107" i="15" s="1"/>
  <c r="DZ195" i="15"/>
  <c r="EA195" i="15" s="1"/>
  <c r="EB195" i="15" s="1"/>
  <c r="DZ92" i="15"/>
  <c r="EA92" i="15" s="1"/>
  <c r="EB92" i="15" s="1"/>
  <c r="DZ176" i="15"/>
  <c r="EA176" i="15" s="1"/>
  <c r="EB176" i="15" s="1"/>
  <c r="DZ73" i="15"/>
  <c r="EA73" i="15" s="1"/>
  <c r="EB73" i="15" s="1"/>
  <c r="DZ218" i="15"/>
  <c r="EA218" i="15" s="1"/>
  <c r="EB218" i="15" s="1"/>
  <c r="DZ221" i="15"/>
  <c r="EA221" i="15" s="1"/>
  <c r="EB221" i="15" s="1"/>
  <c r="DZ74" i="15"/>
  <c r="EA74" i="15" s="1"/>
  <c r="EB74" i="15" s="1"/>
  <c r="DZ42" i="15"/>
  <c r="EA42" i="15" s="1"/>
  <c r="EB42" i="15" s="1"/>
  <c r="DZ63" i="15"/>
  <c r="EA63" i="15" s="1"/>
  <c r="EB63" i="15" s="1"/>
  <c r="DZ68" i="15"/>
  <c r="EA68" i="15" s="1"/>
  <c r="EB68" i="15" s="1"/>
  <c r="DZ115" i="15"/>
  <c r="EA115" i="15" s="1"/>
  <c r="EB115" i="15" s="1"/>
  <c r="DZ199" i="15"/>
  <c r="EA199" i="15" s="1"/>
  <c r="EB199" i="15" s="1"/>
  <c r="DZ96" i="15"/>
  <c r="EA96" i="15" s="1"/>
  <c r="EB96" i="15" s="1"/>
  <c r="DZ184" i="15"/>
  <c r="EA184" i="15" s="1"/>
  <c r="EB184" i="15" s="1"/>
  <c r="DZ81" i="15"/>
  <c r="EA81" i="15" s="1"/>
  <c r="EB81" i="15" s="1"/>
  <c r="DZ226" i="15"/>
  <c r="EA226" i="15" s="1"/>
  <c r="EB226" i="15" s="1"/>
  <c r="DZ66" i="15"/>
  <c r="EA66" i="15" s="1"/>
  <c r="EB66" i="15" s="1"/>
  <c r="DZ113" i="15"/>
  <c r="EA113" i="15" s="1"/>
  <c r="EB113" i="15" s="1"/>
  <c r="DZ201" i="15"/>
  <c r="EA201" i="15" s="1"/>
  <c r="EB201" i="15" s="1"/>
  <c r="DZ20" i="15"/>
  <c r="EA20" i="15" s="1"/>
  <c r="EB20" i="15" s="1"/>
  <c r="DZ151" i="15"/>
  <c r="EA151" i="15" s="1"/>
  <c r="EB151" i="15" s="1"/>
  <c r="DZ136" i="15"/>
  <c r="EA136" i="15" s="1"/>
  <c r="EB136" i="15" s="1"/>
  <c r="DZ130" i="15"/>
  <c r="EA130" i="15" s="1"/>
  <c r="EB130" i="15" s="1"/>
  <c r="DZ150" i="15"/>
  <c r="EA150" i="15" s="1"/>
  <c r="EB150" i="15" s="1"/>
  <c r="DZ28" i="15"/>
  <c r="EA28" i="15" s="1"/>
  <c r="EB28" i="15" s="1"/>
  <c r="DZ155" i="15"/>
  <c r="EA155" i="15" s="1"/>
  <c r="EB155" i="15" s="1"/>
  <c r="DZ140" i="15"/>
  <c r="EA140" i="15" s="1"/>
  <c r="EB140" i="15" s="1"/>
  <c r="DZ146" i="15"/>
  <c r="EA146" i="15" s="1"/>
  <c r="EB146" i="15" s="1"/>
  <c r="DZ158" i="15"/>
  <c r="EA158" i="15" s="1"/>
  <c r="EB158" i="15" s="1"/>
  <c r="F30" i="4"/>
  <c r="CG10" i="15"/>
  <c r="CH10" i="15" s="1"/>
  <c r="CI10" i="15" s="1"/>
  <c r="CG26" i="15"/>
  <c r="CH26" i="15" s="1"/>
  <c r="CI26" i="15" s="1"/>
  <c r="CG42" i="15"/>
  <c r="CH42" i="15" s="1"/>
  <c r="CI42" i="15" s="1"/>
  <c r="CG14" i="15"/>
  <c r="CH14" i="15" s="1"/>
  <c r="CI14" i="15" s="1"/>
  <c r="CG34" i="15"/>
  <c r="CH34" i="15" s="1"/>
  <c r="CI34" i="15" s="1"/>
  <c r="CG54" i="15"/>
  <c r="CH54" i="15" s="1"/>
  <c r="CI54" i="15" s="1"/>
  <c r="CG70" i="15"/>
  <c r="CH70" i="15" s="1"/>
  <c r="CI70" i="15" s="1"/>
  <c r="CG86" i="15"/>
  <c r="CH86" i="15" s="1"/>
  <c r="CI86" i="15" s="1"/>
  <c r="CG102" i="15"/>
  <c r="CH102" i="15" s="1"/>
  <c r="CI102" i="15" s="1"/>
  <c r="CG118" i="15"/>
  <c r="CH118" i="15" s="1"/>
  <c r="CI118" i="15" s="1"/>
  <c r="CG134" i="15"/>
  <c r="CH134" i="15" s="1"/>
  <c r="CI134" i="15" s="1"/>
  <c r="CG150" i="15"/>
  <c r="CH150" i="15" s="1"/>
  <c r="CI150" i="15" s="1"/>
  <c r="CG166" i="15"/>
  <c r="CH166" i="15" s="1"/>
  <c r="CI166" i="15" s="1"/>
  <c r="CG182" i="15"/>
  <c r="CH182" i="15" s="1"/>
  <c r="CI182" i="15" s="1"/>
  <c r="CG198" i="15"/>
  <c r="CH198" i="15" s="1"/>
  <c r="CI198" i="15" s="1"/>
  <c r="CG214" i="15"/>
  <c r="CH214" i="15" s="1"/>
  <c r="CI214" i="15" s="1"/>
  <c r="CG2" i="15"/>
  <c r="CH2" i="15" s="1"/>
  <c r="CG15" i="15"/>
  <c r="CH15" i="15" s="1"/>
  <c r="CI15" i="15" s="1"/>
  <c r="CG31" i="15"/>
  <c r="CH31" i="15" s="1"/>
  <c r="CI31" i="15" s="1"/>
  <c r="CG47" i="15"/>
  <c r="CH47" i="15" s="1"/>
  <c r="CI47" i="15" s="1"/>
  <c r="CG63" i="15"/>
  <c r="CH63" i="15" s="1"/>
  <c r="CI63" i="15" s="1"/>
  <c r="CG79" i="15"/>
  <c r="CH79" i="15" s="1"/>
  <c r="CI79" i="15" s="1"/>
  <c r="CG95" i="15"/>
  <c r="CH95" i="15" s="1"/>
  <c r="CI95" i="15" s="1"/>
  <c r="CG111" i="15"/>
  <c r="CH111" i="15" s="1"/>
  <c r="CI111" i="15" s="1"/>
  <c r="CG127" i="15"/>
  <c r="CH127" i="15" s="1"/>
  <c r="CI127" i="15" s="1"/>
  <c r="CG143" i="15"/>
  <c r="CH143" i="15" s="1"/>
  <c r="CI143" i="15" s="1"/>
  <c r="CG159" i="15"/>
  <c r="CH159" i="15" s="1"/>
  <c r="CI159" i="15" s="1"/>
  <c r="CG175" i="15"/>
  <c r="CH175" i="15" s="1"/>
  <c r="CI175" i="15" s="1"/>
  <c r="CG191" i="15"/>
  <c r="CH191" i="15" s="1"/>
  <c r="CI191" i="15" s="1"/>
  <c r="CG207" i="15"/>
  <c r="CH207" i="15" s="1"/>
  <c r="CI207" i="15" s="1"/>
  <c r="CG223" i="15"/>
  <c r="CH223" i="15" s="1"/>
  <c r="CI223" i="15" s="1"/>
  <c r="CG12" i="15"/>
  <c r="CH12" i="15" s="1"/>
  <c r="CI12" i="15" s="1"/>
  <c r="CG28" i="15"/>
  <c r="CH28" i="15" s="1"/>
  <c r="CI28" i="15" s="1"/>
  <c r="CG44" i="15"/>
  <c r="CH44" i="15" s="1"/>
  <c r="CI44" i="15" s="1"/>
  <c r="CG60" i="15"/>
  <c r="CH60" i="15" s="1"/>
  <c r="CI60" i="15" s="1"/>
  <c r="CG76" i="15"/>
  <c r="CH76" i="15" s="1"/>
  <c r="CI76" i="15" s="1"/>
  <c r="CG92" i="15"/>
  <c r="CH92" i="15" s="1"/>
  <c r="CI92" i="15" s="1"/>
  <c r="CG108" i="15"/>
  <c r="CH108" i="15" s="1"/>
  <c r="CI108" i="15" s="1"/>
  <c r="CG124" i="15"/>
  <c r="CH124" i="15" s="1"/>
  <c r="CI124" i="15" s="1"/>
  <c r="CG140" i="15"/>
  <c r="CH140" i="15" s="1"/>
  <c r="CI140" i="15" s="1"/>
  <c r="CG156" i="15"/>
  <c r="CH156" i="15" s="1"/>
  <c r="CI156" i="15" s="1"/>
  <c r="CG172" i="15"/>
  <c r="CH172" i="15" s="1"/>
  <c r="CI172" i="15" s="1"/>
  <c r="CG188" i="15"/>
  <c r="CH188" i="15" s="1"/>
  <c r="CI188" i="15" s="1"/>
  <c r="CG204" i="15"/>
  <c r="CH204" i="15" s="1"/>
  <c r="CI204" i="15" s="1"/>
  <c r="CG220" i="15"/>
  <c r="CH220" i="15" s="1"/>
  <c r="CI220" i="15" s="1"/>
  <c r="CG37" i="15"/>
  <c r="CH37" i="15" s="1"/>
  <c r="CI37" i="15" s="1"/>
  <c r="CG101" i="15"/>
  <c r="CH101" i="15" s="1"/>
  <c r="CI101" i="15" s="1"/>
  <c r="CG165" i="15"/>
  <c r="CH165" i="15" s="1"/>
  <c r="CI165" i="15" s="1"/>
  <c r="CG9" i="15"/>
  <c r="CH9" i="15" s="1"/>
  <c r="CI9" i="15" s="1"/>
  <c r="CG73" i="15"/>
  <c r="CH73" i="15" s="1"/>
  <c r="CI73" i="15" s="1"/>
  <c r="CG137" i="15"/>
  <c r="CH137" i="15" s="1"/>
  <c r="CI137" i="15" s="1"/>
  <c r="CG201" i="15"/>
  <c r="CH201" i="15" s="1"/>
  <c r="CI201" i="15" s="1"/>
  <c r="CG45" i="15"/>
  <c r="CH45" i="15" s="1"/>
  <c r="CI45" i="15" s="1"/>
  <c r="CG109" i="15"/>
  <c r="CH109" i="15" s="1"/>
  <c r="CI109" i="15" s="1"/>
  <c r="CG173" i="15"/>
  <c r="CH173" i="15" s="1"/>
  <c r="CI173" i="15" s="1"/>
  <c r="CG17" i="15"/>
  <c r="CH17" i="15" s="1"/>
  <c r="CI17" i="15" s="1"/>
  <c r="CG65" i="15"/>
  <c r="CH65" i="15" s="1"/>
  <c r="CI65" i="15" s="1"/>
  <c r="CG161" i="15"/>
  <c r="CH161" i="15" s="1"/>
  <c r="CI161" i="15" s="1"/>
  <c r="CG177" i="15"/>
  <c r="CH177" i="15" s="1"/>
  <c r="CI177" i="15" s="1"/>
  <c r="CG18" i="15"/>
  <c r="CH18" i="15" s="1"/>
  <c r="CI18" i="15" s="1"/>
  <c r="CG38" i="15"/>
  <c r="CH38" i="15" s="1"/>
  <c r="CI38" i="15" s="1"/>
  <c r="CG58" i="15"/>
  <c r="CH58" i="15" s="1"/>
  <c r="CI58" i="15" s="1"/>
  <c r="CG74" i="15"/>
  <c r="CH74" i="15" s="1"/>
  <c r="CI74" i="15" s="1"/>
  <c r="CG90" i="15"/>
  <c r="CH90" i="15" s="1"/>
  <c r="CI90" i="15" s="1"/>
  <c r="CG106" i="15"/>
  <c r="CH106" i="15" s="1"/>
  <c r="CI106" i="15" s="1"/>
  <c r="CG122" i="15"/>
  <c r="CH122" i="15" s="1"/>
  <c r="CI122" i="15" s="1"/>
  <c r="CG138" i="15"/>
  <c r="CH138" i="15" s="1"/>
  <c r="CI138" i="15" s="1"/>
  <c r="CG154" i="15"/>
  <c r="CH154" i="15" s="1"/>
  <c r="CI154" i="15" s="1"/>
  <c r="CG170" i="15"/>
  <c r="CH170" i="15" s="1"/>
  <c r="CI170" i="15" s="1"/>
  <c r="CG186" i="15"/>
  <c r="CH186" i="15" s="1"/>
  <c r="CI186" i="15" s="1"/>
  <c r="CG202" i="15"/>
  <c r="CH202" i="15" s="1"/>
  <c r="CI202" i="15" s="1"/>
  <c r="CG218" i="15"/>
  <c r="CH218" i="15" s="1"/>
  <c r="CI218" i="15" s="1"/>
  <c r="CG3" i="15"/>
  <c r="CH3" i="15" s="1"/>
  <c r="CI3" i="15" s="1"/>
  <c r="CG19" i="15"/>
  <c r="CH19" i="15" s="1"/>
  <c r="CI19" i="15" s="1"/>
  <c r="CG35" i="15"/>
  <c r="CH35" i="15" s="1"/>
  <c r="CI35" i="15" s="1"/>
  <c r="CG51" i="15"/>
  <c r="CH51" i="15" s="1"/>
  <c r="CI51" i="15" s="1"/>
  <c r="CG67" i="15"/>
  <c r="CH67" i="15" s="1"/>
  <c r="CI67" i="15" s="1"/>
  <c r="CG83" i="15"/>
  <c r="CH83" i="15" s="1"/>
  <c r="CI83" i="15" s="1"/>
  <c r="CG99" i="15"/>
  <c r="CH99" i="15" s="1"/>
  <c r="CI99" i="15" s="1"/>
  <c r="CG115" i="15"/>
  <c r="CH115" i="15" s="1"/>
  <c r="CI115" i="15" s="1"/>
  <c r="CG131" i="15"/>
  <c r="CH131" i="15" s="1"/>
  <c r="CI131" i="15" s="1"/>
  <c r="CG147" i="15"/>
  <c r="CH147" i="15" s="1"/>
  <c r="CI147" i="15" s="1"/>
  <c r="CG163" i="15"/>
  <c r="CH163" i="15" s="1"/>
  <c r="CI163" i="15" s="1"/>
  <c r="CG179" i="15"/>
  <c r="CH179" i="15" s="1"/>
  <c r="CI179" i="15" s="1"/>
  <c r="CG195" i="15"/>
  <c r="CH195" i="15" s="1"/>
  <c r="CI195" i="15" s="1"/>
  <c r="CG211" i="15"/>
  <c r="CH211" i="15" s="1"/>
  <c r="CI211" i="15" s="1"/>
  <c r="CG227" i="15"/>
  <c r="CH227" i="15" s="1"/>
  <c r="CI227" i="15" s="1"/>
  <c r="CG16" i="15"/>
  <c r="CH16" i="15" s="1"/>
  <c r="CI16" i="15" s="1"/>
  <c r="CG32" i="15"/>
  <c r="CH32" i="15" s="1"/>
  <c r="CI32" i="15" s="1"/>
  <c r="CG48" i="15"/>
  <c r="CH48" i="15" s="1"/>
  <c r="CI48" i="15" s="1"/>
  <c r="CG64" i="15"/>
  <c r="CH64" i="15" s="1"/>
  <c r="CI64" i="15" s="1"/>
  <c r="CG80" i="15"/>
  <c r="CH80" i="15" s="1"/>
  <c r="CI80" i="15" s="1"/>
  <c r="CG96" i="15"/>
  <c r="CH96" i="15" s="1"/>
  <c r="CI96" i="15" s="1"/>
  <c r="CG112" i="15"/>
  <c r="CH112" i="15" s="1"/>
  <c r="CI112" i="15" s="1"/>
  <c r="CG128" i="15"/>
  <c r="CH128" i="15" s="1"/>
  <c r="CI128" i="15" s="1"/>
  <c r="CG144" i="15"/>
  <c r="CH144" i="15" s="1"/>
  <c r="CI144" i="15" s="1"/>
  <c r="CG160" i="15"/>
  <c r="CH160" i="15" s="1"/>
  <c r="CI160" i="15" s="1"/>
  <c r="CG176" i="15"/>
  <c r="CH176" i="15" s="1"/>
  <c r="CI176" i="15" s="1"/>
  <c r="CG192" i="15"/>
  <c r="CH192" i="15" s="1"/>
  <c r="CI192" i="15" s="1"/>
  <c r="CG208" i="15"/>
  <c r="CH208" i="15" s="1"/>
  <c r="CI208" i="15" s="1"/>
  <c r="CG224" i="15"/>
  <c r="CH224" i="15" s="1"/>
  <c r="CI224" i="15" s="1"/>
  <c r="CG53" i="15"/>
  <c r="CH53" i="15" s="1"/>
  <c r="CI53" i="15" s="1"/>
  <c r="CG117" i="15"/>
  <c r="CH117" i="15" s="1"/>
  <c r="CI117" i="15" s="1"/>
  <c r="CG181" i="15"/>
  <c r="CH181" i="15" s="1"/>
  <c r="CI181" i="15" s="1"/>
  <c r="CG25" i="15"/>
  <c r="CH25" i="15" s="1"/>
  <c r="CI25" i="15" s="1"/>
  <c r="CG89" i="15"/>
  <c r="CH89" i="15" s="1"/>
  <c r="CI89" i="15" s="1"/>
  <c r="CG153" i="15"/>
  <c r="CH153" i="15" s="1"/>
  <c r="CI153" i="15" s="1"/>
  <c r="CG217" i="15"/>
  <c r="CH217" i="15" s="1"/>
  <c r="CI217" i="15" s="1"/>
  <c r="CG61" i="15"/>
  <c r="CH61" i="15" s="1"/>
  <c r="CI61" i="15" s="1"/>
  <c r="CG125" i="15"/>
  <c r="CH125" i="15" s="1"/>
  <c r="CI125" i="15" s="1"/>
  <c r="CG189" i="15"/>
  <c r="CH189" i="15" s="1"/>
  <c r="CI189" i="15" s="1"/>
  <c r="CG81" i="15"/>
  <c r="CH81" i="15" s="1"/>
  <c r="CI81" i="15" s="1"/>
  <c r="CG129" i="15"/>
  <c r="CH129" i="15" s="1"/>
  <c r="CI129" i="15" s="1"/>
  <c r="CG225" i="15"/>
  <c r="CH225" i="15" s="1"/>
  <c r="CI225" i="15" s="1"/>
  <c r="CG193" i="15"/>
  <c r="CH193" i="15" s="1"/>
  <c r="CI193" i="15" s="1"/>
  <c r="CG6" i="15"/>
  <c r="CH6" i="15" s="1"/>
  <c r="CI6" i="15" s="1"/>
  <c r="CG50" i="15"/>
  <c r="CH50" i="15" s="1"/>
  <c r="CI50" i="15" s="1"/>
  <c r="CG82" i="15"/>
  <c r="CH82" i="15" s="1"/>
  <c r="CI82" i="15" s="1"/>
  <c r="CG114" i="15"/>
  <c r="CH114" i="15" s="1"/>
  <c r="CI114" i="15" s="1"/>
  <c r="CG146" i="15"/>
  <c r="CH146" i="15" s="1"/>
  <c r="CI146" i="15" s="1"/>
  <c r="CG178" i="15"/>
  <c r="CH178" i="15" s="1"/>
  <c r="CI178" i="15" s="1"/>
  <c r="CG210" i="15"/>
  <c r="CH210" i="15" s="1"/>
  <c r="CI210" i="15" s="1"/>
  <c r="CG11" i="15"/>
  <c r="CH11" i="15" s="1"/>
  <c r="CI11" i="15" s="1"/>
  <c r="CG43" i="15"/>
  <c r="CH43" i="15" s="1"/>
  <c r="CI43" i="15" s="1"/>
  <c r="CG75" i="15"/>
  <c r="CH75" i="15" s="1"/>
  <c r="CI75" i="15" s="1"/>
  <c r="CG107" i="15"/>
  <c r="CH107" i="15" s="1"/>
  <c r="CI107" i="15" s="1"/>
  <c r="CG139" i="15"/>
  <c r="CH139" i="15" s="1"/>
  <c r="CI139" i="15" s="1"/>
  <c r="CG171" i="15"/>
  <c r="CH171" i="15" s="1"/>
  <c r="CI171" i="15" s="1"/>
  <c r="CG203" i="15"/>
  <c r="CH203" i="15" s="1"/>
  <c r="CI203" i="15" s="1"/>
  <c r="CG8" i="15"/>
  <c r="CH8" i="15" s="1"/>
  <c r="CI8" i="15" s="1"/>
  <c r="CG40" i="15"/>
  <c r="CH40" i="15" s="1"/>
  <c r="CI40" i="15" s="1"/>
  <c r="CG72" i="15"/>
  <c r="CH72" i="15" s="1"/>
  <c r="CI72" i="15" s="1"/>
  <c r="CG104" i="15"/>
  <c r="CH104" i="15" s="1"/>
  <c r="CI104" i="15" s="1"/>
  <c r="CG136" i="15"/>
  <c r="CH136" i="15" s="1"/>
  <c r="CI136" i="15" s="1"/>
  <c r="CG168" i="15"/>
  <c r="CH168" i="15" s="1"/>
  <c r="CI168" i="15" s="1"/>
  <c r="CG200" i="15"/>
  <c r="CH200" i="15" s="1"/>
  <c r="CI200" i="15" s="1"/>
  <c r="CG21" i="15"/>
  <c r="CH21" i="15" s="1"/>
  <c r="CI21" i="15" s="1"/>
  <c r="CG149" i="15"/>
  <c r="CH149" i="15" s="1"/>
  <c r="CI149" i="15" s="1"/>
  <c r="CG57" i="15"/>
  <c r="CH57" i="15" s="1"/>
  <c r="CI57" i="15" s="1"/>
  <c r="CG185" i="15"/>
  <c r="CH185" i="15" s="1"/>
  <c r="CI185" i="15" s="1"/>
  <c r="CG93" i="15"/>
  <c r="CH93" i="15" s="1"/>
  <c r="CI93" i="15" s="1"/>
  <c r="CG221" i="15"/>
  <c r="CH221" i="15" s="1"/>
  <c r="CI221" i="15" s="1"/>
  <c r="CG97" i="15"/>
  <c r="CH97" i="15" s="1"/>
  <c r="CI97" i="15" s="1"/>
  <c r="CG22" i="15"/>
  <c r="CH22" i="15" s="1"/>
  <c r="CI22" i="15" s="1"/>
  <c r="CG62" i="15"/>
  <c r="CH62" i="15" s="1"/>
  <c r="CI62" i="15" s="1"/>
  <c r="CG94" i="15"/>
  <c r="CH94" i="15" s="1"/>
  <c r="CI94" i="15" s="1"/>
  <c r="CG126" i="15"/>
  <c r="CH126" i="15" s="1"/>
  <c r="CI126" i="15" s="1"/>
  <c r="CG158" i="15"/>
  <c r="CH158" i="15" s="1"/>
  <c r="CI158" i="15" s="1"/>
  <c r="CG190" i="15"/>
  <c r="CH190" i="15" s="1"/>
  <c r="CI190" i="15" s="1"/>
  <c r="CG222" i="15"/>
  <c r="CH222" i="15" s="1"/>
  <c r="CI222" i="15" s="1"/>
  <c r="CG23" i="15"/>
  <c r="CH23" i="15" s="1"/>
  <c r="CI23" i="15" s="1"/>
  <c r="CG55" i="15"/>
  <c r="CH55" i="15" s="1"/>
  <c r="CI55" i="15" s="1"/>
  <c r="CG87" i="15"/>
  <c r="CH87" i="15" s="1"/>
  <c r="CI87" i="15" s="1"/>
  <c r="CG119" i="15"/>
  <c r="CH119" i="15" s="1"/>
  <c r="CI119" i="15" s="1"/>
  <c r="CG151" i="15"/>
  <c r="CH151" i="15" s="1"/>
  <c r="CI151" i="15" s="1"/>
  <c r="CG183" i="15"/>
  <c r="CH183" i="15" s="1"/>
  <c r="CI183" i="15" s="1"/>
  <c r="CG215" i="15"/>
  <c r="CH215" i="15" s="1"/>
  <c r="CI215" i="15" s="1"/>
  <c r="CG20" i="15"/>
  <c r="CH20" i="15" s="1"/>
  <c r="CI20" i="15" s="1"/>
  <c r="CG52" i="15"/>
  <c r="CH52" i="15" s="1"/>
  <c r="CI52" i="15" s="1"/>
  <c r="CG84" i="15"/>
  <c r="CH84" i="15" s="1"/>
  <c r="CI84" i="15" s="1"/>
  <c r="CG116" i="15"/>
  <c r="CH116" i="15" s="1"/>
  <c r="CI116" i="15" s="1"/>
  <c r="CG148" i="15"/>
  <c r="CH148" i="15" s="1"/>
  <c r="CI148" i="15" s="1"/>
  <c r="CG180" i="15"/>
  <c r="CH180" i="15" s="1"/>
  <c r="CI180" i="15" s="1"/>
  <c r="CG212" i="15"/>
  <c r="CH212" i="15" s="1"/>
  <c r="CI212" i="15" s="1"/>
  <c r="CG69" i="15"/>
  <c r="CH69" i="15" s="1"/>
  <c r="CI69" i="15" s="1"/>
  <c r="CG197" i="15"/>
  <c r="CH197" i="15" s="1"/>
  <c r="CI197" i="15" s="1"/>
  <c r="CG105" i="15"/>
  <c r="CH105" i="15" s="1"/>
  <c r="CI105" i="15" s="1"/>
  <c r="CG13" i="15"/>
  <c r="CH13" i="15" s="1"/>
  <c r="CI13" i="15" s="1"/>
  <c r="CG141" i="15"/>
  <c r="CH141" i="15" s="1"/>
  <c r="CI141" i="15" s="1"/>
  <c r="CG145" i="15"/>
  <c r="CH145" i="15" s="1"/>
  <c r="CI145" i="15" s="1"/>
  <c r="CG49" i="15"/>
  <c r="CH49" i="15" s="1"/>
  <c r="CI49" i="15" s="1"/>
  <c r="Y11" i="4"/>
  <c r="BR16" i="15"/>
  <c r="BS16" i="15" s="1"/>
  <c r="BT16" i="15" s="1"/>
  <c r="BR32" i="15"/>
  <c r="BS32" i="15" s="1"/>
  <c r="BT32" i="15" s="1"/>
  <c r="BR48" i="15"/>
  <c r="BS48" i="15" s="1"/>
  <c r="BT48" i="15" s="1"/>
  <c r="BR64" i="15"/>
  <c r="BS64" i="15" s="1"/>
  <c r="BT64" i="15" s="1"/>
  <c r="BR80" i="15"/>
  <c r="BS80" i="15" s="1"/>
  <c r="BT80" i="15" s="1"/>
  <c r="BR96" i="15"/>
  <c r="BS96" i="15" s="1"/>
  <c r="BT96" i="15" s="1"/>
  <c r="BR112" i="15"/>
  <c r="BS112" i="15" s="1"/>
  <c r="BT112" i="15" s="1"/>
  <c r="BR128" i="15"/>
  <c r="BS128" i="15" s="1"/>
  <c r="BT128" i="15" s="1"/>
  <c r="BR144" i="15"/>
  <c r="BS144" i="15" s="1"/>
  <c r="BT144" i="15" s="1"/>
  <c r="BR160" i="15"/>
  <c r="BS160" i="15" s="1"/>
  <c r="BT160" i="15" s="1"/>
  <c r="BR176" i="15"/>
  <c r="BS176" i="15" s="1"/>
  <c r="BT176" i="15" s="1"/>
  <c r="BR192" i="15"/>
  <c r="BS192" i="15" s="1"/>
  <c r="BT192" i="15" s="1"/>
  <c r="BR208" i="15"/>
  <c r="BS208" i="15" s="1"/>
  <c r="BT208" i="15" s="1"/>
  <c r="BR224" i="15"/>
  <c r="BS224" i="15" s="1"/>
  <c r="BT224" i="15" s="1"/>
  <c r="BR13" i="15"/>
  <c r="BS13" i="15" s="1"/>
  <c r="BT13" i="15" s="1"/>
  <c r="BR29" i="15"/>
  <c r="BS29" i="15" s="1"/>
  <c r="BT29" i="15" s="1"/>
  <c r="BR45" i="15"/>
  <c r="BS45" i="15" s="1"/>
  <c r="BT45" i="15" s="1"/>
  <c r="BR61" i="15"/>
  <c r="BS61" i="15" s="1"/>
  <c r="BT61" i="15" s="1"/>
  <c r="BR77" i="15"/>
  <c r="BS77" i="15" s="1"/>
  <c r="BT77" i="15" s="1"/>
  <c r="BR93" i="15"/>
  <c r="BS93" i="15" s="1"/>
  <c r="BT93" i="15" s="1"/>
  <c r="BR109" i="15"/>
  <c r="BS109" i="15" s="1"/>
  <c r="BT109" i="15" s="1"/>
  <c r="BR125" i="15"/>
  <c r="BS125" i="15" s="1"/>
  <c r="BT125" i="15" s="1"/>
  <c r="BR141" i="15"/>
  <c r="BS141" i="15" s="1"/>
  <c r="BT141" i="15" s="1"/>
  <c r="BR157" i="15"/>
  <c r="BS157" i="15" s="1"/>
  <c r="BT157" i="15" s="1"/>
  <c r="BR173" i="15"/>
  <c r="BS173" i="15" s="1"/>
  <c r="BT173" i="15" s="1"/>
  <c r="BR189" i="15"/>
  <c r="BS189" i="15" s="1"/>
  <c r="BT189" i="15" s="1"/>
  <c r="BR205" i="15"/>
  <c r="BS205" i="15" s="1"/>
  <c r="BT205" i="15" s="1"/>
  <c r="BR221" i="15"/>
  <c r="BS221" i="15" s="1"/>
  <c r="BT221" i="15" s="1"/>
  <c r="BR14" i="15"/>
  <c r="BS14" i="15" s="1"/>
  <c r="BT14" i="15" s="1"/>
  <c r="BR30" i="15"/>
  <c r="BS30" i="15" s="1"/>
  <c r="BT30" i="15" s="1"/>
  <c r="BR46" i="15"/>
  <c r="BS46" i="15" s="1"/>
  <c r="BT46" i="15" s="1"/>
  <c r="BR62" i="15"/>
  <c r="BS62" i="15" s="1"/>
  <c r="BT62" i="15" s="1"/>
  <c r="BR78" i="15"/>
  <c r="BS78" i="15" s="1"/>
  <c r="BT78" i="15" s="1"/>
  <c r="BR94" i="15"/>
  <c r="BS94" i="15" s="1"/>
  <c r="BT94" i="15" s="1"/>
  <c r="BR110" i="15"/>
  <c r="BS110" i="15" s="1"/>
  <c r="BT110" i="15" s="1"/>
  <c r="BR126" i="15"/>
  <c r="BS126" i="15" s="1"/>
  <c r="BT126" i="15" s="1"/>
  <c r="BR142" i="15"/>
  <c r="BS142" i="15" s="1"/>
  <c r="BT142" i="15" s="1"/>
  <c r="BR158" i="15"/>
  <c r="BS158" i="15" s="1"/>
  <c r="BT158" i="15" s="1"/>
  <c r="BR174" i="15"/>
  <c r="BS174" i="15" s="1"/>
  <c r="BT174" i="15" s="1"/>
  <c r="BR190" i="15"/>
  <c r="BS190" i="15" s="1"/>
  <c r="BT190" i="15" s="1"/>
  <c r="BR206" i="15"/>
  <c r="BS206" i="15" s="1"/>
  <c r="BT206" i="15" s="1"/>
  <c r="BR222" i="15"/>
  <c r="BS222" i="15" s="1"/>
  <c r="BT222" i="15" s="1"/>
  <c r="BR43" i="15"/>
  <c r="BS43" i="15" s="1"/>
  <c r="BT43" i="15" s="1"/>
  <c r="BR107" i="15"/>
  <c r="BS107" i="15" s="1"/>
  <c r="BT107" i="15" s="1"/>
  <c r="BR171" i="15"/>
  <c r="BS171" i="15" s="1"/>
  <c r="BT171" i="15" s="1"/>
  <c r="BR7" i="15"/>
  <c r="BS7" i="15" s="1"/>
  <c r="BT7" i="15" s="1"/>
  <c r="BR167" i="15"/>
  <c r="BS167" i="15" s="1"/>
  <c r="BT167" i="15" s="1"/>
  <c r="BR47" i="15"/>
  <c r="BS47" i="15" s="1"/>
  <c r="BT47" i="15" s="1"/>
  <c r="BR111" i="15"/>
  <c r="BS111" i="15" s="1"/>
  <c r="BT111" i="15" s="1"/>
  <c r="BR175" i="15"/>
  <c r="BS175" i="15" s="1"/>
  <c r="BT175" i="15" s="1"/>
  <c r="BR23" i="15"/>
  <c r="BS23" i="15" s="1"/>
  <c r="BT23" i="15" s="1"/>
  <c r="BR3" i="15"/>
  <c r="BS3" i="15" s="1"/>
  <c r="BT3" i="15" s="1"/>
  <c r="BR67" i="15"/>
  <c r="BS67" i="15" s="1"/>
  <c r="BT67" i="15" s="1"/>
  <c r="BR131" i="15"/>
  <c r="BS131" i="15" s="1"/>
  <c r="BT131" i="15" s="1"/>
  <c r="BR195" i="15"/>
  <c r="BS195" i="15" s="1"/>
  <c r="BT195" i="15" s="1"/>
  <c r="BR103" i="15"/>
  <c r="BS103" i="15" s="1"/>
  <c r="BT103" i="15" s="1"/>
  <c r="BR20" i="15"/>
  <c r="BS20" i="15" s="1"/>
  <c r="BT20" i="15" s="1"/>
  <c r="BR40" i="15"/>
  <c r="BS40" i="15" s="1"/>
  <c r="BT40" i="15" s="1"/>
  <c r="BR60" i="15"/>
  <c r="BS60" i="15" s="1"/>
  <c r="BT60" i="15" s="1"/>
  <c r="BR84" i="15"/>
  <c r="BS84" i="15" s="1"/>
  <c r="BT84" i="15" s="1"/>
  <c r="BR104" i="15"/>
  <c r="BS104" i="15" s="1"/>
  <c r="BT104" i="15" s="1"/>
  <c r="BR124" i="15"/>
  <c r="BS124" i="15" s="1"/>
  <c r="BT124" i="15" s="1"/>
  <c r="BR148" i="15"/>
  <c r="BS148" i="15" s="1"/>
  <c r="BT148" i="15" s="1"/>
  <c r="BR168" i="15"/>
  <c r="BS168" i="15" s="1"/>
  <c r="BT168" i="15" s="1"/>
  <c r="BR188" i="15"/>
  <c r="BS188" i="15" s="1"/>
  <c r="BT188" i="15" s="1"/>
  <c r="BR212" i="15"/>
  <c r="BS212" i="15" s="1"/>
  <c r="BT212" i="15" s="1"/>
  <c r="BR5" i="15"/>
  <c r="BS5" i="15" s="1"/>
  <c r="BT5" i="15" s="1"/>
  <c r="BR25" i="15"/>
  <c r="BS25" i="15" s="1"/>
  <c r="BT25" i="15" s="1"/>
  <c r="BR49" i="15"/>
  <c r="BS49" i="15" s="1"/>
  <c r="BT49" i="15" s="1"/>
  <c r="BR69" i="15"/>
  <c r="BS69" i="15" s="1"/>
  <c r="BT69" i="15" s="1"/>
  <c r="BR89" i="15"/>
  <c r="BS89" i="15" s="1"/>
  <c r="BT89" i="15" s="1"/>
  <c r="BR113" i="15"/>
  <c r="BS113" i="15" s="1"/>
  <c r="BT113" i="15" s="1"/>
  <c r="BR133" i="15"/>
  <c r="BS133" i="15" s="1"/>
  <c r="BT133" i="15" s="1"/>
  <c r="BR153" i="15"/>
  <c r="BS153" i="15" s="1"/>
  <c r="BT153" i="15" s="1"/>
  <c r="BR177" i="15"/>
  <c r="BS177" i="15" s="1"/>
  <c r="BT177" i="15" s="1"/>
  <c r="BR197" i="15"/>
  <c r="BS197" i="15" s="1"/>
  <c r="BT197" i="15" s="1"/>
  <c r="BR217" i="15"/>
  <c r="BS217" i="15" s="1"/>
  <c r="BT217" i="15" s="1"/>
  <c r="BR18" i="15"/>
  <c r="BS18" i="15" s="1"/>
  <c r="BT18" i="15" s="1"/>
  <c r="BR38" i="15"/>
  <c r="BS38" i="15" s="1"/>
  <c r="BT38" i="15" s="1"/>
  <c r="BR58" i="15"/>
  <c r="BS58" i="15" s="1"/>
  <c r="BT58" i="15" s="1"/>
  <c r="BR82" i="15"/>
  <c r="BS82" i="15" s="1"/>
  <c r="BT82" i="15" s="1"/>
  <c r="BR102" i="15"/>
  <c r="BS102" i="15" s="1"/>
  <c r="BT102" i="15" s="1"/>
  <c r="BR122" i="15"/>
  <c r="BS122" i="15" s="1"/>
  <c r="BT122" i="15" s="1"/>
  <c r="BR146" i="15"/>
  <c r="BS146" i="15" s="1"/>
  <c r="BT146" i="15" s="1"/>
  <c r="BR166" i="15"/>
  <c r="BS166" i="15" s="1"/>
  <c r="BT166" i="15" s="1"/>
  <c r="BR186" i="15"/>
  <c r="BS186" i="15" s="1"/>
  <c r="BT186" i="15" s="1"/>
  <c r="BR210" i="15"/>
  <c r="BS210" i="15" s="1"/>
  <c r="BT210" i="15" s="1"/>
  <c r="BR11" i="15"/>
  <c r="BS11" i="15" s="1"/>
  <c r="BT11" i="15" s="1"/>
  <c r="BR91" i="15"/>
  <c r="BS91" i="15" s="1"/>
  <c r="BT91" i="15" s="1"/>
  <c r="BR187" i="15"/>
  <c r="BS187" i="15" s="1"/>
  <c r="BT187" i="15" s="1"/>
  <c r="BR87" i="15"/>
  <c r="BS87" i="15" s="1"/>
  <c r="BT87" i="15" s="1"/>
  <c r="BR31" i="15"/>
  <c r="BS31" i="15" s="1"/>
  <c r="BT31" i="15" s="1"/>
  <c r="BR127" i="15"/>
  <c r="BS127" i="15" s="1"/>
  <c r="BT127" i="15" s="1"/>
  <c r="BR207" i="15"/>
  <c r="BS207" i="15" s="1"/>
  <c r="BT207" i="15" s="1"/>
  <c r="BR183" i="15"/>
  <c r="BS183" i="15" s="1"/>
  <c r="BT183" i="15" s="1"/>
  <c r="BR83" i="15"/>
  <c r="BS83" i="15" s="1"/>
  <c r="BT83" i="15" s="1"/>
  <c r="BR163" i="15"/>
  <c r="BS163" i="15" s="1"/>
  <c r="BT163" i="15" s="1"/>
  <c r="BR55" i="15"/>
  <c r="BS55" i="15" s="1"/>
  <c r="BT55" i="15" s="1"/>
  <c r="BR4" i="15"/>
  <c r="BS4" i="15" s="1"/>
  <c r="BT4" i="15" s="1"/>
  <c r="BR24" i="15"/>
  <c r="BS24" i="15" s="1"/>
  <c r="BT24" i="15" s="1"/>
  <c r="BR44" i="15"/>
  <c r="BS44" i="15" s="1"/>
  <c r="BT44" i="15" s="1"/>
  <c r="BR68" i="15"/>
  <c r="BS68" i="15" s="1"/>
  <c r="BT68" i="15" s="1"/>
  <c r="BR88" i="15"/>
  <c r="BS88" i="15" s="1"/>
  <c r="BT88" i="15" s="1"/>
  <c r="BR108" i="15"/>
  <c r="BS108" i="15" s="1"/>
  <c r="BT108" i="15" s="1"/>
  <c r="BR132" i="15"/>
  <c r="BS132" i="15" s="1"/>
  <c r="BT132" i="15" s="1"/>
  <c r="BR152" i="15"/>
  <c r="BS152" i="15" s="1"/>
  <c r="BT152" i="15" s="1"/>
  <c r="BR172" i="15"/>
  <c r="BS172" i="15" s="1"/>
  <c r="BT172" i="15" s="1"/>
  <c r="BR196" i="15"/>
  <c r="BS196" i="15" s="1"/>
  <c r="BT196" i="15" s="1"/>
  <c r="BR216" i="15"/>
  <c r="BS216" i="15" s="1"/>
  <c r="BT216" i="15" s="1"/>
  <c r="BR9" i="15"/>
  <c r="BS9" i="15" s="1"/>
  <c r="BT9" i="15" s="1"/>
  <c r="BR33" i="15"/>
  <c r="BS33" i="15" s="1"/>
  <c r="BT33" i="15" s="1"/>
  <c r="BR53" i="15"/>
  <c r="BS53" i="15" s="1"/>
  <c r="BT53" i="15" s="1"/>
  <c r="BR73" i="15"/>
  <c r="BS73" i="15" s="1"/>
  <c r="BT73" i="15" s="1"/>
  <c r="BR97" i="15"/>
  <c r="BS97" i="15" s="1"/>
  <c r="BT97" i="15" s="1"/>
  <c r="BR117" i="15"/>
  <c r="BS117" i="15" s="1"/>
  <c r="BT117" i="15" s="1"/>
  <c r="BR137" i="15"/>
  <c r="BS137" i="15" s="1"/>
  <c r="BT137" i="15" s="1"/>
  <c r="BR161" i="15"/>
  <c r="BS161" i="15" s="1"/>
  <c r="BT161" i="15" s="1"/>
  <c r="BR181" i="15"/>
  <c r="BS181" i="15" s="1"/>
  <c r="BT181" i="15" s="1"/>
  <c r="BR201" i="15"/>
  <c r="BS201" i="15" s="1"/>
  <c r="BT201" i="15" s="1"/>
  <c r="BR225" i="15"/>
  <c r="BS225" i="15" s="1"/>
  <c r="BT225" i="15" s="1"/>
  <c r="BR22" i="15"/>
  <c r="BS22" i="15" s="1"/>
  <c r="BT22" i="15" s="1"/>
  <c r="BR42" i="15"/>
  <c r="BS42" i="15" s="1"/>
  <c r="BT42" i="15" s="1"/>
  <c r="BR66" i="15"/>
  <c r="BS66" i="15" s="1"/>
  <c r="BT66" i="15" s="1"/>
  <c r="BR86" i="15"/>
  <c r="BS86" i="15" s="1"/>
  <c r="BT86" i="15" s="1"/>
  <c r="BR106" i="15"/>
  <c r="BS106" i="15" s="1"/>
  <c r="BT106" i="15" s="1"/>
  <c r="BR130" i="15"/>
  <c r="BS130" i="15" s="1"/>
  <c r="BT130" i="15" s="1"/>
  <c r="BR150" i="15"/>
  <c r="BS150" i="15" s="1"/>
  <c r="BT150" i="15" s="1"/>
  <c r="BR170" i="15"/>
  <c r="BS170" i="15" s="1"/>
  <c r="BT170" i="15" s="1"/>
  <c r="BR194" i="15"/>
  <c r="BS194" i="15" s="1"/>
  <c r="BT194" i="15" s="1"/>
  <c r="BR214" i="15"/>
  <c r="BS214" i="15" s="1"/>
  <c r="BT214" i="15" s="1"/>
  <c r="BR27" i="15"/>
  <c r="BS27" i="15" s="1"/>
  <c r="BT27" i="15" s="1"/>
  <c r="BR123" i="15"/>
  <c r="BS123" i="15" s="1"/>
  <c r="BT123" i="15" s="1"/>
  <c r="BR203" i="15"/>
  <c r="BS203" i="15" s="1"/>
  <c r="BT203" i="15" s="1"/>
  <c r="BR119" i="15"/>
  <c r="BS119" i="15" s="1"/>
  <c r="BT119" i="15" s="1"/>
  <c r="BR63" i="15"/>
  <c r="BS63" i="15" s="1"/>
  <c r="BT63" i="15" s="1"/>
  <c r="BR143" i="15"/>
  <c r="BS143" i="15" s="1"/>
  <c r="BT143" i="15" s="1"/>
  <c r="BR223" i="15"/>
  <c r="BS223" i="15" s="1"/>
  <c r="BT223" i="15" s="1"/>
  <c r="BR19" i="15"/>
  <c r="BS19" i="15" s="1"/>
  <c r="BT19" i="15" s="1"/>
  <c r="BR99" i="15"/>
  <c r="BS99" i="15" s="1"/>
  <c r="BT99" i="15" s="1"/>
  <c r="BR179" i="15"/>
  <c r="BS179" i="15" s="1"/>
  <c r="BT179" i="15" s="1"/>
  <c r="BR151" i="15"/>
  <c r="BS151" i="15" s="1"/>
  <c r="BT151" i="15" s="1"/>
  <c r="BR12" i="15"/>
  <c r="BS12" i="15" s="1"/>
  <c r="BT12" i="15" s="1"/>
  <c r="BR56" i="15"/>
  <c r="BS56" i="15" s="1"/>
  <c r="BT56" i="15" s="1"/>
  <c r="BR100" i="15"/>
  <c r="BS100" i="15" s="1"/>
  <c r="BT100" i="15" s="1"/>
  <c r="BR140" i="15"/>
  <c r="BS140" i="15" s="1"/>
  <c r="BT140" i="15" s="1"/>
  <c r="BR184" i="15"/>
  <c r="BS184" i="15" s="1"/>
  <c r="BT184" i="15" s="1"/>
  <c r="BR2" i="15"/>
  <c r="BR41" i="15"/>
  <c r="BS41" i="15" s="1"/>
  <c r="BT41" i="15" s="1"/>
  <c r="BR85" i="15"/>
  <c r="BS85" i="15" s="1"/>
  <c r="BT85" i="15" s="1"/>
  <c r="BR129" i="15"/>
  <c r="BS129" i="15" s="1"/>
  <c r="BT129" i="15" s="1"/>
  <c r="BR169" i="15"/>
  <c r="BS169" i="15" s="1"/>
  <c r="BT169" i="15" s="1"/>
  <c r="BR213" i="15"/>
  <c r="BS213" i="15" s="1"/>
  <c r="BT213" i="15" s="1"/>
  <c r="BR34" i="15"/>
  <c r="BS34" i="15" s="1"/>
  <c r="BT34" i="15" s="1"/>
  <c r="BR74" i="15"/>
  <c r="BS74" i="15" s="1"/>
  <c r="BT74" i="15" s="1"/>
  <c r="BR118" i="15"/>
  <c r="BS118" i="15" s="1"/>
  <c r="BT118" i="15" s="1"/>
  <c r="BR162" i="15"/>
  <c r="BS162" i="15" s="1"/>
  <c r="BT162" i="15" s="1"/>
  <c r="BR202" i="15"/>
  <c r="BS202" i="15" s="1"/>
  <c r="BT202" i="15" s="1"/>
  <c r="BR75" i="15"/>
  <c r="BS75" i="15" s="1"/>
  <c r="BT75" i="15" s="1"/>
  <c r="BR39" i="15"/>
  <c r="BS39" i="15" s="1"/>
  <c r="BT39" i="15" s="1"/>
  <c r="BR95" i="15"/>
  <c r="BS95" i="15" s="1"/>
  <c r="BT95" i="15" s="1"/>
  <c r="BR135" i="15"/>
  <c r="BS135" i="15" s="1"/>
  <c r="BT135" i="15" s="1"/>
  <c r="BR147" i="15"/>
  <c r="BS147" i="15" s="1"/>
  <c r="BT147" i="15" s="1"/>
  <c r="BR28" i="15"/>
  <c r="BS28" i="15" s="1"/>
  <c r="BT28" i="15" s="1"/>
  <c r="BR72" i="15"/>
  <c r="BS72" i="15" s="1"/>
  <c r="BT72" i="15" s="1"/>
  <c r="BR116" i="15"/>
  <c r="BS116" i="15" s="1"/>
  <c r="BT116" i="15" s="1"/>
  <c r="BR156" i="15"/>
  <c r="BS156" i="15" s="1"/>
  <c r="BT156" i="15" s="1"/>
  <c r="BR200" i="15"/>
  <c r="BS200" i="15" s="1"/>
  <c r="BT200" i="15" s="1"/>
  <c r="BR17" i="15"/>
  <c r="BS17" i="15" s="1"/>
  <c r="BT17" i="15" s="1"/>
  <c r="BR57" i="15"/>
  <c r="BS57" i="15" s="1"/>
  <c r="BT57" i="15" s="1"/>
  <c r="BR101" i="15"/>
  <c r="BS101" i="15" s="1"/>
  <c r="BT101" i="15" s="1"/>
  <c r="BR145" i="15"/>
  <c r="BS145" i="15" s="1"/>
  <c r="BT145" i="15" s="1"/>
  <c r="BR185" i="15"/>
  <c r="BS185" i="15" s="1"/>
  <c r="BT185" i="15" s="1"/>
  <c r="BR6" i="15"/>
  <c r="BS6" i="15" s="1"/>
  <c r="BT6" i="15" s="1"/>
  <c r="BR50" i="15"/>
  <c r="BS50" i="15" s="1"/>
  <c r="BT50" i="15" s="1"/>
  <c r="BR90" i="15"/>
  <c r="BS90" i="15" s="1"/>
  <c r="BT90" i="15" s="1"/>
  <c r="BR134" i="15"/>
  <c r="BS134" i="15" s="1"/>
  <c r="BT134" i="15" s="1"/>
  <c r="BR178" i="15"/>
  <c r="BS178" i="15" s="1"/>
  <c r="BT178" i="15" s="1"/>
  <c r="BR218" i="15"/>
  <c r="BS218" i="15" s="1"/>
  <c r="BT218" i="15" s="1"/>
  <c r="BR139" i="15"/>
  <c r="BS139" i="15" s="1"/>
  <c r="BT139" i="15" s="1"/>
  <c r="BR215" i="15"/>
  <c r="BS215" i="15" s="1"/>
  <c r="BT215" i="15" s="1"/>
  <c r="BR159" i="15"/>
  <c r="BS159" i="15" s="1"/>
  <c r="BT159" i="15" s="1"/>
  <c r="BR35" i="15"/>
  <c r="BS35" i="15" s="1"/>
  <c r="BT35" i="15" s="1"/>
  <c r="BR211" i="15"/>
  <c r="BS211" i="15" s="1"/>
  <c r="BT211" i="15" s="1"/>
  <c r="EF14" i="15"/>
  <c r="EG14" i="15" s="1"/>
  <c r="EH14" i="15" s="1"/>
  <c r="EF11" i="15"/>
  <c r="EG11" i="15" s="1"/>
  <c r="EH11" i="15" s="1"/>
  <c r="EF24" i="15"/>
  <c r="EG24" i="15" s="1"/>
  <c r="EH24" i="15" s="1"/>
  <c r="EF57" i="15"/>
  <c r="EG57" i="15" s="1"/>
  <c r="EH57" i="15" s="1"/>
  <c r="EF77" i="15"/>
  <c r="EG77" i="15" s="1"/>
  <c r="EH77" i="15" s="1"/>
  <c r="EF93" i="15"/>
  <c r="EG93" i="15" s="1"/>
  <c r="EH93" i="15" s="1"/>
  <c r="EF109" i="15"/>
  <c r="EG109" i="15" s="1"/>
  <c r="EH109" i="15" s="1"/>
  <c r="EF125" i="15"/>
  <c r="EG125" i="15" s="1"/>
  <c r="EH125" i="15" s="1"/>
  <c r="EF141" i="15"/>
  <c r="EG141" i="15" s="1"/>
  <c r="EH141" i="15" s="1"/>
  <c r="EF157" i="15"/>
  <c r="EG157" i="15" s="1"/>
  <c r="EH157" i="15" s="1"/>
  <c r="EF173" i="15"/>
  <c r="EG173" i="15" s="1"/>
  <c r="EH173" i="15" s="1"/>
  <c r="EF189" i="15"/>
  <c r="EG189" i="15" s="1"/>
  <c r="EH189" i="15" s="1"/>
  <c r="EF205" i="15"/>
  <c r="EG205" i="15" s="1"/>
  <c r="EH205" i="15" s="1"/>
  <c r="EF221" i="15"/>
  <c r="EG221" i="15" s="1"/>
  <c r="EH221" i="15" s="1"/>
  <c r="EF25" i="15"/>
  <c r="EG25" i="15" s="1"/>
  <c r="EH25" i="15" s="1"/>
  <c r="EF46" i="15"/>
  <c r="EG46" i="15" s="1"/>
  <c r="EH46" i="15" s="1"/>
  <c r="EF62" i="15"/>
  <c r="EG62" i="15" s="1"/>
  <c r="EH62" i="15" s="1"/>
  <c r="EF78" i="15"/>
  <c r="EG78" i="15" s="1"/>
  <c r="EH78" i="15" s="1"/>
  <c r="EF94" i="15"/>
  <c r="EG94" i="15" s="1"/>
  <c r="EH94" i="15" s="1"/>
  <c r="EF110" i="15"/>
  <c r="EG110" i="15" s="1"/>
  <c r="EH110" i="15" s="1"/>
  <c r="EF126" i="15"/>
  <c r="EG126" i="15" s="1"/>
  <c r="EH126" i="15" s="1"/>
  <c r="EF142" i="15"/>
  <c r="EG142" i="15" s="1"/>
  <c r="EH142" i="15" s="1"/>
  <c r="EF158" i="15"/>
  <c r="EG158" i="15" s="1"/>
  <c r="EH158" i="15" s="1"/>
  <c r="EF174" i="15"/>
  <c r="EG174" i="15" s="1"/>
  <c r="EH174" i="15" s="1"/>
  <c r="EF190" i="15"/>
  <c r="EG190" i="15" s="1"/>
  <c r="EH190" i="15" s="1"/>
  <c r="EF206" i="15"/>
  <c r="EG206" i="15" s="1"/>
  <c r="EH206" i="15" s="1"/>
  <c r="EF222" i="15"/>
  <c r="EG222" i="15" s="1"/>
  <c r="EH222" i="15" s="1"/>
  <c r="EF35" i="15"/>
  <c r="EG35" i="15" s="1"/>
  <c r="EH35" i="15" s="1"/>
  <c r="EF67" i="15"/>
  <c r="EG67" i="15" s="1"/>
  <c r="EH67" i="15" s="1"/>
  <c r="EF99" i="15"/>
  <c r="EG99" i="15" s="1"/>
  <c r="EH99" i="15" s="1"/>
  <c r="EF131" i="15"/>
  <c r="EG131" i="15" s="1"/>
  <c r="EH131" i="15" s="1"/>
  <c r="EF163" i="15"/>
  <c r="EG163" i="15" s="1"/>
  <c r="EH163" i="15" s="1"/>
  <c r="EF195" i="15"/>
  <c r="EG195" i="15" s="1"/>
  <c r="EH195" i="15" s="1"/>
  <c r="EF227" i="15"/>
  <c r="EG227" i="15" s="1"/>
  <c r="EH227" i="15" s="1"/>
  <c r="EF44" i="15"/>
  <c r="EG44" i="15" s="1"/>
  <c r="EH44" i="15" s="1"/>
  <c r="EF76" i="15"/>
  <c r="EG76" i="15" s="1"/>
  <c r="EH76" i="15" s="1"/>
  <c r="EF108" i="15"/>
  <c r="EG108" i="15" s="1"/>
  <c r="EH108" i="15" s="1"/>
  <c r="EF140" i="15"/>
  <c r="EG140" i="15" s="1"/>
  <c r="EH140" i="15" s="1"/>
  <c r="EF172" i="15"/>
  <c r="EG172" i="15" s="1"/>
  <c r="EH172" i="15" s="1"/>
  <c r="EF204" i="15"/>
  <c r="EG204" i="15" s="1"/>
  <c r="EH204" i="15" s="1"/>
  <c r="EF12" i="15"/>
  <c r="EG12" i="15" s="1"/>
  <c r="EH12" i="15" s="1"/>
  <c r="EF55" i="15"/>
  <c r="EG55" i="15" s="1"/>
  <c r="EH55" i="15" s="1"/>
  <c r="EF87" i="15"/>
  <c r="EG87" i="15" s="1"/>
  <c r="EH87" i="15" s="1"/>
  <c r="EF119" i="15"/>
  <c r="EG119" i="15" s="1"/>
  <c r="EH119" i="15" s="1"/>
  <c r="EF151" i="15"/>
  <c r="EG151" i="15" s="1"/>
  <c r="EH151" i="15" s="1"/>
  <c r="EF183" i="15"/>
  <c r="EG183" i="15" s="1"/>
  <c r="EH183" i="15" s="1"/>
  <c r="EF215" i="15"/>
  <c r="EG215" i="15" s="1"/>
  <c r="EH215" i="15" s="1"/>
  <c r="EF96" i="15"/>
  <c r="EG96" i="15" s="1"/>
  <c r="EH96" i="15" s="1"/>
  <c r="EF224" i="15"/>
  <c r="EG224" i="15" s="1"/>
  <c r="EH224" i="15" s="1"/>
  <c r="EF136" i="15"/>
  <c r="EG136" i="15" s="1"/>
  <c r="EH136" i="15" s="1"/>
  <c r="EF80" i="15"/>
  <c r="EG80" i="15" s="1"/>
  <c r="EH80" i="15" s="1"/>
  <c r="EF208" i="15"/>
  <c r="EG208" i="15" s="1"/>
  <c r="EH208" i="15" s="1"/>
  <c r="EF184" i="15"/>
  <c r="EG184" i="15" s="1"/>
  <c r="EH184" i="15" s="1"/>
  <c r="EF3" i="15"/>
  <c r="EG3" i="15" s="1"/>
  <c r="EH3" i="15" s="1"/>
  <c r="EF37" i="15"/>
  <c r="EG37" i="15" s="1"/>
  <c r="EH37" i="15" s="1"/>
  <c r="EF69" i="15"/>
  <c r="EG69" i="15" s="1"/>
  <c r="EH69" i="15" s="1"/>
  <c r="EF89" i="15"/>
  <c r="EG89" i="15" s="1"/>
  <c r="EH89" i="15" s="1"/>
  <c r="EF113" i="15"/>
  <c r="EG113" i="15" s="1"/>
  <c r="EH113" i="15" s="1"/>
  <c r="EF133" i="15"/>
  <c r="EG133" i="15" s="1"/>
  <c r="EH133" i="15" s="1"/>
  <c r="EF153" i="15"/>
  <c r="EG153" i="15" s="1"/>
  <c r="EH153" i="15" s="1"/>
  <c r="EF177" i="15"/>
  <c r="EG177" i="15" s="1"/>
  <c r="EH177" i="15" s="1"/>
  <c r="EF197" i="15"/>
  <c r="EG197" i="15" s="1"/>
  <c r="EH197" i="15" s="1"/>
  <c r="EF217" i="15"/>
  <c r="EG217" i="15" s="1"/>
  <c r="EH217" i="15" s="1"/>
  <c r="EF33" i="15"/>
  <c r="EG33" i="15" s="1"/>
  <c r="EH33" i="15" s="1"/>
  <c r="EF54" i="15"/>
  <c r="EG54" i="15" s="1"/>
  <c r="EH54" i="15" s="1"/>
  <c r="EF74" i="15"/>
  <c r="EG74" i="15" s="1"/>
  <c r="EH74" i="15" s="1"/>
  <c r="EF98" i="15"/>
  <c r="EG98" i="15" s="1"/>
  <c r="EH98" i="15" s="1"/>
  <c r="EF118" i="15"/>
  <c r="EG118" i="15" s="1"/>
  <c r="EH118" i="15" s="1"/>
  <c r="EF138" i="15"/>
  <c r="EG138" i="15" s="1"/>
  <c r="EH138" i="15" s="1"/>
  <c r="EF162" i="15"/>
  <c r="EG162" i="15" s="1"/>
  <c r="EH162" i="15" s="1"/>
  <c r="EF182" i="15"/>
  <c r="EG182" i="15" s="1"/>
  <c r="EH182" i="15" s="1"/>
  <c r="EF202" i="15"/>
  <c r="EG202" i="15" s="1"/>
  <c r="EH202" i="15" s="1"/>
  <c r="EF226" i="15"/>
  <c r="EG226" i="15" s="1"/>
  <c r="EH226" i="15" s="1"/>
  <c r="EF51" i="15"/>
  <c r="EG51" i="15" s="1"/>
  <c r="EH51" i="15" s="1"/>
  <c r="EF91" i="15"/>
  <c r="EG91" i="15" s="1"/>
  <c r="EH91" i="15" s="1"/>
  <c r="EF139" i="15"/>
  <c r="EG139" i="15" s="1"/>
  <c r="EH139" i="15" s="1"/>
  <c r="EF179" i="15"/>
  <c r="EG179" i="15" s="1"/>
  <c r="EH179" i="15" s="1"/>
  <c r="EF219" i="15"/>
  <c r="EG219" i="15" s="1"/>
  <c r="EH219" i="15" s="1"/>
  <c r="EF52" i="15"/>
  <c r="EG52" i="15" s="1"/>
  <c r="EH52" i="15" s="1"/>
  <c r="EF92" i="15"/>
  <c r="EG92" i="15" s="1"/>
  <c r="EH92" i="15" s="1"/>
  <c r="EF132" i="15"/>
  <c r="EG132" i="15" s="1"/>
  <c r="EH132" i="15" s="1"/>
  <c r="EF180" i="15"/>
  <c r="EG180" i="15" s="1"/>
  <c r="EH180" i="15" s="1"/>
  <c r="EF220" i="15"/>
  <c r="EG220" i="15" s="1"/>
  <c r="EH220" i="15" s="1"/>
  <c r="EF47" i="15"/>
  <c r="EG47" i="15" s="1"/>
  <c r="EH47" i="15" s="1"/>
  <c r="EF95" i="15"/>
  <c r="EG95" i="15" s="1"/>
  <c r="EH95" i="15" s="1"/>
  <c r="EF135" i="15"/>
  <c r="EG135" i="15" s="1"/>
  <c r="EH135" i="15" s="1"/>
  <c r="EF175" i="15"/>
  <c r="EG175" i="15" s="1"/>
  <c r="EH175" i="15" s="1"/>
  <c r="EF223" i="15"/>
  <c r="EG223" i="15" s="1"/>
  <c r="EH223" i="15" s="1"/>
  <c r="EF160" i="15"/>
  <c r="EG160" i="15" s="1"/>
  <c r="EH160" i="15" s="1"/>
  <c r="EF104" i="15"/>
  <c r="EG104" i="15" s="1"/>
  <c r="EH104" i="15" s="1"/>
  <c r="EF112" i="15"/>
  <c r="EG112" i="15" s="1"/>
  <c r="EH112" i="15" s="1"/>
  <c r="EF152" i="15"/>
  <c r="EG152" i="15" s="1"/>
  <c r="EH152" i="15" s="1"/>
  <c r="EF120" i="15"/>
  <c r="EG120" i="15" s="1"/>
  <c r="EH120" i="15" s="1"/>
  <c r="EF6" i="15"/>
  <c r="EG6" i="15" s="1"/>
  <c r="EH6" i="15" s="1"/>
  <c r="EF19" i="15"/>
  <c r="EG19" i="15" s="1"/>
  <c r="EH19" i="15" s="1"/>
  <c r="EF45" i="15"/>
  <c r="EG45" i="15" s="1"/>
  <c r="EH45" i="15" s="1"/>
  <c r="EF73" i="15"/>
  <c r="EG73" i="15" s="1"/>
  <c r="EH73" i="15" s="1"/>
  <c r="EF97" i="15"/>
  <c r="EG97" i="15" s="1"/>
  <c r="EH97" i="15" s="1"/>
  <c r="EF117" i="15"/>
  <c r="EG117" i="15" s="1"/>
  <c r="EH117" i="15" s="1"/>
  <c r="EF137" i="15"/>
  <c r="EG137" i="15" s="1"/>
  <c r="EH137" i="15" s="1"/>
  <c r="EF161" i="15"/>
  <c r="EG161" i="15" s="1"/>
  <c r="EH161" i="15" s="1"/>
  <c r="EF181" i="15"/>
  <c r="EG181" i="15" s="1"/>
  <c r="EH181" i="15" s="1"/>
  <c r="EF201" i="15"/>
  <c r="EG201" i="15" s="1"/>
  <c r="EH201" i="15" s="1"/>
  <c r="EF225" i="15"/>
  <c r="EG225" i="15" s="1"/>
  <c r="EH225" i="15" s="1"/>
  <c r="EF38" i="15"/>
  <c r="EG38" i="15" s="1"/>
  <c r="EH38" i="15" s="1"/>
  <c r="EF58" i="15"/>
  <c r="EG58" i="15" s="1"/>
  <c r="EH58" i="15" s="1"/>
  <c r="EF82" i="15"/>
  <c r="EG82" i="15" s="1"/>
  <c r="EH82" i="15" s="1"/>
  <c r="EF102" i="15"/>
  <c r="EG102" i="15" s="1"/>
  <c r="EH102" i="15" s="1"/>
  <c r="EF122" i="15"/>
  <c r="EG122" i="15" s="1"/>
  <c r="EH122" i="15" s="1"/>
  <c r="EF146" i="15"/>
  <c r="EG146" i="15" s="1"/>
  <c r="EH146" i="15" s="1"/>
  <c r="EF166" i="15"/>
  <c r="EG166" i="15" s="1"/>
  <c r="EH166" i="15" s="1"/>
  <c r="EF186" i="15"/>
  <c r="EG186" i="15" s="1"/>
  <c r="EH186" i="15" s="1"/>
  <c r="EF210" i="15"/>
  <c r="EG210" i="15" s="1"/>
  <c r="EH210" i="15" s="1"/>
  <c r="EF4" i="15"/>
  <c r="EG4" i="15" s="1"/>
  <c r="EH4" i="15" s="1"/>
  <c r="EF59" i="15"/>
  <c r="EG59" i="15" s="1"/>
  <c r="EH59" i="15" s="1"/>
  <c r="EF107" i="15"/>
  <c r="EG107" i="15" s="1"/>
  <c r="EH107" i="15" s="1"/>
  <c r="EF147" i="15"/>
  <c r="EG147" i="15" s="1"/>
  <c r="EH147" i="15" s="1"/>
  <c r="EF187" i="15"/>
  <c r="EG187" i="15" s="1"/>
  <c r="EH187" i="15" s="1"/>
  <c r="EF5" i="15"/>
  <c r="EG5" i="15" s="1"/>
  <c r="EH5" i="15" s="1"/>
  <c r="EF60" i="15"/>
  <c r="EG60" i="15" s="1"/>
  <c r="EH60" i="15" s="1"/>
  <c r="EF100" i="15"/>
  <c r="EG100" i="15" s="1"/>
  <c r="EH100" i="15" s="1"/>
  <c r="EF148" i="15"/>
  <c r="EG148" i="15" s="1"/>
  <c r="EH148" i="15" s="1"/>
  <c r="EF188" i="15"/>
  <c r="EG188" i="15" s="1"/>
  <c r="EH188" i="15" s="1"/>
  <c r="EF2" i="15"/>
  <c r="EG2" i="15" s="1"/>
  <c r="EF63" i="15"/>
  <c r="EG63" i="15" s="1"/>
  <c r="EH63" i="15" s="1"/>
  <c r="EF103" i="15"/>
  <c r="EG103" i="15" s="1"/>
  <c r="EH103" i="15" s="1"/>
  <c r="EF143" i="15"/>
  <c r="EG143" i="15" s="1"/>
  <c r="EH143" i="15" s="1"/>
  <c r="EF191" i="15"/>
  <c r="EG191" i="15" s="1"/>
  <c r="EH191" i="15" s="1"/>
  <c r="EF29" i="15"/>
  <c r="EG29" i="15" s="1"/>
  <c r="EH29" i="15" s="1"/>
  <c r="EF192" i="15"/>
  <c r="EG192" i="15" s="1"/>
  <c r="EH192" i="15" s="1"/>
  <c r="EF168" i="15"/>
  <c r="EG168" i="15" s="1"/>
  <c r="EH168" i="15" s="1"/>
  <c r="EF144" i="15"/>
  <c r="EG144" i="15" s="1"/>
  <c r="EH144" i="15" s="1"/>
  <c r="EF56" i="15"/>
  <c r="EG56" i="15" s="1"/>
  <c r="EH56" i="15" s="1"/>
  <c r="EF22" i="15"/>
  <c r="EG22" i="15" s="1"/>
  <c r="EH22" i="15" s="1"/>
  <c r="EF53" i="15"/>
  <c r="EG53" i="15" s="1"/>
  <c r="EH53" i="15" s="1"/>
  <c r="EF101" i="15"/>
  <c r="EG101" i="15" s="1"/>
  <c r="EH101" i="15" s="1"/>
  <c r="EF145" i="15"/>
  <c r="EG145" i="15" s="1"/>
  <c r="EH145" i="15" s="1"/>
  <c r="EF185" i="15"/>
  <c r="EG185" i="15" s="1"/>
  <c r="EH185" i="15" s="1"/>
  <c r="EF9" i="15"/>
  <c r="EG9" i="15" s="1"/>
  <c r="EH9" i="15" s="1"/>
  <c r="EF66" i="15"/>
  <c r="EG66" i="15" s="1"/>
  <c r="EH66" i="15" s="1"/>
  <c r="EF106" i="15"/>
  <c r="EG106" i="15" s="1"/>
  <c r="EH106" i="15" s="1"/>
  <c r="EF150" i="15"/>
  <c r="EG150" i="15" s="1"/>
  <c r="EH150" i="15" s="1"/>
  <c r="EF194" i="15"/>
  <c r="EG194" i="15" s="1"/>
  <c r="EH194" i="15" s="1"/>
  <c r="EF20" i="15"/>
  <c r="EG20" i="15" s="1"/>
  <c r="EH20" i="15" s="1"/>
  <c r="EF115" i="15"/>
  <c r="EG115" i="15" s="1"/>
  <c r="EH115" i="15" s="1"/>
  <c r="EF203" i="15"/>
  <c r="EG203" i="15" s="1"/>
  <c r="EH203" i="15" s="1"/>
  <c r="EF68" i="15"/>
  <c r="EG68" i="15" s="1"/>
  <c r="EH68" i="15" s="1"/>
  <c r="EF156" i="15"/>
  <c r="EG156" i="15" s="1"/>
  <c r="EH156" i="15" s="1"/>
  <c r="EF28" i="15"/>
  <c r="EG28" i="15" s="1"/>
  <c r="EH28" i="15" s="1"/>
  <c r="EF111" i="15"/>
  <c r="EG111" i="15" s="1"/>
  <c r="EH111" i="15" s="1"/>
  <c r="EF199" i="15"/>
  <c r="EG199" i="15" s="1"/>
  <c r="EH199" i="15" s="1"/>
  <c r="EF40" i="15"/>
  <c r="EG40" i="15" s="1"/>
  <c r="EH40" i="15" s="1"/>
  <c r="EF176" i="15"/>
  <c r="EG176" i="15" s="1"/>
  <c r="EH176" i="15" s="1"/>
  <c r="EF30" i="15"/>
  <c r="EG30" i="15" s="1"/>
  <c r="EH30" i="15" s="1"/>
  <c r="EF61" i="15"/>
  <c r="EG61" i="15" s="1"/>
  <c r="EH61" i="15" s="1"/>
  <c r="EF105" i="15"/>
  <c r="EG105" i="15" s="1"/>
  <c r="EH105" i="15" s="1"/>
  <c r="EF149" i="15"/>
  <c r="EG149" i="15" s="1"/>
  <c r="EH149" i="15" s="1"/>
  <c r="EF193" i="15"/>
  <c r="EG193" i="15" s="1"/>
  <c r="EH193" i="15" s="1"/>
  <c r="EF17" i="15"/>
  <c r="EG17" i="15" s="1"/>
  <c r="EH17" i="15" s="1"/>
  <c r="EF70" i="15"/>
  <c r="EG70" i="15" s="1"/>
  <c r="EH70" i="15" s="1"/>
  <c r="EF114" i="15"/>
  <c r="EG114" i="15" s="1"/>
  <c r="EH114" i="15" s="1"/>
  <c r="EF154" i="15"/>
  <c r="EG154" i="15" s="1"/>
  <c r="EH154" i="15" s="1"/>
  <c r="EF198" i="15"/>
  <c r="EG198" i="15" s="1"/>
  <c r="EH198" i="15" s="1"/>
  <c r="EF43" i="15"/>
  <c r="EG43" i="15" s="1"/>
  <c r="EH43" i="15" s="1"/>
  <c r="EF123" i="15"/>
  <c r="EG123" i="15" s="1"/>
  <c r="EH123" i="15" s="1"/>
  <c r="EF211" i="15"/>
  <c r="EG211" i="15" s="1"/>
  <c r="EH211" i="15" s="1"/>
  <c r="EF84" i="15"/>
  <c r="EG84" i="15" s="1"/>
  <c r="EH84" i="15" s="1"/>
  <c r="EF164" i="15"/>
  <c r="EG164" i="15" s="1"/>
  <c r="EH164" i="15" s="1"/>
  <c r="EF39" i="15"/>
  <c r="EG39" i="15" s="1"/>
  <c r="EH39" i="15" s="1"/>
  <c r="EF127" i="15"/>
  <c r="EG127" i="15" s="1"/>
  <c r="EH127" i="15" s="1"/>
  <c r="EF207" i="15"/>
  <c r="EG207" i="15" s="1"/>
  <c r="EH207" i="15" s="1"/>
  <c r="EF72" i="15"/>
  <c r="EG72" i="15" s="1"/>
  <c r="EH72" i="15" s="1"/>
  <c r="EF13" i="15"/>
  <c r="EG13" i="15" s="1"/>
  <c r="EH13" i="15" s="1"/>
  <c r="G30" i="4"/>
  <c r="CJ7" i="15"/>
  <c r="CK7" i="15" s="1"/>
  <c r="CL7" i="15" s="1"/>
  <c r="CJ23" i="15"/>
  <c r="CK23" i="15" s="1"/>
  <c r="CL23" i="15" s="1"/>
  <c r="CJ39" i="15"/>
  <c r="CK39" i="15" s="1"/>
  <c r="CL39" i="15" s="1"/>
  <c r="CJ55" i="15"/>
  <c r="CK55" i="15" s="1"/>
  <c r="CL55" i="15" s="1"/>
  <c r="CJ71" i="15"/>
  <c r="CK71" i="15" s="1"/>
  <c r="CL71" i="15" s="1"/>
  <c r="CJ87" i="15"/>
  <c r="CK87" i="15" s="1"/>
  <c r="CL87" i="15" s="1"/>
  <c r="CJ103" i="15"/>
  <c r="CK103" i="15" s="1"/>
  <c r="CL103" i="15" s="1"/>
  <c r="CJ119" i="15"/>
  <c r="CK119" i="15" s="1"/>
  <c r="CL119" i="15" s="1"/>
  <c r="CJ135" i="15"/>
  <c r="CK135" i="15" s="1"/>
  <c r="CL135" i="15" s="1"/>
  <c r="CJ151" i="15"/>
  <c r="CK151" i="15" s="1"/>
  <c r="CL151" i="15" s="1"/>
  <c r="CJ167" i="15"/>
  <c r="CK167" i="15" s="1"/>
  <c r="CL167" i="15" s="1"/>
  <c r="CJ183" i="15"/>
  <c r="CK183" i="15" s="1"/>
  <c r="CL183" i="15" s="1"/>
  <c r="CJ199" i="15"/>
  <c r="CK199" i="15" s="1"/>
  <c r="CL199" i="15" s="1"/>
  <c r="CJ215" i="15"/>
  <c r="CK215" i="15" s="1"/>
  <c r="CL215" i="15" s="1"/>
  <c r="CJ4" i="15"/>
  <c r="CK4" i="15" s="1"/>
  <c r="CL4" i="15" s="1"/>
  <c r="CJ20" i="15"/>
  <c r="CK20" i="15" s="1"/>
  <c r="CL20" i="15" s="1"/>
  <c r="CJ36" i="15"/>
  <c r="CK36" i="15" s="1"/>
  <c r="CL36" i="15" s="1"/>
  <c r="CJ52" i="15"/>
  <c r="CK52" i="15" s="1"/>
  <c r="CL52" i="15" s="1"/>
  <c r="CJ68" i="15"/>
  <c r="CK68" i="15" s="1"/>
  <c r="CL68" i="15" s="1"/>
  <c r="CJ84" i="15"/>
  <c r="CK84" i="15" s="1"/>
  <c r="CL84" i="15" s="1"/>
  <c r="CJ100" i="15"/>
  <c r="CK100" i="15" s="1"/>
  <c r="CL100" i="15" s="1"/>
  <c r="CJ116" i="15"/>
  <c r="CK116" i="15" s="1"/>
  <c r="CL116" i="15" s="1"/>
  <c r="CJ132" i="15"/>
  <c r="CK132" i="15" s="1"/>
  <c r="CL132" i="15" s="1"/>
  <c r="CJ148" i="15"/>
  <c r="CK148" i="15" s="1"/>
  <c r="CL148" i="15" s="1"/>
  <c r="CJ164" i="15"/>
  <c r="CK164" i="15" s="1"/>
  <c r="CL164" i="15" s="1"/>
  <c r="CJ180" i="15"/>
  <c r="CK180" i="15" s="1"/>
  <c r="CL180" i="15" s="1"/>
  <c r="CJ196" i="15"/>
  <c r="CK196" i="15" s="1"/>
  <c r="CL196" i="15" s="1"/>
  <c r="CJ212" i="15"/>
  <c r="CK212" i="15" s="1"/>
  <c r="CL212" i="15" s="1"/>
  <c r="CJ5" i="15"/>
  <c r="CK5" i="15" s="1"/>
  <c r="CL5" i="15" s="1"/>
  <c r="CJ21" i="15"/>
  <c r="CK21" i="15" s="1"/>
  <c r="CL21" i="15" s="1"/>
  <c r="CJ37" i="15"/>
  <c r="CK37" i="15" s="1"/>
  <c r="CL37" i="15" s="1"/>
  <c r="CJ53" i="15"/>
  <c r="CK53" i="15" s="1"/>
  <c r="CL53" i="15" s="1"/>
  <c r="CJ69" i="15"/>
  <c r="CK69" i="15" s="1"/>
  <c r="CL69" i="15" s="1"/>
  <c r="CJ85" i="15"/>
  <c r="CK85" i="15" s="1"/>
  <c r="CL85" i="15" s="1"/>
  <c r="CJ101" i="15"/>
  <c r="CK101" i="15" s="1"/>
  <c r="CL101" i="15" s="1"/>
  <c r="CJ117" i="15"/>
  <c r="CK117" i="15" s="1"/>
  <c r="CL117" i="15" s="1"/>
  <c r="CJ133" i="15"/>
  <c r="CK133" i="15" s="1"/>
  <c r="CL133" i="15" s="1"/>
  <c r="CJ149" i="15"/>
  <c r="CK149" i="15" s="1"/>
  <c r="CL149" i="15" s="1"/>
  <c r="CJ165" i="15"/>
  <c r="CK165" i="15" s="1"/>
  <c r="CL165" i="15" s="1"/>
  <c r="CJ181" i="15"/>
  <c r="CK181" i="15" s="1"/>
  <c r="CL181" i="15" s="1"/>
  <c r="CJ197" i="15"/>
  <c r="CK197" i="15" s="1"/>
  <c r="CL197" i="15" s="1"/>
  <c r="CJ213" i="15"/>
  <c r="CK213" i="15" s="1"/>
  <c r="CL213" i="15" s="1"/>
  <c r="CJ14" i="15"/>
  <c r="CK14" i="15" s="1"/>
  <c r="CL14" i="15" s="1"/>
  <c r="CJ11" i="15"/>
  <c r="CK11" i="15" s="1"/>
  <c r="CL11" i="15" s="1"/>
  <c r="CJ27" i="15"/>
  <c r="CK27" i="15" s="1"/>
  <c r="CL27" i="15" s="1"/>
  <c r="CJ43" i="15"/>
  <c r="CK43" i="15" s="1"/>
  <c r="CL43" i="15" s="1"/>
  <c r="CJ59" i="15"/>
  <c r="CK59" i="15" s="1"/>
  <c r="CL59" i="15" s="1"/>
  <c r="CJ75" i="15"/>
  <c r="CK75" i="15" s="1"/>
  <c r="CL75" i="15" s="1"/>
  <c r="CJ91" i="15"/>
  <c r="CK91" i="15" s="1"/>
  <c r="CL91" i="15" s="1"/>
  <c r="CJ107" i="15"/>
  <c r="CK107" i="15" s="1"/>
  <c r="CL107" i="15" s="1"/>
  <c r="CJ123" i="15"/>
  <c r="CK123" i="15" s="1"/>
  <c r="CL123" i="15" s="1"/>
  <c r="CJ139" i="15"/>
  <c r="CK139" i="15" s="1"/>
  <c r="CL139" i="15" s="1"/>
  <c r="CJ155" i="15"/>
  <c r="CK155" i="15" s="1"/>
  <c r="CL155" i="15" s="1"/>
  <c r="CJ171" i="15"/>
  <c r="CK171" i="15" s="1"/>
  <c r="CL171" i="15" s="1"/>
  <c r="CJ187" i="15"/>
  <c r="CK187" i="15" s="1"/>
  <c r="CL187" i="15" s="1"/>
  <c r="CJ203" i="15"/>
  <c r="CK203" i="15" s="1"/>
  <c r="CL203" i="15" s="1"/>
  <c r="CJ219" i="15"/>
  <c r="CK219" i="15" s="1"/>
  <c r="CL219" i="15" s="1"/>
  <c r="CJ8" i="15"/>
  <c r="CK8" i="15" s="1"/>
  <c r="CL8" i="15" s="1"/>
  <c r="CJ24" i="15"/>
  <c r="CK24" i="15" s="1"/>
  <c r="CL24" i="15" s="1"/>
  <c r="CJ40" i="15"/>
  <c r="CK40" i="15" s="1"/>
  <c r="CL40" i="15" s="1"/>
  <c r="CJ56" i="15"/>
  <c r="CK56" i="15" s="1"/>
  <c r="CL56" i="15" s="1"/>
  <c r="CJ72" i="15"/>
  <c r="CK72" i="15" s="1"/>
  <c r="CL72" i="15" s="1"/>
  <c r="CJ88" i="15"/>
  <c r="CK88" i="15" s="1"/>
  <c r="CL88" i="15" s="1"/>
  <c r="CJ104" i="15"/>
  <c r="CK104" i="15" s="1"/>
  <c r="CL104" i="15" s="1"/>
  <c r="CJ120" i="15"/>
  <c r="CK120" i="15" s="1"/>
  <c r="CL120" i="15" s="1"/>
  <c r="CJ136" i="15"/>
  <c r="CK136" i="15" s="1"/>
  <c r="CL136" i="15" s="1"/>
  <c r="CJ152" i="15"/>
  <c r="CK152" i="15" s="1"/>
  <c r="CL152" i="15" s="1"/>
  <c r="CJ168" i="15"/>
  <c r="CK168" i="15" s="1"/>
  <c r="CL168" i="15" s="1"/>
  <c r="CJ184" i="15"/>
  <c r="CK184" i="15" s="1"/>
  <c r="CL184" i="15" s="1"/>
  <c r="CJ200" i="15"/>
  <c r="CK200" i="15" s="1"/>
  <c r="CL200" i="15" s="1"/>
  <c r="CJ216" i="15"/>
  <c r="CK216" i="15" s="1"/>
  <c r="CL216" i="15" s="1"/>
  <c r="CJ9" i="15"/>
  <c r="CK9" i="15" s="1"/>
  <c r="CL9" i="15" s="1"/>
  <c r="CJ25" i="15"/>
  <c r="CK25" i="15" s="1"/>
  <c r="CL25" i="15" s="1"/>
  <c r="CJ41" i="15"/>
  <c r="CK41" i="15" s="1"/>
  <c r="CL41" i="15" s="1"/>
  <c r="CJ57" i="15"/>
  <c r="CK57" i="15" s="1"/>
  <c r="CL57" i="15" s="1"/>
  <c r="CJ73" i="15"/>
  <c r="CK73" i="15" s="1"/>
  <c r="CL73" i="15" s="1"/>
  <c r="CJ89" i="15"/>
  <c r="CK89" i="15" s="1"/>
  <c r="CL89" i="15" s="1"/>
  <c r="CJ105" i="15"/>
  <c r="CK105" i="15" s="1"/>
  <c r="CL105" i="15" s="1"/>
  <c r="CJ121" i="15"/>
  <c r="CK121" i="15" s="1"/>
  <c r="CL121" i="15" s="1"/>
  <c r="CJ137" i="15"/>
  <c r="CK137" i="15" s="1"/>
  <c r="CL137" i="15" s="1"/>
  <c r="CJ153" i="15"/>
  <c r="CK153" i="15" s="1"/>
  <c r="CL153" i="15" s="1"/>
  <c r="CJ169" i="15"/>
  <c r="CK169" i="15" s="1"/>
  <c r="CL169" i="15" s="1"/>
  <c r="CJ185" i="15"/>
  <c r="CK185" i="15" s="1"/>
  <c r="CL185" i="15" s="1"/>
  <c r="CJ201" i="15"/>
  <c r="CK201" i="15" s="1"/>
  <c r="CL201" i="15" s="1"/>
  <c r="CJ217" i="15"/>
  <c r="CK217" i="15" s="1"/>
  <c r="CL217" i="15" s="1"/>
  <c r="CJ31" i="15"/>
  <c r="CK31" i="15" s="1"/>
  <c r="CL31" i="15" s="1"/>
  <c r="CJ63" i="15"/>
  <c r="CK63" i="15" s="1"/>
  <c r="CL63" i="15" s="1"/>
  <c r="CJ95" i="15"/>
  <c r="CK95" i="15" s="1"/>
  <c r="CL95" i="15" s="1"/>
  <c r="CJ127" i="15"/>
  <c r="CK127" i="15" s="1"/>
  <c r="CL127" i="15" s="1"/>
  <c r="CJ159" i="15"/>
  <c r="CK159" i="15" s="1"/>
  <c r="CL159" i="15" s="1"/>
  <c r="CJ191" i="15"/>
  <c r="CK191" i="15" s="1"/>
  <c r="CL191" i="15" s="1"/>
  <c r="CJ223" i="15"/>
  <c r="CK223" i="15" s="1"/>
  <c r="CL223" i="15" s="1"/>
  <c r="CJ28" i="15"/>
  <c r="CK28" i="15" s="1"/>
  <c r="CL28" i="15" s="1"/>
  <c r="CJ60" i="15"/>
  <c r="CK60" i="15" s="1"/>
  <c r="CL60" i="15" s="1"/>
  <c r="CJ92" i="15"/>
  <c r="CK92" i="15" s="1"/>
  <c r="CL92" i="15" s="1"/>
  <c r="CJ124" i="15"/>
  <c r="CK124" i="15" s="1"/>
  <c r="CL124" i="15" s="1"/>
  <c r="CJ156" i="15"/>
  <c r="CK156" i="15" s="1"/>
  <c r="CL156" i="15" s="1"/>
  <c r="CJ188" i="15"/>
  <c r="CK188" i="15" s="1"/>
  <c r="CL188" i="15" s="1"/>
  <c r="CJ220" i="15"/>
  <c r="CK220" i="15" s="1"/>
  <c r="CL220" i="15" s="1"/>
  <c r="CJ29" i="15"/>
  <c r="CK29" i="15" s="1"/>
  <c r="CL29" i="15" s="1"/>
  <c r="CJ61" i="15"/>
  <c r="CK61" i="15" s="1"/>
  <c r="CL61" i="15" s="1"/>
  <c r="CJ93" i="15"/>
  <c r="CK93" i="15" s="1"/>
  <c r="CL93" i="15" s="1"/>
  <c r="CJ125" i="15"/>
  <c r="CK125" i="15" s="1"/>
  <c r="CL125" i="15" s="1"/>
  <c r="CJ157" i="15"/>
  <c r="CK157" i="15" s="1"/>
  <c r="CL157" i="15" s="1"/>
  <c r="CJ189" i="15"/>
  <c r="CK189" i="15" s="1"/>
  <c r="CL189" i="15" s="1"/>
  <c r="CJ221" i="15"/>
  <c r="CK221" i="15" s="1"/>
  <c r="CL221" i="15" s="1"/>
  <c r="CJ62" i="15"/>
  <c r="CK62" i="15" s="1"/>
  <c r="CL62" i="15" s="1"/>
  <c r="CJ126" i="15"/>
  <c r="CK126" i="15" s="1"/>
  <c r="CL126" i="15" s="1"/>
  <c r="CJ190" i="15"/>
  <c r="CK190" i="15" s="1"/>
  <c r="CL190" i="15" s="1"/>
  <c r="CJ18" i="15"/>
  <c r="CK18" i="15" s="1"/>
  <c r="CL18" i="15" s="1"/>
  <c r="CJ82" i="15"/>
  <c r="CK82" i="15" s="1"/>
  <c r="CL82" i="15" s="1"/>
  <c r="CJ146" i="15"/>
  <c r="CK146" i="15" s="1"/>
  <c r="CL146" i="15" s="1"/>
  <c r="CJ210" i="15"/>
  <c r="CK210" i="15" s="1"/>
  <c r="CL210" i="15" s="1"/>
  <c r="CJ38" i="15"/>
  <c r="CK38" i="15" s="1"/>
  <c r="CL38" i="15" s="1"/>
  <c r="CJ102" i="15"/>
  <c r="CK102" i="15" s="1"/>
  <c r="CL102" i="15" s="1"/>
  <c r="CJ166" i="15"/>
  <c r="CK166" i="15" s="1"/>
  <c r="CL166" i="15" s="1"/>
  <c r="CJ58" i="15"/>
  <c r="CK58" i="15" s="1"/>
  <c r="CL58" i="15" s="1"/>
  <c r="CJ10" i="15"/>
  <c r="CK10" i="15" s="1"/>
  <c r="CL10" i="15" s="1"/>
  <c r="CJ26" i="15"/>
  <c r="CK26" i="15" s="1"/>
  <c r="CL26" i="15" s="1"/>
  <c r="CJ42" i="15"/>
  <c r="CK42" i="15" s="1"/>
  <c r="CL42" i="15" s="1"/>
  <c r="CJ3" i="15"/>
  <c r="CK3" i="15" s="1"/>
  <c r="CL3" i="15" s="1"/>
  <c r="CJ35" i="15"/>
  <c r="CK35" i="15" s="1"/>
  <c r="CL35" i="15" s="1"/>
  <c r="CJ67" i="15"/>
  <c r="CK67" i="15" s="1"/>
  <c r="CL67" i="15" s="1"/>
  <c r="CJ99" i="15"/>
  <c r="CK99" i="15" s="1"/>
  <c r="CL99" i="15" s="1"/>
  <c r="CJ131" i="15"/>
  <c r="CK131" i="15" s="1"/>
  <c r="CL131" i="15" s="1"/>
  <c r="CJ163" i="15"/>
  <c r="CK163" i="15" s="1"/>
  <c r="CL163" i="15" s="1"/>
  <c r="CJ195" i="15"/>
  <c r="CK195" i="15" s="1"/>
  <c r="CL195" i="15" s="1"/>
  <c r="CJ227" i="15"/>
  <c r="CK227" i="15" s="1"/>
  <c r="CL227" i="15" s="1"/>
  <c r="CJ32" i="15"/>
  <c r="CK32" i="15" s="1"/>
  <c r="CL32" i="15" s="1"/>
  <c r="CJ64" i="15"/>
  <c r="CK64" i="15" s="1"/>
  <c r="CL64" i="15" s="1"/>
  <c r="CJ96" i="15"/>
  <c r="CK96" i="15" s="1"/>
  <c r="CL96" i="15" s="1"/>
  <c r="CJ128" i="15"/>
  <c r="CK128" i="15" s="1"/>
  <c r="CL128" i="15" s="1"/>
  <c r="CJ160" i="15"/>
  <c r="CK160" i="15" s="1"/>
  <c r="CL160" i="15" s="1"/>
  <c r="CJ192" i="15"/>
  <c r="CK192" i="15" s="1"/>
  <c r="CL192" i="15" s="1"/>
  <c r="CJ224" i="15"/>
  <c r="CK224" i="15" s="1"/>
  <c r="CL224" i="15" s="1"/>
  <c r="CJ33" i="15"/>
  <c r="CK33" i="15" s="1"/>
  <c r="CL33" i="15" s="1"/>
  <c r="CJ65" i="15"/>
  <c r="CK65" i="15" s="1"/>
  <c r="CL65" i="15" s="1"/>
  <c r="CJ97" i="15"/>
  <c r="CK97" i="15" s="1"/>
  <c r="CL97" i="15" s="1"/>
  <c r="CJ129" i="15"/>
  <c r="CK129" i="15" s="1"/>
  <c r="CL129" i="15" s="1"/>
  <c r="CJ161" i="15"/>
  <c r="CK161" i="15" s="1"/>
  <c r="CL161" i="15" s="1"/>
  <c r="CJ193" i="15"/>
  <c r="CK193" i="15" s="1"/>
  <c r="CL193" i="15" s="1"/>
  <c r="CJ225" i="15"/>
  <c r="CK225" i="15" s="1"/>
  <c r="CL225" i="15" s="1"/>
  <c r="CJ78" i="15"/>
  <c r="CK78" i="15" s="1"/>
  <c r="CL78" i="15" s="1"/>
  <c r="CJ142" i="15"/>
  <c r="CK142" i="15" s="1"/>
  <c r="CL142" i="15" s="1"/>
  <c r="CJ206" i="15"/>
  <c r="CK206" i="15" s="1"/>
  <c r="CL206" i="15" s="1"/>
  <c r="CJ34" i="15"/>
  <c r="CK34" i="15" s="1"/>
  <c r="CL34" i="15" s="1"/>
  <c r="CJ98" i="15"/>
  <c r="CK98" i="15" s="1"/>
  <c r="CL98" i="15" s="1"/>
  <c r="CJ162" i="15"/>
  <c r="CK162" i="15" s="1"/>
  <c r="CL162" i="15" s="1"/>
  <c r="CJ226" i="15"/>
  <c r="CK226" i="15" s="1"/>
  <c r="CL226" i="15" s="1"/>
  <c r="CJ54" i="15"/>
  <c r="CK54" i="15" s="1"/>
  <c r="CL54" i="15" s="1"/>
  <c r="CJ118" i="15"/>
  <c r="CK118" i="15" s="1"/>
  <c r="CL118" i="15" s="1"/>
  <c r="CJ182" i="15"/>
  <c r="CK182" i="15" s="1"/>
  <c r="CL182" i="15" s="1"/>
  <c r="CJ122" i="15"/>
  <c r="CK122" i="15" s="1"/>
  <c r="CL122" i="15" s="1"/>
  <c r="CJ74" i="15"/>
  <c r="CK74" i="15" s="1"/>
  <c r="CL74" i="15" s="1"/>
  <c r="CJ90" i="15"/>
  <c r="CK90" i="15" s="1"/>
  <c r="CL90" i="15" s="1"/>
  <c r="CJ106" i="15"/>
  <c r="CK106" i="15" s="1"/>
  <c r="CL106" i="15" s="1"/>
  <c r="CJ47" i="15"/>
  <c r="CK47" i="15" s="1"/>
  <c r="CL47" i="15" s="1"/>
  <c r="CJ111" i="15"/>
  <c r="CK111" i="15" s="1"/>
  <c r="CL111" i="15" s="1"/>
  <c r="CJ175" i="15"/>
  <c r="CK175" i="15" s="1"/>
  <c r="CL175" i="15" s="1"/>
  <c r="CJ12" i="15"/>
  <c r="CK12" i="15" s="1"/>
  <c r="CL12" i="15" s="1"/>
  <c r="CJ76" i="15"/>
  <c r="CK76" i="15" s="1"/>
  <c r="CL76" i="15" s="1"/>
  <c r="CJ140" i="15"/>
  <c r="CK140" i="15" s="1"/>
  <c r="CL140" i="15" s="1"/>
  <c r="CJ204" i="15"/>
  <c r="CK204" i="15" s="1"/>
  <c r="CL204" i="15" s="1"/>
  <c r="CJ45" i="15"/>
  <c r="CK45" i="15" s="1"/>
  <c r="CL45" i="15" s="1"/>
  <c r="CJ109" i="15"/>
  <c r="CK109" i="15" s="1"/>
  <c r="CL109" i="15" s="1"/>
  <c r="CJ173" i="15"/>
  <c r="CK173" i="15" s="1"/>
  <c r="CL173" i="15" s="1"/>
  <c r="CJ30" i="15"/>
  <c r="CK30" i="15" s="1"/>
  <c r="CL30" i="15" s="1"/>
  <c r="CJ158" i="15"/>
  <c r="CK158" i="15" s="1"/>
  <c r="CL158" i="15" s="1"/>
  <c r="CJ50" i="15"/>
  <c r="CK50" i="15" s="1"/>
  <c r="CL50" i="15" s="1"/>
  <c r="CJ178" i="15"/>
  <c r="CK178" i="15" s="1"/>
  <c r="CL178" i="15" s="1"/>
  <c r="CJ70" i="15"/>
  <c r="CK70" i="15" s="1"/>
  <c r="CL70" i="15" s="1"/>
  <c r="CJ198" i="15"/>
  <c r="CK198" i="15" s="1"/>
  <c r="CL198" i="15" s="1"/>
  <c r="CJ138" i="15"/>
  <c r="CK138" i="15" s="1"/>
  <c r="CL138" i="15" s="1"/>
  <c r="CJ51" i="15"/>
  <c r="CK51" i="15" s="1"/>
  <c r="CL51" i="15" s="1"/>
  <c r="CJ115" i="15"/>
  <c r="CK115" i="15" s="1"/>
  <c r="CL115" i="15" s="1"/>
  <c r="CJ179" i="15"/>
  <c r="CK179" i="15" s="1"/>
  <c r="CL179" i="15" s="1"/>
  <c r="CJ16" i="15"/>
  <c r="CK16" i="15" s="1"/>
  <c r="CL16" i="15" s="1"/>
  <c r="CJ80" i="15"/>
  <c r="CK80" i="15" s="1"/>
  <c r="CL80" i="15" s="1"/>
  <c r="CJ144" i="15"/>
  <c r="CK144" i="15" s="1"/>
  <c r="CL144" i="15" s="1"/>
  <c r="CJ208" i="15"/>
  <c r="CK208" i="15" s="1"/>
  <c r="CL208" i="15" s="1"/>
  <c r="CJ49" i="15"/>
  <c r="CK49" i="15" s="1"/>
  <c r="CL49" i="15" s="1"/>
  <c r="CJ113" i="15"/>
  <c r="CK113" i="15" s="1"/>
  <c r="CL113" i="15" s="1"/>
  <c r="CJ177" i="15"/>
  <c r="CK177" i="15" s="1"/>
  <c r="CL177" i="15" s="1"/>
  <c r="CJ46" i="15"/>
  <c r="CK46" i="15" s="1"/>
  <c r="CL46" i="15" s="1"/>
  <c r="CJ174" i="15"/>
  <c r="CK174" i="15" s="1"/>
  <c r="CL174" i="15" s="1"/>
  <c r="CJ66" i="15"/>
  <c r="CK66" i="15" s="1"/>
  <c r="CL66" i="15" s="1"/>
  <c r="CJ194" i="15"/>
  <c r="CK194" i="15" s="1"/>
  <c r="CL194" i="15" s="1"/>
  <c r="CJ86" i="15"/>
  <c r="CK86" i="15" s="1"/>
  <c r="CL86" i="15" s="1"/>
  <c r="CJ214" i="15"/>
  <c r="CK214" i="15" s="1"/>
  <c r="CL214" i="15" s="1"/>
  <c r="CJ202" i="15"/>
  <c r="CK202" i="15" s="1"/>
  <c r="CL202" i="15" s="1"/>
  <c r="CJ15" i="15"/>
  <c r="CK15" i="15" s="1"/>
  <c r="CL15" i="15" s="1"/>
  <c r="CJ143" i="15"/>
  <c r="CK143" i="15" s="1"/>
  <c r="CL143" i="15" s="1"/>
  <c r="CJ44" i="15"/>
  <c r="CK44" i="15" s="1"/>
  <c r="CL44" i="15" s="1"/>
  <c r="CJ172" i="15"/>
  <c r="CK172" i="15" s="1"/>
  <c r="CL172" i="15" s="1"/>
  <c r="CJ77" i="15"/>
  <c r="CK77" i="15" s="1"/>
  <c r="CL77" i="15" s="1"/>
  <c r="CJ205" i="15"/>
  <c r="CK205" i="15" s="1"/>
  <c r="CL205" i="15" s="1"/>
  <c r="CJ222" i="15"/>
  <c r="CK222" i="15" s="1"/>
  <c r="CL222" i="15" s="1"/>
  <c r="CJ6" i="15"/>
  <c r="CK6" i="15" s="1"/>
  <c r="CL6" i="15" s="1"/>
  <c r="CJ186" i="15"/>
  <c r="CK186" i="15" s="1"/>
  <c r="CL186" i="15" s="1"/>
  <c r="CJ19" i="15"/>
  <c r="CK19" i="15" s="1"/>
  <c r="CL19" i="15" s="1"/>
  <c r="CJ147" i="15"/>
  <c r="CK147" i="15" s="1"/>
  <c r="CL147" i="15" s="1"/>
  <c r="CJ48" i="15"/>
  <c r="CK48" i="15" s="1"/>
  <c r="CL48" i="15" s="1"/>
  <c r="CJ176" i="15"/>
  <c r="CK176" i="15" s="1"/>
  <c r="CL176" i="15" s="1"/>
  <c r="CJ81" i="15"/>
  <c r="CK81" i="15" s="1"/>
  <c r="CL81" i="15" s="1"/>
  <c r="CJ209" i="15"/>
  <c r="CK209" i="15" s="1"/>
  <c r="CL209" i="15" s="1"/>
  <c r="CJ2" i="15"/>
  <c r="CK2" i="15" s="1"/>
  <c r="CJ22" i="15"/>
  <c r="CK22" i="15" s="1"/>
  <c r="CL22" i="15" s="1"/>
  <c r="CJ170" i="15"/>
  <c r="CK170" i="15" s="1"/>
  <c r="CL170" i="15" s="1"/>
  <c r="BI113" i="15"/>
  <c r="BJ113" i="15" s="1"/>
  <c r="BK113" i="15" s="1"/>
  <c r="BI13" i="15"/>
  <c r="BJ13" i="15" s="1"/>
  <c r="BK13" i="15" s="1"/>
  <c r="BI57" i="15"/>
  <c r="BJ57" i="15" s="1"/>
  <c r="BK57" i="15" s="1"/>
  <c r="BI85" i="15"/>
  <c r="BJ85" i="15" s="1"/>
  <c r="BK85" i="15" s="1"/>
  <c r="BI188" i="15"/>
  <c r="BJ188" i="15" s="1"/>
  <c r="BK188" i="15" s="1"/>
  <c r="BI124" i="15"/>
  <c r="BJ124" i="15" s="1"/>
  <c r="BK124" i="15" s="1"/>
  <c r="BI60" i="15"/>
  <c r="BJ60" i="15" s="1"/>
  <c r="BK60" i="15" s="1"/>
  <c r="BI223" i="15"/>
  <c r="BJ223" i="15" s="1"/>
  <c r="BK223" i="15" s="1"/>
  <c r="BI159" i="15"/>
  <c r="BJ159" i="15" s="1"/>
  <c r="BK159" i="15" s="1"/>
  <c r="BI95" i="15"/>
  <c r="BJ95" i="15" s="1"/>
  <c r="BK95" i="15" s="1"/>
  <c r="BI31" i="15"/>
  <c r="BJ31" i="15" s="1"/>
  <c r="BK31" i="15" s="1"/>
  <c r="BI194" i="15"/>
  <c r="BJ194" i="15" s="1"/>
  <c r="BK194" i="15" s="1"/>
  <c r="BI130" i="15"/>
  <c r="BJ130" i="15" s="1"/>
  <c r="BK130" i="15" s="1"/>
  <c r="BI66" i="15"/>
  <c r="BJ66" i="15" s="1"/>
  <c r="BK66" i="15" s="1"/>
  <c r="DH170" i="15"/>
  <c r="DI170" i="15" s="1"/>
  <c r="DJ170" i="15" s="1"/>
  <c r="DH154" i="15"/>
  <c r="DI154" i="15" s="1"/>
  <c r="DJ154" i="15" s="1"/>
  <c r="DH138" i="15"/>
  <c r="DI138" i="15" s="1"/>
  <c r="DJ138" i="15" s="1"/>
  <c r="DH122" i="15"/>
  <c r="DI122" i="15" s="1"/>
  <c r="DJ122" i="15" s="1"/>
  <c r="DH182" i="15"/>
  <c r="DI182" i="15" s="1"/>
  <c r="DJ182" i="15" s="1"/>
  <c r="DH118" i="15"/>
  <c r="DI118" i="15" s="1"/>
  <c r="DJ118" i="15" s="1"/>
  <c r="DH54" i="15"/>
  <c r="DI54" i="15" s="1"/>
  <c r="DJ54" i="15" s="1"/>
  <c r="DH226" i="15"/>
  <c r="DI226" i="15" s="1"/>
  <c r="DJ226" i="15" s="1"/>
  <c r="DH162" i="15"/>
  <c r="DI162" i="15" s="1"/>
  <c r="DJ162" i="15" s="1"/>
  <c r="DH98" i="15"/>
  <c r="DI98" i="15" s="1"/>
  <c r="DJ98" i="15" s="1"/>
  <c r="DH34" i="15"/>
  <c r="DI34" i="15" s="1"/>
  <c r="DJ34" i="15" s="1"/>
  <c r="DH190" i="15"/>
  <c r="DI190" i="15" s="1"/>
  <c r="DJ190" i="15" s="1"/>
  <c r="DH126" i="15"/>
  <c r="DI126" i="15" s="1"/>
  <c r="DJ126" i="15" s="1"/>
  <c r="DH62" i="15"/>
  <c r="DI62" i="15" s="1"/>
  <c r="DJ62" i="15" s="1"/>
  <c r="DH225" i="15"/>
  <c r="DI225" i="15" s="1"/>
  <c r="DJ225" i="15" s="1"/>
  <c r="DH209" i="15"/>
  <c r="DI209" i="15" s="1"/>
  <c r="DJ209" i="15" s="1"/>
  <c r="DH193" i="15"/>
  <c r="DI193" i="15" s="1"/>
  <c r="DJ193" i="15" s="1"/>
  <c r="DH177" i="15"/>
  <c r="DI177" i="15" s="1"/>
  <c r="DJ177" i="15" s="1"/>
  <c r="DH161" i="15"/>
  <c r="DI161" i="15" s="1"/>
  <c r="DJ161" i="15" s="1"/>
  <c r="DH145" i="15"/>
  <c r="DI145" i="15" s="1"/>
  <c r="DJ145" i="15" s="1"/>
  <c r="DH129" i="15"/>
  <c r="DI129" i="15" s="1"/>
  <c r="DJ129" i="15" s="1"/>
  <c r="DH113" i="15"/>
  <c r="DI113" i="15" s="1"/>
  <c r="DJ113" i="15" s="1"/>
  <c r="DH97" i="15"/>
  <c r="DI97" i="15" s="1"/>
  <c r="DJ97" i="15" s="1"/>
  <c r="DH81" i="15"/>
  <c r="DI81" i="15" s="1"/>
  <c r="DJ81" i="15" s="1"/>
  <c r="DH65" i="15"/>
  <c r="DI65" i="15" s="1"/>
  <c r="DJ65" i="15" s="1"/>
  <c r="DH49" i="15"/>
  <c r="DI49" i="15" s="1"/>
  <c r="DJ49" i="15" s="1"/>
  <c r="DH33" i="15"/>
  <c r="DI33" i="15" s="1"/>
  <c r="DJ33" i="15" s="1"/>
  <c r="DH17" i="15"/>
  <c r="DI17" i="15" s="1"/>
  <c r="DJ17" i="15" s="1"/>
  <c r="DH2" i="15"/>
  <c r="DI2" i="15" s="1"/>
  <c r="DJ2" i="15" s="1"/>
  <c r="DH212" i="15"/>
  <c r="DI212" i="15" s="1"/>
  <c r="DJ212" i="15" s="1"/>
  <c r="DH196" i="15"/>
  <c r="DI196" i="15" s="1"/>
  <c r="DJ196" i="15" s="1"/>
  <c r="DH180" i="15"/>
  <c r="DI180" i="15" s="1"/>
  <c r="DJ180" i="15" s="1"/>
  <c r="DH164" i="15"/>
  <c r="DI164" i="15" s="1"/>
  <c r="DJ164" i="15" s="1"/>
  <c r="DH148" i="15"/>
  <c r="DI148" i="15" s="1"/>
  <c r="DJ148" i="15" s="1"/>
  <c r="DH132" i="15"/>
  <c r="DI132" i="15" s="1"/>
  <c r="DJ132" i="15" s="1"/>
  <c r="DH116" i="15"/>
  <c r="DI116" i="15" s="1"/>
  <c r="DJ116" i="15" s="1"/>
  <c r="DH100" i="15"/>
  <c r="DI100" i="15" s="1"/>
  <c r="DJ100" i="15" s="1"/>
  <c r="DH84" i="15"/>
  <c r="DI84" i="15" s="1"/>
  <c r="DJ84" i="15" s="1"/>
  <c r="DH68" i="15"/>
  <c r="DI68" i="15" s="1"/>
  <c r="DJ68" i="15" s="1"/>
  <c r="DH44" i="15"/>
  <c r="DI44" i="15" s="1"/>
  <c r="DJ44" i="15" s="1"/>
  <c r="DH12" i="15"/>
  <c r="DI12" i="15" s="1"/>
  <c r="DJ12" i="15" s="1"/>
  <c r="DH207" i="15"/>
  <c r="DI207" i="15" s="1"/>
  <c r="DJ207" i="15" s="1"/>
  <c r="DH175" i="15"/>
  <c r="DI175" i="15" s="1"/>
  <c r="DJ175" i="15" s="1"/>
  <c r="DH143" i="15"/>
  <c r="DI143" i="15" s="1"/>
  <c r="DJ143" i="15" s="1"/>
  <c r="DH111" i="15"/>
  <c r="DI111" i="15" s="1"/>
  <c r="DJ111" i="15" s="1"/>
  <c r="DH79" i="15"/>
  <c r="DI79" i="15" s="1"/>
  <c r="DJ79" i="15" s="1"/>
  <c r="DH47" i="15"/>
  <c r="DI47" i="15" s="1"/>
  <c r="DJ47" i="15" s="1"/>
  <c r="DH15" i="15"/>
  <c r="DI15" i="15" s="1"/>
  <c r="DJ15" i="15" s="1"/>
  <c r="P186" i="15"/>
  <c r="Q186" i="15" s="1"/>
  <c r="R186" i="15" s="1"/>
  <c r="P181" i="15"/>
  <c r="Q181" i="15" s="1"/>
  <c r="R181" i="15" s="1"/>
  <c r="P160" i="15"/>
  <c r="Q160" i="15" s="1"/>
  <c r="R160" i="15" s="1"/>
  <c r="P135" i="15"/>
  <c r="Q135" i="15" s="1"/>
  <c r="R135" i="15" s="1"/>
  <c r="DQ212" i="15"/>
  <c r="DR212" i="15" s="1"/>
  <c r="DS212" i="15" s="1"/>
  <c r="DQ224" i="15"/>
  <c r="DR224" i="15" s="1"/>
  <c r="DS224" i="15" s="1"/>
  <c r="DQ87" i="15"/>
  <c r="DR87" i="15" s="1"/>
  <c r="DS87" i="15" s="1"/>
  <c r="DQ140" i="15"/>
  <c r="DR140" i="15" s="1"/>
  <c r="DS140" i="15" s="1"/>
  <c r="DQ184" i="15"/>
  <c r="DR184" i="15" s="1"/>
  <c r="DS184" i="15" s="1"/>
  <c r="DQ7" i="15"/>
  <c r="DR7" i="15" s="1"/>
  <c r="DS7" i="15" s="1"/>
  <c r="DQ199" i="15"/>
  <c r="DR199" i="15" s="1"/>
  <c r="DS199" i="15" s="1"/>
  <c r="DQ167" i="15"/>
  <c r="DR167" i="15" s="1"/>
  <c r="DS167" i="15" s="1"/>
  <c r="DQ135" i="15"/>
  <c r="DR135" i="15" s="1"/>
  <c r="DS135" i="15" s="1"/>
  <c r="DQ101" i="15"/>
  <c r="DR101" i="15" s="1"/>
  <c r="DS101" i="15" s="1"/>
  <c r="DQ37" i="15"/>
  <c r="DR37" i="15" s="1"/>
  <c r="DS37" i="15" s="1"/>
  <c r="DQ214" i="15"/>
  <c r="DR214" i="15" s="1"/>
  <c r="DS214" i="15" s="1"/>
  <c r="DQ182" i="15"/>
  <c r="DR182" i="15" s="1"/>
  <c r="DS182" i="15" s="1"/>
  <c r="DQ150" i="15"/>
  <c r="DR150" i="15" s="1"/>
  <c r="DS150" i="15" s="1"/>
  <c r="DQ118" i="15"/>
  <c r="DR118" i="15" s="1"/>
  <c r="DS118" i="15" s="1"/>
  <c r="DQ67" i="15"/>
  <c r="DR67" i="15" s="1"/>
  <c r="DS67" i="15" s="1"/>
  <c r="DQ3" i="15"/>
  <c r="DR3" i="15" s="1"/>
  <c r="DS3" i="15" s="1"/>
  <c r="DQ197" i="15"/>
  <c r="DR197" i="15" s="1"/>
  <c r="DS197" i="15" s="1"/>
  <c r="DQ165" i="15"/>
  <c r="DR165" i="15" s="1"/>
  <c r="DS165" i="15" s="1"/>
  <c r="DQ133" i="15"/>
  <c r="DR133" i="15" s="1"/>
  <c r="DS133" i="15" s="1"/>
  <c r="DQ97" i="15"/>
  <c r="DR97" i="15" s="1"/>
  <c r="DS97" i="15" s="1"/>
  <c r="DQ33" i="15"/>
  <c r="DR33" i="15" s="1"/>
  <c r="DS33" i="15" s="1"/>
  <c r="DQ86" i="15"/>
  <c r="DR86" i="15" s="1"/>
  <c r="DS86" i="15" s="1"/>
  <c r="DQ54" i="15"/>
  <c r="DR54" i="15" s="1"/>
  <c r="DS54" i="15" s="1"/>
  <c r="DQ22" i="15"/>
  <c r="DR22" i="15" s="1"/>
  <c r="DS22" i="15" s="1"/>
  <c r="DQ92" i="15"/>
  <c r="DR92" i="15" s="1"/>
  <c r="DS92" i="15" s="1"/>
  <c r="DQ60" i="15"/>
  <c r="DR60" i="15" s="1"/>
  <c r="DS60" i="15" s="1"/>
  <c r="DQ28" i="15"/>
  <c r="DR28" i="15" s="1"/>
  <c r="DS28" i="15" s="1"/>
  <c r="S214" i="15"/>
  <c r="T214" i="15" s="1"/>
  <c r="U214" i="15" s="1"/>
  <c r="S114" i="15"/>
  <c r="T114" i="15" s="1"/>
  <c r="U114" i="15" s="1"/>
  <c r="S18" i="15"/>
  <c r="T18" i="15" s="1"/>
  <c r="U18" i="15" s="1"/>
  <c r="S201" i="15"/>
  <c r="T201" i="15" s="1"/>
  <c r="U201" i="15" s="1"/>
  <c r="S169" i="15"/>
  <c r="T169" i="15" s="1"/>
  <c r="U169" i="15" s="1"/>
  <c r="S137" i="15"/>
  <c r="T137" i="15" s="1"/>
  <c r="U137" i="15" s="1"/>
  <c r="S105" i="15"/>
  <c r="T105" i="15" s="1"/>
  <c r="U105" i="15" s="1"/>
  <c r="S73" i="15"/>
  <c r="T73" i="15" s="1"/>
  <c r="U73" i="15" s="1"/>
  <c r="S41" i="15"/>
  <c r="T41" i="15" s="1"/>
  <c r="U41" i="15" s="1"/>
  <c r="S9" i="15"/>
  <c r="T9" i="15" s="1"/>
  <c r="U9" i="15" s="1"/>
  <c r="S146" i="15"/>
  <c r="T146" i="15" s="1"/>
  <c r="U146" i="15" s="1"/>
  <c r="S50" i="15"/>
  <c r="T50" i="15" s="1"/>
  <c r="U50" i="15" s="1"/>
  <c r="S208" i="15"/>
  <c r="T208" i="15" s="1"/>
  <c r="U208" i="15" s="1"/>
  <c r="S176" i="15"/>
  <c r="T176" i="15" s="1"/>
  <c r="U176" i="15" s="1"/>
  <c r="S144" i="15"/>
  <c r="T144" i="15" s="1"/>
  <c r="U144" i="15" s="1"/>
  <c r="S112" i="15"/>
  <c r="T112" i="15" s="1"/>
  <c r="U112" i="15" s="1"/>
  <c r="S80" i="15"/>
  <c r="T80" i="15" s="1"/>
  <c r="U80" i="15" s="1"/>
  <c r="S48" i="15"/>
  <c r="T48" i="15" s="1"/>
  <c r="U48" i="15" s="1"/>
  <c r="S16" i="15"/>
  <c r="T16" i="15" s="1"/>
  <c r="U16" i="15" s="1"/>
  <c r="S174" i="15"/>
  <c r="T174" i="15" s="1"/>
  <c r="U174" i="15" s="1"/>
  <c r="S82" i="15"/>
  <c r="T82" i="15" s="1"/>
  <c r="U82" i="15" s="1"/>
  <c r="S227" i="15"/>
  <c r="T227" i="15" s="1"/>
  <c r="U227" i="15" s="1"/>
  <c r="S195" i="15"/>
  <c r="T195" i="15" s="1"/>
  <c r="U195" i="15" s="1"/>
  <c r="S163" i="15"/>
  <c r="T163" i="15" s="1"/>
  <c r="U163" i="15" s="1"/>
  <c r="S131" i="15"/>
  <c r="T131" i="15" s="1"/>
  <c r="U131" i="15" s="1"/>
  <c r="S99" i="15"/>
  <c r="T99" i="15" s="1"/>
  <c r="U99" i="15" s="1"/>
  <c r="S67" i="15"/>
  <c r="T67" i="15" s="1"/>
  <c r="U67" i="15" s="1"/>
  <c r="S35" i="15"/>
  <c r="T35" i="15" s="1"/>
  <c r="U35" i="15" s="1"/>
  <c r="S3" i="15"/>
  <c r="T3" i="15" s="1"/>
  <c r="U3" i="15" s="1"/>
  <c r="BX199" i="15"/>
  <c r="BY199" i="15" s="1"/>
  <c r="BZ199" i="15" s="1"/>
  <c r="CV202" i="15"/>
  <c r="CW202" i="15" s="1"/>
  <c r="CX202" i="15" s="1"/>
  <c r="CV42" i="15"/>
  <c r="CW42" i="15" s="1"/>
  <c r="CX42" i="15" s="1"/>
  <c r="CV166" i="15"/>
  <c r="CW166" i="15" s="1"/>
  <c r="CX166" i="15" s="1"/>
  <c r="CV38" i="15"/>
  <c r="CW38" i="15" s="1"/>
  <c r="CX38" i="15" s="1"/>
  <c r="CV146" i="15"/>
  <c r="CW146" i="15" s="1"/>
  <c r="CX146" i="15" s="1"/>
  <c r="CV18" i="15"/>
  <c r="CW18" i="15" s="1"/>
  <c r="CX18" i="15" s="1"/>
  <c r="CV110" i="15"/>
  <c r="CW110" i="15" s="1"/>
  <c r="CX110" i="15" s="1"/>
  <c r="CV221" i="15"/>
  <c r="CW221" i="15" s="1"/>
  <c r="CX221" i="15" s="1"/>
  <c r="CV189" i="15"/>
  <c r="CW189" i="15" s="1"/>
  <c r="CX189" i="15" s="1"/>
  <c r="CV157" i="15"/>
  <c r="CW157" i="15" s="1"/>
  <c r="CX157" i="15" s="1"/>
  <c r="CV125" i="15"/>
  <c r="CW125" i="15" s="1"/>
  <c r="CX125" i="15" s="1"/>
  <c r="CV93" i="15"/>
  <c r="CW93" i="15" s="1"/>
  <c r="CX93" i="15" s="1"/>
  <c r="CV61" i="15"/>
  <c r="CW61" i="15" s="1"/>
  <c r="CX61" i="15" s="1"/>
  <c r="CV29" i="15"/>
  <c r="CW29" i="15" s="1"/>
  <c r="CX29" i="15" s="1"/>
  <c r="CV224" i="15"/>
  <c r="CW224" i="15" s="1"/>
  <c r="CX224" i="15" s="1"/>
  <c r="CV192" i="15"/>
  <c r="CW192" i="15" s="1"/>
  <c r="CX192" i="15" s="1"/>
  <c r="CV160" i="15"/>
  <c r="CW160" i="15" s="1"/>
  <c r="CX160" i="15" s="1"/>
  <c r="CV128" i="15"/>
  <c r="CW128" i="15" s="1"/>
  <c r="CX128" i="15" s="1"/>
  <c r="CV96" i="15"/>
  <c r="CW96" i="15" s="1"/>
  <c r="CX96" i="15" s="1"/>
  <c r="CV64" i="15"/>
  <c r="CW64" i="15" s="1"/>
  <c r="CX64" i="15" s="1"/>
  <c r="CV32" i="15"/>
  <c r="CW32" i="15" s="1"/>
  <c r="CX32" i="15" s="1"/>
  <c r="CV227" i="15"/>
  <c r="CW227" i="15" s="1"/>
  <c r="CX227" i="15" s="1"/>
  <c r="CV195" i="15"/>
  <c r="CW195" i="15" s="1"/>
  <c r="CX195" i="15" s="1"/>
  <c r="CV163" i="15"/>
  <c r="CW163" i="15" s="1"/>
  <c r="CX163" i="15" s="1"/>
  <c r="CV131" i="15"/>
  <c r="CW131" i="15" s="1"/>
  <c r="CX131" i="15" s="1"/>
  <c r="CV99" i="15"/>
  <c r="CW99" i="15" s="1"/>
  <c r="CX99" i="15" s="1"/>
  <c r="CV67" i="15"/>
  <c r="CW67" i="15" s="1"/>
  <c r="CX67" i="15" s="1"/>
  <c r="CV35" i="15"/>
  <c r="CW35" i="15" s="1"/>
  <c r="CX35" i="15" s="1"/>
  <c r="CV3" i="15"/>
  <c r="CW3" i="15" s="1"/>
  <c r="CX3" i="15" s="1"/>
  <c r="D131" i="15"/>
  <c r="E131" i="15" s="1"/>
  <c r="F131" i="15" s="1"/>
  <c r="G115" i="15"/>
  <c r="H115" i="15" s="1"/>
  <c r="I115" i="15" s="1"/>
  <c r="G175" i="15"/>
  <c r="H175" i="15" s="1"/>
  <c r="I175" i="15" s="1"/>
  <c r="G19" i="15"/>
  <c r="H19" i="15" s="1"/>
  <c r="I19" i="15" s="1"/>
  <c r="G131" i="15"/>
  <c r="H131" i="15" s="1"/>
  <c r="I131" i="15" s="1"/>
  <c r="G206" i="15"/>
  <c r="H206" i="15" s="1"/>
  <c r="I206" i="15" s="1"/>
  <c r="G174" i="15"/>
  <c r="H174" i="15" s="1"/>
  <c r="I174" i="15" s="1"/>
  <c r="G111" i="15"/>
  <c r="H111" i="15" s="1"/>
  <c r="I111" i="15" s="1"/>
  <c r="G221" i="15"/>
  <c r="H221" i="15" s="1"/>
  <c r="I221" i="15" s="1"/>
  <c r="G189" i="15"/>
  <c r="H189" i="15" s="1"/>
  <c r="I189" i="15" s="1"/>
  <c r="G157" i="15"/>
  <c r="H157" i="15" s="1"/>
  <c r="I157" i="15" s="1"/>
  <c r="G43" i="15"/>
  <c r="H43" i="15" s="1"/>
  <c r="I43" i="15" s="1"/>
  <c r="G204" i="15"/>
  <c r="H204" i="15" s="1"/>
  <c r="I204" i="15" s="1"/>
  <c r="G172" i="15"/>
  <c r="H172" i="15" s="1"/>
  <c r="I172" i="15" s="1"/>
  <c r="G103" i="15"/>
  <c r="H103" i="15" s="1"/>
  <c r="I103" i="15" s="1"/>
  <c r="G146" i="15"/>
  <c r="H146" i="15" s="1"/>
  <c r="I146" i="15" s="1"/>
  <c r="G114" i="15"/>
  <c r="H114" i="15" s="1"/>
  <c r="I114" i="15" s="1"/>
  <c r="G82" i="15"/>
  <c r="H82" i="15" s="1"/>
  <c r="I82" i="15" s="1"/>
  <c r="G50" i="15"/>
  <c r="H50" i="15" s="1"/>
  <c r="I50" i="15" s="1"/>
  <c r="G18" i="15"/>
  <c r="H18" i="15" s="1"/>
  <c r="I18" i="15" s="1"/>
  <c r="G137" i="15"/>
  <c r="H137" i="15" s="1"/>
  <c r="I137" i="15" s="1"/>
  <c r="G105" i="15"/>
  <c r="H105" i="15" s="1"/>
  <c r="I105" i="15" s="1"/>
  <c r="G73" i="15"/>
  <c r="H73" i="15" s="1"/>
  <c r="I73" i="15" s="1"/>
  <c r="G41" i="15"/>
  <c r="H41" i="15" s="1"/>
  <c r="I41" i="15" s="1"/>
  <c r="G9" i="15"/>
  <c r="H9" i="15" s="1"/>
  <c r="I9" i="15" s="1"/>
  <c r="G128" i="15"/>
  <c r="H128" i="15" s="1"/>
  <c r="I128" i="15" s="1"/>
  <c r="G84" i="15"/>
  <c r="H84" i="15" s="1"/>
  <c r="I84" i="15" s="1"/>
  <c r="G40" i="15"/>
  <c r="H40" i="15" s="1"/>
  <c r="I40" i="15" s="1"/>
  <c r="EI3" i="15"/>
  <c r="EJ3" i="15" s="1"/>
  <c r="EK3" i="15" s="1"/>
  <c r="CG205" i="15"/>
  <c r="CH205" i="15" s="1"/>
  <c r="CI205" i="15" s="1"/>
  <c r="CG169" i="15"/>
  <c r="CH169" i="15" s="1"/>
  <c r="CI169" i="15" s="1"/>
  <c r="CG133" i="15"/>
  <c r="CH133" i="15" s="1"/>
  <c r="CI133" i="15" s="1"/>
  <c r="CG196" i="15"/>
  <c r="CH196" i="15" s="1"/>
  <c r="CI196" i="15" s="1"/>
  <c r="CG132" i="15"/>
  <c r="CH132" i="15" s="1"/>
  <c r="CI132" i="15" s="1"/>
  <c r="CG68" i="15"/>
  <c r="CH68" i="15" s="1"/>
  <c r="CI68" i="15" s="1"/>
  <c r="CG4" i="15"/>
  <c r="CH4" i="15" s="1"/>
  <c r="CI4" i="15" s="1"/>
  <c r="CG167" i="15"/>
  <c r="CH167" i="15" s="1"/>
  <c r="CI167" i="15" s="1"/>
  <c r="CG103" i="15"/>
  <c r="CH103" i="15" s="1"/>
  <c r="CI103" i="15" s="1"/>
  <c r="CG39" i="15"/>
  <c r="CH39" i="15" s="1"/>
  <c r="CI39" i="15" s="1"/>
  <c r="CG206" i="15"/>
  <c r="CH206" i="15" s="1"/>
  <c r="CI206" i="15" s="1"/>
  <c r="CG142" i="15"/>
  <c r="CH142" i="15" s="1"/>
  <c r="CI142" i="15" s="1"/>
  <c r="CG78" i="15"/>
  <c r="CH78" i="15" s="1"/>
  <c r="CI78" i="15" s="1"/>
  <c r="BR199" i="15"/>
  <c r="BS199" i="15" s="1"/>
  <c r="BT199" i="15" s="1"/>
  <c r="BR71" i="15"/>
  <c r="BS71" i="15" s="1"/>
  <c r="BT71" i="15" s="1"/>
  <c r="BR219" i="15"/>
  <c r="BS219" i="15" s="1"/>
  <c r="BT219" i="15" s="1"/>
  <c r="BR198" i="15"/>
  <c r="BS198" i="15" s="1"/>
  <c r="BT198" i="15" s="1"/>
  <c r="BR114" i="15"/>
  <c r="BS114" i="15" s="1"/>
  <c r="BT114" i="15" s="1"/>
  <c r="BR26" i="15"/>
  <c r="BS26" i="15" s="1"/>
  <c r="BT26" i="15" s="1"/>
  <c r="BR165" i="15"/>
  <c r="BS165" i="15" s="1"/>
  <c r="BT165" i="15" s="1"/>
  <c r="BR81" i="15"/>
  <c r="BS81" i="15" s="1"/>
  <c r="BT81" i="15" s="1"/>
  <c r="BR220" i="15"/>
  <c r="BS220" i="15" s="1"/>
  <c r="BT220" i="15" s="1"/>
  <c r="BR136" i="15"/>
  <c r="BS136" i="15" s="1"/>
  <c r="BT136" i="15" s="1"/>
  <c r="BR52" i="15"/>
  <c r="BS52" i="15" s="1"/>
  <c r="BT52" i="15" s="1"/>
  <c r="EF200" i="15"/>
  <c r="EG200" i="15" s="1"/>
  <c r="EH200" i="15" s="1"/>
  <c r="EF159" i="15"/>
  <c r="EG159" i="15" s="1"/>
  <c r="EH159" i="15" s="1"/>
  <c r="EF196" i="15"/>
  <c r="EG196" i="15" s="1"/>
  <c r="EH196" i="15" s="1"/>
  <c r="EF21" i="15"/>
  <c r="EG21" i="15" s="1"/>
  <c r="EH21" i="15" s="1"/>
  <c r="EF75" i="15"/>
  <c r="EG75" i="15" s="1"/>
  <c r="EH75" i="15" s="1"/>
  <c r="EF170" i="15"/>
  <c r="EG170" i="15" s="1"/>
  <c r="EH170" i="15" s="1"/>
  <c r="EF86" i="15"/>
  <c r="EG86" i="15" s="1"/>
  <c r="EH86" i="15" s="1"/>
  <c r="EF209" i="15"/>
  <c r="EG209" i="15" s="1"/>
  <c r="EH209" i="15" s="1"/>
  <c r="EF121" i="15"/>
  <c r="EG121" i="15" s="1"/>
  <c r="EH121" i="15" s="1"/>
  <c r="EF27" i="15"/>
  <c r="EG27" i="15" s="1"/>
  <c r="EH27" i="15" s="1"/>
  <c r="CJ134" i="15"/>
  <c r="CK134" i="15" s="1"/>
  <c r="CL134" i="15" s="1"/>
  <c r="CJ94" i="15"/>
  <c r="CK94" i="15" s="1"/>
  <c r="CL94" i="15" s="1"/>
  <c r="CJ13" i="15"/>
  <c r="CK13" i="15" s="1"/>
  <c r="CL13" i="15" s="1"/>
  <c r="CJ207" i="15"/>
  <c r="CK207" i="15" s="1"/>
  <c r="CL207" i="15" s="1"/>
  <c r="DZ185" i="15"/>
  <c r="EA185" i="15" s="1"/>
  <c r="EB185" i="15" s="1"/>
  <c r="DZ220" i="15"/>
  <c r="EA220" i="15" s="1"/>
  <c r="EB220" i="15" s="1"/>
  <c r="DZ53" i="15"/>
  <c r="EA53" i="15" s="1"/>
  <c r="EB53" i="15" s="1"/>
  <c r="CM19" i="15"/>
  <c r="CN19" i="15" s="1"/>
  <c r="CO19" i="15" s="1"/>
  <c r="CM97" i="15"/>
  <c r="CN97" i="15" s="1"/>
  <c r="CO97" i="15" s="1"/>
  <c r="CM81" i="15"/>
  <c r="CN81" i="15" s="1"/>
  <c r="CO81" i="15" s="1"/>
  <c r="CM65" i="15"/>
  <c r="CN65" i="15" s="1"/>
  <c r="CO65" i="15" s="1"/>
  <c r="CM49" i="15"/>
  <c r="CN49" i="15" s="1"/>
  <c r="CO49" i="15" s="1"/>
  <c r="CM33" i="15"/>
  <c r="CN33" i="15" s="1"/>
  <c r="CO33" i="15" s="1"/>
  <c r="AW73" i="15"/>
  <c r="AX73" i="15" s="1"/>
  <c r="AY73" i="15" s="1"/>
  <c r="AW117" i="15"/>
  <c r="AX117" i="15" s="1"/>
  <c r="AY117" i="15" s="1"/>
  <c r="AW201" i="15"/>
  <c r="AX201" i="15" s="1"/>
  <c r="AY201" i="15" s="1"/>
  <c r="AW161" i="15"/>
  <c r="AX161" i="15" s="1"/>
  <c r="AY161" i="15" s="1"/>
  <c r="AW33" i="15"/>
  <c r="AX33" i="15" s="1"/>
  <c r="AY33" i="15" s="1"/>
  <c r="AW221" i="15"/>
  <c r="AX221" i="15" s="1"/>
  <c r="AY221" i="15" s="1"/>
  <c r="AW93" i="15"/>
  <c r="AX93" i="15" s="1"/>
  <c r="AY93" i="15" s="1"/>
  <c r="AW220" i="15"/>
  <c r="AX220" i="15" s="1"/>
  <c r="AY220" i="15" s="1"/>
  <c r="AW188" i="15"/>
  <c r="AX188" i="15" s="1"/>
  <c r="AY188" i="15" s="1"/>
  <c r="AW156" i="15"/>
  <c r="AX156" i="15" s="1"/>
  <c r="AY156" i="15" s="1"/>
  <c r="AW124" i="15"/>
  <c r="AX124" i="15" s="1"/>
  <c r="AY124" i="15" s="1"/>
  <c r="AW92" i="15"/>
  <c r="AX92" i="15" s="1"/>
  <c r="AY92" i="15" s="1"/>
  <c r="AW60" i="15"/>
  <c r="AX60" i="15" s="1"/>
  <c r="AY60" i="15" s="1"/>
  <c r="AW28" i="15"/>
  <c r="AX28" i="15" s="1"/>
  <c r="AY28" i="15" s="1"/>
  <c r="AW223" i="15"/>
  <c r="AX223" i="15" s="1"/>
  <c r="AY223" i="15" s="1"/>
  <c r="AW191" i="15"/>
  <c r="AX191" i="15" s="1"/>
  <c r="AY191" i="15" s="1"/>
  <c r="AW159" i="15"/>
  <c r="AX159" i="15" s="1"/>
  <c r="AY159" i="15" s="1"/>
  <c r="AW127" i="15"/>
  <c r="AX127" i="15" s="1"/>
  <c r="AY127" i="15" s="1"/>
  <c r="AW95" i="15"/>
  <c r="AX95" i="15" s="1"/>
  <c r="AY95" i="15" s="1"/>
  <c r="AW63" i="15"/>
  <c r="AX63" i="15" s="1"/>
  <c r="AY63" i="15" s="1"/>
  <c r="AW31" i="15"/>
  <c r="AX31" i="15" s="1"/>
  <c r="AY31" i="15" s="1"/>
  <c r="AW226" i="15"/>
  <c r="AX226" i="15" s="1"/>
  <c r="AY226" i="15" s="1"/>
  <c r="AW194" i="15"/>
  <c r="AX194" i="15" s="1"/>
  <c r="AY194" i="15" s="1"/>
  <c r="AW162" i="15"/>
  <c r="AX162" i="15" s="1"/>
  <c r="AY162" i="15" s="1"/>
  <c r="AW130" i="15"/>
  <c r="AX130" i="15" s="1"/>
  <c r="AY130" i="15" s="1"/>
  <c r="AW98" i="15"/>
  <c r="AX98" i="15" s="1"/>
  <c r="AY98" i="15" s="1"/>
  <c r="AW66" i="15"/>
  <c r="AX66" i="15" s="1"/>
  <c r="AY66" i="15" s="1"/>
  <c r="AW34" i="15"/>
  <c r="AX34" i="15" s="1"/>
  <c r="AY34" i="15" s="1"/>
  <c r="G11" i="4"/>
  <c r="P15" i="15"/>
  <c r="Q15" i="15" s="1"/>
  <c r="R15" i="15" s="1"/>
  <c r="P31" i="15"/>
  <c r="Q31" i="15" s="1"/>
  <c r="R31" i="15" s="1"/>
  <c r="P47" i="15"/>
  <c r="Q47" i="15" s="1"/>
  <c r="R47" i="15" s="1"/>
  <c r="P63" i="15"/>
  <c r="Q63" i="15" s="1"/>
  <c r="R63" i="15" s="1"/>
  <c r="P79" i="15"/>
  <c r="Q79" i="15" s="1"/>
  <c r="R79" i="15" s="1"/>
  <c r="P95" i="15"/>
  <c r="Q95" i="15" s="1"/>
  <c r="R95" i="15" s="1"/>
  <c r="P111" i="15"/>
  <c r="Q111" i="15" s="1"/>
  <c r="R111" i="15" s="1"/>
  <c r="P127" i="15"/>
  <c r="Q127" i="15" s="1"/>
  <c r="R127" i="15" s="1"/>
  <c r="P143" i="15"/>
  <c r="Q143" i="15" s="1"/>
  <c r="R143" i="15" s="1"/>
  <c r="P159" i="15"/>
  <c r="Q159" i="15" s="1"/>
  <c r="R159" i="15" s="1"/>
  <c r="P175" i="15"/>
  <c r="Q175" i="15" s="1"/>
  <c r="R175" i="15" s="1"/>
  <c r="P191" i="15"/>
  <c r="Q191" i="15" s="1"/>
  <c r="R191" i="15" s="1"/>
  <c r="P207" i="15"/>
  <c r="Q207" i="15" s="1"/>
  <c r="R207" i="15" s="1"/>
  <c r="P223" i="15"/>
  <c r="Q223" i="15" s="1"/>
  <c r="R223" i="15" s="1"/>
  <c r="P8" i="15"/>
  <c r="Q8" i="15" s="1"/>
  <c r="R8" i="15" s="1"/>
  <c r="P24" i="15"/>
  <c r="Q24" i="15" s="1"/>
  <c r="R24" i="15" s="1"/>
  <c r="P40" i="15"/>
  <c r="Q40" i="15" s="1"/>
  <c r="R40" i="15" s="1"/>
  <c r="P56" i="15"/>
  <c r="Q56" i="15" s="1"/>
  <c r="R56" i="15" s="1"/>
  <c r="P72" i="15"/>
  <c r="Q72" i="15" s="1"/>
  <c r="R72" i="15" s="1"/>
  <c r="P88" i="15"/>
  <c r="Q88" i="15" s="1"/>
  <c r="R88" i="15" s="1"/>
  <c r="P104" i="15"/>
  <c r="Q104" i="15" s="1"/>
  <c r="R104" i="15" s="1"/>
  <c r="P120" i="15"/>
  <c r="Q120" i="15" s="1"/>
  <c r="R120" i="15" s="1"/>
  <c r="P136" i="15"/>
  <c r="Q136" i="15" s="1"/>
  <c r="R136" i="15" s="1"/>
  <c r="P152" i="15"/>
  <c r="Q152" i="15" s="1"/>
  <c r="R152" i="15" s="1"/>
  <c r="P168" i="15"/>
  <c r="Q168" i="15" s="1"/>
  <c r="R168" i="15" s="1"/>
  <c r="P184" i="15"/>
  <c r="Q184" i="15" s="1"/>
  <c r="R184" i="15" s="1"/>
  <c r="P200" i="15"/>
  <c r="Q200" i="15" s="1"/>
  <c r="R200" i="15" s="1"/>
  <c r="P216" i="15"/>
  <c r="Q216" i="15" s="1"/>
  <c r="R216" i="15" s="1"/>
  <c r="P9" i="15"/>
  <c r="Q9" i="15" s="1"/>
  <c r="R9" i="15" s="1"/>
  <c r="P25" i="15"/>
  <c r="Q25" i="15" s="1"/>
  <c r="R25" i="15" s="1"/>
  <c r="P41" i="15"/>
  <c r="Q41" i="15" s="1"/>
  <c r="R41" i="15" s="1"/>
  <c r="P57" i="15"/>
  <c r="Q57" i="15" s="1"/>
  <c r="R57" i="15" s="1"/>
  <c r="P73" i="15"/>
  <c r="Q73" i="15" s="1"/>
  <c r="R73" i="15" s="1"/>
  <c r="P89" i="15"/>
  <c r="Q89" i="15" s="1"/>
  <c r="R89" i="15" s="1"/>
  <c r="P105" i="15"/>
  <c r="Q105" i="15" s="1"/>
  <c r="R105" i="15" s="1"/>
  <c r="P121" i="15"/>
  <c r="Q121" i="15" s="1"/>
  <c r="R121" i="15" s="1"/>
  <c r="P137" i="15"/>
  <c r="Q137" i="15" s="1"/>
  <c r="R137" i="15" s="1"/>
  <c r="P153" i="15"/>
  <c r="Q153" i="15" s="1"/>
  <c r="R153" i="15" s="1"/>
  <c r="P3" i="15"/>
  <c r="Q3" i="15" s="1"/>
  <c r="R3" i="15" s="1"/>
  <c r="P19" i="15"/>
  <c r="Q19" i="15" s="1"/>
  <c r="R19" i="15" s="1"/>
  <c r="P35" i="15"/>
  <c r="Q35" i="15" s="1"/>
  <c r="R35" i="15" s="1"/>
  <c r="P51" i="15"/>
  <c r="Q51" i="15" s="1"/>
  <c r="R51" i="15" s="1"/>
  <c r="P67" i="15"/>
  <c r="Q67" i="15" s="1"/>
  <c r="R67" i="15" s="1"/>
  <c r="P83" i="15"/>
  <c r="Q83" i="15" s="1"/>
  <c r="R83" i="15" s="1"/>
  <c r="P99" i="15"/>
  <c r="Q99" i="15" s="1"/>
  <c r="R99" i="15" s="1"/>
  <c r="P115" i="15"/>
  <c r="Q115" i="15" s="1"/>
  <c r="R115" i="15" s="1"/>
  <c r="P131" i="15"/>
  <c r="Q131" i="15" s="1"/>
  <c r="R131" i="15" s="1"/>
  <c r="P147" i="15"/>
  <c r="Q147" i="15" s="1"/>
  <c r="R147" i="15" s="1"/>
  <c r="P163" i="15"/>
  <c r="Q163" i="15" s="1"/>
  <c r="R163" i="15" s="1"/>
  <c r="P179" i="15"/>
  <c r="Q179" i="15" s="1"/>
  <c r="R179" i="15" s="1"/>
  <c r="P195" i="15"/>
  <c r="Q195" i="15" s="1"/>
  <c r="R195" i="15" s="1"/>
  <c r="P211" i="15"/>
  <c r="Q211" i="15" s="1"/>
  <c r="R211" i="15" s="1"/>
  <c r="P227" i="15"/>
  <c r="Q227" i="15" s="1"/>
  <c r="R227" i="15" s="1"/>
  <c r="P12" i="15"/>
  <c r="Q12" i="15" s="1"/>
  <c r="R12" i="15" s="1"/>
  <c r="P28" i="15"/>
  <c r="Q28" i="15" s="1"/>
  <c r="R28" i="15" s="1"/>
  <c r="P44" i="15"/>
  <c r="Q44" i="15" s="1"/>
  <c r="R44" i="15" s="1"/>
  <c r="P60" i="15"/>
  <c r="Q60" i="15" s="1"/>
  <c r="R60" i="15" s="1"/>
  <c r="P76" i="15"/>
  <c r="Q76" i="15" s="1"/>
  <c r="R76" i="15" s="1"/>
  <c r="P92" i="15"/>
  <c r="Q92" i="15" s="1"/>
  <c r="R92" i="15" s="1"/>
  <c r="P108" i="15"/>
  <c r="Q108" i="15" s="1"/>
  <c r="R108" i="15" s="1"/>
  <c r="P124" i="15"/>
  <c r="Q124" i="15" s="1"/>
  <c r="R124" i="15" s="1"/>
  <c r="P140" i="15"/>
  <c r="Q140" i="15" s="1"/>
  <c r="R140" i="15" s="1"/>
  <c r="P156" i="15"/>
  <c r="Q156" i="15" s="1"/>
  <c r="R156" i="15" s="1"/>
  <c r="P172" i="15"/>
  <c r="Q172" i="15" s="1"/>
  <c r="R172" i="15" s="1"/>
  <c r="P188" i="15"/>
  <c r="Q188" i="15" s="1"/>
  <c r="R188" i="15" s="1"/>
  <c r="P204" i="15"/>
  <c r="Q204" i="15" s="1"/>
  <c r="R204" i="15" s="1"/>
  <c r="P220" i="15"/>
  <c r="Q220" i="15" s="1"/>
  <c r="R220" i="15" s="1"/>
  <c r="P13" i="15"/>
  <c r="Q13" i="15" s="1"/>
  <c r="R13" i="15" s="1"/>
  <c r="P29" i="15"/>
  <c r="Q29" i="15" s="1"/>
  <c r="R29" i="15" s="1"/>
  <c r="P45" i="15"/>
  <c r="Q45" i="15" s="1"/>
  <c r="R45" i="15" s="1"/>
  <c r="P61" i="15"/>
  <c r="Q61" i="15" s="1"/>
  <c r="R61" i="15" s="1"/>
  <c r="P77" i="15"/>
  <c r="Q77" i="15" s="1"/>
  <c r="R77" i="15" s="1"/>
  <c r="P93" i="15"/>
  <c r="Q93" i="15" s="1"/>
  <c r="R93" i="15" s="1"/>
  <c r="P109" i="15"/>
  <c r="Q109" i="15" s="1"/>
  <c r="R109" i="15" s="1"/>
  <c r="P125" i="15"/>
  <c r="Q125" i="15" s="1"/>
  <c r="R125" i="15" s="1"/>
  <c r="P141" i="15"/>
  <c r="Q141" i="15" s="1"/>
  <c r="R141" i="15" s="1"/>
  <c r="P157" i="15"/>
  <c r="Q157" i="15" s="1"/>
  <c r="R157" i="15" s="1"/>
  <c r="P173" i="15"/>
  <c r="Q173" i="15" s="1"/>
  <c r="R173" i="15" s="1"/>
  <c r="P189" i="15"/>
  <c r="Q189" i="15" s="1"/>
  <c r="R189" i="15" s="1"/>
  <c r="P205" i="15"/>
  <c r="Q205" i="15" s="1"/>
  <c r="R205" i="15" s="1"/>
  <c r="P221" i="15"/>
  <c r="Q221" i="15" s="1"/>
  <c r="R221" i="15" s="1"/>
  <c r="P38" i="15"/>
  <c r="Q38" i="15" s="1"/>
  <c r="R38" i="15" s="1"/>
  <c r="P102" i="15"/>
  <c r="Q102" i="15" s="1"/>
  <c r="R102" i="15" s="1"/>
  <c r="P166" i="15"/>
  <c r="Q166" i="15" s="1"/>
  <c r="R166" i="15" s="1"/>
  <c r="P34" i="15"/>
  <c r="Q34" i="15" s="1"/>
  <c r="R34" i="15" s="1"/>
  <c r="P194" i="15"/>
  <c r="Q194" i="15" s="1"/>
  <c r="R194" i="15" s="1"/>
  <c r="P42" i="15"/>
  <c r="Q42" i="15" s="1"/>
  <c r="R42" i="15" s="1"/>
  <c r="P106" i="15"/>
  <c r="Q106" i="15" s="1"/>
  <c r="R106" i="15" s="1"/>
  <c r="P170" i="15"/>
  <c r="Q170" i="15" s="1"/>
  <c r="R170" i="15" s="1"/>
  <c r="P130" i="15"/>
  <c r="Q130" i="15" s="1"/>
  <c r="R130" i="15" s="1"/>
  <c r="P46" i="15"/>
  <c r="Q46" i="15" s="1"/>
  <c r="R46" i="15" s="1"/>
  <c r="P110" i="15"/>
  <c r="Q110" i="15" s="1"/>
  <c r="R110" i="15" s="1"/>
  <c r="P174" i="15"/>
  <c r="Q174" i="15" s="1"/>
  <c r="R174" i="15" s="1"/>
  <c r="P18" i="15"/>
  <c r="Q18" i="15" s="1"/>
  <c r="R18" i="15" s="1"/>
  <c r="P146" i="15"/>
  <c r="Q146" i="15" s="1"/>
  <c r="R146" i="15" s="1"/>
  <c r="C30" i="4"/>
  <c r="BX14" i="15"/>
  <c r="BY14" i="15" s="1"/>
  <c r="BZ14" i="15" s="1"/>
  <c r="BX30" i="15"/>
  <c r="BY30" i="15" s="1"/>
  <c r="BZ30" i="15" s="1"/>
  <c r="BX46" i="15"/>
  <c r="BY46" i="15" s="1"/>
  <c r="BZ46" i="15" s="1"/>
  <c r="BX62" i="15"/>
  <c r="BY62" i="15" s="1"/>
  <c r="BZ62" i="15" s="1"/>
  <c r="BX78" i="15"/>
  <c r="BY78" i="15" s="1"/>
  <c r="BZ78" i="15" s="1"/>
  <c r="BX94" i="15"/>
  <c r="BY94" i="15" s="1"/>
  <c r="BZ94" i="15" s="1"/>
  <c r="BX110" i="15"/>
  <c r="BY110" i="15" s="1"/>
  <c r="BZ110" i="15" s="1"/>
  <c r="BX126" i="15"/>
  <c r="BY126" i="15" s="1"/>
  <c r="BZ126" i="15" s="1"/>
  <c r="BX142" i="15"/>
  <c r="BY142" i="15" s="1"/>
  <c r="BZ142" i="15" s="1"/>
  <c r="BX158" i="15"/>
  <c r="BY158" i="15" s="1"/>
  <c r="BZ158" i="15" s="1"/>
  <c r="BX174" i="15"/>
  <c r="BY174" i="15" s="1"/>
  <c r="BZ174" i="15" s="1"/>
  <c r="BX190" i="15"/>
  <c r="BY190" i="15" s="1"/>
  <c r="BZ190" i="15" s="1"/>
  <c r="BX206" i="15"/>
  <c r="BY206" i="15" s="1"/>
  <c r="BZ206" i="15" s="1"/>
  <c r="BX222" i="15"/>
  <c r="BY222" i="15" s="1"/>
  <c r="BZ222" i="15" s="1"/>
  <c r="BX11" i="15"/>
  <c r="BY11" i="15" s="1"/>
  <c r="BZ11" i="15" s="1"/>
  <c r="BX27" i="15"/>
  <c r="BY27" i="15" s="1"/>
  <c r="BZ27" i="15" s="1"/>
  <c r="BX43" i="15"/>
  <c r="BY43" i="15" s="1"/>
  <c r="BZ43" i="15" s="1"/>
  <c r="BX59" i="15"/>
  <c r="BY59" i="15" s="1"/>
  <c r="BZ59" i="15" s="1"/>
  <c r="BX75" i="15"/>
  <c r="BY75" i="15" s="1"/>
  <c r="BZ75" i="15" s="1"/>
  <c r="BX91" i="15"/>
  <c r="BY91" i="15" s="1"/>
  <c r="BZ91" i="15" s="1"/>
  <c r="BX107" i="15"/>
  <c r="BY107" i="15" s="1"/>
  <c r="BZ107" i="15" s="1"/>
  <c r="BX123" i="15"/>
  <c r="BY123" i="15" s="1"/>
  <c r="BZ123" i="15" s="1"/>
  <c r="BX139" i="15"/>
  <c r="BY139" i="15" s="1"/>
  <c r="BZ139" i="15" s="1"/>
  <c r="BX155" i="15"/>
  <c r="BY155" i="15" s="1"/>
  <c r="BZ155" i="15" s="1"/>
  <c r="BX171" i="15"/>
  <c r="BY171" i="15" s="1"/>
  <c r="BZ171" i="15" s="1"/>
  <c r="BX187" i="15"/>
  <c r="BY187" i="15" s="1"/>
  <c r="BZ187" i="15" s="1"/>
  <c r="BX203" i="15"/>
  <c r="BY203" i="15" s="1"/>
  <c r="BZ203" i="15" s="1"/>
  <c r="BX219" i="15"/>
  <c r="BY219" i="15" s="1"/>
  <c r="BZ219" i="15" s="1"/>
  <c r="BX8" i="15"/>
  <c r="BY8" i="15" s="1"/>
  <c r="BZ8" i="15" s="1"/>
  <c r="BX24" i="15"/>
  <c r="BY24" i="15" s="1"/>
  <c r="BZ24" i="15" s="1"/>
  <c r="BX40" i="15"/>
  <c r="BY40" i="15" s="1"/>
  <c r="BZ40" i="15" s="1"/>
  <c r="BX56" i="15"/>
  <c r="BY56" i="15" s="1"/>
  <c r="BZ56" i="15" s="1"/>
  <c r="BX72" i="15"/>
  <c r="BY72" i="15" s="1"/>
  <c r="BZ72" i="15" s="1"/>
  <c r="BX88" i="15"/>
  <c r="BY88" i="15" s="1"/>
  <c r="BZ88" i="15" s="1"/>
  <c r="BX104" i="15"/>
  <c r="BY104" i="15" s="1"/>
  <c r="BZ104" i="15" s="1"/>
  <c r="BX120" i="15"/>
  <c r="BY120" i="15" s="1"/>
  <c r="BZ120" i="15" s="1"/>
  <c r="BX136" i="15"/>
  <c r="BY136" i="15" s="1"/>
  <c r="BZ136" i="15" s="1"/>
  <c r="BX152" i="15"/>
  <c r="BY152" i="15" s="1"/>
  <c r="BZ152" i="15" s="1"/>
  <c r="BX168" i="15"/>
  <c r="BY168" i="15" s="1"/>
  <c r="BZ168" i="15" s="1"/>
  <c r="BX184" i="15"/>
  <c r="BY184" i="15" s="1"/>
  <c r="BZ184" i="15" s="1"/>
  <c r="BX200" i="15"/>
  <c r="BY200" i="15" s="1"/>
  <c r="BZ200" i="15" s="1"/>
  <c r="BX216" i="15"/>
  <c r="BY216" i="15" s="1"/>
  <c r="BZ216" i="15" s="1"/>
  <c r="BX21" i="15"/>
  <c r="BY21" i="15" s="1"/>
  <c r="BZ21" i="15" s="1"/>
  <c r="BX85" i="15"/>
  <c r="BY85" i="15" s="1"/>
  <c r="BZ85" i="15" s="1"/>
  <c r="BX149" i="15"/>
  <c r="BY149" i="15" s="1"/>
  <c r="BZ149" i="15" s="1"/>
  <c r="BX213" i="15"/>
  <c r="BY213" i="15" s="1"/>
  <c r="BZ213" i="15" s="1"/>
  <c r="BX57" i="15"/>
  <c r="BY57" i="15" s="1"/>
  <c r="BZ57" i="15" s="1"/>
  <c r="BX121" i="15"/>
  <c r="BY121" i="15" s="1"/>
  <c r="BZ121" i="15" s="1"/>
  <c r="BX185" i="15"/>
  <c r="BY185" i="15" s="1"/>
  <c r="BZ185" i="15" s="1"/>
  <c r="BX13" i="15"/>
  <c r="BY13" i="15" s="1"/>
  <c r="BZ13" i="15" s="1"/>
  <c r="BX77" i="15"/>
  <c r="BY77" i="15" s="1"/>
  <c r="BZ77" i="15" s="1"/>
  <c r="BX141" i="15"/>
  <c r="BY141" i="15" s="1"/>
  <c r="BZ141" i="15" s="1"/>
  <c r="BX205" i="15"/>
  <c r="BY205" i="15" s="1"/>
  <c r="BZ205" i="15" s="1"/>
  <c r="BX145" i="15"/>
  <c r="BY145" i="15" s="1"/>
  <c r="BZ145" i="15" s="1"/>
  <c r="BX33" i="15"/>
  <c r="BY33" i="15" s="1"/>
  <c r="BZ33" i="15" s="1"/>
  <c r="BX49" i="15"/>
  <c r="BY49" i="15" s="1"/>
  <c r="BZ49" i="15" s="1"/>
  <c r="BX18" i="15"/>
  <c r="BY18" i="15" s="1"/>
  <c r="BZ18" i="15" s="1"/>
  <c r="BX34" i="15"/>
  <c r="BY34" i="15" s="1"/>
  <c r="BZ34" i="15" s="1"/>
  <c r="BX50" i="15"/>
  <c r="BY50" i="15" s="1"/>
  <c r="BZ50" i="15" s="1"/>
  <c r="BX66" i="15"/>
  <c r="BY66" i="15" s="1"/>
  <c r="BZ66" i="15" s="1"/>
  <c r="BX82" i="15"/>
  <c r="BY82" i="15" s="1"/>
  <c r="BZ82" i="15" s="1"/>
  <c r="BX98" i="15"/>
  <c r="BY98" i="15" s="1"/>
  <c r="BZ98" i="15" s="1"/>
  <c r="BX114" i="15"/>
  <c r="BY114" i="15" s="1"/>
  <c r="BZ114" i="15" s="1"/>
  <c r="BX130" i="15"/>
  <c r="BY130" i="15" s="1"/>
  <c r="BZ130" i="15" s="1"/>
  <c r="BX146" i="15"/>
  <c r="BY146" i="15" s="1"/>
  <c r="BZ146" i="15" s="1"/>
  <c r="BX162" i="15"/>
  <c r="BY162" i="15" s="1"/>
  <c r="BZ162" i="15" s="1"/>
  <c r="BX178" i="15"/>
  <c r="BY178" i="15" s="1"/>
  <c r="BZ178" i="15" s="1"/>
  <c r="BX194" i="15"/>
  <c r="BY194" i="15" s="1"/>
  <c r="BZ194" i="15" s="1"/>
  <c r="BX210" i="15"/>
  <c r="BY210" i="15" s="1"/>
  <c r="BZ210" i="15" s="1"/>
  <c r="BX226" i="15"/>
  <c r="BY226" i="15" s="1"/>
  <c r="BZ226" i="15" s="1"/>
  <c r="BX15" i="15"/>
  <c r="BY15" i="15" s="1"/>
  <c r="BZ15" i="15" s="1"/>
  <c r="BX31" i="15"/>
  <c r="BY31" i="15" s="1"/>
  <c r="BZ31" i="15" s="1"/>
  <c r="BX47" i="15"/>
  <c r="BY47" i="15" s="1"/>
  <c r="BZ47" i="15" s="1"/>
  <c r="BX63" i="15"/>
  <c r="BY63" i="15" s="1"/>
  <c r="BZ63" i="15" s="1"/>
  <c r="BX79" i="15"/>
  <c r="BY79" i="15" s="1"/>
  <c r="BZ79" i="15" s="1"/>
  <c r="BX95" i="15"/>
  <c r="BY95" i="15" s="1"/>
  <c r="BZ95" i="15" s="1"/>
  <c r="BX111" i="15"/>
  <c r="BY111" i="15" s="1"/>
  <c r="BZ111" i="15" s="1"/>
  <c r="BX127" i="15"/>
  <c r="BY127" i="15" s="1"/>
  <c r="BZ127" i="15" s="1"/>
  <c r="BX143" i="15"/>
  <c r="BY143" i="15" s="1"/>
  <c r="BZ143" i="15" s="1"/>
  <c r="BX159" i="15"/>
  <c r="BY159" i="15" s="1"/>
  <c r="BZ159" i="15" s="1"/>
  <c r="BX175" i="15"/>
  <c r="BY175" i="15" s="1"/>
  <c r="BZ175" i="15" s="1"/>
  <c r="BX191" i="15"/>
  <c r="BY191" i="15" s="1"/>
  <c r="BZ191" i="15" s="1"/>
  <c r="BX207" i="15"/>
  <c r="BY207" i="15" s="1"/>
  <c r="BZ207" i="15" s="1"/>
  <c r="BX223" i="15"/>
  <c r="BY223" i="15" s="1"/>
  <c r="BZ223" i="15" s="1"/>
  <c r="BX12" i="15"/>
  <c r="BY12" i="15" s="1"/>
  <c r="BZ12" i="15" s="1"/>
  <c r="BX28" i="15"/>
  <c r="BY28" i="15" s="1"/>
  <c r="BZ28" i="15" s="1"/>
  <c r="BX44" i="15"/>
  <c r="BY44" i="15" s="1"/>
  <c r="BZ44" i="15" s="1"/>
  <c r="BX60" i="15"/>
  <c r="BY60" i="15" s="1"/>
  <c r="BZ60" i="15" s="1"/>
  <c r="BX76" i="15"/>
  <c r="BY76" i="15" s="1"/>
  <c r="BZ76" i="15" s="1"/>
  <c r="BX92" i="15"/>
  <c r="BY92" i="15" s="1"/>
  <c r="BZ92" i="15" s="1"/>
  <c r="BX108" i="15"/>
  <c r="BY108" i="15" s="1"/>
  <c r="BZ108" i="15" s="1"/>
  <c r="BX124" i="15"/>
  <c r="BY124" i="15" s="1"/>
  <c r="BZ124" i="15" s="1"/>
  <c r="BX140" i="15"/>
  <c r="BY140" i="15" s="1"/>
  <c r="BZ140" i="15" s="1"/>
  <c r="BX156" i="15"/>
  <c r="BY156" i="15" s="1"/>
  <c r="BZ156" i="15" s="1"/>
  <c r="BX172" i="15"/>
  <c r="BY172" i="15" s="1"/>
  <c r="BZ172" i="15" s="1"/>
  <c r="BX188" i="15"/>
  <c r="BY188" i="15" s="1"/>
  <c r="BZ188" i="15" s="1"/>
  <c r="BX204" i="15"/>
  <c r="BY204" i="15" s="1"/>
  <c r="BZ204" i="15" s="1"/>
  <c r="BX220" i="15"/>
  <c r="BY220" i="15" s="1"/>
  <c r="BZ220" i="15" s="1"/>
  <c r="BX37" i="15"/>
  <c r="BY37" i="15" s="1"/>
  <c r="BZ37" i="15" s="1"/>
  <c r="BX101" i="15"/>
  <c r="BY101" i="15" s="1"/>
  <c r="BZ101" i="15" s="1"/>
  <c r="BX165" i="15"/>
  <c r="BY165" i="15" s="1"/>
  <c r="BZ165" i="15" s="1"/>
  <c r="BX9" i="15"/>
  <c r="BY9" i="15" s="1"/>
  <c r="BZ9" i="15" s="1"/>
  <c r="BX73" i="15"/>
  <c r="BY73" i="15" s="1"/>
  <c r="BZ73" i="15" s="1"/>
  <c r="BX137" i="15"/>
  <c r="BY137" i="15" s="1"/>
  <c r="BZ137" i="15" s="1"/>
  <c r="BX201" i="15"/>
  <c r="BY201" i="15" s="1"/>
  <c r="BZ201" i="15" s="1"/>
  <c r="BX29" i="15"/>
  <c r="BY29" i="15" s="1"/>
  <c r="BZ29" i="15" s="1"/>
  <c r="BX93" i="15"/>
  <c r="BY93" i="15" s="1"/>
  <c r="BZ93" i="15" s="1"/>
  <c r="BX157" i="15"/>
  <c r="BY157" i="15" s="1"/>
  <c r="BZ157" i="15" s="1"/>
  <c r="BX221" i="15"/>
  <c r="BY221" i="15" s="1"/>
  <c r="BZ221" i="15" s="1"/>
  <c r="BX209" i="15"/>
  <c r="BY209" i="15" s="1"/>
  <c r="BZ209" i="15" s="1"/>
  <c r="BX97" i="15"/>
  <c r="BY97" i="15" s="1"/>
  <c r="BZ97" i="15" s="1"/>
  <c r="BX113" i="15"/>
  <c r="BY113" i="15" s="1"/>
  <c r="BZ113" i="15" s="1"/>
  <c r="BX6" i="15"/>
  <c r="BY6" i="15" s="1"/>
  <c r="BZ6" i="15" s="1"/>
  <c r="BX22" i="15"/>
  <c r="BY22" i="15" s="1"/>
  <c r="BZ22" i="15" s="1"/>
  <c r="BX38" i="15"/>
  <c r="BY38" i="15" s="1"/>
  <c r="BZ38" i="15" s="1"/>
  <c r="BX54" i="15"/>
  <c r="BY54" i="15" s="1"/>
  <c r="BZ54" i="15" s="1"/>
  <c r="BX70" i="15"/>
  <c r="BY70" i="15" s="1"/>
  <c r="BZ70" i="15" s="1"/>
  <c r="BX86" i="15"/>
  <c r="BY86" i="15" s="1"/>
  <c r="BZ86" i="15" s="1"/>
  <c r="BX102" i="15"/>
  <c r="BY102" i="15" s="1"/>
  <c r="BZ102" i="15" s="1"/>
  <c r="BX118" i="15"/>
  <c r="BY118" i="15" s="1"/>
  <c r="BZ118" i="15" s="1"/>
  <c r="BX134" i="15"/>
  <c r="BY134" i="15" s="1"/>
  <c r="BZ134" i="15" s="1"/>
  <c r="BX150" i="15"/>
  <c r="BY150" i="15" s="1"/>
  <c r="BZ150" i="15" s="1"/>
  <c r="BX166" i="15"/>
  <c r="BY166" i="15" s="1"/>
  <c r="BZ166" i="15" s="1"/>
  <c r="BX182" i="15"/>
  <c r="BY182" i="15" s="1"/>
  <c r="BZ182" i="15" s="1"/>
  <c r="BX198" i="15"/>
  <c r="BY198" i="15" s="1"/>
  <c r="BZ198" i="15" s="1"/>
  <c r="BX214" i="15"/>
  <c r="BY214" i="15" s="1"/>
  <c r="BZ214" i="15" s="1"/>
  <c r="BX3" i="15"/>
  <c r="BY3" i="15" s="1"/>
  <c r="BZ3" i="15" s="1"/>
  <c r="BX19" i="15"/>
  <c r="BY19" i="15" s="1"/>
  <c r="BZ19" i="15" s="1"/>
  <c r="BX35" i="15"/>
  <c r="BY35" i="15" s="1"/>
  <c r="BZ35" i="15" s="1"/>
  <c r="BX51" i="15"/>
  <c r="BY51" i="15" s="1"/>
  <c r="BZ51" i="15" s="1"/>
  <c r="BX67" i="15"/>
  <c r="BY67" i="15" s="1"/>
  <c r="BZ67" i="15" s="1"/>
  <c r="BX83" i="15"/>
  <c r="BY83" i="15" s="1"/>
  <c r="BZ83" i="15" s="1"/>
  <c r="BX99" i="15"/>
  <c r="BY99" i="15" s="1"/>
  <c r="BZ99" i="15" s="1"/>
  <c r="BX115" i="15"/>
  <c r="BY115" i="15" s="1"/>
  <c r="BZ115" i="15" s="1"/>
  <c r="BX131" i="15"/>
  <c r="BY131" i="15" s="1"/>
  <c r="BZ131" i="15" s="1"/>
  <c r="BX147" i="15"/>
  <c r="BY147" i="15" s="1"/>
  <c r="BZ147" i="15" s="1"/>
  <c r="BX163" i="15"/>
  <c r="BY163" i="15" s="1"/>
  <c r="BZ163" i="15" s="1"/>
  <c r="BX179" i="15"/>
  <c r="BY179" i="15" s="1"/>
  <c r="BZ179" i="15" s="1"/>
  <c r="BX195" i="15"/>
  <c r="BY195" i="15" s="1"/>
  <c r="BZ195" i="15" s="1"/>
  <c r="BX211" i="15"/>
  <c r="BY211" i="15" s="1"/>
  <c r="BZ211" i="15" s="1"/>
  <c r="BX227" i="15"/>
  <c r="BY227" i="15" s="1"/>
  <c r="BZ227" i="15" s="1"/>
  <c r="BX16" i="15"/>
  <c r="BY16" i="15" s="1"/>
  <c r="BZ16" i="15" s="1"/>
  <c r="BX32" i="15"/>
  <c r="BY32" i="15" s="1"/>
  <c r="BZ32" i="15" s="1"/>
  <c r="BX48" i="15"/>
  <c r="BY48" i="15" s="1"/>
  <c r="BZ48" i="15" s="1"/>
  <c r="BX64" i="15"/>
  <c r="BY64" i="15" s="1"/>
  <c r="BZ64" i="15" s="1"/>
  <c r="BX80" i="15"/>
  <c r="BY80" i="15" s="1"/>
  <c r="BZ80" i="15" s="1"/>
  <c r="BX96" i="15"/>
  <c r="BY96" i="15" s="1"/>
  <c r="BZ96" i="15" s="1"/>
  <c r="BX112" i="15"/>
  <c r="BY112" i="15" s="1"/>
  <c r="BZ112" i="15" s="1"/>
  <c r="BX128" i="15"/>
  <c r="BY128" i="15" s="1"/>
  <c r="BZ128" i="15" s="1"/>
  <c r="BX144" i="15"/>
  <c r="BY144" i="15" s="1"/>
  <c r="BZ144" i="15" s="1"/>
  <c r="BX160" i="15"/>
  <c r="BY160" i="15" s="1"/>
  <c r="BZ160" i="15" s="1"/>
  <c r="BX176" i="15"/>
  <c r="BY176" i="15" s="1"/>
  <c r="BZ176" i="15" s="1"/>
  <c r="BX192" i="15"/>
  <c r="BY192" i="15" s="1"/>
  <c r="BZ192" i="15" s="1"/>
  <c r="BX208" i="15"/>
  <c r="BY208" i="15" s="1"/>
  <c r="BZ208" i="15" s="1"/>
  <c r="BX224" i="15"/>
  <c r="BY224" i="15" s="1"/>
  <c r="BZ224" i="15" s="1"/>
  <c r="BX53" i="15"/>
  <c r="BY53" i="15" s="1"/>
  <c r="BZ53" i="15" s="1"/>
  <c r="BX117" i="15"/>
  <c r="BY117" i="15" s="1"/>
  <c r="BZ117" i="15" s="1"/>
  <c r="BX181" i="15"/>
  <c r="BY181" i="15" s="1"/>
  <c r="BZ181" i="15" s="1"/>
  <c r="BX25" i="15"/>
  <c r="BY25" i="15" s="1"/>
  <c r="BZ25" i="15" s="1"/>
  <c r="BX89" i="15"/>
  <c r="BY89" i="15" s="1"/>
  <c r="BZ89" i="15" s="1"/>
  <c r="BX153" i="15"/>
  <c r="BY153" i="15" s="1"/>
  <c r="BZ153" i="15" s="1"/>
  <c r="BX217" i="15"/>
  <c r="BY217" i="15" s="1"/>
  <c r="BZ217" i="15" s="1"/>
  <c r="BX45" i="15"/>
  <c r="BY45" i="15" s="1"/>
  <c r="BZ45" i="15" s="1"/>
  <c r="BX109" i="15"/>
  <c r="BY109" i="15" s="1"/>
  <c r="BZ109" i="15" s="1"/>
  <c r="BX173" i="15"/>
  <c r="BY173" i="15" s="1"/>
  <c r="BZ173" i="15" s="1"/>
  <c r="BX17" i="15"/>
  <c r="BY17" i="15" s="1"/>
  <c r="BZ17" i="15" s="1"/>
  <c r="BX65" i="15"/>
  <c r="BY65" i="15" s="1"/>
  <c r="BZ65" i="15" s="1"/>
  <c r="BX161" i="15"/>
  <c r="BY161" i="15" s="1"/>
  <c r="BZ161" i="15" s="1"/>
  <c r="BX177" i="15"/>
  <c r="BY177" i="15" s="1"/>
  <c r="BZ177" i="15" s="1"/>
  <c r="C11" i="4"/>
  <c r="D10" i="15"/>
  <c r="E10" i="15" s="1"/>
  <c r="F10" i="15" s="1"/>
  <c r="D26" i="15"/>
  <c r="E26" i="15" s="1"/>
  <c r="F26" i="15" s="1"/>
  <c r="D42" i="15"/>
  <c r="E42" i="15" s="1"/>
  <c r="F42" i="15" s="1"/>
  <c r="D58" i="15"/>
  <c r="E58" i="15" s="1"/>
  <c r="F58" i="15" s="1"/>
  <c r="D74" i="15"/>
  <c r="E74" i="15" s="1"/>
  <c r="F74" i="15" s="1"/>
  <c r="D90" i="15"/>
  <c r="E90" i="15" s="1"/>
  <c r="F90" i="15" s="1"/>
  <c r="D106" i="15"/>
  <c r="E106" i="15" s="1"/>
  <c r="F106" i="15" s="1"/>
  <c r="D122" i="15"/>
  <c r="E122" i="15" s="1"/>
  <c r="F122" i="15" s="1"/>
  <c r="D138" i="15"/>
  <c r="E138" i="15" s="1"/>
  <c r="F138" i="15" s="1"/>
  <c r="D154" i="15"/>
  <c r="E154" i="15" s="1"/>
  <c r="F154" i="15" s="1"/>
  <c r="D170" i="15"/>
  <c r="E170" i="15" s="1"/>
  <c r="F170" i="15" s="1"/>
  <c r="D186" i="15"/>
  <c r="E186" i="15" s="1"/>
  <c r="F186" i="15" s="1"/>
  <c r="D202" i="15"/>
  <c r="E202" i="15" s="1"/>
  <c r="F202" i="15" s="1"/>
  <c r="D218" i="15"/>
  <c r="E218" i="15" s="1"/>
  <c r="F218" i="15" s="1"/>
  <c r="D7" i="15"/>
  <c r="E7" i="15" s="1"/>
  <c r="F7" i="15" s="1"/>
  <c r="D23" i="15"/>
  <c r="E23" i="15" s="1"/>
  <c r="F23" i="15" s="1"/>
  <c r="D39" i="15"/>
  <c r="E39" i="15" s="1"/>
  <c r="F39" i="15" s="1"/>
  <c r="D55" i="15"/>
  <c r="E55" i="15" s="1"/>
  <c r="F55" i="15" s="1"/>
  <c r="D71" i="15"/>
  <c r="E71" i="15" s="1"/>
  <c r="F71" i="15" s="1"/>
  <c r="D87" i="15"/>
  <c r="E87" i="15" s="1"/>
  <c r="F87" i="15" s="1"/>
  <c r="D103" i="15"/>
  <c r="E103" i="15" s="1"/>
  <c r="F103" i="15" s="1"/>
  <c r="D119" i="15"/>
  <c r="E119" i="15" s="1"/>
  <c r="F119" i="15" s="1"/>
  <c r="D135" i="15"/>
  <c r="E135" i="15" s="1"/>
  <c r="F135" i="15" s="1"/>
  <c r="D151" i="15"/>
  <c r="E151" i="15" s="1"/>
  <c r="F151" i="15" s="1"/>
  <c r="D167" i="15"/>
  <c r="E167" i="15" s="1"/>
  <c r="F167" i="15" s="1"/>
  <c r="D183" i="15"/>
  <c r="E183" i="15" s="1"/>
  <c r="F183" i="15" s="1"/>
  <c r="D199" i="15"/>
  <c r="E199" i="15" s="1"/>
  <c r="F199" i="15" s="1"/>
  <c r="D215" i="15"/>
  <c r="E215" i="15" s="1"/>
  <c r="F215" i="15" s="1"/>
  <c r="D14" i="15"/>
  <c r="E14" i="15" s="1"/>
  <c r="F14" i="15" s="1"/>
  <c r="D30" i="15"/>
  <c r="E30" i="15" s="1"/>
  <c r="F30" i="15" s="1"/>
  <c r="D46" i="15"/>
  <c r="E46" i="15" s="1"/>
  <c r="F46" i="15" s="1"/>
  <c r="D62" i="15"/>
  <c r="E62" i="15" s="1"/>
  <c r="F62" i="15" s="1"/>
  <c r="D78" i="15"/>
  <c r="E78" i="15" s="1"/>
  <c r="F78" i="15" s="1"/>
  <c r="D94" i="15"/>
  <c r="E94" i="15" s="1"/>
  <c r="F94" i="15" s="1"/>
  <c r="D110" i="15"/>
  <c r="E110" i="15" s="1"/>
  <c r="F110" i="15" s="1"/>
  <c r="D126" i="15"/>
  <c r="E126" i="15" s="1"/>
  <c r="F126" i="15" s="1"/>
  <c r="D142" i="15"/>
  <c r="E142" i="15" s="1"/>
  <c r="F142" i="15" s="1"/>
  <c r="D158" i="15"/>
  <c r="E158" i="15" s="1"/>
  <c r="F158" i="15" s="1"/>
  <c r="D174" i="15"/>
  <c r="E174" i="15" s="1"/>
  <c r="F174" i="15" s="1"/>
  <c r="D190" i="15"/>
  <c r="E190" i="15" s="1"/>
  <c r="F190" i="15" s="1"/>
  <c r="D206" i="15"/>
  <c r="E206" i="15" s="1"/>
  <c r="F206" i="15" s="1"/>
  <c r="D222" i="15"/>
  <c r="E222" i="15" s="1"/>
  <c r="F222" i="15" s="1"/>
  <c r="D11" i="15"/>
  <c r="E11" i="15" s="1"/>
  <c r="F11" i="15" s="1"/>
  <c r="D27" i="15"/>
  <c r="E27" i="15" s="1"/>
  <c r="F27" i="15" s="1"/>
  <c r="D43" i="15"/>
  <c r="E43" i="15" s="1"/>
  <c r="F43" i="15" s="1"/>
  <c r="D59" i="15"/>
  <c r="E59" i="15" s="1"/>
  <c r="F59" i="15" s="1"/>
  <c r="D75" i="15"/>
  <c r="E75" i="15" s="1"/>
  <c r="F75" i="15" s="1"/>
  <c r="D91" i="15"/>
  <c r="E91" i="15" s="1"/>
  <c r="F91" i="15" s="1"/>
  <c r="D107" i="15"/>
  <c r="E107" i="15" s="1"/>
  <c r="F107" i="15" s="1"/>
  <c r="D123" i="15"/>
  <c r="E123" i="15" s="1"/>
  <c r="F123" i="15" s="1"/>
  <c r="D139" i="15"/>
  <c r="E139" i="15" s="1"/>
  <c r="F139" i="15" s="1"/>
  <c r="D155" i="15"/>
  <c r="E155" i="15" s="1"/>
  <c r="F155" i="15" s="1"/>
  <c r="D171" i="15"/>
  <c r="E171" i="15" s="1"/>
  <c r="F171" i="15" s="1"/>
  <c r="D187" i="15"/>
  <c r="E187" i="15" s="1"/>
  <c r="F187" i="15" s="1"/>
  <c r="D203" i="15"/>
  <c r="E203" i="15" s="1"/>
  <c r="F203" i="15" s="1"/>
  <c r="D2" i="15"/>
  <c r="E2" i="15" s="1"/>
  <c r="D18" i="15"/>
  <c r="E18" i="15" s="1"/>
  <c r="F18" i="15" s="1"/>
  <c r="D34" i="15"/>
  <c r="E34" i="15" s="1"/>
  <c r="F34" i="15" s="1"/>
  <c r="D50" i="15"/>
  <c r="E50" i="15" s="1"/>
  <c r="F50" i="15" s="1"/>
  <c r="D66" i="15"/>
  <c r="E66" i="15" s="1"/>
  <c r="F66" i="15" s="1"/>
  <c r="D82" i="15"/>
  <c r="E82" i="15" s="1"/>
  <c r="F82" i="15" s="1"/>
  <c r="D98" i="15"/>
  <c r="E98" i="15" s="1"/>
  <c r="F98" i="15" s="1"/>
  <c r="D114" i="15"/>
  <c r="E114" i="15" s="1"/>
  <c r="F114" i="15" s="1"/>
  <c r="D130" i="15"/>
  <c r="E130" i="15" s="1"/>
  <c r="F130" i="15" s="1"/>
  <c r="D146" i="15"/>
  <c r="E146" i="15" s="1"/>
  <c r="F146" i="15" s="1"/>
  <c r="D162" i="15"/>
  <c r="E162" i="15" s="1"/>
  <c r="F162" i="15" s="1"/>
  <c r="D178" i="15"/>
  <c r="E178" i="15" s="1"/>
  <c r="F178" i="15" s="1"/>
  <c r="D194" i="15"/>
  <c r="E194" i="15" s="1"/>
  <c r="F194" i="15" s="1"/>
  <c r="D210" i="15"/>
  <c r="E210" i="15" s="1"/>
  <c r="F210" i="15" s="1"/>
  <c r="D226" i="15"/>
  <c r="E226" i="15" s="1"/>
  <c r="F226" i="15" s="1"/>
  <c r="D15" i="15"/>
  <c r="E15" i="15" s="1"/>
  <c r="F15" i="15" s="1"/>
  <c r="D31" i="15"/>
  <c r="E31" i="15" s="1"/>
  <c r="F31" i="15" s="1"/>
  <c r="D47" i="15"/>
  <c r="E47" i="15" s="1"/>
  <c r="F47" i="15" s="1"/>
  <c r="D63" i="15"/>
  <c r="E63" i="15" s="1"/>
  <c r="F63" i="15" s="1"/>
  <c r="D79" i="15"/>
  <c r="E79" i="15" s="1"/>
  <c r="F79" i="15" s="1"/>
  <c r="D95" i="15"/>
  <c r="E95" i="15" s="1"/>
  <c r="F95" i="15" s="1"/>
  <c r="D111" i="15"/>
  <c r="E111" i="15" s="1"/>
  <c r="F111" i="15" s="1"/>
  <c r="D127" i="15"/>
  <c r="E127" i="15" s="1"/>
  <c r="F127" i="15" s="1"/>
  <c r="D143" i="15"/>
  <c r="E143" i="15" s="1"/>
  <c r="F143" i="15" s="1"/>
  <c r="D54" i="15"/>
  <c r="E54" i="15" s="1"/>
  <c r="F54" i="15" s="1"/>
  <c r="D118" i="15"/>
  <c r="E118" i="15" s="1"/>
  <c r="F118" i="15" s="1"/>
  <c r="D182" i="15"/>
  <c r="E182" i="15" s="1"/>
  <c r="F182" i="15" s="1"/>
  <c r="D19" i="15"/>
  <c r="E19" i="15" s="1"/>
  <c r="F19" i="15" s="1"/>
  <c r="D83" i="15"/>
  <c r="E83" i="15" s="1"/>
  <c r="F83" i="15" s="1"/>
  <c r="D147" i="15"/>
  <c r="E147" i="15" s="1"/>
  <c r="F147" i="15" s="1"/>
  <c r="D179" i="15"/>
  <c r="E179" i="15" s="1"/>
  <c r="F179" i="15" s="1"/>
  <c r="D211" i="15"/>
  <c r="E211" i="15" s="1"/>
  <c r="F211" i="15" s="1"/>
  <c r="D4" i="15"/>
  <c r="E4" i="15" s="1"/>
  <c r="F4" i="15" s="1"/>
  <c r="D20" i="15"/>
  <c r="E20" i="15" s="1"/>
  <c r="F20" i="15" s="1"/>
  <c r="D36" i="15"/>
  <c r="E36" i="15" s="1"/>
  <c r="F36" i="15" s="1"/>
  <c r="D52" i="15"/>
  <c r="E52" i="15" s="1"/>
  <c r="F52" i="15" s="1"/>
  <c r="D68" i="15"/>
  <c r="E68" i="15" s="1"/>
  <c r="F68" i="15" s="1"/>
  <c r="D84" i="15"/>
  <c r="E84" i="15" s="1"/>
  <c r="F84" i="15" s="1"/>
  <c r="D100" i="15"/>
  <c r="E100" i="15" s="1"/>
  <c r="F100" i="15" s="1"/>
  <c r="D116" i="15"/>
  <c r="E116" i="15" s="1"/>
  <c r="F116" i="15" s="1"/>
  <c r="D132" i="15"/>
  <c r="E132" i="15" s="1"/>
  <c r="F132" i="15" s="1"/>
  <c r="D148" i="15"/>
  <c r="E148" i="15" s="1"/>
  <c r="F148" i="15" s="1"/>
  <c r="D164" i="15"/>
  <c r="E164" i="15" s="1"/>
  <c r="F164" i="15" s="1"/>
  <c r="D180" i="15"/>
  <c r="E180" i="15" s="1"/>
  <c r="F180" i="15" s="1"/>
  <c r="D196" i="15"/>
  <c r="E196" i="15" s="1"/>
  <c r="F196" i="15" s="1"/>
  <c r="D212" i="15"/>
  <c r="E212" i="15" s="1"/>
  <c r="F212" i="15" s="1"/>
  <c r="D9" i="15"/>
  <c r="E9" i="15" s="1"/>
  <c r="F9" i="15" s="1"/>
  <c r="D73" i="15"/>
  <c r="E73" i="15" s="1"/>
  <c r="F73" i="15" s="1"/>
  <c r="D137" i="15"/>
  <c r="E137" i="15" s="1"/>
  <c r="F137" i="15" s="1"/>
  <c r="D201" i="15"/>
  <c r="E201" i="15" s="1"/>
  <c r="F201" i="15" s="1"/>
  <c r="D45" i="15"/>
  <c r="E45" i="15" s="1"/>
  <c r="F45" i="15" s="1"/>
  <c r="D109" i="15"/>
  <c r="E109" i="15" s="1"/>
  <c r="F109" i="15" s="1"/>
  <c r="D173" i="15"/>
  <c r="E173" i="15" s="1"/>
  <c r="F173" i="15" s="1"/>
  <c r="D17" i="15"/>
  <c r="E17" i="15" s="1"/>
  <c r="F17" i="15" s="1"/>
  <c r="D81" i="15"/>
  <c r="E81" i="15" s="1"/>
  <c r="F81" i="15" s="1"/>
  <c r="D145" i="15"/>
  <c r="E145" i="15" s="1"/>
  <c r="F145" i="15" s="1"/>
  <c r="D209" i="15"/>
  <c r="E209" i="15" s="1"/>
  <c r="F209" i="15" s="1"/>
  <c r="D165" i="15"/>
  <c r="E165" i="15" s="1"/>
  <c r="F165" i="15" s="1"/>
  <c r="D117" i="15"/>
  <c r="E117" i="15" s="1"/>
  <c r="F117" i="15" s="1"/>
  <c r="D69" i="15"/>
  <c r="E69" i="15" s="1"/>
  <c r="F69" i="15" s="1"/>
  <c r="D6" i="15"/>
  <c r="E6" i="15" s="1"/>
  <c r="F6" i="15" s="1"/>
  <c r="D70" i="15"/>
  <c r="E70" i="15" s="1"/>
  <c r="F70" i="15" s="1"/>
  <c r="D134" i="15"/>
  <c r="E134" i="15" s="1"/>
  <c r="F134" i="15" s="1"/>
  <c r="D198" i="15"/>
  <c r="E198" i="15" s="1"/>
  <c r="F198" i="15" s="1"/>
  <c r="D35" i="15"/>
  <c r="E35" i="15" s="1"/>
  <c r="F35" i="15" s="1"/>
  <c r="D99" i="15"/>
  <c r="E99" i="15" s="1"/>
  <c r="F99" i="15" s="1"/>
  <c r="D159" i="15"/>
  <c r="E159" i="15" s="1"/>
  <c r="F159" i="15" s="1"/>
  <c r="D191" i="15"/>
  <c r="E191" i="15" s="1"/>
  <c r="F191" i="15" s="1"/>
  <c r="D219" i="15"/>
  <c r="E219" i="15" s="1"/>
  <c r="F219" i="15" s="1"/>
  <c r="D8" i="15"/>
  <c r="E8" i="15" s="1"/>
  <c r="F8" i="15" s="1"/>
  <c r="D24" i="15"/>
  <c r="E24" i="15" s="1"/>
  <c r="F24" i="15" s="1"/>
  <c r="D40" i="15"/>
  <c r="E40" i="15" s="1"/>
  <c r="F40" i="15" s="1"/>
  <c r="D56" i="15"/>
  <c r="E56" i="15" s="1"/>
  <c r="F56" i="15" s="1"/>
  <c r="D72" i="15"/>
  <c r="E72" i="15" s="1"/>
  <c r="F72" i="15" s="1"/>
  <c r="D88" i="15"/>
  <c r="E88" i="15" s="1"/>
  <c r="F88" i="15" s="1"/>
  <c r="D104" i="15"/>
  <c r="E104" i="15" s="1"/>
  <c r="F104" i="15" s="1"/>
  <c r="D120" i="15"/>
  <c r="E120" i="15" s="1"/>
  <c r="F120" i="15" s="1"/>
  <c r="D136" i="15"/>
  <c r="E136" i="15" s="1"/>
  <c r="F136" i="15" s="1"/>
  <c r="D152" i="15"/>
  <c r="E152" i="15" s="1"/>
  <c r="F152" i="15" s="1"/>
  <c r="D168" i="15"/>
  <c r="E168" i="15" s="1"/>
  <c r="F168" i="15" s="1"/>
  <c r="D184" i="15"/>
  <c r="E184" i="15" s="1"/>
  <c r="F184" i="15" s="1"/>
  <c r="D200" i="15"/>
  <c r="E200" i="15" s="1"/>
  <c r="F200" i="15" s="1"/>
  <c r="D216" i="15"/>
  <c r="E216" i="15" s="1"/>
  <c r="F216" i="15" s="1"/>
  <c r="D25" i="15"/>
  <c r="E25" i="15" s="1"/>
  <c r="F25" i="15" s="1"/>
  <c r="D89" i="15"/>
  <c r="E89" i="15" s="1"/>
  <c r="F89" i="15" s="1"/>
  <c r="D153" i="15"/>
  <c r="E153" i="15" s="1"/>
  <c r="F153" i="15" s="1"/>
  <c r="D217" i="15"/>
  <c r="E217" i="15" s="1"/>
  <c r="F217" i="15" s="1"/>
  <c r="D61" i="15"/>
  <c r="E61" i="15" s="1"/>
  <c r="F61" i="15" s="1"/>
  <c r="D125" i="15"/>
  <c r="E125" i="15" s="1"/>
  <c r="F125" i="15" s="1"/>
  <c r="D189" i="15"/>
  <c r="E189" i="15" s="1"/>
  <c r="F189" i="15" s="1"/>
  <c r="D33" i="15"/>
  <c r="E33" i="15" s="1"/>
  <c r="F33" i="15" s="1"/>
  <c r="D97" i="15"/>
  <c r="E97" i="15" s="1"/>
  <c r="F97" i="15" s="1"/>
  <c r="D161" i="15"/>
  <c r="E161" i="15" s="1"/>
  <c r="F161" i="15" s="1"/>
  <c r="D225" i="15"/>
  <c r="E225" i="15" s="1"/>
  <c r="F225" i="15" s="1"/>
  <c r="D85" i="15"/>
  <c r="E85" i="15" s="1"/>
  <c r="F85" i="15" s="1"/>
  <c r="D181" i="15"/>
  <c r="E181" i="15" s="1"/>
  <c r="F181" i="15" s="1"/>
  <c r="D133" i="15"/>
  <c r="E133" i="15" s="1"/>
  <c r="F133" i="15" s="1"/>
  <c r="D22" i="15"/>
  <c r="E22" i="15" s="1"/>
  <c r="F22" i="15" s="1"/>
  <c r="D86" i="15"/>
  <c r="E86" i="15" s="1"/>
  <c r="F86" i="15" s="1"/>
  <c r="D150" i="15"/>
  <c r="E150" i="15" s="1"/>
  <c r="F150" i="15" s="1"/>
  <c r="D214" i="15"/>
  <c r="E214" i="15" s="1"/>
  <c r="F214" i="15" s="1"/>
  <c r="D51" i="15"/>
  <c r="E51" i="15" s="1"/>
  <c r="F51" i="15" s="1"/>
  <c r="D115" i="15"/>
  <c r="E115" i="15" s="1"/>
  <c r="F115" i="15" s="1"/>
  <c r="D163" i="15"/>
  <c r="E163" i="15" s="1"/>
  <c r="F163" i="15" s="1"/>
  <c r="D195" i="15"/>
  <c r="E195" i="15" s="1"/>
  <c r="F195" i="15" s="1"/>
  <c r="D223" i="15"/>
  <c r="E223" i="15" s="1"/>
  <c r="F223" i="15" s="1"/>
  <c r="D12" i="15"/>
  <c r="E12" i="15" s="1"/>
  <c r="F12" i="15" s="1"/>
  <c r="D28" i="15"/>
  <c r="E28" i="15" s="1"/>
  <c r="F28" i="15" s="1"/>
  <c r="D44" i="15"/>
  <c r="E44" i="15" s="1"/>
  <c r="F44" i="15" s="1"/>
  <c r="D60" i="15"/>
  <c r="E60" i="15" s="1"/>
  <c r="F60" i="15" s="1"/>
  <c r="D76" i="15"/>
  <c r="E76" i="15" s="1"/>
  <c r="F76" i="15" s="1"/>
  <c r="D92" i="15"/>
  <c r="E92" i="15" s="1"/>
  <c r="F92" i="15" s="1"/>
  <c r="D108" i="15"/>
  <c r="E108" i="15" s="1"/>
  <c r="F108" i="15" s="1"/>
  <c r="D124" i="15"/>
  <c r="E124" i="15" s="1"/>
  <c r="F124" i="15" s="1"/>
  <c r="D140" i="15"/>
  <c r="E140" i="15" s="1"/>
  <c r="F140" i="15" s="1"/>
  <c r="D156" i="15"/>
  <c r="E156" i="15" s="1"/>
  <c r="F156" i="15" s="1"/>
  <c r="D172" i="15"/>
  <c r="E172" i="15" s="1"/>
  <c r="F172" i="15" s="1"/>
  <c r="D188" i="15"/>
  <c r="E188" i="15" s="1"/>
  <c r="F188" i="15" s="1"/>
  <c r="D204" i="15"/>
  <c r="E204" i="15" s="1"/>
  <c r="F204" i="15" s="1"/>
  <c r="D220" i="15"/>
  <c r="E220" i="15" s="1"/>
  <c r="F220" i="15" s="1"/>
  <c r="D41" i="15"/>
  <c r="E41" i="15" s="1"/>
  <c r="F41" i="15" s="1"/>
  <c r="D105" i="15"/>
  <c r="E105" i="15" s="1"/>
  <c r="F105" i="15" s="1"/>
  <c r="D169" i="15"/>
  <c r="E169" i="15" s="1"/>
  <c r="F169" i="15" s="1"/>
  <c r="D13" i="15"/>
  <c r="E13" i="15" s="1"/>
  <c r="F13" i="15" s="1"/>
  <c r="D77" i="15"/>
  <c r="E77" i="15" s="1"/>
  <c r="F77" i="15" s="1"/>
  <c r="D141" i="15"/>
  <c r="E141" i="15" s="1"/>
  <c r="F141" i="15" s="1"/>
  <c r="D205" i="15"/>
  <c r="E205" i="15" s="1"/>
  <c r="F205" i="15" s="1"/>
  <c r="D49" i="15"/>
  <c r="E49" i="15" s="1"/>
  <c r="F49" i="15" s="1"/>
  <c r="D113" i="15"/>
  <c r="E113" i="15" s="1"/>
  <c r="F113" i="15" s="1"/>
  <c r="D177" i="15"/>
  <c r="E177" i="15" s="1"/>
  <c r="F177" i="15" s="1"/>
  <c r="D37" i="15"/>
  <c r="E37" i="15" s="1"/>
  <c r="F37" i="15" s="1"/>
  <c r="D213" i="15"/>
  <c r="E213" i="15" s="1"/>
  <c r="F213" i="15" s="1"/>
  <c r="D21" i="15"/>
  <c r="E21" i="15" s="1"/>
  <c r="F21" i="15" s="1"/>
  <c r="D197" i="15"/>
  <c r="E197" i="15" s="1"/>
  <c r="F197" i="15" s="1"/>
  <c r="BC11" i="15"/>
  <c r="BD11" i="15" s="1"/>
  <c r="BE11" i="15" s="1"/>
  <c r="BC40" i="15"/>
  <c r="BD40" i="15" s="1"/>
  <c r="BE40" i="15" s="1"/>
  <c r="BC109" i="15"/>
  <c r="BD109" i="15" s="1"/>
  <c r="BE109" i="15" s="1"/>
  <c r="BC46" i="15"/>
  <c r="BD46" i="15" s="1"/>
  <c r="BE46" i="15" s="1"/>
  <c r="BC75" i="15"/>
  <c r="BD75" i="15" s="1"/>
  <c r="BE75" i="15" s="1"/>
  <c r="BC104" i="15"/>
  <c r="BD104" i="15" s="1"/>
  <c r="BE104" i="15" s="1"/>
  <c r="BC213" i="15"/>
  <c r="BD213" i="15" s="1"/>
  <c r="BE213" i="15" s="1"/>
  <c r="BC110" i="15"/>
  <c r="BD110" i="15" s="1"/>
  <c r="BE110" i="15" s="1"/>
  <c r="BC139" i="15"/>
  <c r="BD139" i="15" s="1"/>
  <c r="BE139" i="15" s="1"/>
  <c r="BC168" i="15"/>
  <c r="BD168" i="15" s="1"/>
  <c r="BE168" i="15" s="1"/>
  <c r="BC169" i="15"/>
  <c r="BD169" i="15" s="1"/>
  <c r="BE169" i="15" s="1"/>
  <c r="BC203" i="15"/>
  <c r="BD203" i="15" s="1"/>
  <c r="BE203" i="15" s="1"/>
  <c r="BC17" i="15"/>
  <c r="BD17" i="15" s="1"/>
  <c r="BE17" i="15" s="1"/>
  <c r="X30" i="4"/>
  <c r="EI18" i="15"/>
  <c r="EJ18" i="15" s="1"/>
  <c r="EK18" i="15" s="1"/>
  <c r="EI34" i="15"/>
  <c r="EJ34" i="15" s="1"/>
  <c r="EK34" i="15" s="1"/>
  <c r="EI50" i="15"/>
  <c r="EJ50" i="15" s="1"/>
  <c r="EK50" i="15" s="1"/>
  <c r="EI66" i="15"/>
  <c r="EJ66" i="15" s="1"/>
  <c r="EK66" i="15" s="1"/>
  <c r="EI82" i="15"/>
  <c r="EJ82" i="15" s="1"/>
  <c r="EK82" i="15" s="1"/>
  <c r="EI98" i="15"/>
  <c r="EJ98" i="15" s="1"/>
  <c r="EK98" i="15" s="1"/>
  <c r="EI7" i="15"/>
  <c r="EJ7" i="15" s="1"/>
  <c r="EK7" i="15" s="1"/>
  <c r="EI23" i="15"/>
  <c r="EJ23" i="15" s="1"/>
  <c r="EK23" i="15" s="1"/>
  <c r="EI39" i="15"/>
  <c r="EJ39" i="15" s="1"/>
  <c r="EK39" i="15" s="1"/>
  <c r="EI12" i="15"/>
  <c r="EJ12" i="15" s="1"/>
  <c r="EK12" i="15" s="1"/>
  <c r="EI44" i="15"/>
  <c r="EJ44" i="15" s="1"/>
  <c r="EK44" i="15" s="1"/>
  <c r="EI67" i="15"/>
  <c r="EJ67" i="15" s="1"/>
  <c r="EK67" i="15" s="1"/>
  <c r="EI88" i="15"/>
  <c r="EJ88" i="15" s="1"/>
  <c r="EK88" i="15" s="1"/>
  <c r="EI109" i="15"/>
  <c r="EJ109" i="15" s="1"/>
  <c r="EK109" i="15" s="1"/>
  <c r="EI125" i="15"/>
  <c r="EJ125" i="15" s="1"/>
  <c r="EK125" i="15" s="1"/>
  <c r="EI141" i="15"/>
  <c r="EJ141" i="15" s="1"/>
  <c r="EK141" i="15" s="1"/>
  <c r="EI157" i="15"/>
  <c r="EJ157" i="15" s="1"/>
  <c r="EK157" i="15" s="1"/>
  <c r="EI173" i="15"/>
  <c r="EJ173" i="15" s="1"/>
  <c r="EK173" i="15" s="1"/>
  <c r="EI189" i="15"/>
  <c r="EJ189" i="15" s="1"/>
  <c r="EK189" i="15" s="1"/>
  <c r="EI205" i="15"/>
  <c r="EJ205" i="15" s="1"/>
  <c r="EK205" i="15" s="1"/>
  <c r="EI221" i="15"/>
  <c r="EJ221" i="15" s="1"/>
  <c r="EK221" i="15" s="1"/>
  <c r="EI21" i="15"/>
  <c r="EJ21" i="15" s="1"/>
  <c r="EK21" i="15" s="1"/>
  <c r="EI52" i="15"/>
  <c r="EJ52" i="15" s="1"/>
  <c r="EK52" i="15" s="1"/>
  <c r="EI73" i="15"/>
  <c r="EJ73" i="15" s="1"/>
  <c r="EK73" i="15" s="1"/>
  <c r="EI95" i="15"/>
  <c r="EJ95" i="15" s="1"/>
  <c r="EK95" i="15" s="1"/>
  <c r="EI114" i="15"/>
  <c r="EJ114" i="15" s="1"/>
  <c r="EK114" i="15" s="1"/>
  <c r="EI130" i="15"/>
  <c r="EJ130" i="15" s="1"/>
  <c r="EK130" i="15" s="1"/>
  <c r="EI146" i="15"/>
  <c r="EJ146" i="15" s="1"/>
  <c r="EK146" i="15" s="1"/>
  <c r="EI162" i="15"/>
  <c r="EJ162" i="15" s="1"/>
  <c r="EK162" i="15" s="1"/>
  <c r="EI178" i="15"/>
  <c r="EJ178" i="15" s="1"/>
  <c r="EK178" i="15" s="1"/>
  <c r="EI194" i="15"/>
  <c r="EJ194" i="15" s="1"/>
  <c r="EK194" i="15" s="1"/>
  <c r="EI210" i="15"/>
  <c r="EJ210" i="15" s="1"/>
  <c r="EK210" i="15" s="1"/>
  <c r="EI226" i="15"/>
  <c r="EJ226" i="15" s="1"/>
  <c r="EK226" i="15" s="1"/>
  <c r="EI59" i="15"/>
  <c r="EJ59" i="15" s="1"/>
  <c r="EK59" i="15" s="1"/>
  <c r="EI101" i="15"/>
  <c r="EJ101" i="15" s="1"/>
  <c r="EK101" i="15" s="1"/>
  <c r="EI135" i="15"/>
  <c r="EJ135" i="15" s="1"/>
  <c r="EK135" i="15" s="1"/>
  <c r="EI167" i="15"/>
  <c r="EJ167" i="15" s="1"/>
  <c r="EK167" i="15" s="1"/>
  <c r="EI199" i="15"/>
  <c r="EJ199" i="15" s="1"/>
  <c r="EK199" i="15" s="1"/>
  <c r="EI17" i="15"/>
  <c r="EJ17" i="15" s="1"/>
  <c r="EK17" i="15" s="1"/>
  <c r="EI71" i="15"/>
  <c r="EJ71" i="15" s="1"/>
  <c r="EK71" i="15" s="1"/>
  <c r="EI112" i="15"/>
  <c r="EJ112" i="15" s="1"/>
  <c r="EK112" i="15" s="1"/>
  <c r="EI144" i="15"/>
  <c r="EJ144" i="15" s="1"/>
  <c r="EK144" i="15" s="1"/>
  <c r="EI176" i="15"/>
  <c r="EJ176" i="15" s="1"/>
  <c r="EK176" i="15" s="1"/>
  <c r="EI208" i="15"/>
  <c r="EJ208" i="15" s="1"/>
  <c r="EK208" i="15" s="1"/>
  <c r="EI40" i="15"/>
  <c r="EJ40" i="15" s="1"/>
  <c r="EK40" i="15" s="1"/>
  <c r="EI123" i="15"/>
  <c r="EJ123" i="15" s="1"/>
  <c r="EK123" i="15" s="1"/>
  <c r="EI187" i="15"/>
  <c r="EJ187" i="15" s="1"/>
  <c r="EK187" i="15" s="1"/>
  <c r="EI41" i="15"/>
  <c r="EJ41" i="15" s="1"/>
  <c r="EK41" i="15" s="1"/>
  <c r="EI124" i="15"/>
  <c r="EJ124" i="15" s="1"/>
  <c r="EK124" i="15" s="1"/>
  <c r="EI188" i="15"/>
  <c r="EJ188" i="15" s="1"/>
  <c r="EK188" i="15" s="1"/>
  <c r="EI53" i="15"/>
  <c r="EJ53" i="15" s="1"/>
  <c r="EK53" i="15" s="1"/>
  <c r="EI131" i="15"/>
  <c r="EJ131" i="15" s="1"/>
  <c r="EK131" i="15" s="1"/>
  <c r="EI195" i="15"/>
  <c r="EJ195" i="15" s="1"/>
  <c r="EK195" i="15" s="1"/>
  <c r="EI132" i="15"/>
  <c r="EJ132" i="15" s="1"/>
  <c r="EK132" i="15" s="1"/>
  <c r="EI212" i="15"/>
  <c r="EJ212" i="15" s="1"/>
  <c r="EK212" i="15" s="1"/>
  <c r="EI25" i="15"/>
  <c r="EJ25" i="15" s="1"/>
  <c r="EK25" i="15" s="1"/>
  <c r="EI6" i="15"/>
  <c r="EJ6" i="15" s="1"/>
  <c r="EK6" i="15" s="1"/>
  <c r="EI22" i="15"/>
  <c r="EJ22" i="15" s="1"/>
  <c r="EK22" i="15" s="1"/>
  <c r="EI38" i="15"/>
  <c r="EJ38" i="15" s="1"/>
  <c r="EK38" i="15" s="1"/>
  <c r="EI54" i="15"/>
  <c r="EJ54" i="15" s="1"/>
  <c r="EK54" i="15" s="1"/>
  <c r="EI70" i="15"/>
  <c r="EJ70" i="15" s="1"/>
  <c r="EK70" i="15" s="1"/>
  <c r="EI86" i="15"/>
  <c r="EJ86" i="15" s="1"/>
  <c r="EK86" i="15" s="1"/>
  <c r="EI102" i="15"/>
  <c r="EJ102" i="15" s="1"/>
  <c r="EK102" i="15" s="1"/>
  <c r="EI11" i="15"/>
  <c r="EJ11" i="15" s="1"/>
  <c r="EK11" i="15" s="1"/>
  <c r="EI27" i="15"/>
  <c r="EJ27" i="15" s="1"/>
  <c r="EK27" i="15" s="1"/>
  <c r="EI43" i="15"/>
  <c r="EJ43" i="15" s="1"/>
  <c r="EK43" i="15" s="1"/>
  <c r="EI20" i="15"/>
  <c r="EJ20" i="15" s="1"/>
  <c r="EK20" i="15" s="1"/>
  <c r="EI51" i="15"/>
  <c r="EJ51" i="15" s="1"/>
  <c r="EK51" i="15" s="1"/>
  <c r="EI72" i="15"/>
  <c r="EJ72" i="15" s="1"/>
  <c r="EK72" i="15" s="1"/>
  <c r="EI93" i="15"/>
  <c r="EJ93" i="15" s="1"/>
  <c r="EK93" i="15" s="1"/>
  <c r="EI113" i="15"/>
  <c r="EJ113" i="15" s="1"/>
  <c r="EK113" i="15" s="1"/>
  <c r="EI129" i="15"/>
  <c r="EJ129" i="15" s="1"/>
  <c r="EK129" i="15" s="1"/>
  <c r="EI145" i="15"/>
  <c r="EJ145" i="15" s="1"/>
  <c r="EK145" i="15" s="1"/>
  <c r="EI161" i="15"/>
  <c r="EJ161" i="15" s="1"/>
  <c r="EK161" i="15" s="1"/>
  <c r="EI177" i="15"/>
  <c r="EJ177" i="15" s="1"/>
  <c r="EK177" i="15" s="1"/>
  <c r="EI193" i="15"/>
  <c r="EJ193" i="15" s="1"/>
  <c r="EK193" i="15" s="1"/>
  <c r="EI209" i="15"/>
  <c r="EJ209" i="15" s="1"/>
  <c r="EK209" i="15" s="1"/>
  <c r="EI225" i="15"/>
  <c r="EJ225" i="15" s="1"/>
  <c r="EK225" i="15" s="1"/>
  <c r="EI29" i="15"/>
  <c r="EJ29" i="15" s="1"/>
  <c r="EK29" i="15" s="1"/>
  <c r="EI57" i="15"/>
  <c r="EJ57" i="15" s="1"/>
  <c r="EK57" i="15" s="1"/>
  <c r="EI79" i="15"/>
  <c r="EJ79" i="15" s="1"/>
  <c r="EK79" i="15" s="1"/>
  <c r="EI100" i="15"/>
  <c r="EJ100" i="15" s="1"/>
  <c r="EK100" i="15" s="1"/>
  <c r="EI118" i="15"/>
  <c r="EJ118" i="15" s="1"/>
  <c r="EK118" i="15" s="1"/>
  <c r="EI134" i="15"/>
  <c r="EJ134" i="15" s="1"/>
  <c r="EK134" i="15" s="1"/>
  <c r="EI150" i="15"/>
  <c r="EJ150" i="15" s="1"/>
  <c r="EK150" i="15" s="1"/>
  <c r="EI166" i="15"/>
  <c r="EJ166" i="15" s="1"/>
  <c r="EK166" i="15" s="1"/>
  <c r="EI182" i="15"/>
  <c r="EJ182" i="15" s="1"/>
  <c r="EK182" i="15" s="1"/>
  <c r="EI198" i="15"/>
  <c r="EJ198" i="15" s="1"/>
  <c r="EK198" i="15" s="1"/>
  <c r="EI214" i="15"/>
  <c r="EJ214" i="15" s="1"/>
  <c r="EK214" i="15" s="1"/>
  <c r="EI16" i="15"/>
  <c r="EJ16" i="15" s="1"/>
  <c r="EK16" i="15" s="1"/>
  <c r="EI69" i="15"/>
  <c r="EJ69" i="15" s="1"/>
  <c r="EK69" i="15" s="1"/>
  <c r="EI111" i="15"/>
  <c r="EJ111" i="15" s="1"/>
  <c r="EK111" i="15" s="1"/>
  <c r="EI143" i="15"/>
  <c r="EJ143" i="15" s="1"/>
  <c r="EK143" i="15" s="1"/>
  <c r="EI175" i="15"/>
  <c r="EJ175" i="15" s="1"/>
  <c r="EK175" i="15" s="1"/>
  <c r="EI207" i="15"/>
  <c r="EJ207" i="15" s="1"/>
  <c r="EK207" i="15" s="1"/>
  <c r="EI33" i="15"/>
  <c r="EJ33" i="15" s="1"/>
  <c r="EK33" i="15" s="1"/>
  <c r="EI81" i="15"/>
  <c r="EJ81" i="15" s="1"/>
  <c r="EK81" i="15" s="1"/>
  <c r="EI120" i="15"/>
  <c r="EJ120" i="15" s="1"/>
  <c r="EK120" i="15" s="1"/>
  <c r="EI152" i="15"/>
  <c r="EJ152" i="15" s="1"/>
  <c r="EK152" i="15" s="1"/>
  <c r="EI184" i="15"/>
  <c r="EJ184" i="15" s="1"/>
  <c r="EK184" i="15" s="1"/>
  <c r="EI216" i="15"/>
  <c r="EJ216" i="15" s="1"/>
  <c r="EK216" i="15" s="1"/>
  <c r="EI64" i="15"/>
  <c r="EJ64" i="15" s="1"/>
  <c r="EK64" i="15" s="1"/>
  <c r="EI139" i="15"/>
  <c r="EJ139" i="15" s="1"/>
  <c r="EK139" i="15" s="1"/>
  <c r="EI203" i="15"/>
  <c r="EJ203" i="15" s="1"/>
  <c r="EK203" i="15" s="1"/>
  <c r="EI65" i="15"/>
  <c r="EJ65" i="15" s="1"/>
  <c r="EK65" i="15" s="1"/>
  <c r="EI140" i="15"/>
  <c r="EJ140" i="15" s="1"/>
  <c r="EK140" i="15" s="1"/>
  <c r="EI204" i="15"/>
  <c r="EJ204" i="15" s="1"/>
  <c r="EK204" i="15" s="1"/>
  <c r="EI75" i="15"/>
  <c r="EJ75" i="15" s="1"/>
  <c r="EK75" i="15" s="1"/>
  <c r="EI147" i="15"/>
  <c r="EJ147" i="15" s="1"/>
  <c r="EK147" i="15" s="1"/>
  <c r="EI211" i="15"/>
  <c r="EJ211" i="15" s="1"/>
  <c r="EK211" i="15" s="1"/>
  <c r="EI196" i="15"/>
  <c r="EJ196" i="15" s="1"/>
  <c r="EK196" i="15" s="1"/>
  <c r="EI97" i="15"/>
  <c r="EJ97" i="15" s="1"/>
  <c r="EK97" i="15" s="1"/>
  <c r="EI116" i="15"/>
  <c r="EJ116" i="15" s="1"/>
  <c r="EK116" i="15" s="1"/>
  <c r="EI10" i="15"/>
  <c r="EJ10" i="15" s="1"/>
  <c r="EK10" i="15" s="1"/>
  <c r="EI26" i="15"/>
  <c r="EJ26" i="15" s="1"/>
  <c r="EK26" i="15" s="1"/>
  <c r="EI42" i="15"/>
  <c r="EJ42" i="15" s="1"/>
  <c r="EK42" i="15" s="1"/>
  <c r="EI58" i="15"/>
  <c r="EJ58" i="15" s="1"/>
  <c r="EK58" i="15" s="1"/>
  <c r="EI74" i="15"/>
  <c r="EJ74" i="15" s="1"/>
  <c r="EK74" i="15" s="1"/>
  <c r="EI90" i="15"/>
  <c r="EJ90" i="15" s="1"/>
  <c r="EK90" i="15" s="1"/>
  <c r="EI106" i="15"/>
  <c r="EJ106" i="15" s="1"/>
  <c r="EK106" i="15" s="1"/>
  <c r="EI15" i="15"/>
  <c r="EJ15" i="15" s="1"/>
  <c r="EK15" i="15" s="1"/>
  <c r="EI31" i="15"/>
  <c r="EJ31" i="15" s="1"/>
  <c r="EK31" i="15" s="1"/>
  <c r="EI47" i="15"/>
  <c r="EJ47" i="15" s="1"/>
  <c r="EK47" i="15" s="1"/>
  <c r="EI28" i="15"/>
  <c r="EJ28" i="15" s="1"/>
  <c r="EK28" i="15" s="1"/>
  <c r="EI56" i="15"/>
  <c r="EJ56" i="15" s="1"/>
  <c r="EK56" i="15" s="1"/>
  <c r="EI77" i="15"/>
  <c r="EJ77" i="15" s="1"/>
  <c r="EK77" i="15" s="1"/>
  <c r="EI99" i="15"/>
  <c r="EJ99" i="15" s="1"/>
  <c r="EK99" i="15" s="1"/>
  <c r="EI117" i="15"/>
  <c r="EJ117" i="15" s="1"/>
  <c r="EK117" i="15" s="1"/>
  <c r="EI133" i="15"/>
  <c r="EJ133" i="15" s="1"/>
  <c r="EK133" i="15" s="1"/>
  <c r="EI149" i="15"/>
  <c r="EJ149" i="15" s="1"/>
  <c r="EK149" i="15" s="1"/>
  <c r="EI165" i="15"/>
  <c r="EJ165" i="15" s="1"/>
  <c r="EK165" i="15" s="1"/>
  <c r="EI181" i="15"/>
  <c r="EJ181" i="15" s="1"/>
  <c r="EK181" i="15" s="1"/>
  <c r="EI197" i="15"/>
  <c r="EJ197" i="15" s="1"/>
  <c r="EK197" i="15" s="1"/>
  <c r="EI213" i="15"/>
  <c r="EJ213" i="15" s="1"/>
  <c r="EK213" i="15" s="1"/>
  <c r="EI5" i="15"/>
  <c r="EJ5" i="15" s="1"/>
  <c r="EK5" i="15" s="1"/>
  <c r="EI37" i="15"/>
  <c r="EJ37" i="15" s="1"/>
  <c r="EK37" i="15" s="1"/>
  <c r="EI63" i="15"/>
  <c r="EJ63" i="15" s="1"/>
  <c r="EK63" i="15" s="1"/>
  <c r="EI84" i="15"/>
  <c r="EJ84" i="15" s="1"/>
  <c r="EK84" i="15" s="1"/>
  <c r="EI105" i="15"/>
  <c r="EJ105" i="15" s="1"/>
  <c r="EK105" i="15" s="1"/>
  <c r="EI122" i="15"/>
  <c r="EJ122" i="15" s="1"/>
  <c r="EK122" i="15" s="1"/>
  <c r="EI138" i="15"/>
  <c r="EJ138" i="15" s="1"/>
  <c r="EK138" i="15" s="1"/>
  <c r="EI154" i="15"/>
  <c r="EJ154" i="15" s="1"/>
  <c r="EK154" i="15" s="1"/>
  <c r="EI170" i="15"/>
  <c r="EJ170" i="15" s="1"/>
  <c r="EK170" i="15" s="1"/>
  <c r="EI186" i="15"/>
  <c r="EJ186" i="15" s="1"/>
  <c r="EK186" i="15" s="1"/>
  <c r="EI202" i="15"/>
  <c r="EJ202" i="15" s="1"/>
  <c r="EK202" i="15" s="1"/>
  <c r="EI218" i="15"/>
  <c r="EJ218" i="15" s="1"/>
  <c r="EK218" i="15" s="1"/>
  <c r="EI32" i="15"/>
  <c r="EJ32" i="15" s="1"/>
  <c r="EK32" i="15" s="1"/>
  <c r="EI80" i="15"/>
  <c r="EJ80" i="15" s="1"/>
  <c r="EK80" i="15" s="1"/>
  <c r="EI119" i="15"/>
  <c r="EJ119" i="15" s="1"/>
  <c r="EK119" i="15" s="1"/>
  <c r="EI151" i="15"/>
  <c r="EJ151" i="15" s="1"/>
  <c r="EK151" i="15" s="1"/>
  <c r="EI183" i="15"/>
  <c r="EJ183" i="15" s="1"/>
  <c r="EK183" i="15" s="1"/>
  <c r="EI215" i="15"/>
  <c r="EJ215" i="15" s="1"/>
  <c r="EK215" i="15" s="1"/>
  <c r="EI49" i="15"/>
  <c r="EJ49" i="15" s="1"/>
  <c r="EK49" i="15" s="1"/>
  <c r="EI92" i="15"/>
  <c r="EJ92" i="15" s="1"/>
  <c r="EK92" i="15" s="1"/>
  <c r="EI128" i="15"/>
  <c r="EJ128" i="15" s="1"/>
  <c r="EK128" i="15" s="1"/>
  <c r="EI160" i="15"/>
  <c r="EJ160" i="15" s="1"/>
  <c r="EK160" i="15" s="1"/>
  <c r="EI192" i="15"/>
  <c r="EJ192" i="15" s="1"/>
  <c r="EK192" i="15" s="1"/>
  <c r="EI224" i="15"/>
  <c r="EJ224" i="15" s="1"/>
  <c r="EK224" i="15" s="1"/>
  <c r="EI85" i="15"/>
  <c r="EJ85" i="15" s="1"/>
  <c r="EK85" i="15" s="1"/>
  <c r="EI155" i="15"/>
  <c r="EJ155" i="15" s="1"/>
  <c r="EK155" i="15" s="1"/>
  <c r="EI219" i="15"/>
  <c r="EJ219" i="15" s="1"/>
  <c r="EK219" i="15" s="1"/>
  <c r="EI87" i="15"/>
  <c r="EJ87" i="15" s="1"/>
  <c r="EK87" i="15" s="1"/>
  <c r="EI156" i="15"/>
  <c r="EJ156" i="15" s="1"/>
  <c r="EK156" i="15" s="1"/>
  <c r="EI220" i="15"/>
  <c r="EJ220" i="15" s="1"/>
  <c r="EK220" i="15" s="1"/>
  <c r="EI96" i="15"/>
  <c r="EJ96" i="15" s="1"/>
  <c r="EK96" i="15" s="1"/>
  <c r="EI163" i="15"/>
  <c r="EJ163" i="15" s="1"/>
  <c r="EK163" i="15" s="1"/>
  <c r="EI227" i="15"/>
  <c r="EJ227" i="15" s="1"/>
  <c r="EK227" i="15" s="1"/>
  <c r="EI76" i="15"/>
  <c r="EJ76" i="15" s="1"/>
  <c r="EK76" i="15" s="1"/>
  <c r="EI164" i="15"/>
  <c r="EJ164" i="15" s="1"/>
  <c r="EK164" i="15" s="1"/>
  <c r="EI180" i="15"/>
  <c r="EJ180" i="15" s="1"/>
  <c r="EK180" i="15" s="1"/>
  <c r="EI62" i="15"/>
  <c r="EJ62" i="15" s="1"/>
  <c r="EK62" i="15" s="1"/>
  <c r="EI19" i="15"/>
  <c r="EJ19" i="15" s="1"/>
  <c r="EK19" i="15" s="1"/>
  <c r="EI61" i="15"/>
  <c r="EJ61" i="15" s="1"/>
  <c r="EK61" i="15" s="1"/>
  <c r="EI137" i="15"/>
  <c r="EJ137" i="15" s="1"/>
  <c r="EK137" i="15" s="1"/>
  <c r="EI201" i="15"/>
  <c r="EJ201" i="15" s="1"/>
  <c r="EK201" i="15" s="1"/>
  <c r="EI68" i="15"/>
  <c r="EJ68" i="15" s="1"/>
  <c r="EK68" i="15" s="1"/>
  <c r="EI142" i="15"/>
  <c r="EJ142" i="15" s="1"/>
  <c r="EK142" i="15" s="1"/>
  <c r="EI206" i="15"/>
  <c r="EJ206" i="15" s="1"/>
  <c r="EK206" i="15" s="1"/>
  <c r="EI127" i="15"/>
  <c r="EJ127" i="15" s="1"/>
  <c r="EK127" i="15" s="1"/>
  <c r="EI60" i="15"/>
  <c r="EJ60" i="15" s="1"/>
  <c r="EK60" i="15" s="1"/>
  <c r="EI200" i="15"/>
  <c r="EJ200" i="15" s="1"/>
  <c r="EK200" i="15" s="1"/>
  <c r="EI9" i="15"/>
  <c r="EJ9" i="15" s="1"/>
  <c r="EK9" i="15" s="1"/>
  <c r="EI115" i="15"/>
  <c r="EJ115" i="15" s="1"/>
  <c r="EK115" i="15" s="1"/>
  <c r="EI2" i="15"/>
  <c r="EJ2" i="15" s="1"/>
  <c r="EI14" i="15"/>
  <c r="EJ14" i="15" s="1"/>
  <c r="EK14" i="15" s="1"/>
  <c r="EI78" i="15"/>
  <c r="EJ78" i="15" s="1"/>
  <c r="EK78" i="15" s="1"/>
  <c r="EI35" i="15"/>
  <c r="EJ35" i="15" s="1"/>
  <c r="EK35" i="15" s="1"/>
  <c r="EI83" i="15"/>
  <c r="EJ83" i="15" s="1"/>
  <c r="EK83" i="15" s="1"/>
  <c r="EI153" i="15"/>
  <c r="EJ153" i="15" s="1"/>
  <c r="EK153" i="15" s="1"/>
  <c r="EI217" i="15"/>
  <c r="EJ217" i="15" s="1"/>
  <c r="EK217" i="15" s="1"/>
  <c r="EI89" i="15"/>
  <c r="EJ89" i="15" s="1"/>
  <c r="EK89" i="15" s="1"/>
  <c r="EI158" i="15"/>
  <c r="EJ158" i="15" s="1"/>
  <c r="EK158" i="15" s="1"/>
  <c r="EI222" i="15"/>
  <c r="EJ222" i="15" s="1"/>
  <c r="EK222" i="15" s="1"/>
  <c r="EI159" i="15"/>
  <c r="EJ159" i="15" s="1"/>
  <c r="EK159" i="15" s="1"/>
  <c r="EI103" i="15"/>
  <c r="EJ103" i="15" s="1"/>
  <c r="EK103" i="15" s="1"/>
  <c r="EI8" i="15"/>
  <c r="EJ8" i="15" s="1"/>
  <c r="EK8" i="15" s="1"/>
  <c r="EI108" i="15"/>
  <c r="EJ108" i="15" s="1"/>
  <c r="EK108" i="15" s="1"/>
  <c r="EI179" i="15"/>
  <c r="EJ179" i="15" s="1"/>
  <c r="EK179" i="15" s="1"/>
  <c r="EI30" i="15"/>
  <c r="EJ30" i="15" s="1"/>
  <c r="EK30" i="15" s="1"/>
  <c r="EI94" i="15"/>
  <c r="EJ94" i="15" s="1"/>
  <c r="EK94" i="15" s="1"/>
  <c r="EI4" i="15"/>
  <c r="EJ4" i="15" s="1"/>
  <c r="EK4" i="15" s="1"/>
  <c r="EI104" i="15"/>
  <c r="EJ104" i="15" s="1"/>
  <c r="EK104" i="15" s="1"/>
  <c r="EI169" i="15"/>
  <c r="EJ169" i="15" s="1"/>
  <c r="EK169" i="15" s="1"/>
  <c r="EI13" i="15"/>
  <c r="EJ13" i="15" s="1"/>
  <c r="EK13" i="15" s="1"/>
  <c r="EI110" i="15"/>
  <c r="EJ110" i="15" s="1"/>
  <c r="EK110" i="15" s="1"/>
  <c r="EI174" i="15"/>
  <c r="EJ174" i="15" s="1"/>
  <c r="EK174" i="15" s="1"/>
  <c r="EI48" i="15"/>
  <c r="EJ48" i="15" s="1"/>
  <c r="EK48" i="15" s="1"/>
  <c r="EI191" i="15"/>
  <c r="EJ191" i="15" s="1"/>
  <c r="EK191" i="15" s="1"/>
  <c r="EI136" i="15"/>
  <c r="EJ136" i="15" s="1"/>
  <c r="EK136" i="15" s="1"/>
  <c r="EI107" i="15"/>
  <c r="EJ107" i="15" s="1"/>
  <c r="EK107" i="15" s="1"/>
  <c r="EI172" i="15"/>
  <c r="EJ172" i="15" s="1"/>
  <c r="EK172" i="15" s="1"/>
  <c r="EI55" i="15"/>
  <c r="EJ55" i="15" s="1"/>
  <c r="EK55" i="15" s="1"/>
  <c r="EC183" i="15"/>
  <c r="ED183" i="15" s="1"/>
  <c r="EE183" i="15" s="1"/>
  <c r="EC212" i="15"/>
  <c r="ED212" i="15" s="1"/>
  <c r="EE212" i="15" s="1"/>
  <c r="EC221" i="15"/>
  <c r="ED221" i="15" s="1"/>
  <c r="EE221" i="15" s="1"/>
  <c r="EC33" i="15"/>
  <c r="ED33" i="15" s="1"/>
  <c r="EE33" i="15" s="1"/>
  <c r="EC34" i="15"/>
  <c r="ED34" i="15" s="1"/>
  <c r="EE34" i="15" s="1"/>
  <c r="EC20" i="15"/>
  <c r="ED20" i="15" s="1"/>
  <c r="EE20" i="15" s="1"/>
  <c r="EC29" i="15"/>
  <c r="ED29" i="15" s="1"/>
  <c r="EE29" i="15" s="1"/>
  <c r="EC62" i="15"/>
  <c r="ED62" i="15" s="1"/>
  <c r="EE62" i="15" s="1"/>
  <c r="EC97" i="15"/>
  <c r="ED97" i="15" s="1"/>
  <c r="EE97" i="15" s="1"/>
  <c r="EC42" i="15"/>
  <c r="ED42" i="15" s="1"/>
  <c r="EE42" i="15" s="1"/>
  <c r="EC55" i="15"/>
  <c r="ED55" i="15" s="1"/>
  <c r="EE55" i="15" s="1"/>
  <c r="EC84" i="15"/>
  <c r="ED84" i="15" s="1"/>
  <c r="EE84" i="15" s="1"/>
  <c r="EC93" i="15"/>
  <c r="ED93" i="15" s="1"/>
  <c r="EE93" i="15" s="1"/>
  <c r="EC126" i="15"/>
  <c r="ED126" i="15" s="1"/>
  <c r="EE126" i="15" s="1"/>
  <c r="EC161" i="15"/>
  <c r="ED161" i="15" s="1"/>
  <c r="EE161" i="15" s="1"/>
  <c r="EC82" i="15"/>
  <c r="ED82" i="15" s="1"/>
  <c r="EE82" i="15" s="1"/>
  <c r="AT4" i="15"/>
  <c r="AU4" i="15" s="1"/>
  <c r="AV4" i="15" s="1"/>
  <c r="AT12" i="15"/>
  <c r="AU12" i="15" s="1"/>
  <c r="AV12" i="15" s="1"/>
  <c r="AT48" i="15"/>
  <c r="AU48" i="15" s="1"/>
  <c r="AV48" i="15" s="1"/>
  <c r="AT29" i="15"/>
  <c r="AU29" i="15" s="1"/>
  <c r="AV29" i="15" s="1"/>
  <c r="AT18" i="15"/>
  <c r="AU18" i="15" s="1"/>
  <c r="AV18" i="15" s="1"/>
  <c r="AT54" i="15"/>
  <c r="AU54" i="15" s="1"/>
  <c r="AV54" i="15" s="1"/>
  <c r="AT83" i="15"/>
  <c r="AU83" i="15" s="1"/>
  <c r="AV83" i="15" s="1"/>
  <c r="AT131" i="15"/>
  <c r="AU131" i="15" s="1"/>
  <c r="AV131" i="15" s="1"/>
  <c r="AT167" i="15"/>
  <c r="AU167" i="15" s="1"/>
  <c r="AV167" i="15" s="1"/>
  <c r="AT211" i="15"/>
  <c r="AU211" i="15" s="1"/>
  <c r="AV211" i="15" s="1"/>
  <c r="AT126" i="15"/>
  <c r="AU126" i="15" s="1"/>
  <c r="AV126" i="15" s="1"/>
  <c r="AT194" i="15"/>
  <c r="AU194" i="15" s="1"/>
  <c r="AV194" i="15" s="1"/>
  <c r="AT80" i="15"/>
  <c r="AU80" i="15" s="1"/>
  <c r="AV80" i="15" s="1"/>
  <c r="AT128" i="15"/>
  <c r="AU128" i="15" s="1"/>
  <c r="AV128" i="15" s="1"/>
  <c r="AT164" i="15"/>
  <c r="AU164" i="15" s="1"/>
  <c r="AV164" i="15" s="1"/>
  <c r="AT208" i="15"/>
  <c r="AU208" i="15" s="1"/>
  <c r="AV208" i="15" s="1"/>
  <c r="AT19" i="15"/>
  <c r="AU19" i="15" s="1"/>
  <c r="AV19" i="15" s="1"/>
  <c r="AT89" i="15"/>
  <c r="AU89" i="15" s="1"/>
  <c r="AV89" i="15" s="1"/>
  <c r="AT133" i="15"/>
  <c r="AU133" i="15" s="1"/>
  <c r="AV133" i="15" s="1"/>
  <c r="AT181" i="15"/>
  <c r="AU181" i="15" s="1"/>
  <c r="AV181" i="15" s="1"/>
  <c r="AT217" i="15"/>
  <c r="AU217" i="15" s="1"/>
  <c r="AV217" i="15" s="1"/>
  <c r="AT78" i="15"/>
  <c r="AU78" i="15" s="1"/>
  <c r="AV78" i="15" s="1"/>
  <c r="AT138" i="15"/>
  <c r="AU138" i="15" s="1"/>
  <c r="AV138" i="15" s="1"/>
  <c r="AT182" i="15"/>
  <c r="AU182" i="15" s="1"/>
  <c r="AV182" i="15" s="1"/>
  <c r="AT218" i="15"/>
  <c r="AU218" i="15" s="1"/>
  <c r="AV218" i="15" s="1"/>
  <c r="AT16" i="15"/>
  <c r="AU16" i="15" s="1"/>
  <c r="AV16" i="15" s="1"/>
  <c r="AT60" i="15"/>
  <c r="AU60" i="15" s="1"/>
  <c r="AV60" i="15" s="1"/>
  <c r="AT45" i="15"/>
  <c r="AU45" i="15" s="1"/>
  <c r="AV45" i="15" s="1"/>
  <c r="AT22" i="15"/>
  <c r="AU22" i="15" s="1"/>
  <c r="AV22" i="15" s="1"/>
  <c r="AT11" i="15"/>
  <c r="AU11" i="15" s="1"/>
  <c r="AV11" i="15" s="1"/>
  <c r="AT99" i="15"/>
  <c r="AU99" i="15" s="1"/>
  <c r="AV99" i="15" s="1"/>
  <c r="AT135" i="15"/>
  <c r="AU135" i="15" s="1"/>
  <c r="AV135" i="15" s="1"/>
  <c r="AT179" i="15"/>
  <c r="AU179" i="15" s="1"/>
  <c r="AV179" i="15" s="1"/>
  <c r="AT227" i="15"/>
  <c r="AU227" i="15" s="1"/>
  <c r="AV227" i="15" s="1"/>
  <c r="AT130" i="15"/>
  <c r="AU130" i="15" s="1"/>
  <c r="AV130" i="15" s="1"/>
  <c r="AT222" i="15"/>
  <c r="AU222" i="15" s="1"/>
  <c r="AV222" i="15" s="1"/>
  <c r="AT96" i="15"/>
  <c r="AU96" i="15" s="1"/>
  <c r="AV96" i="15" s="1"/>
  <c r="AT132" i="15"/>
  <c r="AU132" i="15" s="1"/>
  <c r="AV132" i="15" s="1"/>
  <c r="AT176" i="15"/>
  <c r="AU176" i="15" s="1"/>
  <c r="AV176" i="15" s="1"/>
  <c r="AT224" i="15"/>
  <c r="AU224" i="15" s="1"/>
  <c r="AV224" i="15" s="1"/>
  <c r="AT35" i="15"/>
  <c r="AU35" i="15" s="1"/>
  <c r="AV35" i="15" s="1"/>
  <c r="AT101" i="15"/>
  <c r="AU101" i="15" s="1"/>
  <c r="AV101" i="15" s="1"/>
  <c r="AT149" i="15"/>
  <c r="AU149" i="15" s="1"/>
  <c r="AV149" i="15" s="1"/>
  <c r="AT185" i="15"/>
  <c r="AU185" i="15" s="1"/>
  <c r="AV185" i="15" s="1"/>
  <c r="AT221" i="15"/>
  <c r="AU221" i="15" s="1"/>
  <c r="AV221" i="15" s="1"/>
  <c r="AT102" i="15"/>
  <c r="AU102" i="15" s="1"/>
  <c r="AV102" i="15" s="1"/>
  <c r="AT150" i="15"/>
  <c r="AU150" i="15" s="1"/>
  <c r="AV150" i="15" s="1"/>
  <c r="AT190" i="15"/>
  <c r="AU190" i="15" s="1"/>
  <c r="AV190" i="15" s="1"/>
  <c r="AT28" i="15"/>
  <c r="AU28" i="15" s="1"/>
  <c r="AV28" i="15" s="1"/>
  <c r="AT13" i="15"/>
  <c r="AU13" i="15" s="1"/>
  <c r="AV13" i="15" s="1"/>
  <c r="AT49" i="15"/>
  <c r="AU49" i="15" s="1"/>
  <c r="AV49" i="15" s="1"/>
  <c r="AT34" i="15"/>
  <c r="AU34" i="15" s="1"/>
  <c r="AV34" i="15" s="1"/>
  <c r="AT67" i="15"/>
  <c r="AU67" i="15" s="1"/>
  <c r="AV67" i="15" s="1"/>
  <c r="AT103" i="15"/>
  <c r="AU103" i="15" s="1"/>
  <c r="AV103" i="15" s="1"/>
  <c r="AT147" i="15"/>
  <c r="AU147" i="15" s="1"/>
  <c r="AV147" i="15" s="1"/>
  <c r="AT195" i="15"/>
  <c r="AU195" i="15" s="1"/>
  <c r="AV195" i="15" s="1"/>
  <c r="AT39" i="15"/>
  <c r="AU39" i="15" s="1"/>
  <c r="AV39" i="15" s="1"/>
  <c r="AT158" i="15"/>
  <c r="AU158" i="15" s="1"/>
  <c r="AV158" i="15" s="1"/>
  <c r="AT63" i="15"/>
  <c r="AU63" i="15" s="1"/>
  <c r="AV63" i="15" s="1"/>
  <c r="AT100" i="15"/>
  <c r="AU100" i="15" s="1"/>
  <c r="AV100" i="15" s="1"/>
  <c r="AT144" i="15"/>
  <c r="AU144" i="15" s="1"/>
  <c r="AV144" i="15" s="1"/>
  <c r="AT192" i="15"/>
  <c r="AU192" i="15" s="1"/>
  <c r="AV192" i="15" s="1"/>
  <c r="AT2" i="15"/>
  <c r="AU2" i="15" s="1"/>
  <c r="AT69" i="15"/>
  <c r="AU69" i="15" s="1"/>
  <c r="AV69" i="15" s="1"/>
  <c r="AT117" i="15"/>
  <c r="AU117" i="15" s="1"/>
  <c r="AV117" i="15" s="1"/>
  <c r="AT153" i="15"/>
  <c r="AU153" i="15" s="1"/>
  <c r="AV153" i="15" s="1"/>
  <c r="AT197" i="15"/>
  <c r="AU197" i="15" s="1"/>
  <c r="AV197" i="15" s="1"/>
  <c r="AT7" i="15"/>
  <c r="AU7" i="15" s="1"/>
  <c r="AV7" i="15" s="1"/>
  <c r="AT114" i="15"/>
  <c r="AU114" i="15" s="1"/>
  <c r="AV114" i="15" s="1"/>
  <c r="AT154" i="15"/>
  <c r="AU154" i="15" s="1"/>
  <c r="AV154" i="15" s="1"/>
  <c r="AT206" i="15"/>
  <c r="AU206" i="15" s="1"/>
  <c r="AV206" i="15" s="1"/>
  <c r="AT17" i="15"/>
  <c r="AU17" i="15" s="1"/>
  <c r="AV17" i="15" s="1"/>
  <c r="AT115" i="15"/>
  <c r="AU115" i="15" s="1"/>
  <c r="AV115" i="15" s="1"/>
  <c r="AT186" i="15"/>
  <c r="AU186" i="15" s="1"/>
  <c r="AV186" i="15" s="1"/>
  <c r="AT196" i="15"/>
  <c r="AU196" i="15" s="1"/>
  <c r="AV196" i="15" s="1"/>
  <c r="AT165" i="15"/>
  <c r="AU165" i="15" s="1"/>
  <c r="AV165" i="15" s="1"/>
  <c r="AT170" i="15"/>
  <c r="AU170" i="15" s="1"/>
  <c r="AV170" i="15" s="1"/>
  <c r="AT61" i="15"/>
  <c r="AU61" i="15" s="1"/>
  <c r="AV61" i="15" s="1"/>
  <c r="AT163" i="15"/>
  <c r="AU163" i="15" s="1"/>
  <c r="AV163" i="15" s="1"/>
  <c r="AT68" i="15"/>
  <c r="AU68" i="15" s="1"/>
  <c r="AV68" i="15" s="1"/>
  <c r="AT86" i="15"/>
  <c r="AU86" i="15" s="1"/>
  <c r="AV86" i="15" s="1"/>
  <c r="AT213" i="15"/>
  <c r="AU213" i="15" s="1"/>
  <c r="AV213" i="15" s="1"/>
  <c r="AT210" i="15"/>
  <c r="AU210" i="15" s="1"/>
  <c r="AV210" i="15" s="1"/>
  <c r="AT50" i="15"/>
  <c r="AU50" i="15" s="1"/>
  <c r="AV50" i="15" s="1"/>
  <c r="AT199" i="15"/>
  <c r="AU199" i="15" s="1"/>
  <c r="AV199" i="15" s="1"/>
  <c r="AT112" i="15"/>
  <c r="AU112" i="15" s="1"/>
  <c r="AV112" i="15" s="1"/>
  <c r="AT85" i="15"/>
  <c r="AU85" i="15" s="1"/>
  <c r="AV85" i="15" s="1"/>
  <c r="AT55" i="15"/>
  <c r="AU55" i="15" s="1"/>
  <c r="AV55" i="15" s="1"/>
  <c r="AT71" i="15"/>
  <c r="AU71" i="15" s="1"/>
  <c r="AV71" i="15" s="1"/>
  <c r="AT122" i="15"/>
  <c r="AU122" i="15" s="1"/>
  <c r="AV122" i="15" s="1"/>
  <c r="AT82" i="15"/>
  <c r="AU82" i="15" s="1"/>
  <c r="AV82" i="15" s="1"/>
  <c r="AT160" i="15"/>
  <c r="AU160" i="15" s="1"/>
  <c r="AV160" i="15" s="1"/>
  <c r="AT121" i="15"/>
  <c r="AU121" i="15" s="1"/>
  <c r="AV121" i="15" s="1"/>
  <c r="I30" i="4"/>
  <c r="CP12" i="15"/>
  <c r="CQ12" i="15" s="1"/>
  <c r="CR12" i="15" s="1"/>
  <c r="CP28" i="15"/>
  <c r="CQ28" i="15" s="1"/>
  <c r="CR28" i="15" s="1"/>
  <c r="CP44" i="15"/>
  <c r="CQ44" i="15" s="1"/>
  <c r="CR44" i="15" s="1"/>
  <c r="CP60" i="15"/>
  <c r="CQ60" i="15" s="1"/>
  <c r="CR60" i="15" s="1"/>
  <c r="CP76" i="15"/>
  <c r="CQ76" i="15" s="1"/>
  <c r="CR76" i="15" s="1"/>
  <c r="CP92" i="15"/>
  <c r="CQ92" i="15" s="1"/>
  <c r="CR92" i="15" s="1"/>
  <c r="CP108" i="15"/>
  <c r="CQ108" i="15" s="1"/>
  <c r="CR108" i="15" s="1"/>
  <c r="CP124" i="15"/>
  <c r="CQ124" i="15" s="1"/>
  <c r="CR124" i="15" s="1"/>
  <c r="CP140" i="15"/>
  <c r="CQ140" i="15" s="1"/>
  <c r="CR140" i="15" s="1"/>
  <c r="CP156" i="15"/>
  <c r="CQ156" i="15" s="1"/>
  <c r="CR156" i="15" s="1"/>
  <c r="CP172" i="15"/>
  <c r="CQ172" i="15" s="1"/>
  <c r="CR172" i="15" s="1"/>
  <c r="CP188" i="15"/>
  <c r="CQ188" i="15" s="1"/>
  <c r="CR188" i="15" s="1"/>
  <c r="CP16" i="15"/>
  <c r="CQ16" i="15" s="1"/>
  <c r="CR16" i="15" s="1"/>
  <c r="CP32" i="15"/>
  <c r="CQ32" i="15" s="1"/>
  <c r="CR32" i="15" s="1"/>
  <c r="CP48" i="15"/>
  <c r="CQ48" i="15" s="1"/>
  <c r="CR48" i="15" s="1"/>
  <c r="CP64" i="15"/>
  <c r="CQ64" i="15" s="1"/>
  <c r="CR64" i="15" s="1"/>
  <c r="CP80" i="15"/>
  <c r="CQ80" i="15" s="1"/>
  <c r="CR80" i="15" s="1"/>
  <c r="CP96" i="15"/>
  <c r="CQ96" i="15" s="1"/>
  <c r="CR96" i="15" s="1"/>
  <c r="CP112" i="15"/>
  <c r="CQ112" i="15" s="1"/>
  <c r="CR112" i="15" s="1"/>
  <c r="CP128" i="15"/>
  <c r="CQ128" i="15" s="1"/>
  <c r="CR128" i="15" s="1"/>
  <c r="CP144" i="15"/>
  <c r="CQ144" i="15" s="1"/>
  <c r="CR144" i="15" s="1"/>
  <c r="CP160" i="15"/>
  <c r="CQ160" i="15" s="1"/>
  <c r="CR160" i="15" s="1"/>
  <c r="CP176" i="15"/>
  <c r="CQ176" i="15" s="1"/>
  <c r="CR176" i="15" s="1"/>
  <c r="CP192" i="15"/>
  <c r="CQ192" i="15" s="1"/>
  <c r="CR192" i="15" s="1"/>
  <c r="CP24" i="15"/>
  <c r="CQ24" i="15" s="1"/>
  <c r="CR24" i="15" s="1"/>
  <c r="CP56" i="15"/>
  <c r="CQ56" i="15" s="1"/>
  <c r="CR56" i="15" s="1"/>
  <c r="CP88" i="15"/>
  <c r="CQ88" i="15" s="1"/>
  <c r="CR88" i="15" s="1"/>
  <c r="CP120" i="15"/>
  <c r="CQ120" i="15" s="1"/>
  <c r="CR120" i="15" s="1"/>
  <c r="CP152" i="15"/>
  <c r="CQ152" i="15" s="1"/>
  <c r="CR152" i="15" s="1"/>
  <c r="CP184" i="15"/>
  <c r="CQ184" i="15" s="1"/>
  <c r="CR184" i="15" s="1"/>
  <c r="CP208" i="15"/>
  <c r="CQ208" i="15" s="1"/>
  <c r="CR208" i="15" s="1"/>
  <c r="CP224" i="15"/>
  <c r="CQ224" i="15" s="1"/>
  <c r="CR224" i="15" s="1"/>
  <c r="CP13" i="15"/>
  <c r="CQ13" i="15" s="1"/>
  <c r="CR13" i="15" s="1"/>
  <c r="CP29" i="15"/>
  <c r="CQ29" i="15" s="1"/>
  <c r="CR29" i="15" s="1"/>
  <c r="CP45" i="15"/>
  <c r="CQ45" i="15" s="1"/>
  <c r="CR45" i="15" s="1"/>
  <c r="CP61" i="15"/>
  <c r="CQ61" i="15" s="1"/>
  <c r="CR61" i="15" s="1"/>
  <c r="CP77" i="15"/>
  <c r="CQ77" i="15" s="1"/>
  <c r="CR77" i="15" s="1"/>
  <c r="CP93" i="15"/>
  <c r="CQ93" i="15" s="1"/>
  <c r="CR93" i="15" s="1"/>
  <c r="CP109" i="15"/>
  <c r="CQ109" i="15" s="1"/>
  <c r="CR109" i="15" s="1"/>
  <c r="CP125" i="15"/>
  <c r="CQ125" i="15" s="1"/>
  <c r="CR125" i="15" s="1"/>
  <c r="CP141" i="15"/>
  <c r="CQ141" i="15" s="1"/>
  <c r="CR141" i="15" s="1"/>
  <c r="CP157" i="15"/>
  <c r="CQ157" i="15" s="1"/>
  <c r="CR157" i="15" s="1"/>
  <c r="CP173" i="15"/>
  <c r="CQ173" i="15" s="1"/>
  <c r="CR173" i="15" s="1"/>
  <c r="CP189" i="15"/>
  <c r="CQ189" i="15" s="1"/>
  <c r="CR189" i="15" s="1"/>
  <c r="CP3" i="15"/>
  <c r="CQ3" i="15" s="1"/>
  <c r="CR3" i="15" s="1"/>
  <c r="CP35" i="15"/>
  <c r="CQ35" i="15" s="1"/>
  <c r="CR35" i="15" s="1"/>
  <c r="CP67" i="15"/>
  <c r="CQ67" i="15" s="1"/>
  <c r="CR67" i="15" s="1"/>
  <c r="CP99" i="15"/>
  <c r="CQ99" i="15" s="1"/>
  <c r="CR99" i="15" s="1"/>
  <c r="CP131" i="15"/>
  <c r="CQ131" i="15" s="1"/>
  <c r="CR131" i="15" s="1"/>
  <c r="CP163" i="15"/>
  <c r="CQ163" i="15" s="1"/>
  <c r="CR163" i="15" s="1"/>
  <c r="CP195" i="15"/>
  <c r="CQ195" i="15" s="1"/>
  <c r="CR195" i="15" s="1"/>
  <c r="CP219" i="15"/>
  <c r="CQ219" i="15" s="1"/>
  <c r="CR219" i="15" s="1"/>
  <c r="CP22" i="15"/>
  <c r="CQ22" i="15" s="1"/>
  <c r="CR22" i="15" s="1"/>
  <c r="CP54" i="15"/>
  <c r="CQ54" i="15" s="1"/>
  <c r="CR54" i="15" s="1"/>
  <c r="CP86" i="15"/>
  <c r="CQ86" i="15" s="1"/>
  <c r="CR86" i="15" s="1"/>
  <c r="CP118" i="15"/>
  <c r="CQ118" i="15" s="1"/>
  <c r="CR118" i="15" s="1"/>
  <c r="CP150" i="15"/>
  <c r="CQ150" i="15" s="1"/>
  <c r="CR150" i="15" s="1"/>
  <c r="CP182" i="15"/>
  <c r="CQ182" i="15" s="1"/>
  <c r="CR182" i="15" s="1"/>
  <c r="CP210" i="15"/>
  <c r="CQ210" i="15" s="1"/>
  <c r="CR210" i="15" s="1"/>
  <c r="CP7" i="15"/>
  <c r="CQ7" i="15" s="1"/>
  <c r="CR7" i="15" s="1"/>
  <c r="CP39" i="15"/>
  <c r="CQ39" i="15" s="1"/>
  <c r="CR39" i="15" s="1"/>
  <c r="CP71" i="15"/>
  <c r="CQ71" i="15" s="1"/>
  <c r="CR71" i="15" s="1"/>
  <c r="CP103" i="15"/>
  <c r="CQ103" i="15" s="1"/>
  <c r="CR103" i="15" s="1"/>
  <c r="CP135" i="15"/>
  <c r="CQ135" i="15" s="1"/>
  <c r="CR135" i="15" s="1"/>
  <c r="CP167" i="15"/>
  <c r="CQ167" i="15" s="1"/>
  <c r="CR167" i="15" s="1"/>
  <c r="CP199" i="15"/>
  <c r="CQ199" i="15" s="1"/>
  <c r="CR199" i="15" s="1"/>
  <c r="CP222" i="15"/>
  <c r="CQ222" i="15" s="1"/>
  <c r="CR222" i="15" s="1"/>
  <c r="CP74" i="15"/>
  <c r="CQ74" i="15" s="1"/>
  <c r="CR74" i="15" s="1"/>
  <c r="CP202" i="15"/>
  <c r="CQ202" i="15" s="1"/>
  <c r="CR202" i="15" s="1"/>
  <c r="CP82" i="15"/>
  <c r="CQ82" i="15" s="1"/>
  <c r="CR82" i="15" s="1"/>
  <c r="CP207" i="15"/>
  <c r="CQ207" i="15" s="1"/>
  <c r="CR207" i="15" s="1"/>
  <c r="CP122" i="15"/>
  <c r="CQ122" i="15" s="1"/>
  <c r="CR122" i="15" s="1"/>
  <c r="CP130" i="15"/>
  <c r="CQ130" i="15" s="1"/>
  <c r="CR130" i="15" s="1"/>
  <c r="CP66" i="15"/>
  <c r="CQ66" i="15" s="1"/>
  <c r="CR66" i="15" s="1"/>
  <c r="CP4" i="15"/>
  <c r="CQ4" i="15" s="1"/>
  <c r="CR4" i="15" s="1"/>
  <c r="CP36" i="15"/>
  <c r="CQ36" i="15" s="1"/>
  <c r="CR36" i="15" s="1"/>
  <c r="CP68" i="15"/>
  <c r="CQ68" i="15" s="1"/>
  <c r="CR68" i="15" s="1"/>
  <c r="CP100" i="15"/>
  <c r="CQ100" i="15" s="1"/>
  <c r="CR100" i="15" s="1"/>
  <c r="CP132" i="15"/>
  <c r="CQ132" i="15" s="1"/>
  <c r="CR132" i="15" s="1"/>
  <c r="CP164" i="15"/>
  <c r="CQ164" i="15" s="1"/>
  <c r="CR164" i="15" s="1"/>
  <c r="CP196" i="15"/>
  <c r="CQ196" i="15" s="1"/>
  <c r="CR196" i="15" s="1"/>
  <c r="CP212" i="15"/>
  <c r="CQ212" i="15" s="1"/>
  <c r="CR212" i="15" s="1"/>
  <c r="CP2" i="15"/>
  <c r="CQ2" i="15" s="1"/>
  <c r="CP17" i="15"/>
  <c r="CQ17" i="15" s="1"/>
  <c r="CR17" i="15" s="1"/>
  <c r="CP33" i="15"/>
  <c r="CQ33" i="15" s="1"/>
  <c r="CR33" i="15" s="1"/>
  <c r="CP49" i="15"/>
  <c r="CQ49" i="15" s="1"/>
  <c r="CR49" i="15" s="1"/>
  <c r="CP65" i="15"/>
  <c r="CQ65" i="15" s="1"/>
  <c r="CR65" i="15" s="1"/>
  <c r="CP81" i="15"/>
  <c r="CQ81" i="15" s="1"/>
  <c r="CR81" i="15" s="1"/>
  <c r="CP97" i="15"/>
  <c r="CQ97" i="15" s="1"/>
  <c r="CR97" i="15" s="1"/>
  <c r="CP113" i="15"/>
  <c r="CQ113" i="15" s="1"/>
  <c r="CR113" i="15" s="1"/>
  <c r="CP129" i="15"/>
  <c r="CQ129" i="15" s="1"/>
  <c r="CR129" i="15" s="1"/>
  <c r="CP145" i="15"/>
  <c r="CQ145" i="15" s="1"/>
  <c r="CR145" i="15" s="1"/>
  <c r="CP161" i="15"/>
  <c r="CQ161" i="15" s="1"/>
  <c r="CR161" i="15" s="1"/>
  <c r="CP177" i="15"/>
  <c r="CQ177" i="15" s="1"/>
  <c r="CR177" i="15" s="1"/>
  <c r="CP193" i="15"/>
  <c r="CQ193" i="15" s="1"/>
  <c r="CR193" i="15" s="1"/>
  <c r="CP11" i="15"/>
  <c r="CQ11" i="15" s="1"/>
  <c r="CR11" i="15" s="1"/>
  <c r="CP43" i="15"/>
  <c r="CQ43" i="15" s="1"/>
  <c r="CR43" i="15" s="1"/>
  <c r="CP75" i="15"/>
  <c r="CQ75" i="15" s="1"/>
  <c r="CR75" i="15" s="1"/>
  <c r="CP107" i="15"/>
  <c r="CQ107" i="15" s="1"/>
  <c r="CR107" i="15" s="1"/>
  <c r="CP139" i="15"/>
  <c r="CQ139" i="15" s="1"/>
  <c r="CR139" i="15" s="1"/>
  <c r="CP171" i="15"/>
  <c r="CQ171" i="15" s="1"/>
  <c r="CR171" i="15" s="1"/>
  <c r="CP203" i="15"/>
  <c r="CQ203" i="15" s="1"/>
  <c r="CR203" i="15" s="1"/>
  <c r="CP225" i="15"/>
  <c r="CQ225" i="15" s="1"/>
  <c r="CR225" i="15" s="1"/>
  <c r="CP30" i="15"/>
  <c r="CQ30" i="15" s="1"/>
  <c r="CR30" i="15" s="1"/>
  <c r="CP62" i="15"/>
  <c r="CQ62" i="15" s="1"/>
  <c r="CR62" i="15" s="1"/>
  <c r="CP94" i="15"/>
  <c r="CQ94" i="15" s="1"/>
  <c r="CR94" i="15" s="1"/>
  <c r="CP126" i="15"/>
  <c r="CQ126" i="15" s="1"/>
  <c r="CR126" i="15" s="1"/>
  <c r="CP158" i="15"/>
  <c r="CQ158" i="15" s="1"/>
  <c r="CR158" i="15" s="1"/>
  <c r="CP190" i="15"/>
  <c r="CQ190" i="15" s="1"/>
  <c r="CR190" i="15" s="1"/>
  <c r="CP215" i="15"/>
  <c r="CQ215" i="15" s="1"/>
  <c r="CR215" i="15" s="1"/>
  <c r="CP15" i="15"/>
  <c r="CQ15" i="15" s="1"/>
  <c r="CR15" i="15" s="1"/>
  <c r="CP47" i="15"/>
  <c r="CQ47" i="15" s="1"/>
  <c r="CR47" i="15" s="1"/>
  <c r="CP79" i="15"/>
  <c r="CQ79" i="15" s="1"/>
  <c r="CR79" i="15" s="1"/>
  <c r="CP111" i="15"/>
  <c r="CQ111" i="15" s="1"/>
  <c r="CR111" i="15" s="1"/>
  <c r="CP143" i="15"/>
  <c r="CQ143" i="15" s="1"/>
  <c r="CR143" i="15" s="1"/>
  <c r="CP175" i="15"/>
  <c r="CQ175" i="15" s="1"/>
  <c r="CR175" i="15" s="1"/>
  <c r="CP206" i="15"/>
  <c r="CQ206" i="15" s="1"/>
  <c r="CR206" i="15" s="1"/>
  <c r="CP227" i="15"/>
  <c r="CQ227" i="15" s="1"/>
  <c r="CR227" i="15" s="1"/>
  <c r="CP106" i="15"/>
  <c r="CQ106" i="15" s="1"/>
  <c r="CR106" i="15" s="1"/>
  <c r="CP223" i="15"/>
  <c r="CQ223" i="15" s="1"/>
  <c r="CR223" i="15" s="1"/>
  <c r="CP114" i="15"/>
  <c r="CQ114" i="15" s="1"/>
  <c r="CR114" i="15" s="1"/>
  <c r="CP26" i="15"/>
  <c r="CQ26" i="15" s="1"/>
  <c r="CR26" i="15" s="1"/>
  <c r="CP154" i="15"/>
  <c r="CQ154" i="15" s="1"/>
  <c r="CR154" i="15" s="1"/>
  <c r="CP218" i="15"/>
  <c r="CQ218" i="15" s="1"/>
  <c r="CR218" i="15" s="1"/>
  <c r="CP194" i="15"/>
  <c r="CQ194" i="15" s="1"/>
  <c r="CR194" i="15" s="1"/>
  <c r="CP8" i="15"/>
  <c r="CQ8" i="15" s="1"/>
  <c r="CR8" i="15" s="1"/>
  <c r="CP40" i="15"/>
  <c r="CQ40" i="15" s="1"/>
  <c r="CR40" i="15" s="1"/>
  <c r="CP72" i="15"/>
  <c r="CQ72" i="15" s="1"/>
  <c r="CR72" i="15" s="1"/>
  <c r="CP104" i="15"/>
  <c r="CQ104" i="15" s="1"/>
  <c r="CR104" i="15" s="1"/>
  <c r="CP136" i="15"/>
  <c r="CQ136" i="15" s="1"/>
  <c r="CR136" i="15" s="1"/>
  <c r="CP168" i="15"/>
  <c r="CQ168" i="15" s="1"/>
  <c r="CR168" i="15" s="1"/>
  <c r="CP200" i="15"/>
  <c r="CQ200" i="15" s="1"/>
  <c r="CR200" i="15" s="1"/>
  <c r="CP216" i="15"/>
  <c r="CQ216" i="15" s="1"/>
  <c r="CR216" i="15" s="1"/>
  <c r="CP5" i="15"/>
  <c r="CQ5" i="15" s="1"/>
  <c r="CR5" i="15" s="1"/>
  <c r="CP21" i="15"/>
  <c r="CQ21" i="15" s="1"/>
  <c r="CR21" i="15" s="1"/>
  <c r="CP37" i="15"/>
  <c r="CQ37" i="15" s="1"/>
  <c r="CR37" i="15" s="1"/>
  <c r="CP53" i="15"/>
  <c r="CQ53" i="15" s="1"/>
  <c r="CR53" i="15" s="1"/>
  <c r="CP69" i="15"/>
  <c r="CQ69" i="15" s="1"/>
  <c r="CR69" i="15" s="1"/>
  <c r="CP85" i="15"/>
  <c r="CQ85" i="15" s="1"/>
  <c r="CR85" i="15" s="1"/>
  <c r="CP101" i="15"/>
  <c r="CQ101" i="15" s="1"/>
  <c r="CR101" i="15" s="1"/>
  <c r="CP117" i="15"/>
  <c r="CQ117" i="15" s="1"/>
  <c r="CR117" i="15" s="1"/>
  <c r="CP133" i="15"/>
  <c r="CQ133" i="15" s="1"/>
  <c r="CR133" i="15" s="1"/>
  <c r="CP149" i="15"/>
  <c r="CQ149" i="15" s="1"/>
  <c r="CR149" i="15" s="1"/>
  <c r="CP165" i="15"/>
  <c r="CQ165" i="15" s="1"/>
  <c r="CR165" i="15" s="1"/>
  <c r="CP181" i="15"/>
  <c r="CQ181" i="15" s="1"/>
  <c r="CR181" i="15" s="1"/>
  <c r="CP197" i="15"/>
  <c r="CQ197" i="15" s="1"/>
  <c r="CR197" i="15" s="1"/>
  <c r="CP19" i="15"/>
  <c r="CQ19" i="15" s="1"/>
  <c r="CR19" i="15" s="1"/>
  <c r="CP51" i="15"/>
  <c r="CQ51" i="15" s="1"/>
  <c r="CR51" i="15" s="1"/>
  <c r="CP83" i="15"/>
  <c r="CQ83" i="15" s="1"/>
  <c r="CR83" i="15" s="1"/>
  <c r="CP115" i="15"/>
  <c r="CQ115" i="15" s="1"/>
  <c r="CR115" i="15" s="1"/>
  <c r="CP147" i="15"/>
  <c r="CQ147" i="15" s="1"/>
  <c r="CR147" i="15" s="1"/>
  <c r="CP179" i="15"/>
  <c r="CQ179" i="15" s="1"/>
  <c r="CR179" i="15" s="1"/>
  <c r="CP209" i="15"/>
  <c r="CQ209" i="15" s="1"/>
  <c r="CR209" i="15" s="1"/>
  <c r="CP6" i="15"/>
  <c r="CQ6" i="15" s="1"/>
  <c r="CR6" i="15" s="1"/>
  <c r="CP38" i="15"/>
  <c r="CQ38" i="15" s="1"/>
  <c r="CR38" i="15" s="1"/>
  <c r="CP70" i="15"/>
  <c r="CQ70" i="15" s="1"/>
  <c r="CR70" i="15" s="1"/>
  <c r="CP102" i="15"/>
  <c r="CQ102" i="15" s="1"/>
  <c r="CR102" i="15" s="1"/>
  <c r="CP134" i="15"/>
  <c r="CQ134" i="15" s="1"/>
  <c r="CR134" i="15" s="1"/>
  <c r="CP166" i="15"/>
  <c r="CQ166" i="15" s="1"/>
  <c r="CR166" i="15" s="1"/>
  <c r="CP198" i="15"/>
  <c r="CQ198" i="15" s="1"/>
  <c r="CR198" i="15" s="1"/>
  <c r="CP221" i="15"/>
  <c r="CQ221" i="15" s="1"/>
  <c r="CR221" i="15" s="1"/>
  <c r="CP23" i="15"/>
  <c r="CQ23" i="15" s="1"/>
  <c r="CR23" i="15" s="1"/>
  <c r="CP55" i="15"/>
  <c r="CQ55" i="15" s="1"/>
  <c r="CR55" i="15" s="1"/>
  <c r="CP87" i="15"/>
  <c r="CQ87" i="15" s="1"/>
  <c r="CR87" i="15" s="1"/>
  <c r="CP119" i="15"/>
  <c r="CQ119" i="15" s="1"/>
  <c r="CR119" i="15" s="1"/>
  <c r="CP151" i="15"/>
  <c r="CQ151" i="15" s="1"/>
  <c r="CR151" i="15" s="1"/>
  <c r="CP183" i="15"/>
  <c r="CQ183" i="15" s="1"/>
  <c r="CR183" i="15" s="1"/>
  <c r="CP211" i="15"/>
  <c r="CQ211" i="15" s="1"/>
  <c r="CR211" i="15" s="1"/>
  <c r="CP10" i="15"/>
  <c r="CQ10" i="15" s="1"/>
  <c r="CR10" i="15" s="1"/>
  <c r="CP138" i="15"/>
  <c r="CQ138" i="15" s="1"/>
  <c r="CR138" i="15" s="1"/>
  <c r="CP18" i="15"/>
  <c r="CQ18" i="15" s="1"/>
  <c r="CR18" i="15" s="1"/>
  <c r="CP146" i="15"/>
  <c r="CQ146" i="15" s="1"/>
  <c r="CR146" i="15" s="1"/>
  <c r="CP58" i="15"/>
  <c r="CQ58" i="15" s="1"/>
  <c r="CR58" i="15" s="1"/>
  <c r="CP186" i="15"/>
  <c r="CQ186" i="15" s="1"/>
  <c r="CR186" i="15" s="1"/>
  <c r="CP34" i="15"/>
  <c r="CQ34" i="15" s="1"/>
  <c r="CR34" i="15" s="1"/>
  <c r="CP98" i="15"/>
  <c r="CQ98" i="15" s="1"/>
  <c r="CR98" i="15" s="1"/>
  <c r="CP116" i="15"/>
  <c r="CQ116" i="15" s="1"/>
  <c r="CR116" i="15" s="1"/>
  <c r="CP220" i="15"/>
  <c r="CQ220" i="15" s="1"/>
  <c r="CR220" i="15" s="1"/>
  <c r="CP57" i="15"/>
  <c r="CQ57" i="15" s="1"/>
  <c r="CR57" i="15" s="1"/>
  <c r="CP121" i="15"/>
  <c r="CQ121" i="15" s="1"/>
  <c r="CR121" i="15" s="1"/>
  <c r="CP185" i="15"/>
  <c r="CQ185" i="15" s="1"/>
  <c r="CR185" i="15" s="1"/>
  <c r="CP91" i="15"/>
  <c r="CQ91" i="15" s="1"/>
  <c r="CR91" i="15" s="1"/>
  <c r="CP214" i="15"/>
  <c r="CQ214" i="15" s="1"/>
  <c r="CR214" i="15" s="1"/>
  <c r="CP110" i="15"/>
  <c r="CQ110" i="15" s="1"/>
  <c r="CR110" i="15" s="1"/>
  <c r="CP226" i="15"/>
  <c r="CQ226" i="15" s="1"/>
  <c r="CR226" i="15" s="1"/>
  <c r="CP127" i="15"/>
  <c r="CQ127" i="15" s="1"/>
  <c r="CR127" i="15" s="1"/>
  <c r="CP42" i="15"/>
  <c r="CQ42" i="15" s="1"/>
  <c r="CR42" i="15" s="1"/>
  <c r="CP90" i="15"/>
  <c r="CQ90" i="15" s="1"/>
  <c r="CR90" i="15" s="1"/>
  <c r="CP20" i="15"/>
  <c r="CQ20" i="15" s="1"/>
  <c r="CR20" i="15" s="1"/>
  <c r="CP148" i="15"/>
  <c r="CQ148" i="15" s="1"/>
  <c r="CR148" i="15" s="1"/>
  <c r="CP9" i="15"/>
  <c r="CQ9" i="15" s="1"/>
  <c r="CR9" i="15" s="1"/>
  <c r="CP73" i="15"/>
  <c r="CQ73" i="15" s="1"/>
  <c r="CR73" i="15" s="1"/>
  <c r="CP137" i="15"/>
  <c r="CQ137" i="15" s="1"/>
  <c r="CR137" i="15" s="1"/>
  <c r="CP201" i="15"/>
  <c r="CQ201" i="15" s="1"/>
  <c r="CR201" i="15" s="1"/>
  <c r="CP123" i="15"/>
  <c r="CQ123" i="15" s="1"/>
  <c r="CR123" i="15" s="1"/>
  <c r="CP14" i="15"/>
  <c r="CQ14" i="15" s="1"/>
  <c r="CR14" i="15" s="1"/>
  <c r="CP142" i="15"/>
  <c r="CQ142" i="15" s="1"/>
  <c r="CR142" i="15" s="1"/>
  <c r="CP31" i="15"/>
  <c r="CQ31" i="15" s="1"/>
  <c r="CR31" i="15" s="1"/>
  <c r="CP159" i="15"/>
  <c r="CQ159" i="15" s="1"/>
  <c r="CR159" i="15" s="1"/>
  <c r="CP170" i="15"/>
  <c r="CQ170" i="15" s="1"/>
  <c r="CR170" i="15" s="1"/>
  <c r="CP213" i="15"/>
  <c r="CQ213" i="15" s="1"/>
  <c r="CR213" i="15" s="1"/>
  <c r="CP52" i="15"/>
  <c r="CQ52" i="15" s="1"/>
  <c r="CR52" i="15" s="1"/>
  <c r="CP180" i="15"/>
  <c r="CQ180" i="15" s="1"/>
  <c r="CR180" i="15" s="1"/>
  <c r="CP25" i="15"/>
  <c r="CQ25" i="15" s="1"/>
  <c r="CR25" i="15" s="1"/>
  <c r="CP89" i="15"/>
  <c r="CQ89" i="15" s="1"/>
  <c r="CR89" i="15" s="1"/>
  <c r="CP153" i="15"/>
  <c r="CQ153" i="15" s="1"/>
  <c r="CR153" i="15" s="1"/>
  <c r="CP27" i="15"/>
  <c r="CQ27" i="15" s="1"/>
  <c r="CR27" i="15" s="1"/>
  <c r="CP155" i="15"/>
  <c r="CQ155" i="15" s="1"/>
  <c r="CR155" i="15" s="1"/>
  <c r="CP46" i="15"/>
  <c r="CQ46" i="15" s="1"/>
  <c r="CR46" i="15" s="1"/>
  <c r="CP174" i="15"/>
  <c r="CQ174" i="15" s="1"/>
  <c r="CR174" i="15" s="1"/>
  <c r="CP63" i="15"/>
  <c r="CQ63" i="15" s="1"/>
  <c r="CR63" i="15" s="1"/>
  <c r="CP191" i="15"/>
  <c r="CQ191" i="15" s="1"/>
  <c r="CR191" i="15" s="1"/>
  <c r="CP50" i="15"/>
  <c r="CQ50" i="15" s="1"/>
  <c r="CR50" i="15" s="1"/>
  <c r="CP162" i="15"/>
  <c r="CQ162" i="15" s="1"/>
  <c r="CR162" i="15" s="1"/>
  <c r="O11" i="4"/>
  <c r="AN11" i="15"/>
  <c r="AO11" i="15" s="1"/>
  <c r="AP11" i="15" s="1"/>
  <c r="AN27" i="15"/>
  <c r="AO27" i="15" s="1"/>
  <c r="AP27" i="15" s="1"/>
  <c r="AN43" i="15"/>
  <c r="AO43" i="15" s="1"/>
  <c r="AP43" i="15" s="1"/>
  <c r="AN59" i="15"/>
  <c r="AO59" i="15" s="1"/>
  <c r="AP59" i="15" s="1"/>
  <c r="AN15" i="15"/>
  <c r="AO15" i="15" s="1"/>
  <c r="AP15" i="15" s="1"/>
  <c r="AN31" i="15"/>
  <c r="AO31" i="15" s="1"/>
  <c r="AP31" i="15" s="1"/>
  <c r="AN47" i="15"/>
  <c r="AO47" i="15" s="1"/>
  <c r="AP47" i="15" s="1"/>
  <c r="AN63" i="15"/>
  <c r="AO63" i="15" s="1"/>
  <c r="AP63" i="15" s="1"/>
  <c r="AN79" i="15"/>
  <c r="AO79" i="15" s="1"/>
  <c r="AP79" i="15" s="1"/>
  <c r="AN3" i="15"/>
  <c r="AO3" i="15" s="1"/>
  <c r="AP3" i="15" s="1"/>
  <c r="AN19" i="15"/>
  <c r="AO19" i="15" s="1"/>
  <c r="AP19" i="15" s="1"/>
  <c r="AN35" i="15"/>
  <c r="AO35" i="15" s="1"/>
  <c r="AP35" i="15" s="1"/>
  <c r="AN51" i="15"/>
  <c r="AO51" i="15" s="1"/>
  <c r="AP51" i="15" s="1"/>
  <c r="AN67" i="15"/>
  <c r="AO67" i="15" s="1"/>
  <c r="AP67" i="15" s="1"/>
  <c r="AN55" i="15"/>
  <c r="AO55" i="15" s="1"/>
  <c r="AP55" i="15" s="1"/>
  <c r="AN87" i="15"/>
  <c r="AO87" i="15" s="1"/>
  <c r="AP87" i="15" s="1"/>
  <c r="AN103" i="15"/>
  <c r="AO103" i="15" s="1"/>
  <c r="AP103" i="15" s="1"/>
  <c r="AN119" i="15"/>
  <c r="AO119" i="15" s="1"/>
  <c r="AP119" i="15" s="1"/>
  <c r="AN135" i="15"/>
  <c r="AO135" i="15" s="1"/>
  <c r="AP135" i="15" s="1"/>
  <c r="AN151" i="15"/>
  <c r="AO151" i="15" s="1"/>
  <c r="AP151" i="15" s="1"/>
  <c r="AN167" i="15"/>
  <c r="AO167" i="15" s="1"/>
  <c r="AP167" i="15" s="1"/>
  <c r="AN183" i="15"/>
  <c r="AO183" i="15" s="1"/>
  <c r="AP183" i="15" s="1"/>
  <c r="AN199" i="15"/>
  <c r="AO199" i="15" s="1"/>
  <c r="AP199" i="15" s="1"/>
  <c r="AN215" i="15"/>
  <c r="AO215" i="15" s="1"/>
  <c r="AP215" i="15" s="1"/>
  <c r="AN10" i="15"/>
  <c r="AO10" i="15" s="1"/>
  <c r="AP10" i="15" s="1"/>
  <c r="AN26" i="15"/>
  <c r="AO26" i="15" s="1"/>
  <c r="AP26" i="15" s="1"/>
  <c r="AN42" i="15"/>
  <c r="AO42" i="15" s="1"/>
  <c r="AP42" i="15" s="1"/>
  <c r="AN58" i="15"/>
  <c r="AO58" i="15" s="1"/>
  <c r="AP58" i="15" s="1"/>
  <c r="AN74" i="15"/>
  <c r="AO74" i="15" s="1"/>
  <c r="AP74" i="15" s="1"/>
  <c r="AN90" i="15"/>
  <c r="AO90" i="15" s="1"/>
  <c r="AP90" i="15" s="1"/>
  <c r="AN106" i="15"/>
  <c r="AO106" i="15" s="1"/>
  <c r="AP106" i="15" s="1"/>
  <c r="AN126" i="15"/>
  <c r="AO126" i="15" s="1"/>
  <c r="AP126" i="15" s="1"/>
  <c r="AN210" i="15"/>
  <c r="AO210" i="15" s="1"/>
  <c r="AP210" i="15" s="1"/>
  <c r="AN12" i="15"/>
  <c r="AO12" i="15" s="1"/>
  <c r="AP12" i="15" s="1"/>
  <c r="AN28" i="15"/>
  <c r="AO28" i="15" s="1"/>
  <c r="AP28" i="15" s="1"/>
  <c r="AN44" i="15"/>
  <c r="AO44" i="15" s="1"/>
  <c r="AP44" i="15" s="1"/>
  <c r="AN60" i="15"/>
  <c r="AO60" i="15" s="1"/>
  <c r="AP60" i="15" s="1"/>
  <c r="AN76" i="15"/>
  <c r="AO76" i="15" s="1"/>
  <c r="AP76" i="15" s="1"/>
  <c r="AN92" i="15"/>
  <c r="AO92" i="15" s="1"/>
  <c r="AP92" i="15" s="1"/>
  <c r="AN108" i="15"/>
  <c r="AO108" i="15" s="1"/>
  <c r="AP108" i="15" s="1"/>
  <c r="AN124" i="15"/>
  <c r="AO124" i="15" s="1"/>
  <c r="AP124" i="15" s="1"/>
  <c r="AN140" i="15"/>
  <c r="AO140" i="15" s="1"/>
  <c r="AP140" i="15" s="1"/>
  <c r="AN156" i="15"/>
  <c r="AO156" i="15" s="1"/>
  <c r="AP156" i="15" s="1"/>
  <c r="AN172" i="15"/>
  <c r="AO172" i="15" s="1"/>
  <c r="AP172" i="15" s="1"/>
  <c r="AN188" i="15"/>
  <c r="AO188" i="15" s="1"/>
  <c r="AP188" i="15" s="1"/>
  <c r="AN204" i="15"/>
  <c r="AO204" i="15" s="1"/>
  <c r="AP204" i="15" s="1"/>
  <c r="AN220" i="15"/>
  <c r="AO220" i="15" s="1"/>
  <c r="AP220" i="15" s="1"/>
  <c r="AN9" i="15"/>
  <c r="AO9" i="15" s="1"/>
  <c r="AP9" i="15" s="1"/>
  <c r="AN25" i="15"/>
  <c r="AO25" i="15" s="1"/>
  <c r="AP25" i="15" s="1"/>
  <c r="AN41" i="15"/>
  <c r="AO41" i="15" s="1"/>
  <c r="AP41" i="15" s="1"/>
  <c r="AN57" i="15"/>
  <c r="AO57" i="15" s="1"/>
  <c r="AP57" i="15" s="1"/>
  <c r="AN73" i="15"/>
  <c r="AO73" i="15" s="1"/>
  <c r="AP73" i="15" s="1"/>
  <c r="AN89" i="15"/>
  <c r="AO89" i="15" s="1"/>
  <c r="AP89" i="15" s="1"/>
  <c r="AN105" i="15"/>
  <c r="AO105" i="15" s="1"/>
  <c r="AP105" i="15" s="1"/>
  <c r="AN121" i="15"/>
  <c r="AO121" i="15" s="1"/>
  <c r="AP121" i="15" s="1"/>
  <c r="AN137" i="15"/>
  <c r="AO137" i="15" s="1"/>
  <c r="AP137" i="15" s="1"/>
  <c r="AN153" i="15"/>
  <c r="AO153" i="15" s="1"/>
  <c r="AP153" i="15" s="1"/>
  <c r="AN169" i="15"/>
  <c r="AO169" i="15" s="1"/>
  <c r="AP169" i="15" s="1"/>
  <c r="AN185" i="15"/>
  <c r="AO185" i="15" s="1"/>
  <c r="AP185" i="15" s="1"/>
  <c r="AN201" i="15"/>
  <c r="AO201" i="15" s="1"/>
  <c r="AP201" i="15" s="1"/>
  <c r="AN217" i="15"/>
  <c r="AO217" i="15" s="1"/>
  <c r="AP217" i="15" s="1"/>
  <c r="AN122" i="15"/>
  <c r="AO122" i="15" s="1"/>
  <c r="AP122" i="15" s="1"/>
  <c r="AN150" i="15"/>
  <c r="AO150" i="15" s="1"/>
  <c r="AP150" i="15" s="1"/>
  <c r="AN166" i="15"/>
  <c r="AO166" i="15" s="1"/>
  <c r="AP166" i="15" s="1"/>
  <c r="AN182" i="15"/>
  <c r="AO182" i="15" s="1"/>
  <c r="AP182" i="15" s="1"/>
  <c r="AN202" i="15"/>
  <c r="AO202" i="15" s="1"/>
  <c r="AP202" i="15" s="1"/>
  <c r="AN226" i="15"/>
  <c r="AO226" i="15" s="1"/>
  <c r="AP226" i="15" s="1"/>
  <c r="AN7" i="15"/>
  <c r="AO7" i="15" s="1"/>
  <c r="AP7" i="15" s="1"/>
  <c r="AN71" i="15"/>
  <c r="AO71" i="15" s="1"/>
  <c r="AP71" i="15" s="1"/>
  <c r="AN91" i="15"/>
  <c r="AO91" i="15" s="1"/>
  <c r="AP91" i="15" s="1"/>
  <c r="AN107" i="15"/>
  <c r="AO107" i="15" s="1"/>
  <c r="AP107" i="15" s="1"/>
  <c r="AN123" i="15"/>
  <c r="AO123" i="15" s="1"/>
  <c r="AP123" i="15" s="1"/>
  <c r="AN139" i="15"/>
  <c r="AO139" i="15" s="1"/>
  <c r="AP139" i="15" s="1"/>
  <c r="AN155" i="15"/>
  <c r="AO155" i="15" s="1"/>
  <c r="AP155" i="15" s="1"/>
  <c r="AN171" i="15"/>
  <c r="AO171" i="15" s="1"/>
  <c r="AP171" i="15" s="1"/>
  <c r="AN187" i="15"/>
  <c r="AO187" i="15" s="1"/>
  <c r="AP187" i="15" s="1"/>
  <c r="AN203" i="15"/>
  <c r="AO203" i="15" s="1"/>
  <c r="AP203" i="15" s="1"/>
  <c r="AN219" i="15"/>
  <c r="AO219" i="15" s="1"/>
  <c r="AP219" i="15" s="1"/>
  <c r="AN14" i="15"/>
  <c r="AO14" i="15" s="1"/>
  <c r="AP14" i="15" s="1"/>
  <c r="AN30" i="15"/>
  <c r="AO30" i="15" s="1"/>
  <c r="AP30" i="15" s="1"/>
  <c r="AN46" i="15"/>
  <c r="AO46" i="15" s="1"/>
  <c r="AP46" i="15" s="1"/>
  <c r="AN62" i="15"/>
  <c r="AO62" i="15" s="1"/>
  <c r="AP62" i="15" s="1"/>
  <c r="AN78" i="15"/>
  <c r="AO78" i="15" s="1"/>
  <c r="AP78" i="15" s="1"/>
  <c r="AN94" i="15"/>
  <c r="AO94" i="15" s="1"/>
  <c r="AP94" i="15" s="1"/>
  <c r="AN110" i="15"/>
  <c r="AO110" i="15" s="1"/>
  <c r="AP110" i="15" s="1"/>
  <c r="AN130" i="15"/>
  <c r="AO130" i="15" s="1"/>
  <c r="AP130" i="15" s="1"/>
  <c r="AN218" i="15"/>
  <c r="AO218" i="15" s="1"/>
  <c r="AP218" i="15" s="1"/>
  <c r="AN16" i="15"/>
  <c r="AO16" i="15" s="1"/>
  <c r="AP16" i="15" s="1"/>
  <c r="AN32" i="15"/>
  <c r="AO32" i="15" s="1"/>
  <c r="AP32" i="15" s="1"/>
  <c r="AN48" i="15"/>
  <c r="AO48" i="15" s="1"/>
  <c r="AP48" i="15" s="1"/>
  <c r="AN64" i="15"/>
  <c r="AO64" i="15" s="1"/>
  <c r="AP64" i="15" s="1"/>
  <c r="AN80" i="15"/>
  <c r="AO80" i="15" s="1"/>
  <c r="AP80" i="15" s="1"/>
  <c r="AN96" i="15"/>
  <c r="AO96" i="15" s="1"/>
  <c r="AP96" i="15" s="1"/>
  <c r="AN112" i="15"/>
  <c r="AO112" i="15" s="1"/>
  <c r="AP112" i="15" s="1"/>
  <c r="AN128" i="15"/>
  <c r="AO128" i="15" s="1"/>
  <c r="AP128" i="15" s="1"/>
  <c r="AN144" i="15"/>
  <c r="AO144" i="15" s="1"/>
  <c r="AP144" i="15" s="1"/>
  <c r="AN160" i="15"/>
  <c r="AO160" i="15" s="1"/>
  <c r="AP160" i="15" s="1"/>
  <c r="AN176" i="15"/>
  <c r="AO176" i="15" s="1"/>
  <c r="AP176" i="15" s="1"/>
  <c r="AN192" i="15"/>
  <c r="AO192" i="15" s="1"/>
  <c r="AP192" i="15" s="1"/>
  <c r="AN208" i="15"/>
  <c r="AO208" i="15" s="1"/>
  <c r="AP208" i="15" s="1"/>
  <c r="AN224" i="15"/>
  <c r="AO224" i="15" s="1"/>
  <c r="AP224" i="15" s="1"/>
  <c r="AN13" i="15"/>
  <c r="AO13" i="15" s="1"/>
  <c r="AP13" i="15" s="1"/>
  <c r="AN29" i="15"/>
  <c r="AO29" i="15" s="1"/>
  <c r="AP29" i="15" s="1"/>
  <c r="AN45" i="15"/>
  <c r="AO45" i="15" s="1"/>
  <c r="AP45" i="15" s="1"/>
  <c r="AN61" i="15"/>
  <c r="AO61" i="15" s="1"/>
  <c r="AP61" i="15" s="1"/>
  <c r="AN77" i="15"/>
  <c r="AO77" i="15" s="1"/>
  <c r="AP77" i="15" s="1"/>
  <c r="AN93" i="15"/>
  <c r="AO93" i="15" s="1"/>
  <c r="AP93" i="15" s="1"/>
  <c r="AN109" i="15"/>
  <c r="AO109" i="15" s="1"/>
  <c r="AP109" i="15" s="1"/>
  <c r="AN125" i="15"/>
  <c r="AO125" i="15" s="1"/>
  <c r="AP125" i="15" s="1"/>
  <c r="AN141" i="15"/>
  <c r="AO141" i="15" s="1"/>
  <c r="AP141" i="15" s="1"/>
  <c r="AN157" i="15"/>
  <c r="AO157" i="15" s="1"/>
  <c r="AP157" i="15" s="1"/>
  <c r="AN173" i="15"/>
  <c r="AO173" i="15" s="1"/>
  <c r="AP173" i="15" s="1"/>
  <c r="AN189" i="15"/>
  <c r="AO189" i="15" s="1"/>
  <c r="AP189" i="15" s="1"/>
  <c r="AN205" i="15"/>
  <c r="AO205" i="15" s="1"/>
  <c r="AP205" i="15" s="1"/>
  <c r="AN221" i="15"/>
  <c r="AO221" i="15" s="1"/>
  <c r="AP221" i="15" s="1"/>
  <c r="AN138" i="15"/>
  <c r="AO138" i="15" s="1"/>
  <c r="AP138" i="15" s="1"/>
  <c r="AN154" i="15"/>
  <c r="AO154" i="15" s="1"/>
  <c r="AP154" i="15" s="1"/>
  <c r="AN170" i="15"/>
  <c r="AO170" i="15" s="1"/>
  <c r="AP170" i="15" s="1"/>
  <c r="AN186" i="15"/>
  <c r="AO186" i="15" s="1"/>
  <c r="AP186" i="15" s="1"/>
  <c r="AN206" i="15"/>
  <c r="AO206" i="15" s="1"/>
  <c r="AP206" i="15" s="1"/>
  <c r="AN75" i="15"/>
  <c r="AO75" i="15" s="1"/>
  <c r="AP75" i="15" s="1"/>
  <c r="AN111" i="15"/>
  <c r="AO111" i="15" s="1"/>
  <c r="AP111" i="15" s="1"/>
  <c r="AN143" i="15"/>
  <c r="AO143" i="15" s="1"/>
  <c r="AP143" i="15" s="1"/>
  <c r="AN175" i="15"/>
  <c r="AO175" i="15" s="1"/>
  <c r="AP175" i="15" s="1"/>
  <c r="AN207" i="15"/>
  <c r="AO207" i="15" s="1"/>
  <c r="AP207" i="15" s="1"/>
  <c r="AN18" i="15"/>
  <c r="AO18" i="15" s="1"/>
  <c r="AP18" i="15" s="1"/>
  <c r="AN50" i="15"/>
  <c r="AO50" i="15" s="1"/>
  <c r="AP50" i="15" s="1"/>
  <c r="AN82" i="15"/>
  <c r="AO82" i="15" s="1"/>
  <c r="AP82" i="15" s="1"/>
  <c r="AN114" i="15"/>
  <c r="AO114" i="15" s="1"/>
  <c r="AP114" i="15" s="1"/>
  <c r="AN4" i="15"/>
  <c r="AO4" i="15" s="1"/>
  <c r="AP4" i="15" s="1"/>
  <c r="AN36" i="15"/>
  <c r="AO36" i="15" s="1"/>
  <c r="AP36" i="15" s="1"/>
  <c r="AN68" i="15"/>
  <c r="AO68" i="15" s="1"/>
  <c r="AP68" i="15" s="1"/>
  <c r="AN100" i="15"/>
  <c r="AO100" i="15" s="1"/>
  <c r="AP100" i="15" s="1"/>
  <c r="AN132" i="15"/>
  <c r="AO132" i="15" s="1"/>
  <c r="AP132" i="15" s="1"/>
  <c r="AN164" i="15"/>
  <c r="AO164" i="15" s="1"/>
  <c r="AP164" i="15" s="1"/>
  <c r="AN196" i="15"/>
  <c r="AO196" i="15" s="1"/>
  <c r="AP196" i="15" s="1"/>
  <c r="AN2" i="15"/>
  <c r="AO2" i="15" s="1"/>
  <c r="AN33" i="15"/>
  <c r="AO33" i="15" s="1"/>
  <c r="AP33" i="15" s="1"/>
  <c r="AN65" i="15"/>
  <c r="AO65" i="15" s="1"/>
  <c r="AP65" i="15" s="1"/>
  <c r="AN97" i="15"/>
  <c r="AO97" i="15" s="1"/>
  <c r="AP97" i="15" s="1"/>
  <c r="AN129" i="15"/>
  <c r="AO129" i="15" s="1"/>
  <c r="AP129" i="15" s="1"/>
  <c r="AN161" i="15"/>
  <c r="AO161" i="15" s="1"/>
  <c r="AP161" i="15" s="1"/>
  <c r="AN193" i="15"/>
  <c r="AO193" i="15" s="1"/>
  <c r="AP193" i="15" s="1"/>
  <c r="AN225" i="15"/>
  <c r="AO225" i="15" s="1"/>
  <c r="AP225" i="15" s="1"/>
  <c r="AN158" i="15"/>
  <c r="AO158" i="15" s="1"/>
  <c r="AP158" i="15" s="1"/>
  <c r="AN190" i="15"/>
  <c r="AO190" i="15" s="1"/>
  <c r="AP190" i="15" s="1"/>
  <c r="AN83" i="15"/>
  <c r="AO83" i="15" s="1"/>
  <c r="AP83" i="15" s="1"/>
  <c r="AN115" i="15"/>
  <c r="AO115" i="15" s="1"/>
  <c r="AP115" i="15" s="1"/>
  <c r="AN147" i="15"/>
  <c r="AO147" i="15" s="1"/>
  <c r="AP147" i="15" s="1"/>
  <c r="AN179" i="15"/>
  <c r="AO179" i="15" s="1"/>
  <c r="AP179" i="15" s="1"/>
  <c r="AN211" i="15"/>
  <c r="AO211" i="15" s="1"/>
  <c r="AP211" i="15" s="1"/>
  <c r="AN22" i="15"/>
  <c r="AO22" i="15" s="1"/>
  <c r="AP22" i="15" s="1"/>
  <c r="AN54" i="15"/>
  <c r="AO54" i="15" s="1"/>
  <c r="AP54" i="15" s="1"/>
  <c r="AN86" i="15"/>
  <c r="AO86" i="15" s="1"/>
  <c r="AP86" i="15" s="1"/>
  <c r="AN118" i="15"/>
  <c r="AO118" i="15" s="1"/>
  <c r="AP118" i="15" s="1"/>
  <c r="AN8" i="15"/>
  <c r="AO8" i="15" s="1"/>
  <c r="AP8" i="15" s="1"/>
  <c r="AN40" i="15"/>
  <c r="AO40" i="15" s="1"/>
  <c r="AP40" i="15" s="1"/>
  <c r="AN72" i="15"/>
  <c r="AO72" i="15" s="1"/>
  <c r="AP72" i="15" s="1"/>
  <c r="AN104" i="15"/>
  <c r="AO104" i="15" s="1"/>
  <c r="AP104" i="15" s="1"/>
  <c r="AN136" i="15"/>
  <c r="AO136" i="15" s="1"/>
  <c r="AP136" i="15" s="1"/>
  <c r="AN168" i="15"/>
  <c r="AO168" i="15" s="1"/>
  <c r="AP168" i="15" s="1"/>
  <c r="AN200" i="15"/>
  <c r="AO200" i="15" s="1"/>
  <c r="AP200" i="15" s="1"/>
  <c r="AN5" i="15"/>
  <c r="AO5" i="15" s="1"/>
  <c r="AP5" i="15" s="1"/>
  <c r="AN37" i="15"/>
  <c r="AO37" i="15" s="1"/>
  <c r="AP37" i="15" s="1"/>
  <c r="AN69" i="15"/>
  <c r="AO69" i="15" s="1"/>
  <c r="AP69" i="15" s="1"/>
  <c r="AN101" i="15"/>
  <c r="AO101" i="15" s="1"/>
  <c r="AP101" i="15" s="1"/>
  <c r="AN133" i="15"/>
  <c r="AO133" i="15" s="1"/>
  <c r="AP133" i="15" s="1"/>
  <c r="AN165" i="15"/>
  <c r="AO165" i="15" s="1"/>
  <c r="AP165" i="15" s="1"/>
  <c r="AN197" i="15"/>
  <c r="AO197" i="15" s="1"/>
  <c r="AP197" i="15" s="1"/>
  <c r="AN6" i="15"/>
  <c r="AO6" i="15" s="1"/>
  <c r="AP6" i="15" s="1"/>
  <c r="AN162" i="15"/>
  <c r="AO162" i="15" s="1"/>
  <c r="AP162" i="15" s="1"/>
  <c r="AN194" i="15"/>
  <c r="AO194" i="15" s="1"/>
  <c r="AP194" i="15" s="1"/>
  <c r="AN23" i="15"/>
  <c r="AO23" i="15" s="1"/>
  <c r="AP23" i="15" s="1"/>
  <c r="AN95" i="15"/>
  <c r="AO95" i="15" s="1"/>
  <c r="AP95" i="15" s="1"/>
  <c r="AN127" i="15"/>
  <c r="AO127" i="15" s="1"/>
  <c r="AP127" i="15" s="1"/>
  <c r="AN159" i="15"/>
  <c r="AO159" i="15" s="1"/>
  <c r="AP159" i="15" s="1"/>
  <c r="AN191" i="15"/>
  <c r="AO191" i="15" s="1"/>
  <c r="AP191" i="15" s="1"/>
  <c r="AN223" i="15"/>
  <c r="AO223" i="15" s="1"/>
  <c r="AP223" i="15" s="1"/>
  <c r="AN34" i="15"/>
  <c r="AO34" i="15" s="1"/>
  <c r="AP34" i="15" s="1"/>
  <c r="AN66" i="15"/>
  <c r="AO66" i="15" s="1"/>
  <c r="AP66" i="15" s="1"/>
  <c r="AN98" i="15"/>
  <c r="AO98" i="15" s="1"/>
  <c r="AP98" i="15" s="1"/>
  <c r="AN134" i="15"/>
  <c r="AO134" i="15" s="1"/>
  <c r="AP134" i="15" s="1"/>
  <c r="AN20" i="15"/>
  <c r="AO20" i="15" s="1"/>
  <c r="AP20" i="15" s="1"/>
  <c r="AN52" i="15"/>
  <c r="AO52" i="15" s="1"/>
  <c r="AP52" i="15" s="1"/>
  <c r="AN84" i="15"/>
  <c r="AO84" i="15" s="1"/>
  <c r="AP84" i="15" s="1"/>
  <c r="AN116" i="15"/>
  <c r="AO116" i="15" s="1"/>
  <c r="AP116" i="15" s="1"/>
  <c r="AN148" i="15"/>
  <c r="AO148" i="15" s="1"/>
  <c r="AP148" i="15" s="1"/>
  <c r="AN180" i="15"/>
  <c r="AO180" i="15" s="1"/>
  <c r="AP180" i="15" s="1"/>
  <c r="AN212" i="15"/>
  <c r="AO212" i="15" s="1"/>
  <c r="AP212" i="15" s="1"/>
  <c r="AN17" i="15"/>
  <c r="AO17" i="15" s="1"/>
  <c r="AP17" i="15" s="1"/>
  <c r="AN49" i="15"/>
  <c r="AO49" i="15" s="1"/>
  <c r="AP49" i="15" s="1"/>
  <c r="AN81" i="15"/>
  <c r="AO81" i="15" s="1"/>
  <c r="AP81" i="15" s="1"/>
  <c r="AN113" i="15"/>
  <c r="AO113" i="15" s="1"/>
  <c r="AP113" i="15" s="1"/>
  <c r="AN145" i="15"/>
  <c r="AO145" i="15" s="1"/>
  <c r="AP145" i="15" s="1"/>
  <c r="AN177" i="15"/>
  <c r="AO177" i="15" s="1"/>
  <c r="AP177" i="15" s="1"/>
  <c r="AN209" i="15"/>
  <c r="AO209" i="15" s="1"/>
  <c r="AP209" i="15" s="1"/>
  <c r="AN142" i="15"/>
  <c r="AO142" i="15" s="1"/>
  <c r="AP142" i="15" s="1"/>
  <c r="AN174" i="15"/>
  <c r="AO174" i="15" s="1"/>
  <c r="AP174" i="15" s="1"/>
  <c r="AN214" i="15"/>
  <c r="AO214" i="15" s="1"/>
  <c r="AP214" i="15" s="1"/>
  <c r="AN163" i="15"/>
  <c r="AO163" i="15" s="1"/>
  <c r="AP163" i="15" s="1"/>
  <c r="AN70" i="15"/>
  <c r="AO70" i="15" s="1"/>
  <c r="AP70" i="15" s="1"/>
  <c r="AN56" i="15"/>
  <c r="AO56" i="15" s="1"/>
  <c r="AP56" i="15" s="1"/>
  <c r="AN184" i="15"/>
  <c r="AO184" i="15" s="1"/>
  <c r="AP184" i="15" s="1"/>
  <c r="AN85" i="15"/>
  <c r="AO85" i="15" s="1"/>
  <c r="AP85" i="15" s="1"/>
  <c r="AN213" i="15"/>
  <c r="AO213" i="15" s="1"/>
  <c r="AP213" i="15" s="1"/>
  <c r="AN39" i="15"/>
  <c r="AO39" i="15" s="1"/>
  <c r="AP39" i="15" s="1"/>
  <c r="AN195" i="15"/>
  <c r="AO195" i="15" s="1"/>
  <c r="AP195" i="15" s="1"/>
  <c r="AN102" i="15"/>
  <c r="AO102" i="15" s="1"/>
  <c r="AP102" i="15" s="1"/>
  <c r="AN88" i="15"/>
  <c r="AO88" i="15" s="1"/>
  <c r="AP88" i="15" s="1"/>
  <c r="AN216" i="15"/>
  <c r="AO216" i="15" s="1"/>
  <c r="AP216" i="15" s="1"/>
  <c r="AN117" i="15"/>
  <c r="AO117" i="15" s="1"/>
  <c r="AP117" i="15" s="1"/>
  <c r="AN146" i="15"/>
  <c r="AO146" i="15" s="1"/>
  <c r="AP146" i="15" s="1"/>
  <c r="AN99" i="15"/>
  <c r="AO99" i="15" s="1"/>
  <c r="AP99" i="15" s="1"/>
  <c r="AN227" i="15"/>
  <c r="AO227" i="15" s="1"/>
  <c r="AP227" i="15" s="1"/>
  <c r="AN198" i="15"/>
  <c r="AO198" i="15" s="1"/>
  <c r="AP198" i="15" s="1"/>
  <c r="AN120" i="15"/>
  <c r="AO120" i="15" s="1"/>
  <c r="AP120" i="15" s="1"/>
  <c r="AN21" i="15"/>
  <c r="AO21" i="15" s="1"/>
  <c r="AP21" i="15" s="1"/>
  <c r="AN149" i="15"/>
  <c r="AO149" i="15" s="1"/>
  <c r="AP149" i="15" s="1"/>
  <c r="AN178" i="15"/>
  <c r="AO178" i="15" s="1"/>
  <c r="AP178" i="15" s="1"/>
  <c r="P11" i="4"/>
  <c r="AQ13" i="15"/>
  <c r="AR13" i="15" s="1"/>
  <c r="AS13" i="15" s="1"/>
  <c r="AQ29" i="15"/>
  <c r="AR29" i="15" s="1"/>
  <c r="AS29" i="15" s="1"/>
  <c r="AQ45" i="15"/>
  <c r="AR45" i="15" s="1"/>
  <c r="AS45" i="15" s="1"/>
  <c r="AQ61" i="15"/>
  <c r="AR61" i="15" s="1"/>
  <c r="AS61" i="15" s="1"/>
  <c r="AQ77" i="15"/>
  <c r="AR77" i="15" s="1"/>
  <c r="AS77" i="15" s="1"/>
  <c r="AQ93" i="15"/>
  <c r="AR93" i="15" s="1"/>
  <c r="AS93" i="15" s="1"/>
  <c r="AQ109" i="15"/>
  <c r="AR109" i="15" s="1"/>
  <c r="AS109" i="15" s="1"/>
  <c r="AQ125" i="15"/>
  <c r="AR125" i="15" s="1"/>
  <c r="AS125" i="15" s="1"/>
  <c r="AQ141" i="15"/>
  <c r="AR141" i="15" s="1"/>
  <c r="AS141" i="15" s="1"/>
  <c r="AQ157" i="15"/>
  <c r="AR157" i="15" s="1"/>
  <c r="AS157" i="15" s="1"/>
  <c r="AQ173" i="15"/>
  <c r="AR173" i="15" s="1"/>
  <c r="AS173" i="15" s="1"/>
  <c r="AQ189" i="15"/>
  <c r="AR189" i="15" s="1"/>
  <c r="AS189" i="15" s="1"/>
  <c r="AQ205" i="15"/>
  <c r="AR205" i="15" s="1"/>
  <c r="AS205" i="15" s="1"/>
  <c r="AQ221" i="15"/>
  <c r="AR221" i="15" s="1"/>
  <c r="AS221" i="15" s="1"/>
  <c r="AQ24" i="15"/>
  <c r="AR24" i="15" s="1"/>
  <c r="AS24" i="15" s="1"/>
  <c r="AQ52" i="15"/>
  <c r="AR52" i="15" s="1"/>
  <c r="AS52" i="15" s="1"/>
  <c r="AQ84" i="15"/>
  <c r="AR84" i="15" s="1"/>
  <c r="AS84" i="15" s="1"/>
  <c r="AQ120" i="15"/>
  <c r="AR120" i="15" s="1"/>
  <c r="AS120" i="15" s="1"/>
  <c r="AQ148" i="15"/>
  <c r="AR148" i="15" s="1"/>
  <c r="AS148" i="15" s="1"/>
  <c r="AQ180" i="15"/>
  <c r="AR180" i="15" s="1"/>
  <c r="AS180" i="15" s="1"/>
  <c r="AQ212" i="15"/>
  <c r="AR212" i="15" s="1"/>
  <c r="AS212" i="15" s="1"/>
  <c r="AQ10" i="15"/>
  <c r="AR10" i="15" s="1"/>
  <c r="AS10" i="15" s="1"/>
  <c r="AQ26" i="15"/>
  <c r="AR26" i="15" s="1"/>
  <c r="AS26" i="15" s="1"/>
  <c r="AQ42" i="15"/>
  <c r="AR42" i="15" s="1"/>
  <c r="AS42" i="15" s="1"/>
  <c r="AQ58" i="15"/>
  <c r="AR58" i="15" s="1"/>
  <c r="AS58" i="15" s="1"/>
  <c r="AQ74" i="15"/>
  <c r="AR74" i="15" s="1"/>
  <c r="AS74" i="15" s="1"/>
  <c r="AQ90" i="15"/>
  <c r="AR90" i="15" s="1"/>
  <c r="AS90" i="15" s="1"/>
  <c r="AQ106" i="15"/>
  <c r="AR106" i="15" s="1"/>
  <c r="AS106" i="15" s="1"/>
  <c r="AQ122" i="15"/>
  <c r="AR122" i="15" s="1"/>
  <c r="AS122" i="15" s="1"/>
  <c r="AQ138" i="15"/>
  <c r="AR138" i="15" s="1"/>
  <c r="AS138" i="15" s="1"/>
  <c r="AQ154" i="15"/>
  <c r="AR154" i="15" s="1"/>
  <c r="AS154" i="15" s="1"/>
  <c r="AQ170" i="15"/>
  <c r="AR170" i="15" s="1"/>
  <c r="AS170" i="15" s="1"/>
  <c r="AQ186" i="15"/>
  <c r="AR186" i="15" s="1"/>
  <c r="AS186" i="15" s="1"/>
  <c r="AQ202" i="15"/>
  <c r="AR202" i="15" s="1"/>
  <c r="AS202" i="15" s="1"/>
  <c r="AQ218" i="15"/>
  <c r="AR218" i="15" s="1"/>
  <c r="AS218" i="15" s="1"/>
  <c r="AQ7" i="15"/>
  <c r="AR7" i="15" s="1"/>
  <c r="AS7" i="15" s="1"/>
  <c r="AQ23" i="15"/>
  <c r="AR23" i="15" s="1"/>
  <c r="AS23" i="15" s="1"/>
  <c r="AQ39" i="15"/>
  <c r="AR39" i="15" s="1"/>
  <c r="AS39" i="15" s="1"/>
  <c r="AQ55" i="15"/>
  <c r="AR55" i="15" s="1"/>
  <c r="AS55" i="15" s="1"/>
  <c r="AQ71" i="15"/>
  <c r="AR71" i="15" s="1"/>
  <c r="AS71" i="15" s="1"/>
  <c r="AQ87" i="15"/>
  <c r="AR87" i="15" s="1"/>
  <c r="AS87" i="15" s="1"/>
  <c r="AQ103" i="15"/>
  <c r="AR103" i="15" s="1"/>
  <c r="AS103" i="15" s="1"/>
  <c r="AQ119" i="15"/>
  <c r="AR119" i="15" s="1"/>
  <c r="AS119" i="15" s="1"/>
  <c r="AQ135" i="15"/>
  <c r="AR135" i="15" s="1"/>
  <c r="AS135" i="15" s="1"/>
  <c r="AQ151" i="15"/>
  <c r="AR151" i="15" s="1"/>
  <c r="AS151" i="15" s="1"/>
  <c r="AQ167" i="15"/>
  <c r="AR167" i="15" s="1"/>
  <c r="AS167" i="15" s="1"/>
  <c r="AQ183" i="15"/>
  <c r="AR183" i="15" s="1"/>
  <c r="AS183" i="15" s="1"/>
  <c r="AQ199" i="15"/>
  <c r="AR199" i="15" s="1"/>
  <c r="AS199" i="15" s="1"/>
  <c r="AQ215" i="15"/>
  <c r="AR215" i="15" s="1"/>
  <c r="AS215" i="15" s="1"/>
  <c r="AQ8" i="15"/>
  <c r="AR8" i="15" s="1"/>
  <c r="AS8" i="15" s="1"/>
  <c r="AQ40" i="15"/>
  <c r="AR40" i="15" s="1"/>
  <c r="AS40" i="15" s="1"/>
  <c r="AQ76" i="15"/>
  <c r="AR76" i="15" s="1"/>
  <c r="AS76" i="15" s="1"/>
  <c r="AQ104" i="15"/>
  <c r="AR104" i="15" s="1"/>
  <c r="AS104" i="15" s="1"/>
  <c r="AQ132" i="15"/>
  <c r="AR132" i="15" s="1"/>
  <c r="AS132" i="15" s="1"/>
  <c r="AQ168" i="15"/>
  <c r="AR168" i="15" s="1"/>
  <c r="AS168" i="15" s="1"/>
  <c r="AQ200" i="15"/>
  <c r="AR200" i="15" s="1"/>
  <c r="AS200" i="15" s="1"/>
  <c r="AQ17" i="15"/>
  <c r="AR17" i="15" s="1"/>
  <c r="AS17" i="15" s="1"/>
  <c r="AQ33" i="15"/>
  <c r="AR33" i="15" s="1"/>
  <c r="AS33" i="15" s="1"/>
  <c r="AQ49" i="15"/>
  <c r="AR49" i="15" s="1"/>
  <c r="AS49" i="15" s="1"/>
  <c r="AQ65" i="15"/>
  <c r="AR65" i="15" s="1"/>
  <c r="AS65" i="15" s="1"/>
  <c r="AQ81" i="15"/>
  <c r="AR81" i="15" s="1"/>
  <c r="AS81" i="15" s="1"/>
  <c r="AQ97" i="15"/>
  <c r="AR97" i="15" s="1"/>
  <c r="AS97" i="15" s="1"/>
  <c r="AQ113" i="15"/>
  <c r="AR113" i="15" s="1"/>
  <c r="AS113" i="15" s="1"/>
  <c r="AQ129" i="15"/>
  <c r="AR129" i="15" s="1"/>
  <c r="AS129" i="15" s="1"/>
  <c r="AQ145" i="15"/>
  <c r="AR145" i="15" s="1"/>
  <c r="AS145" i="15" s="1"/>
  <c r="AQ161" i="15"/>
  <c r="AR161" i="15" s="1"/>
  <c r="AS161" i="15" s="1"/>
  <c r="AQ177" i="15"/>
  <c r="AR177" i="15" s="1"/>
  <c r="AS177" i="15" s="1"/>
  <c r="AQ193" i="15"/>
  <c r="AR193" i="15" s="1"/>
  <c r="AS193" i="15" s="1"/>
  <c r="AQ209" i="15"/>
  <c r="AR209" i="15" s="1"/>
  <c r="AS209" i="15" s="1"/>
  <c r="AQ225" i="15"/>
  <c r="AR225" i="15" s="1"/>
  <c r="AS225" i="15" s="1"/>
  <c r="AQ28" i="15"/>
  <c r="AR28" i="15" s="1"/>
  <c r="AS28" i="15" s="1"/>
  <c r="AQ60" i="15"/>
  <c r="AR60" i="15" s="1"/>
  <c r="AS60" i="15" s="1"/>
  <c r="AQ92" i="15"/>
  <c r="AR92" i="15" s="1"/>
  <c r="AS92" i="15" s="1"/>
  <c r="AQ128" i="15"/>
  <c r="AR128" i="15" s="1"/>
  <c r="AS128" i="15" s="1"/>
  <c r="AQ156" i="15"/>
  <c r="AR156" i="15" s="1"/>
  <c r="AS156" i="15" s="1"/>
  <c r="AQ188" i="15"/>
  <c r="AR188" i="15" s="1"/>
  <c r="AS188" i="15" s="1"/>
  <c r="AQ220" i="15"/>
  <c r="AR220" i="15" s="1"/>
  <c r="AS220" i="15" s="1"/>
  <c r="AQ14" i="15"/>
  <c r="AR14" i="15" s="1"/>
  <c r="AS14" i="15" s="1"/>
  <c r="AQ30" i="15"/>
  <c r="AR30" i="15" s="1"/>
  <c r="AS30" i="15" s="1"/>
  <c r="AQ46" i="15"/>
  <c r="AR46" i="15" s="1"/>
  <c r="AS46" i="15" s="1"/>
  <c r="AQ62" i="15"/>
  <c r="AR62" i="15" s="1"/>
  <c r="AS62" i="15" s="1"/>
  <c r="AQ78" i="15"/>
  <c r="AR78" i="15" s="1"/>
  <c r="AS78" i="15" s="1"/>
  <c r="AQ94" i="15"/>
  <c r="AR94" i="15" s="1"/>
  <c r="AS94" i="15" s="1"/>
  <c r="AQ110" i="15"/>
  <c r="AR110" i="15" s="1"/>
  <c r="AS110" i="15" s="1"/>
  <c r="AQ126" i="15"/>
  <c r="AR126" i="15" s="1"/>
  <c r="AS126" i="15" s="1"/>
  <c r="AQ142" i="15"/>
  <c r="AR142" i="15" s="1"/>
  <c r="AS142" i="15" s="1"/>
  <c r="AQ158" i="15"/>
  <c r="AR158" i="15" s="1"/>
  <c r="AS158" i="15" s="1"/>
  <c r="AQ174" i="15"/>
  <c r="AR174" i="15" s="1"/>
  <c r="AS174" i="15" s="1"/>
  <c r="AQ190" i="15"/>
  <c r="AR190" i="15" s="1"/>
  <c r="AS190" i="15" s="1"/>
  <c r="AQ206" i="15"/>
  <c r="AR206" i="15" s="1"/>
  <c r="AS206" i="15" s="1"/>
  <c r="AQ222" i="15"/>
  <c r="AR222" i="15" s="1"/>
  <c r="AS222" i="15" s="1"/>
  <c r="AQ11" i="15"/>
  <c r="AR11" i="15" s="1"/>
  <c r="AS11" i="15" s="1"/>
  <c r="AQ27" i="15"/>
  <c r="AR27" i="15" s="1"/>
  <c r="AS27" i="15" s="1"/>
  <c r="AQ43" i="15"/>
  <c r="AR43" i="15" s="1"/>
  <c r="AS43" i="15" s="1"/>
  <c r="AQ59" i="15"/>
  <c r="AR59" i="15" s="1"/>
  <c r="AS59" i="15" s="1"/>
  <c r="AQ75" i="15"/>
  <c r="AR75" i="15" s="1"/>
  <c r="AS75" i="15" s="1"/>
  <c r="AQ91" i="15"/>
  <c r="AR91" i="15" s="1"/>
  <c r="AS91" i="15" s="1"/>
  <c r="AQ107" i="15"/>
  <c r="AR107" i="15" s="1"/>
  <c r="AS107" i="15" s="1"/>
  <c r="AQ123" i="15"/>
  <c r="AR123" i="15" s="1"/>
  <c r="AS123" i="15" s="1"/>
  <c r="AQ139" i="15"/>
  <c r="AR139" i="15" s="1"/>
  <c r="AS139" i="15" s="1"/>
  <c r="AQ155" i="15"/>
  <c r="AR155" i="15" s="1"/>
  <c r="AS155" i="15" s="1"/>
  <c r="AQ171" i="15"/>
  <c r="AR171" i="15" s="1"/>
  <c r="AS171" i="15" s="1"/>
  <c r="AQ187" i="15"/>
  <c r="AR187" i="15" s="1"/>
  <c r="AS187" i="15" s="1"/>
  <c r="AQ203" i="15"/>
  <c r="AR203" i="15" s="1"/>
  <c r="AS203" i="15" s="1"/>
  <c r="AQ219" i="15"/>
  <c r="AR219" i="15" s="1"/>
  <c r="AS219" i="15" s="1"/>
  <c r="AQ16" i="15"/>
  <c r="AR16" i="15" s="1"/>
  <c r="AS16" i="15" s="1"/>
  <c r="AQ48" i="15"/>
  <c r="AR48" i="15" s="1"/>
  <c r="AS48" i="15" s="1"/>
  <c r="AQ80" i="15"/>
  <c r="AR80" i="15" s="1"/>
  <c r="AS80" i="15" s="1"/>
  <c r="AQ112" i="15"/>
  <c r="AR112" i="15" s="1"/>
  <c r="AS112" i="15" s="1"/>
  <c r="AQ144" i="15"/>
  <c r="AR144" i="15" s="1"/>
  <c r="AS144" i="15" s="1"/>
  <c r="AQ176" i="15"/>
  <c r="AR176" i="15" s="1"/>
  <c r="AS176" i="15" s="1"/>
  <c r="AQ208" i="15"/>
  <c r="AR208" i="15" s="1"/>
  <c r="AS208" i="15" s="1"/>
  <c r="AQ5" i="15"/>
  <c r="AR5" i="15" s="1"/>
  <c r="AS5" i="15" s="1"/>
  <c r="AQ21" i="15"/>
  <c r="AR21" i="15" s="1"/>
  <c r="AS21" i="15" s="1"/>
  <c r="AQ37" i="15"/>
  <c r="AR37" i="15" s="1"/>
  <c r="AS37" i="15" s="1"/>
  <c r="AQ53" i="15"/>
  <c r="AR53" i="15" s="1"/>
  <c r="AS53" i="15" s="1"/>
  <c r="AQ69" i="15"/>
  <c r="AR69" i="15" s="1"/>
  <c r="AS69" i="15" s="1"/>
  <c r="AQ85" i="15"/>
  <c r="AR85" i="15" s="1"/>
  <c r="AS85" i="15" s="1"/>
  <c r="AQ101" i="15"/>
  <c r="AR101" i="15" s="1"/>
  <c r="AS101" i="15" s="1"/>
  <c r="AQ117" i="15"/>
  <c r="AR117" i="15" s="1"/>
  <c r="AS117" i="15" s="1"/>
  <c r="AQ133" i="15"/>
  <c r="AR133" i="15" s="1"/>
  <c r="AS133" i="15" s="1"/>
  <c r="AQ149" i="15"/>
  <c r="AR149" i="15" s="1"/>
  <c r="AS149" i="15" s="1"/>
  <c r="AQ165" i="15"/>
  <c r="AR165" i="15" s="1"/>
  <c r="AS165" i="15" s="1"/>
  <c r="AQ181" i="15"/>
  <c r="AR181" i="15" s="1"/>
  <c r="AS181" i="15" s="1"/>
  <c r="AQ197" i="15"/>
  <c r="AR197" i="15" s="1"/>
  <c r="AS197" i="15" s="1"/>
  <c r="AQ213" i="15"/>
  <c r="AR213" i="15" s="1"/>
  <c r="AS213" i="15" s="1"/>
  <c r="AQ4" i="15"/>
  <c r="AR4" i="15" s="1"/>
  <c r="AS4" i="15" s="1"/>
  <c r="AQ36" i="15"/>
  <c r="AR36" i="15" s="1"/>
  <c r="AS36" i="15" s="1"/>
  <c r="AQ68" i="15"/>
  <c r="AR68" i="15" s="1"/>
  <c r="AS68" i="15" s="1"/>
  <c r="AQ100" i="15"/>
  <c r="AR100" i="15" s="1"/>
  <c r="AS100" i="15" s="1"/>
  <c r="AQ136" i="15"/>
  <c r="AR136" i="15" s="1"/>
  <c r="AS136" i="15" s="1"/>
  <c r="AQ164" i="15"/>
  <c r="AR164" i="15" s="1"/>
  <c r="AS164" i="15" s="1"/>
  <c r="AQ196" i="15"/>
  <c r="AR196" i="15" s="1"/>
  <c r="AS196" i="15" s="1"/>
  <c r="AQ2" i="15"/>
  <c r="AR2" i="15" s="1"/>
  <c r="AQ18" i="15"/>
  <c r="AR18" i="15" s="1"/>
  <c r="AS18" i="15" s="1"/>
  <c r="AQ34" i="15"/>
  <c r="AR34" i="15" s="1"/>
  <c r="AS34" i="15" s="1"/>
  <c r="AQ50" i="15"/>
  <c r="AR50" i="15" s="1"/>
  <c r="AS50" i="15" s="1"/>
  <c r="AQ66" i="15"/>
  <c r="AR66" i="15" s="1"/>
  <c r="AS66" i="15" s="1"/>
  <c r="AQ82" i="15"/>
  <c r="AR82" i="15" s="1"/>
  <c r="AS82" i="15" s="1"/>
  <c r="AQ98" i="15"/>
  <c r="AR98" i="15" s="1"/>
  <c r="AS98" i="15" s="1"/>
  <c r="AQ114" i="15"/>
  <c r="AR114" i="15" s="1"/>
  <c r="AS114" i="15" s="1"/>
  <c r="AQ130" i="15"/>
  <c r="AR130" i="15" s="1"/>
  <c r="AS130" i="15" s="1"/>
  <c r="AQ146" i="15"/>
  <c r="AR146" i="15" s="1"/>
  <c r="AS146" i="15" s="1"/>
  <c r="AQ162" i="15"/>
  <c r="AR162" i="15" s="1"/>
  <c r="AS162" i="15" s="1"/>
  <c r="AQ178" i="15"/>
  <c r="AR178" i="15" s="1"/>
  <c r="AS178" i="15" s="1"/>
  <c r="AQ194" i="15"/>
  <c r="AR194" i="15" s="1"/>
  <c r="AS194" i="15" s="1"/>
  <c r="AQ210" i="15"/>
  <c r="AR210" i="15" s="1"/>
  <c r="AS210" i="15" s="1"/>
  <c r="AQ226" i="15"/>
  <c r="AR226" i="15" s="1"/>
  <c r="AS226" i="15" s="1"/>
  <c r="AQ15" i="15"/>
  <c r="AR15" i="15" s="1"/>
  <c r="AS15" i="15" s="1"/>
  <c r="AQ31" i="15"/>
  <c r="AR31" i="15" s="1"/>
  <c r="AS31" i="15" s="1"/>
  <c r="AQ47" i="15"/>
  <c r="AR47" i="15" s="1"/>
  <c r="AS47" i="15" s="1"/>
  <c r="AQ63" i="15"/>
  <c r="AR63" i="15" s="1"/>
  <c r="AS63" i="15" s="1"/>
  <c r="AQ79" i="15"/>
  <c r="AR79" i="15" s="1"/>
  <c r="AS79" i="15" s="1"/>
  <c r="AQ95" i="15"/>
  <c r="AR95" i="15" s="1"/>
  <c r="AS95" i="15" s="1"/>
  <c r="AQ111" i="15"/>
  <c r="AR111" i="15" s="1"/>
  <c r="AS111" i="15" s="1"/>
  <c r="AQ127" i="15"/>
  <c r="AR127" i="15" s="1"/>
  <c r="AS127" i="15" s="1"/>
  <c r="AQ143" i="15"/>
  <c r="AR143" i="15" s="1"/>
  <c r="AS143" i="15" s="1"/>
  <c r="AQ159" i="15"/>
  <c r="AR159" i="15" s="1"/>
  <c r="AS159" i="15" s="1"/>
  <c r="AQ175" i="15"/>
  <c r="AR175" i="15" s="1"/>
  <c r="AS175" i="15" s="1"/>
  <c r="AQ191" i="15"/>
  <c r="AR191" i="15" s="1"/>
  <c r="AS191" i="15" s="1"/>
  <c r="AQ207" i="15"/>
  <c r="AR207" i="15" s="1"/>
  <c r="AS207" i="15" s="1"/>
  <c r="AQ223" i="15"/>
  <c r="AR223" i="15" s="1"/>
  <c r="AS223" i="15" s="1"/>
  <c r="AQ20" i="15"/>
  <c r="AR20" i="15" s="1"/>
  <c r="AS20" i="15" s="1"/>
  <c r="AQ56" i="15"/>
  <c r="AR56" i="15" s="1"/>
  <c r="AS56" i="15" s="1"/>
  <c r="AQ88" i="15"/>
  <c r="AR88" i="15" s="1"/>
  <c r="AS88" i="15" s="1"/>
  <c r="AQ116" i="15"/>
  <c r="AR116" i="15" s="1"/>
  <c r="AS116" i="15" s="1"/>
  <c r="AQ152" i="15"/>
  <c r="AR152" i="15" s="1"/>
  <c r="AS152" i="15" s="1"/>
  <c r="AQ184" i="15"/>
  <c r="AR184" i="15" s="1"/>
  <c r="AS184" i="15" s="1"/>
  <c r="AQ216" i="15"/>
  <c r="AR216" i="15" s="1"/>
  <c r="AS216" i="15" s="1"/>
  <c r="AQ25" i="15"/>
  <c r="AR25" i="15" s="1"/>
  <c r="AS25" i="15" s="1"/>
  <c r="AQ89" i="15"/>
  <c r="AR89" i="15" s="1"/>
  <c r="AS89" i="15" s="1"/>
  <c r="AQ153" i="15"/>
  <c r="AR153" i="15" s="1"/>
  <c r="AS153" i="15" s="1"/>
  <c r="AQ217" i="15"/>
  <c r="AR217" i="15" s="1"/>
  <c r="AS217" i="15" s="1"/>
  <c r="AQ108" i="15"/>
  <c r="AR108" i="15" s="1"/>
  <c r="AS108" i="15" s="1"/>
  <c r="AQ6" i="15"/>
  <c r="AR6" i="15" s="1"/>
  <c r="AS6" i="15" s="1"/>
  <c r="AQ70" i="15"/>
  <c r="AR70" i="15" s="1"/>
  <c r="AS70" i="15" s="1"/>
  <c r="AQ134" i="15"/>
  <c r="AR134" i="15" s="1"/>
  <c r="AS134" i="15" s="1"/>
  <c r="AQ198" i="15"/>
  <c r="AR198" i="15" s="1"/>
  <c r="AS198" i="15" s="1"/>
  <c r="AQ35" i="15"/>
  <c r="AR35" i="15" s="1"/>
  <c r="AS35" i="15" s="1"/>
  <c r="AQ99" i="15"/>
  <c r="AR99" i="15" s="1"/>
  <c r="AS99" i="15" s="1"/>
  <c r="AQ41" i="15"/>
  <c r="AR41" i="15" s="1"/>
  <c r="AS41" i="15" s="1"/>
  <c r="AQ105" i="15"/>
  <c r="AR105" i="15" s="1"/>
  <c r="AS105" i="15" s="1"/>
  <c r="AQ169" i="15"/>
  <c r="AR169" i="15" s="1"/>
  <c r="AS169" i="15" s="1"/>
  <c r="AQ12" i="15"/>
  <c r="AR12" i="15" s="1"/>
  <c r="AS12" i="15" s="1"/>
  <c r="AQ140" i="15"/>
  <c r="AR140" i="15" s="1"/>
  <c r="AS140" i="15" s="1"/>
  <c r="AQ22" i="15"/>
  <c r="AR22" i="15" s="1"/>
  <c r="AS22" i="15" s="1"/>
  <c r="AQ86" i="15"/>
  <c r="AR86" i="15" s="1"/>
  <c r="AS86" i="15" s="1"/>
  <c r="AQ150" i="15"/>
  <c r="AR150" i="15" s="1"/>
  <c r="AS150" i="15" s="1"/>
  <c r="AQ214" i="15"/>
  <c r="AR214" i="15" s="1"/>
  <c r="AS214" i="15" s="1"/>
  <c r="AQ51" i="15"/>
  <c r="AR51" i="15" s="1"/>
  <c r="AS51" i="15" s="1"/>
  <c r="AQ115" i="15"/>
  <c r="AR115" i="15" s="1"/>
  <c r="AS115" i="15" s="1"/>
  <c r="AQ179" i="15"/>
  <c r="AR179" i="15" s="1"/>
  <c r="AS179" i="15" s="1"/>
  <c r="AQ32" i="15"/>
  <c r="AR32" i="15" s="1"/>
  <c r="AS32" i="15" s="1"/>
  <c r="AQ160" i="15"/>
  <c r="AR160" i="15" s="1"/>
  <c r="AS160" i="15" s="1"/>
  <c r="AQ57" i="15"/>
  <c r="AR57" i="15" s="1"/>
  <c r="AS57" i="15" s="1"/>
  <c r="AQ121" i="15"/>
  <c r="AR121" i="15" s="1"/>
  <c r="AS121" i="15" s="1"/>
  <c r="AQ185" i="15"/>
  <c r="AR185" i="15" s="1"/>
  <c r="AS185" i="15" s="1"/>
  <c r="AQ44" i="15"/>
  <c r="AR44" i="15" s="1"/>
  <c r="AS44" i="15" s="1"/>
  <c r="AQ172" i="15"/>
  <c r="AR172" i="15" s="1"/>
  <c r="AS172" i="15" s="1"/>
  <c r="AQ38" i="15"/>
  <c r="AR38" i="15" s="1"/>
  <c r="AS38" i="15" s="1"/>
  <c r="AQ102" i="15"/>
  <c r="AR102" i="15" s="1"/>
  <c r="AS102" i="15" s="1"/>
  <c r="AQ166" i="15"/>
  <c r="AR166" i="15" s="1"/>
  <c r="AS166" i="15" s="1"/>
  <c r="AQ3" i="15"/>
  <c r="AR3" i="15" s="1"/>
  <c r="AS3" i="15" s="1"/>
  <c r="AQ67" i="15"/>
  <c r="AR67" i="15" s="1"/>
  <c r="AS67" i="15" s="1"/>
  <c r="AQ131" i="15"/>
  <c r="AR131" i="15" s="1"/>
  <c r="AS131" i="15" s="1"/>
  <c r="AQ195" i="15"/>
  <c r="AR195" i="15" s="1"/>
  <c r="AS195" i="15" s="1"/>
  <c r="AQ64" i="15"/>
  <c r="AR64" i="15" s="1"/>
  <c r="AS64" i="15" s="1"/>
  <c r="AQ192" i="15"/>
  <c r="AR192" i="15" s="1"/>
  <c r="AS192" i="15" s="1"/>
  <c r="AQ137" i="15"/>
  <c r="AR137" i="15" s="1"/>
  <c r="AS137" i="15" s="1"/>
  <c r="AQ54" i="15"/>
  <c r="AR54" i="15" s="1"/>
  <c r="AS54" i="15" s="1"/>
  <c r="AQ83" i="15"/>
  <c r="AR83" i="15" s="1"/>
  <c r="AS83" i="15" s="1"/>
  <c r="AQ227" i="15"/>
  <c r="AR227" i="15" s="1"/>
  <c r="AS227" i="15" s="1"/>
  <c r="AQ201" i="15"/>
  <c r="AR201" i="15" s="1"/>
  <c r="AS201" i="15" s="1"/>
  <c r="AQ118" i="15"/>
  <c r="AR118" i="15" s="1"/>
  <c r="AS118" i="15" s="1"/>
  <c r="AQ147" i="15"/>
  <c r="AR147" i="15" s="1"/>
  <c r="AS147" i="15" s="1"/>
  <c r="AQ96" i="15"/>
  <c r="AR96" i="15" s="1"/>
  <c r="AS96" i="15" s="1"/>
  <c r="AQ9" i="15"/>
  <c r="AR9" i="15" s="1"/>
  <c r="AS9" i="15" s="1"/>
  <c r="AQ72" i="15"/>
  <c r="AR72" i="15" s="1"/>
  <c r="AS72" i="15" s="1"/>
  <c r="AQ182" i="15"/>
  <c r="AR182" i="15" s="1"/>
  <c r="AS182" i="15" s="1"/>
  <c r="AQ163" i="15"/>
  <c r="AR163" i="15" s="1"/>
  <c r="AS163" i="15" s="1"/>
  <c r="AQ124" i="15"/>
  <c r="AR124" i="15" s="1"/>
  <c r="AS124" i="15" s="1"/>
  <c r="AQ19" i="15"/>
  <c r="AR19" i="15" s="1"/>
  <c r="AS19" i="15" s="1"/>
  <c r="AQ211" i="15"/>
  <c r="AR211" i="15" s="1"/>
  <c r="AS211" i="15" s="1"/>
  <c r="AQ73" i="15"/>
  <c r="AR73" i="15" s="1"/>
  <c r="AS73" i="15" s="1"/>
  <c r="AQ224" i="15"/>
  <c r="AR224" i="15" s="1"/>
  <c r="AS224" i="15" s="1"/>
  <c r="BI65" i="15"/>
  <c r="BJ65" i="15" s="1"/>
  <c r="BK65" i="15" s="1"/>
  <c r="BI189" i="15"/>
  <c r="BJ189" i="15" s="1"/>
  <c r="BK189" i="15" s="1"/>
  <c r="BI125" i="15"/>
  <c r="BJ125" i="15" s="1"/>
  <c r="BK125" i="15" s="1"/>
  <c r="BI61" i="15"/>
  <c r="BJ61" i="15" s="1"/>
  <c r="BK61" i="15" s="1"/>
  <c r="BI209" i="15"/>
  <c r="BJ209" i="15" s="1"/>
  <c r="BK209" i="15" s="1"/>
  <c r="BI49" i="15"/>
  <c r="BJ49" i="15" s="1"/>
  <c r="BK49" i="15" s="1"/>
  <c r="BI169" i="15"/>
  <c r="BJ169" i="15" s="1"/>
  <c r="BK169" i="15" s="1"/>
  <c r="BI105" i="15"/>
  <c r="BJ105" i="15" s="1"/>
  <c r="BK105" i="15" s="1"/>
  <c r="BI41" i="15"/>
  <c r="BJ41" i="15" s="1"/>
  <c r="BK41" i="15" s="1"/>
  <c r="BI129" i="15"/>
  <c r="BJ129" i="15" s="1"/>
  <c r="BK129" i="15" s="1"/>
  <c r="BI197" i="15"/>
  <c r="BJ197" i="15" s="1"/>
  <c r="BK197" i="15" s="1"/>
  <c r="BI133" i="15"/>
  <c r="BJ133" i="15" s="1"/>
  <c r="BK133" i="15" s="1"/>
  <c r="BI69" i="15"/>
  <c r="BJ69" i="15" s="1"/>
  <c r="BK69" i="15" s="1"/>
  <c r="BI5" i="15"/>
  <c r="BJ5" i="15" s="1"/>
  <c r="BK5" i="15" s="1"/>
  <c r="BI216" i="15"/>
  <c r="BJ216" i="15" s="1"/>
  <c r="BK216" i="15" s="1"/>
  <c r="BI200" i="15"/>
  <c r="BJ200" i="15" s="1"/>
  <c r="BK200" i="15" s="1"/>
  <c r="BI184" i="15"/>
  <c r="BJ184" i="15" s="1"/>
  <c r="BK184" i="15" s="1"/>
  <c r="BI168" i="15"/>
  <c r="BJ168" i="15" s="1"/>
  <c r="BK168" i="15" s="1"/>
  <c r="BI152" i="15"/>
  <c r="BJ152" i="15" s="1"/>
  <c r="BK152" i="15" s="1"/>
  <c r="BI136" i="15"/>
  <c r="BJ136" i="15" s="1"/>
  <c r="BK136" i="15" s="1"/>
  <c r="BI120" i="15"/>
  <c r="BJ120" i="15" s="1"/>
  <c r="BK120" i="15" s="1"/>
  <c r="BI104" i="15"/>
  <c r="BJ104" i="15" s="1"/>
  <c r="BK104" i="15" s="1"/>
  <c r="BI88" i="15"/>
  <c r="BJ88" i="15" s="1"/>
  <c r="BK88" i="15" s="1"/>
  <c r="BI72" i="15"/>
  <c r="BJ72" i="15" s="1"/>
  <c r="BK72" i="15" s="1"/>
  <c r="BI56" i="15"/>
  <c r="BJ56" i="15" s="1"/>
  <c r="BK56" i="15" s="1"/>
  <c r="BI40" i="15"/>
  <c r="BJ40" i="15" s="1"/>
  <c r="BK40" i="15" s="1"/>
  <c r="BI24" i="15"/>
  <c r="BJ24" i="15" s="1"/>
  <c r="BK24" i="15" s="1"/>
  <c r="BI8" i="15"/>
  <c r="BJ8" i="15" s="1"/>
  <c r="BK8" i="15" s="1"/>
  <c r="BI219" i="15"/>
  <c r="BJ219" i="15" s="1"/>
  <c r="BK219" i="15" s="1"/>
  <c r="BI203" i="15"/>
  <c r="BJ203" i="15" s="1"/>
  <c r="BK203" i="15" s="1"/>
  <c r="BI187" i="15"/>
  <c r="BJ187" i="15" s="1"/>
  <c r="BK187" i="15" s="1"/>
  <c r="BI171" i="15"/>
  <c r="BJ171" i="15" s="1"/>
  <c r="BK171" i="15" s="1"/>
  <c r="BI155" i="15"/>
  <c r="BJ155" i="15" s="1"/>
  <c r="BK155" i="15" s="1"/>
  <c r="BI139" i="15"/>
  <c r="BJ139" i="15" s="1"/>
  <c r="BK139" i="15" s="1"/>
  <c r="BI123" i="15"/>
  <c r="BJ123" i="15" s="1"/>
  <c r="BK123" i="15" s="1"/>
  <c r="BI107" i="15"/>
  <c r="BJ107" i="15" s="1"/>
  <c r="BK107" i="15" s="1"/>
  <c r="BI91" i="15"/>
  <c r="BJ91" i="15" s="1"/>
  <c r="BK91" i="15" s="1"/>
  <c r="BI75" i="15"/>
  <c r="BJ75" i="15" s="1"/>
  <c r="BK75" i="15" s="1"/>
  <c r="BI59" i="15"/>
  <c r="BJ59" i="15" s="1"/>
  <c r="BK59" i="15" s="1"/>
  <c r="BI43" i="15"/>
  <c r="BJ43" i="15" s="1"/>
  <c r="BK43" i="15" s="1"/>
  <c r="BI27" i="15"/>
  <c r="BJ27" i="15" s="1"/>
  <c r="BK27" i="15" s="1"/>
  <c r="BI11" i="15"/>
  <c r="BJ11" i="15" s="1"/>
  <c r="BK11" i="15" s="1"/>
  <c r="BI222" i="15"/>
  <c r="BJ222" i="15" s="1"/>
  <c r="BK222" i="15" s="1"/>
  <c r="BI206" i="15"/>
  <c r="BJ206" i="15" s="1"/>
  <c r="BK206" i="15" s="1"/>
  <c r="BI190" i="15"/>
  <c r="BJ190" i="15" s="1"/>
  <c r="BK190" i="15" s="1"/>
  <c r="BI174" i="15"/>
  <c r="BJ174" i="15" s="1"/>
  <c r="BK174" i="15" s="1"/>
  <c r="BI158" i="15"/>
  <c r="BJ158" i="15" s="1"/>
  <c r="BK158" i="15" s="1"/>
  <c r="BI142" i="15"/>
  <c r="BJ142" i="15" s="1"/>
  <c r="BK142" i="15" s="1"/>
  <c r="BI126" i="15"/>
  <c r="BJ126" i="15" s="1"/>
  <c r="BK126" i="15" s="1"/>
  <c r="BI110" i="15"/>
  <c r="BJ110" i="15" s="1"/>
  <c r="BK110" i="15" s="1"/>
  <c r="BI94" i="15"/>
  <c r="BJ94" i="15" s="1"/>
  <c r="BK94" i="15" s="1"/>
  <c r="BI78" i="15"/>
  <c r="BJ78" i="15" s="1"/>
  <c r="BK78" i="15" s="1"/>
  <c r="BI62" i="15"/>
  <c r="BJ62" i="15" s="1"/>
  <c r="BK62" i="15" s="1"/>
  <c r="BI46" i="15"/>
  <c r="BJ46" i="15" s="1"/>
  <c r="BK46" i="15" s="1"/>
  <c r="BI30" i="15"/>
  <c r="BJ30" i="15" s="1"/>
  <c r="BK30" i="15" s="1"/>
  <c r="BI14" i="15"/>
  <c r="BJ14" i="15" s="1"/>
  <c r="BK14" i="15" s="1"/>
  <c r="P50" i="15"/>
  <c r="Q50" i="15" s="1"/>
  <c r="R50" i="15" s="1"/>
  <c r="P158" i="15"/>
  <c r="Q158" i="15" s="1"/>
  <c r="R158" i="15" s="1"/>
  <c r="P78" i="15"/>
  <c r="Q78" i="15" s="1"/>
  <c r="R78" i="15" s="1"/>
  <c r="P210" i="15"/>
  <c r="Q210" i="15" s="1"/>
  <c r="R210" i="15" s="1"/>
  <c r="P154" i="15"/>
  <c r="Q154" i="15" s="1"/>
  <c r="R154" i="15" s="1"/>
  <c r="P74" i="15"/>
  <c r="Q74" i="15" s="1"/>
  <c r="R74" i="15" s="1"/>
  <c r="P226" i="15"/>
  <c r="Q226" i="15" s="1"/>
  <c r="R226" i="15" s="1"/>
  <c r="P214" i="15"/>
  <c r="Q214" i="15" s="1"/>
  <c r="R214" i="15" s="1"/>
  <c r="P134" i="15"/>
  <c r="Q134" i="15" s="1"/>
  <c r="R134" i="15" s="1"/>
  <c r="P54" i="15"/>
  <c r="Q54" i="15" s="1"/>
  <c r="R54" i="15" s="1"/>
  <c r="P217" i="15"/>
  <c r="Q217" i="15" s="1"/>
  <c r="R217" i="15" s="1"/>
  <c r="P197" i="15"/>
  <c r="Q197" i="15" s="1"/>
  <c r="R197" i="15" s="1"/>
  <c r="P177" i="15"/>
  <c r="Q177" i="15" s="1"/>
  <c r="R177" i="15" s="1"/>
  <c r="P149" i="15"/>
  <c r="Q149" i="15" s="1"/>
  <c r="R149" i="15" s="1"/>
  <c r="P117" i="15"/>
  <c r="Q117" i="15" s="1"/>
  <c r="R117" i="15" s="1"/>
  <c r="P85" i="15"/>
  <c r="Q85" i="15" s="1"/>
  <c r="R85" i="15" s="1"/>
  <c r="P53" i="15"/>
  <c r="Q53" i="15" s="1"/>
  <c r="R53" i="15" s="1"/>
  <c r="P21" i="15"/>
  <c r="Q21" i="15" s="1"/>
  <c r="R21" i="15" s="1"/>
  <c r="P212" i="15"/>
  <c r="Q212" i="15" s="1"/>
  <c r="R212" i="15" s="1"/>
  <c r="P180" i="15"/>
  <c r="Q180" i="15" s="1"/>
  <c r="R180" i="15" s="1"/>
  <c r="P148" i="15"/>
  <c r="Q148" i="15" s="1"/>
  <c r="R148" i="15" s="1"/>
  <c r="P116" i="15"/>
  <c r="Q116" i="15" s="1"/>
  <c r="R116" i="15" s="1"/>
  <c r="P84" i="15"/>
  <c r="Q84" i="15" s="1"/>
  <c r="R84" i="15" s="1"/>
  <c r="P52" i="15"/>
  <c r="Q52" i="15" s="1"/>
  <c r="R52" i="15" s="1"/>
  <c r="P20" i="15"/>
  <c r="Q20" i="15" s="1"/>
  <c r="R20" i="15" s="1"/>
  <c r="P219" i="15"/>
  <c r="Q219" i="15" s="1"/>
  <c r="R219" i="15" s="1"/>
  <c r="P187" i="15"/>
  <c r="Q187" i="15" s="1"/>
  <c r="R187" i="15" s="1"/>
  <c r="P155" i="15"/>
  <c r="Q155" i="15" s="1"/>
  <c r="R155" i="15" s="1"/>
  <c r="P123" i="15"/>
  <c r="Q123" i="15" s="1"/>
  <c r="R123" i="15" s="1"/>
  <c r="P91" i="15"/>
  <c r="Q91" i="15" s="1"/>
  <c r="R91" i="15" s="1"/>
  <c r="P59" i="15"/>
  <c r="Q59" i="15" s="1"/>
  <c r="R59" i="15" s="1"/>
  <c r="P27" i="15"/>
  <c r="Q27" i="15" s="1"/>
  <c r="R27" i="15" s="1"/>
  <c r="EC157" i="15"/>
  <c r="ED157" i="15" s="1"/>
  <c r="EE157" i="15" s="1"/>
  <c r="BX81" i="15"/>
  <c r="BY81" i="15" s="1"/>
  <c r="BZ81" i="15" s="1"/>
  <c r="BX2" i="15"/>
  <c r="BY2" i="15" s="1"/>
  <c r="BX197" i="15"/>
  <c r="BY197" i="15" s="1"/>
  <c r="BZ197" i="15" s="1"/>
  <c r="BX212" i="15"/>
  <c r="BY212" i="15" s="1"/>
  <c r="BZ212" i="15" s="1"/>
  <c r="BX148" i="15"/>
  <c r="BY148" i="15" s="1"/>
  <c r="BZ148" i="15" s="1"/>
  <c r="BX84" i="15"/>
  <c r="BY84" i="15" s="1"/>
  <c r="BZ84" i="15" s="1"/>
  <c r="BX20" i="15"/>
  <c r="BY20" i="15" s="1"/>
  <c r="BZ20" i="15" s="1"/>
  <c r="BX183" i="15"/>
  <c r="BY183" i="15" s="1"/>
  <c r="BZ183" i="15" s="1"/>
  <c r="BX119" i="15"/>
  <c r="BY119" i="15" s="1"/>
  <c r="BZ119" i="15" s="1"/>
  <c r="BX55" i="15"/>
  <c r="BY55" i="15" s="1"/>
  <c r="BZ55" i="15" s="1"/>
  <c r="BX218" i="15"/>
  <c r="BY218" i="15" s="1"/>
  <c r="BZ218" i="15" s="1"/>
  <c r="BX154" i="15"/>
  <c r="BY154" i="15" s="1"/>
  <c r="BZ154" i="15" s="1"/>
  <c r="BX90" i="15"/>
  <c r="BY90" i="15" s="1"/>
  <c r="BZ90" i="15" s="1"/>
  <c r="BX26" i="15"/>
  <c r="BY26" i="15" s="1"/>
  <c r="BZ26" i="15" s="1"/>
  <c r="D149" i="15"/>
  <c r="E149" i="15" s="1"/>
  <c r="F149" i="15" s="1"/>
  <c r="D193" i="15"/>
  <c r="E193" i="15" s="1"/>
  <c r="F193" i="15" s="1"/>
  <c r="D157" i="15"/>
  <c r="E157" i="15" s="1"/>
  <c r="F157" i="15" s="1"/>
  <c r="D121" i="15"/>
  <c r="E121" i="15" s="1"/>
  <c r="F121" i="15" s="1"/>
  <c r="D192" i="15"/>
  <c r="E192" i="15" s="1"/>
  <c r="F192" i="15" s="1"/>
  <c r="D128" i="15"/>
  <c r="E128" i="15" s="1"/>
  <c r="F128" i="15" s="1"/>
  <c r="D64" i="15"/>
  <c r="E64" i="15" s="1"/>
  <c r="F64" i="15" s="1"/>
  <c r="D227" i="15"/>
  <c r="E227" i="15" s="1"/>
  <c r="F227" i="15" s="1"/>
  <c r="D67" i="15"/>
  <c r="E67" i="15" s="1"/>
  <c r="F67" i="15" s="1"/>
  <c r="D38" i="15"/>
  <c r="E38" i="15" s="1"/>
  <c r="F38" i="15" s="1"/>
  <c r="BC174" i="15"/>
  <c r="BD174" i="15" s="1"/>
  <c r="BE174" i="15" s="1"/>
  <c r="EI24" i="15"/>
  <c r="EJ24" i="15" s="1"/>
  <c r="EK24" i="15" s="1"/>
  <c r="EI91" i="15"/>
  <c r="EJ91" i="15" s="1"/>
  <c r="EK91" i="15" s="1"/>
  <c r="EI185" i="15"/>
  <c r="EJ185" i="15" s="1"/>
  <c r="EK185" i="15" s="1"/>
  <c r="EI46" i="15"/>
  <c r="EJ46" i="15" s="1"/>
  <c r="EK46" i="15" s="1"/>
  <c r="CP217" i="15"/>
  <c r="CQ217" i="15" s="1"/>
  <c r="CR217" i="15" s="1"/>
  <c r="CP187" i="15"/>
  <c r="CQ187" i="15" s="1"/>
  <c r="CR187" i="15" s="1"/>
  <c r="CP41" i="15"/>
  <c r="CQ41" i="15" s="1"/>
  <c r="CR41" i="15" s="1"/>
  <c r="AN222" i="15"/>
  <c r="AO222" i="15" s="1"/>
  <c r="AP222" i="15" s="1"/>
  <c r="AN24" i="15"/>
  <c r="AO24" i="15" s="1"/>
  <c r="AP24" i="15" s="1"/>
  <c r="BI173" i="15"/>
  <c r="BJ173" i="15" s="1"/>
  <c r="BK173" i="15" s="1"/>
  <c r="BI45" i="15"/>
  <c r="BJ45" i="15" s="1"/>
  <c r="BK45" i="15" s="1"/>
  <c r="BI217" i="15"/>
  <c r="BJ217" i="15" s="1"/>
  <c r="BK217" i="15" s="1"/>
  <c r="BI25" i="15"/>
  <c r="BJ25" i="15" s="1"/>
  <c r="BK25" i="15" s="1"/>
  <c r="BI181" i="15"/>
  <c r="BJ181" i="15" s="1"/>
  <c r="BK181" i="15" s="1"/>
  <c r="BI53" i="15"/>
  <c r="BJ53" i="15" s="1"/>
  <c r="BK53" i="15" s="1"/>
  <c r="BI212" i="15"/>
  <c r="BJ212" i="15" s="1"/>
  <c r="BK212" i="15" s="1"/>
  <c r="BI164" i="15"/>
  <c r="BJ164" i="15" s="1"/>
  <c r="BK164" i="15" s="1"/>
  <c r="BI132" i="15"/>
  <c r="BJ132" i="15" s="1"/>
  <c r="BK132" i="15" s="1"/>
  <c r="BI100" i="15"/>
  <c r="BJ100" i="15" s="1"/>
  <c r="BK100" i="15" s="1"/>
  <c r="BI68" i="15"/>
  <c r="BJ68" i="15" s="1"/>
  <c r="BK68" i="15" s="1"/>
  <c r="BI36" i="15"/>
  <c r="BJ36" i="15" s="1"/>
  <c r="BK36" i="15" s="1"/>
  <c r="BI4" i="15"/>
  <c r="BJ4" i="15" s="1"/>
  <c r="BK4" i="15" s="1"/>
  <c r="BI199" i="15"/>
  <c r="BJ199" i="15" s="1"/>
  <c r="BK199" i="15" s="1"/>
  <c r="BI167" i="15"/>
  <c r="BJ167" i="15" s="1"/>
  <c r="BK167" i="15" s="1"/>
  <c r="BI135" i="15"/>
  <c r="BJ135" i="15" s="1"/>
  <c r="BK135" i="15" s="1"/>
  <c r="BI119" i="15"/>
  <c r="BJ119" i="15" s="1"/>
  <c r="BK119" i="15" s="1"/>
  <c r="BI87" i="15"/>
  <c r="BJ87" i="15" s="1"/>
  <c r="BK87" i="15" s="1"/>
  <c r="BI55" i="15"/>
  <c r="BJ55" i="15" s="1"/>
  <c r="BK55" i="15" s="1"/>
  <c r="BI23" i="15"/>
  <c r="BJ23" i="15" s="1"/>
  <c r="BK23" i="15" s="1"/>
  <c r="BI218" i="15"/>
  <c r="BJ218" i="15" s="1"/>
  <c r="BK218" i="15" s="1"/>
  <c r="BI186" i="15"/>
  <c r="BJ186" i="15" s="1"/>
  <c r="BK186" i="15" s="1"/>
  <c r="BI154" i="15"/>
  <c r="BJ154" i="15" s="1"/>
  <c r="BK154" i="15" s="1"/>
  <c r="BI106" i="15"/>
  <c r="BJ106" i="15" s="1"/>
  <c r="BK106" i="15" s="1"/>
  <c r="BI58" i="15"/>
  <c r="BJ58" i="15" s="1"/>
  <c r="BK58" i="15" s="1"/>
  <c r="P178" i="15"/>
  <c r="Q178" i="15" s="1"/>
  <c r="R178" i="15" s="1"/>
  <c r="P222" i="15"/>
  <c r="Q222" i="15" s="1"/>
  <c r="R222" i="15" s="1"/>
  <c r="P142" i="15"/>
  <c r="Q142" i="15" s="1"/>
  <c r="R142" i="15" s="1"/>
  <c r="P62" i="15"/>
  <c r="Q62" i="15" s="1"/>
  <c r="R62" i="15" s="1"/>
  <c r="P218" i="15"/>
  <c r="Q218" i="15" s="1"/>
  <c r="R218" i="15" s="1"/>
  <c r="P138" i="15"/>
  <c r="Q138" i="15" s="1"/>
  <c r="R138" i="15" s="1"/>
  <c r="P58" i="15"/>
  <c r="Q58" i="15" s="1"/>
  <c r="R58" i="15" s="1"/>
  <c r="P162" i="15"/>
  <c r="Q162" i="15" s="1"/>
  <c r="R162" i="15" s="1"/>
  <c r="P198" i="15"/>
  <c r="Q198" i="15" s="1"/>
  <c r="R198" i="15" s="1"/>
  <c r="P118" i="15"/>
  <c r="Q118" i="15" s="1"/>
  <c r="R118" i="15" s="1"/>
  <c r="P22" i="15"/>
  <c r="Q22" i="15" s="1"/>
  <c r="R22" i="15" s="1"/>
  <c r="P213" i="15"/>
  <c r="Q213" i="15" s="1"/>
  <c r="R213" i="15" s="1"/>
  <c r="P193" i="15"/>
  <c r="Q193" i="15" s="1"/>
  <c r="R193" i="15" s="1"/>
  <c r="P169" i="15"/>
  <c r="Q169" i="15" s="1"/>
  <c r="R169" i="15" s="1"/>
  <c r="P113" i="15"/>
  <c r="Q113" i="15" s="1"/>
  <c r="R113" i="15" s="1"/>
  <c r="P81" i="15"/>
  <c r="Q81" i="15" s="1"/>
  <c r="R81" i="15" s="1"/>
  <c r="P49" i="15"/>
  <c r="Q49" i="15" s="1"/>
  <c r="R49" i="15" s="1"/>
  <c r="P17" i="15"/>
  <c r="Q17" i="15" s="1"/>
  <c r="R17" i="15" s="1"/>
  <c r="P208" i="15"/>
  <c r="Q208" i="15" s="1"/>
  <c r="R208" i="15" s="1"/>
  <c r="P176" i="15"/>
  <c r="Q176" i="15" s="1"/>
  <c r="R176" i="15" s="1"/>
  <c r="P144" i="15"/>
  <c r="Q144" i="15" s="1"/>
  <c r="R144" i="15" s="1"/>
  <c r="P112" i="15"/>
  <c r="Q112" i="15" s="1"/>
  <c r="R112" i="15" s="1"/>
  <c r="P80" i="15"/>
  <c r="Q80" i="15" s="1"/>
  <c r="R80" i="15" s="1"/>
  <c r="P48" i="15"/>
  <c r="Q48" i="15" s="1"/>
  <c r="R48" i="15" s="1"/>
  <c r="P16" i="15"/>
  <c r="Q16" i="15" s="1"/>
  <c r="R16" i="15" s="1"/>
  <c r="P215" i="15"/>
  <c r="Q215" i="15" s="1"/>
  <c r="R215" i="15" s="1"/>
  <c r="P183" i="15"/>
  <c r="Q183" i="15" s="1"/>
  <c r="R183" i="15" s="1"/>
  <c r="P151" i="15"/>
  <c r="Q151" i="15" s="1"/>
  <c r="R151" i="15" s="1"/>
  <c r="P119" i="15"/>
  <c r="Q119" i="15" s="1"/>
  <c r="R119" i="15" s="1"/>
  <c r="P87" i="15"/>
  <c r="Q87" i="15" s="1"/>
  <c r="R87" i="15" s="1"/>
  <c r="P55" i="15"/>
  <c r="Q55" i="15" s="1"/>
  <c r="R55" i="15" s="1"/>
  <c r="P23" i="15"/>
  <c r="Q23" i="15" s="1"/>
  <c r="R23" i="15" s="1"/>
  <c r="EC148" i="15"/>
  <c r="ED148" i="15" s="1"/>
  <c r="EE148" i="15" s="1"/>
  <c r="BX129" i="15"/>
  <c r="BY129" i="15" s="1"/>
  <c r="BZ129" i="15" s="1"/>
  <c r="BX189" i="15"/>
  <c r="BY189" i="15" s="1"/>
  <c r="BZ189" i="15" s="1"/>
  <c r="BX169" i="15"/>
  <c r="BY169" i="15" s="1"/>
  <c r="BZ169" i="15" s="1"/>
  <c r="BX133" i="15"/>
  <c r="BY133" i="15" s="1"/>
  <c r="BZ133" i="15" s="1"/>
  <c r="BX196" i="15"/>
  <c r="BY196" i="15" s="1"/>
  <c r="BZ196" i="15" s="1"/>
  <c r="BX132" i="15"/>
  <c r="BY132" i="15" s="1"/>
  <c r="BZ132" i="15" s="1"/>
  <c r="BX68" i="15"/>
  <c r="BY68" i="15" s="1"/>
  <c r="BZ68" i="15" s="1"/>
  <c r="BX4" i="15"/>
  <c r="BY4" i="15" s="1"/>
  <c r="BZ4" i="15" s="1"/>
  <c r="BX167" i="15"/>
  <c r="BY167" i="15" s="1"/>
  <c r="BZ167" i="15" s="1"/>
  <c r="BX103" i="15"/>
  <c r="BY103" i="15" s="1"/>
  <c r="BZ103" i="15" s="1"/>
  <c r="BX39" i="15"/>
  <c r="BY39" i="15" s="1"/>
  <c r="BZ39" i="15" s="1"/>
  <c r="BX202" i="15"/>
  <c r="BY202" i="15" s="1"/>
  <c r="BZ202" i="15" s="1"/>
  <c r="BX138" i="15"/>
  <c r="BY138" i="15" s="1"/>
  <c r="BZ138" i="15" s="1"/>
  <c r="BX74" i="15"/>
  <c r="BY74" i="15" s="1"/>
  <c r="BZ74" i="15" s="1"/>
  <c r="BX10" i="15"/>
  <c r="BY10" i="15" s="1"/>
  <c r="BZ10" i="15" s="1"/>
  <c r="D5" i="15"/>
  <c r="E5" i="15" s="1"/>
  <c r="F5" i="15" s="1"/>
  <c r="D129" i="15"/>
  <c r="E129" i="15" s="1"/>
  <c r="F129" i="15" s="1"/>
  <c r="D93" i="15"/>
  <c r="E93" i="15" s="1"/>
  <c r="F93" i="15" s="1"/>
  <c r="D57" i="15"/>
  <c r="E57" i="15" s="1"/>
  <c r="F57" i="15" s="1"/>
  <c r="D176" i="15"/>
  <c r="E176" i="15" s="1"/>
  <c r="F176" i="15" s="1"/>
  <c r="D112" i="15"/>
  <c r="E112" i="15" s="1"/>
  <c r="F112" i="15" s="1"/>
  <c r="D48" i="15"/>
  <c r="E48" i="15" s="1"/>
  <c r="F48" i="15" s="1"/>
  <c r="D207" i="15"/>
  <c r="E207" i="15" s="1"/>
  <c r="F207" i="15" s="1"/>
  <c r="D3" i="15"/>
  <c r="E3" i="15" s="1"/>
  <c r="F3" i="15" s="1"/>
  <c r="EI171" i="15"/>
  <c r="EJ171" i="15" s="1"/>
  <c r="EK171" i="15" s="1"/>
  <c r="EI190" i="15"/>
  <c r="EJ190" i="15" s="1"/>
  <c r="EK190" i="15" s="1"/>
  <c r="EI121" i="15"/>
  <c r="EJ121" i="15" s="1"/>
  <c r="EK121" i="15" s="1"/>
  <c r="CP95" i="15"/>
  <c r="CQ95" i="15" s="1"/>
  <c r="CR95" i="15" s="1"/>
  <c r="CP59" i="15"/>
  <c r="CQ59" i="15" s="1"/>
  <c r="CR59" i="15" s="1"/>
  <c r="CP204" i="15"/>
  <c r="CQ204" i="15" s="1"/>
  <c r="CR204" i="15" s="1"/>
  <c r="AN181" i="15"/>
  <c r="AO181" i="15" s="1"/>
  <c r="AP181" i="15" s="1"/>
  <c r="AN38" i="15"/>
  <c r="AO38" i="15" s="1"/>
  <c r="AP38" i="15" s="1"/>
  <c r="AQ204" i="15"/>
  <c r="AR204" i="15" s="1"/>
  <c r="AS204" i="15" s="1"/>
  <c r="BI225" i="15"/>
  <c r="BJ225" i="15" s="1"/>
  <c r="BK225" i="15" s="1"/>
  <c r="BI17" i="15"/>
  <c r="BJ17" i="15" s="1"/>
  <c r="BK17" i="15" s="1"/>
  <c r="BI109" i="15"/>
  <c r="BJ109" i="15" s="1"/>
  <c r="BK109" i="15" s="1"/>
  <c r="BI161" i="15"/>
  <c r="BJ161" i="15" s="1"/>
  <c r="BK161" i="15" s="1"/>
  <c r="BI153" i="15"/>
  <c r="BJ153" i="15" s="1"/>
  <c r="BK153" i="15" s="1"/>
  <c r="BI89" i="15"/>
  <c r="BJ89" i="15" s="1"/>
  <c r="BK89" i="15" s="1"/>
  <c r="BI81" i="15"/>
  <c r="BJ81" i="15" s="1"/>
  <c r="BK81" i="15" s="1"/>
  <c r="BI117" i="15"/>
  <c r="BJ117" i="15" s="1"/>
  <c r="BK117" i="15" s="1"/>
  <c r="BI2" i="15"/>
  <c r="BJ2" i="15" s="1"/>
  <c r="BI196" i="15"/>
  <c r="BJ196" i="15" s="1"/>
  <c r="BK196" i="15" s="1"/>
  <c r="BI180" i="15"/>
  <c r="BJ180" i="15" s="1"/>
  <c r="BK180" i="15" s="1"/>
  <c r="BI148" i="15"/>
  <c r="BJ148" i="15" s="1"/>
  <c r="BK148" i="15" s="1"/>
  <c r="BI116" i="15"/>
  <c r="BJ116" i="15" s="1"/>
  <c r="BK116" i="15" s="1"/>
  <c r="BI84" i="15"/>
  <c r="BJ84" i="15" s="1"/>
  <c r="BK84" i="15" s="1"/>
  <c r="BI52" i="15"/>
  <c r="BJ52" i="15" s="1"/>
  <c r="BK52" i="15" s="1"/>
  <c r="BI20" i="15"/>
  <c r="BJ20" i="15" s="1"/>
  <c r="BK20" i="15" s="1"/>
  <c r="BI215" i="15"/>
  <c r="BJ215" i="15" s="1"/>
  <c r="BK215" i="15" s="1"/>
  <c r="BI183" i="15"/>
  <c r="BJ183" i="15" s="1"/>
  <c r="BK183" i="15" s="1"/>
  <c r="BI151" i="15"/>
  <c r="BJ151" i="15" s="1"/>
  <c r="BK151" i="15" s="1"/>
  <c r="BI103" i="15"/>
  <c r="BJ103" i="15" s="1"/>
  <c r="BK103" i="15" s="1"/>
  <c r="BI71" i="15"/>
  <c r="BJ71" i="15" s="1"/>
  <c r="BK71" i="15" s="1"/>
  <c r="BI39" i="15"/>
  <c r="BJ39" i="15" s="1"/>
  <c r="BK39" i="15" s="1"/>
  <c r="BI7" i="15"/>
  <c r="BJ7" i="15" s="1"/>
  <c r="BK7" i="15" s="1"/>
  <c r="BI202" i="15"/>
  <c r="BJ202" i="15" s="1"/>
  <c r="BK202" i="15" s="1"/>
  <c r="BI170" i="15"/>
  <c r="BJ170" i="15" s="1"/>
  <c r="BK170" i="15" s="1"/>
  <c r="BI138" i="15"/>
  <c r="BJ138" i="15" s="1"/>
  <c r="BK138" i="15" s="1"/>
  <c r="BI122" i="15"/>
  <c r="BJ122" i="15" s="1"/>
  <c r="BK122" i="15" s="1"/>
  <c r="BI90" i="15"/>
  <c r="BJ90" i="15" s="1"/>
  <c r="BK90" i="15" s="1"/>
  <c r="BI74" i="15"/>
  <c r="BJ74" i="15" s="1"/>
  <c r="BK74" i="15" s="1"/>
  <c r="BI42" i="15"/>
  <c r="BJ42" i="15" s="1"/>
  <c r="BK42" i="15" s="1"/>
  <c r="BI26" i="15"/>
  <c r="BJ26" i="15" s="1"/>
  <c r="BK26" i="15" s="1"/>
  <c r="BI10" i="15"/>
  <c r="BJ10" i="15" s="1"/>
  <c r="BK10" i="15" s="1"/>
  <c r="P145" i="15"/>
  <c r="Q145" i="15" s="1"/>
  <c r="R145" i="15" s="1"/>
  <c r="BI177" i="15"/>
  <c r="BJ177" i="15" s="1"/>
  <c r="BK177" i="15" s="1"/>
  <c r="BI221" i="15"/>
  <c r="BJ221" i="15" s="1"/>
  <c r="BK221" i="15" s="1"/>
  <c r="BI157" i="15"/>
  <c r="BJ157" i="15" s="1"/>
  <c r="BK157" i="15" s="1"/>
  <c r="BI93" i="15"/>
  <c r="BJ93" i="15" s="1"/>
  <c r="BK93" i="15" s="1"/>
  <c r="BI29" i="15"/>
  <c r="BJ29" i="15" s="1"/>
  <c r="BK29" i="15" s="1"/>
  <c r="BI145" i="15"/>
  <c r="BJ145" i="15" s="1"/>
  <c r="BK145" i="15" s="1"/>
  <c r="BI201" i="15"/>
  <c r="BJ201" i="15" s="1"/>
  <c r="BK201" i="15" s="1"/>
  <c r="BI137" i="15"/>
  <c r="BJ137" i="15" s="1"/>
  <c r="BK137" i="15" s="1"/>
  <c r="BI73" i="15"/>
  <c r="BJ73" i="15" s="1"/>
  <c r="BK73" i="15" s="1"/>
  <c r="BI9" i="15"/>
  <c r="BJ9" i="15" s="1"/>
  <c r="BK9" i="15" s="1"/>
  <c r="BI33" i="15"/>
  <c r="BJ33" i="15" s="1"/>
  <c r="BK33" i="15" s="1"/>
  <c r="BI165" i="15"/>
  <c r="BJ165" i="15" s="1"/>
  <c r="BK165" i="15" s="1"/>
  <c r="BI101" i="15"/>
  <c r="BJ101" i="15" s="1"/>
  <c r="BK101" i="15" s="1"/>
  <c r="BI37" i="15"/>
  <c r="BJ37" i="15" s="1"/>
  <c r="BK37" i="15" s="1"/>
  <c r="BI224" i="15"/>
  <c r="BJ224" i="15" s="1"/>
  <c r="BK224" i="15" s="1"/>
  <c r="BI208" i="15"/>
  <c r="BJ208" i="15" s="1"/>
  <c r="BK208" i="15" s="1"/>
  <c r="BI192" i="15"/>
  <c r="BJ192" i="15" s="1"/>
  <c r="BK192" i="15" s="1"/>
  <c r="BI176" i="15"/>
  <c r="BJ176" i="15" s="1"/>
  <c r="BK176" i="15" s="1"/>
  <c r="BI160" i="15"/>
  <c r="BJ160" i="15" s="1"/>
  <c r="BK160" i="15" s="1"/>
  <c r="BI144" i="15"/>
  <c r="BJ144" i="15" s="1"/>
  <c r="BK144" i="15" s="1"/>
  <c r="BI128" i="15"/>
  <c r="BJ128" i="15" s="1"/>
  <c r="BK128" i="15" s="1"/>
  <c r="BI112" i="15"/>
  <c r="BJ112" i="15" s="1"/>
  <c r="BK112" i="15" s="1"/>
  <c r="BI96" i="15"/>
  <c r="BJ96" i="15" s="1"/>
  <c r="BK96" i="15" s="1"/>
  <c r="BI80" i="15"/>
  <c r="BJ80" i="15" s="1"/>
  <c r="BK80" i="15" s="1"/>
  <c r="BI64" i="15"/>
  <c r="BJ64" i="15" s="1"/>
  <c r="BK64" i="15" s="1"/>
  <c r="BI48" i="15"/>
  <c r="BJ48" i="15" s="1"/>
  <c r="BK48" i="15" s="1"/>
  <c r="BI32" i="15"/>
  <c r="BJ32" i="15" s="1"/>
  <c r="BK32" i="15" s="1"/>
  <c r="BI16" i="15"/>
  <c r="BJ16" i="15" s="1"/>
  <c r="BK16" i="15" s="1"/>
  <c r="BI227" i="15"/>
  <c r="BJ227" i="15" s="1"/>
  <c r="BK227" i="15" s="1"/>
  <c r="BI211" i="15"/>
  <c r="BJ211" i="15" s="1"/>
  <c r="BK211" i="15" s="1"/>
  <c r="BI195" i="15"/>
  <c r="BJ195" i="15" s="1"/>
  <c r="BK195" i="15" s="1"/>
  <c r="BI179" i="15"/>
  <c r="BJ179" i="15" s="1"/>
  <c r="BK179" i="15" s="1"/>
  <c r="BI163" i="15"/>
  <c r="BJ163" i="15" s="1"/>
  <c r="BK163" i="15" s="1"/>
  <c r="BI147" i="15"/>
  <c r="BJ147" i="15" s="1"/>
  <c r="BK147" i="15" s="1"/>
  <c r="BI131" i="15"/>
  <c r="BJ131" i="15" s="1"/>
  <c r="BK131" i="15" s="1"/>
  <c r="BI115" i="15"/>
  <c r="BJ115" i="15" s="1"/>
  <c r="BK115" i="15" s="1"/>
  <c r="BI99" i="15"/>
  <c r="BJ99" i="15" s="1"/>
  <c r="BK99" i="15" s="1"/>
  <c r="BI83" i="15"/>
  <c r="BJ83" i="15" s="1"/>
  <c r="BK83" i="15" s="1"/>
  <c r="BI67" i="15"/>
  <c r="BJ67" i="15" s="1"/>
  <c r="BK67" i="15" s="1"/>
  <c r="BI51" i="15"/>
  <c r="BJ51" i="15" s="1"/>
  <c r="BK51" i="15" s="1"/>
  <c r="BI35" i="15"/>
  <c r="BJ35" i="15" s="1"/>
  <c r="BK35" i="15" s="1"/>
  <c r="BI19" i="15"/>
  <c r="BJ19" i="15" s="1"/>
  <c r="BK19" i="15" s="1"/>
  <c r="BI3" i="15"/>
  <c r="BJ3" i="15" s="1"/>
  <c r="BK3" i="15" s="1"/>
  <c r="BI214" i="15"/>
  <c r="BJ214" i="15" s="1"/>
  <c r="BK214" i="15" s="1"/>
  <c r="BI198" i="15"/>
  <c r="BJ198" i="15" s="1"/>
  <c r="BK198" i="15" s="1"/>
  <c r="BI182" i="15"/>
  <c r="BJ182" i="15" s="1"/>
  <c r="BK182" i="15" s="1"/>
  <c r="BI166" i="15"/>
  <c r="BJ166" i="15" s="1"/>
  <c r="BK166" i="15" s="1"/>
  <c r="BI150" i="15"/>
  <c r="BJ150" i="15" s="1"/>
  <c r="BK150" i="15" s="1"/>
  <c r="BI134" i="15"/>
  <c r="BJ134" i="15" s="1"/>
  <c r="BK134" i="15" s="1"/>
  <c r="BI118" i="15"/>
  <c r="BJ118" i="15" s="1"/>
  <c r="BK118" i="15" s="1"/>
  <c r="BI102" i="15"/>
  <c r="BJ102" i="15" s="1"/>
  <c r="BK102" i="15" s="1"/>
  <c r="BI86" i="15"/>
  <c r="BJ86" i="15" s="1"/>
  <c r="BK86" i="15" s="1"/>
  <c r="BI70" i="15"/>
  <c r="BJ70" i="15" s="1"/>
  <c r="BK70" i="15" s="1"/>
  <c r="BI54" i="15"/>
  <c r="BJ54" i="15" s="1"/>
  <c r="BK54" i="15" s="1"/>
  <c r="BI38" i="15"/>
  <c r="BJ38" i="15" s="1"/>
  <c r="BK38" i="15" s="1"/>
  <c r="BI22" i="15"/>
  <c r="BJ22" i="15" s="1"/>
  <c r="BK22" i="15" s="1"/>
  <c r="BI6" i="15"/>
  <c r="BJ6" i="15" s="1"/>
  <c r="BK6" i="15" s="1"/>
  <c r="P98" i="15"/>
  <c r="Q98" i="15" s="1"/>
  <c r="R98" i="15" s="1"/>
  <c r="P206" i="15"/>
  <c r="Q206" i="15" s="1"/>
  <c r="R206" i="15" s="1"/>
  <c r="P126" i="15"/>
  <c r="Q126" i="15" s="1"/>
  <c r="R126" i="15" s="1"/>
  <c r="P30" i="15"/>
  <c r="Q30" i="15" s="1"/>
  <c r="R30" i="15" s="1"/>
  <c r="P202" i="15"/>
  <c r="Q202" i="15" s="1"/>
  <c r="R202" i="15" s="1"/>
  <c r="P122" i="15"/>
  <c r="Q122" i="15" s="1"/>
  <c r="R122" i="15" s="1"/>
  <c r="P26" i="15"/>
  <c r="Q26" i="15" s="1"/>
  <c r="R26" i="15" s="1"/>
  <c r="P114" i="15"/>
  <c r="Q114" i="15" s="1"/>
  <c r="R114" i="15" s="1"/>
  <c r="P182" i="15"/>
  <c r="Q182" i="15" s="1"/>
  <c r="R182" i="15" s="1"/>
  <c r="P86" i="15"/>
  <c r="Q86" i="15" s="1"/>
  <c r="R86" i="15" s="1"/>
  <c r="P6" i="15"/>
  <c r="Q6" i="15" s="1"/>
  <c r="R6" i="15" s="1"/>
  <c r="P209" i="15"/>
  <c r="Q209" i="15" s="1"/>
  <c r="R209" i="15" s="1"/>
  <c r="P185" i="15"/>
  <c r="Q185" i="15" s="1"/>
  <c r="R185" i="15" s="1"/>
  <c r="P165" i="15"/>
  <c r="Q165" i="15" s="1"/>
  <c r="R165" i="15" s="1"/>
  <c r="P133" i="15"/>
  <c r="Q133" i="15" s="1"/>
  <c r="R133" i="15" s="1"/>
  <c r="P101" i="15"/>
  <c r="Q101" i="15" s="1"/>
  <c r="R101" i="15" s="1"/>
  <c r="P69" i="15"/>
  <c r="Q69" i="15" s="1"/>
  <c r="R69" i="15" s="1"/>
  <c r="P37" i="15"/>
  <c r="Q37" i="15" s="1"/>
  <c r="R37" i="15" s="1"/>
  <c r="P5" i="15"/>
  <c r="Q5" i="15" s="1"/>
  <c r="R5" i="15" s="1"/>
  <c r="P196" i="15"/>
  <c r="Q196" i="15" s="1"/>
  <c r="R196" i="15" s="1"/>
  <c r="P164" i="15"/>
  <c r="Q164" i="15" s="1"/>
  <c r="R164" i="15" s="1"/>
  <c r="P132" i="15"/>
  <c r="Q132" i="15" s="1"/>
  <c r="R132" i="15" s="1"/>
  <c r="P100" i="15"/>
  <c r="Q100" i="15" s="1"/>
  <c r="R100" i="15" s="1"/>
  <c r="P68" i="15"/>
  <c r="Q68" i="15" s="1"/>
  <c r="R68" i="15" s="1"/>
  <c r="P36" i="15"/>
  <c r="Q36" i="15" s="1"/>
  <c r="R36" i="15" s="1"/>
  <c r="P4" i="15"/>
  <c r="Q4" i="15" s="1"/>
  <c r="R4" i="15" s="1"/>
  <c r="P203" i="15"/>
  <c r="Q203" i="15" s="1"/>
  <c r="R203" i="15" s="1"/>
  <c r="P171" i="15"/>
  <c r="Q171" i="15" s="1"/>
  <c r="R171" i="15" s="1"/>
  <c r="P139" i="15"/>
  <c r="Q139" i="15" s="1"/>
  <c r="R139" i="15" s="1"/>
  <c r="P107" i="15"/>
  <c r="Q107" i="15" s="1"/>
  <c r="R107" i="15" s="1"/>
  <c r="P75" i="15"/>
  <c r="Q75" i="15" s="1"/>
  <c r="R75" i="15" s="1"/>
  <c r="P43" i="15"/>
  <c r="Q43" i="15" s="1"/>
  <c r="R43" i="15" s="1"/>
  <c r="P11" i="15"/>
  <c r="Q11" i="15" s="1"/>
  <c r="R11" i="15" s="1"/>
  <c r="EC225" i="15"/>
  <c r="ED225" i="15" s="1"/>
  <c r="EE225" i="15" s="1"/>
  <c r="EC119" i="15"/>
  <c r="ED119" i="15" s="1"/>
  <c r="EE119" i="15" s="1"/>
  <c r="BX225" i="15"/>
  <c r="BY225" i="15" s="1"/>
  <c r="BZ225" i="15" s="1"/>
  <c r="BX125" i="15"/>
  <c r="BY125" i="15" s="1"/>
  <c r="BZ125" i="15" s="1"/>
  <c r="BX105" i="15"/>
  <c r="BY105" i="15" s="1"/>
  <c r="BZ105" i="15" s="1"/>
  <c r="BX69" i="15"/>
  <c r="BY69" i="15" s="1"/>
  <c r="BZ69" i="15" s="1"/>
  <c r="BX180" i="15"/>
  <c r="BY180" i="15" s="1"/>
  <c r="BZ180" i="15" s="1"/>
  <c r="BX116" i="15"/>
  <c r="BY116" i="15" s="1"/>
  <c r="BZ116" i="15" s="1"/>
  <c r="BX52" i="15"/>
  <c r="BY52" i="15" s="1"/>
  <c r="BZ52" i="15" s="1"/>
  <c r="BX215" i="15"/>
  <c r="BY215" i="15" s="1"/>
  <c r="BZ215" i="15" s="1"/>
  <c r="BX151" i="15"/>
  <c r="BY151" i="15" s="1"/>
  <c r="BZ151" i="15" s="1"/>
  <c r="BX87" i="15"/>
  <c r="BY87" i="15" s="1"/>
  <c r="BZ87" i="15" s="1"/>
  <c r="BX23" i="15"/>
  <c r="BY23" i="15" s="1"/>
  <c r="BZ23" i="15" s="1"/>
  <c r="BX186" i="15"/>
  <c r="BY186" i="15" s="1"/>
  <c r="BZ186" i="15" s="1"/>
  <c r="BX122" i="15"/>
  <c r="BY122" i="15" s="1"/>
  <c r="BZ122" i="15" s="1"/>
  <c r="BX58" i="15"/>
  <c r="BY58" i="15" s="1"/>
  <c r="BZ58" i="15" s="1"/>
  <c r="D53" i="15"/>
  <c r="E53" i="15" s="1"/>
  <c r="F53" i="15" s="1"/>
  <c r="D65" i="15"/>
  <c r="E65" i="15" s="1"/>
  <c r="F65" i="15" s="1"/>
  <c r="D29" i="15"/>
  <c r="E29" i="15" s="1"/>
  <c r="F29" i="15" s="1"/>
  <c r="D224" i="15"/>
  <c r="E224" i="15" s="1"/>
  <c r="F224" i="15" s="1"/>
  <c r="D160" i="15"/>
  <c r="E160" i="15" s="1"/>
  <c r="F160" i="15" s="1"/>
  <c r="D96" i="15"/>
  <c r="E96" i="15" s="1"/>
  <c r="F96" i="15" s="1"/>
  <c r="D32" i="15"/>
  <c r="E32" i="15" s="1"/>
  <c r="F32" i="15" s="1"/>
  <c r="D175" i="15"/>
  <c r="E175" i="15" s="1"/>
  <c r="F175" i="15" s="1"/>
  <c r="D166" i="15"/>
  <c r="E166" i="15" s="1"/>
  <c r="F166" i="15" s="1"/>
  <c r="EI168" i="15"/>
  <c r="EJ168" i="15" s="1"/>
  <c r="EK168" i="15" s="1"/>
  <c r="EI126" i="15"/>
  <c r="EJ126" i="15" s="1"/>
  <c r="EK126" i="15" s="1"/>
  <c r="EI36" i="15"/>
  <c r="EJ36" i="15" s="1"/>
  <c r="EK36" i="15" s="1"/>
  <c r="CP205" i="15"/>
  <c r="CQ205" i="15" s="1"/>
  <c r="CR205" i="15" s="1"/>
  <c r="CP169" i="15"/>
  <c r="CQ169" i="15" s="1"/>
  <c r="CR169" i="15" s="1"/>
  <c r="CP84" i="15"/>
  <c r="CQ84" i="15" s="1"/>
  <c r="CR84" i="15" s="1"/>
  <c r="AN53" i="15"/>
  <c r="AO53" i="15" s="1"/>
  <c r="AP53" i="15" s="1"/>
  <c r="AN131" i="15"/>
  <c r="AO131" i="15" s="1"/>
  <c r="AP131" i="15" s="1"/>
  <c r="T11" i="4"/>
  <c r="BC18" i="15"/>
  <c r="BD18" i="15" s="1"/>
  <c r="BE18" i="15" s="1"/>
  <c r="BC34" i="15"/>
  <c r="BD34" i="15" s="1"/>
  <c r="BE34" i="15" s="1"/>
  <c r="BC50" i="15"/>
  <c r="BD50" i="15" s="1"/>
  <c r="BE50" i="15" s="1"/>
  <c r="BC66" i="15"/>
  <c r="BD66" i="15" s="1"/>
  <c r="BE66" i="15" s="1"/>
  <c r="BC82" i="15"/>
  <c r="BD82" i="15" s="1"/>
  <c r="BE82" i="15" s="1"/>
  <c r="BC98" i="15"/>
  <c r="BD98" i="15" s="1"/>
  <c r="BE98" i="15" s="1"/>
  <c r="BC114" i="15"/>
  <c r="BD114" i="15" s="1"/>
  <c r="BE114" i="15" s="1"/>
  <c r="BC130" i="15"/>
  <c r="BD130" i="15" s="1"/>
  <c r="BE130" i="15" s="1"/>
  <c r="BC146" i="15"/>
  <c r="BD146" i="15" s="1"/>
  <c r="BE146" i="15" s="1"/>
  <c r="BC162" i="15"/>
  <c r="BD162" i="15" s="1"/>
  <c r="BE162" i="15" s="1"/>
  <c r="BC178" i="15"/>
  <c r="BD178" i="15" s="1"/>
  <c r="BE178" i="15" s="1"/>
  <c r="BC194" i="15"/>
  <c r="BD194" i="15" s="1"/>
  <c r="BE194" i="15" s="1"/>
  <c r="BC210" i="15"/>
  <c r="BD210" i="15" s="1"/>
  <c r="BE210" i="15" s="1"/>
  <c r="BC226" i="15"/>
  <c r="BD226" i="15" s="1"/>
  <c r="BE226" i="15" s="1"/>
  <c r="BC15" i="15"/>
  <c r="BD15" i="15" s="1"/>
  <c r="BE15" i="15" s="1"/>
  <c r="BC31" i="15"/>
  <c r="BD31" i="15" s="1"/>
  <c r="BE31" i="15" s="1"/>
  <c r="BC47" i="15"/>
  <c r="BD47" i="15" s="1"/>
  <c r="BE47" i="15" s="1"/>
  <c r="BC63" i="15"/>
  <c r="BD63" i="15" s="1"/>
  <c r="BE63" i="15" s="1"/>
  <c r="BC79" i="15"/>
  <c r="BD79" i="15" s="1"/>
  <c r="BE79" i="15" s="1"/>
  <c r="BC95" i="15"/>
  <c r="BD95" i="15" s="1"/>
  <c r="BE95" i="15" s="1"/>
  <c r="BC111" i="15"/>
  <c r="BD111" i="15" s="1"/>
  <c r="BE111" i="15" s="1"/>
  <c r="BC127" i="15"/>
  <c r="BD127" i="15" s="1"/>
  <c r="BE127" i="15" s="1"/>
  <c r="BC143" i="15"/>
  <c r="BD143" i="15" s="1"/>
  <c r="BE143" i="15" s="1"/>
  <c r="BC159" i="15"/>
  <c r="BD159" i="15" s="1"/>
  <c r="BE159" i="15" s="1"/>
  <c r="BC175" i="15"/>
  <c r="BD175" i="15" s="1"/>
  <c r="BE175" i="15" s="1"/>
  <c r="BC191" i="15"/>
  <c r="BD191" i="15" s="1"/>
  <c r="BE191" i="15" s="1"/>
  <c r="BC207" i="15"/>
  <c r="BD207" i="15" s="1"/>
  <c r="BE207" i="15" s="1"/>
  <c r="BC223" i="15"/>
  <c r="BD223" i="15" s="1"/>
  <c r="BE223" i="15" s="1"/>
  <c r="BC12" i="15"/>
  <c r="BD12" i="15" s="1"/>
  <c r="BE12" i="15" s="1"/>
  <c r="BC28" i="15"/>
  <c r="BD28" i="15" s="1"/>
  <c r="BE28" i="15" s="1"/>
  <c r="BC44" i="15"/>
  <c r="BD44" i="15" s="1"/>
  <c r="BE44" i="15" s="1"/>
  <c r="BC60" i="15"/>
  <c r="BD60" i="15" s="1"/>
  <c r="BE60" i="15" s="1"/>
  <c r="BC76" i="15"/>
  <c r="BD76" i="15" s="1"/>
  <c r="BE76" i="15" s="1"/>
  <c r="BC92" i="15"/>
  <c r="BD92" i="15" s="1"/>
  <c r="BE92" i="15" s="1"/>
  <c r="BC108" i="15"/>
  <c r="BD108" i="15" s="1"/>
  <c r="BE108" i="15" s="1"/>
  <c r="BC124" i="15"/>
  <c r="BD124" i="15" s="1"/>
  <c r="BE124" i="15" s="1"/>
  <c r="BC140" i="15"/>
  <c r="BD140" i="15" s="1"/>
  <c r="BE140" i="15" s="1"/>
  <c r="BC156" i="15"/>
  <c r="BD156" i="15" s="1"/>
  <c r="BE156" i="15" s="1"/>
  <c r="BC172" i="15"/>
  <c r="BD172" i="15" s="1"/>
  <c r="BE172" i="15" s="1"/>
  <c r="BC188" i="15"/>
  <c r="BD188" i="15" s="1"/>
  <c r="BE188" i="15" s="1"/>
  <c r="BC204" i="15"/>
  <c r="BD204" i="15" s="1"/>
  <c r="BE204" i="15" s="1"/>
  <c r="BC220" i="15"/>
  <c r="BD220" i="15" s="1"/>
  <c r="BE220" i="15" s="1"/>
  <c r="BC33" i="15"/>
  <c r="BD33" i="15" s="1"/>
  <c r="BE33" i="15" s="1"/>
  <c r="BC97" i="15"/>
  <c r="BD97" i="15" s="1"/>
  <c r="BE97" i="15" s="1"/>
  <c r="BC161" i="15"/>
  <c r="BD161" i="15" s="1"/>
  <c r="BE161" i="15" s="1"/>
  <c r="BC225" i="15"/>
  <c r="BD225" i="15" s="1"/>
  <c r="BE225" i="15" s="1"/>
  <c r="BC157" i="15"/>
  <c r="BD157" i="15" s="1"/>
  <c r="BE157" i="15" s="1"/>
  <c r="BC37" i="15"/>
  <c r="BD37" i="15" s="1"/>
  <c r="BE37" i="15" s="1"/>
  <c r="BC101" i="15"/>
  <c r="BD101" i="15" s="1"/>
  <c r="BE101" i="15" s="1"/>
  <c r="BC165" i="15"/>
  <c r="BD165" i="15" s="1"/>
  <c r="BE165" i="15" s="1"/>
  <c r="BC45" i="15"/>
  <c r="BD45" i="15" s="1"/>
  <c r="BE45" i="15" s="1"/>
  <c r="BC205" i="15"/>
  <c r="BD205" i="15" s="1"/>
  <c r="BE205" i="15" s="1"/>
  <c r="BC57" i="15"/>
  <c r="BD57" i="15" s="1"/>
  <c r="BE57" i="15" s="1"/>
  <c r="BC121" i="15"/>
  <c r="BD121" i="15" s="1"/>
  <c r="BE121" i="15" s="1"/>
  <c r="BC185" i="15"/>
  <c r="BD185" i="15" s="1"/>
  <c r="BE185" i="15" s="1"/>
  <c r="BC77" i="15"/>
  <c r="BD77" i="15" s="1"/>
  <c r="BE77" i="15" s="1"/>
  <c r="BC6" i="15"/>
  <c r="BD6" i="15" s="1"/>
  <c r="BE6" i="15" s="1"/>
  <c r="BC22" i="15"/>
  <c r="BD22" i="15" s="1"/>
  <c r="BE22" i="15" s="1"/>
  <c r="BC38" i="15"/>
  <c r="BD38" i="15" s="1"/>
  <c r="BE38" i="15" s="1"/>
  <c r="BC54" i="15"/>
  <c r="BD54" i="15" s="1"/>
  <c r="BE54" i="15" s="1"/>
  <c r="BC70" i="15"/>
  <c r="BD70" i="15" s="1"/>
  <c r="BE70" i="15" s="1"/>
  <c r="BC86" i="15"/>
  <c r="BD86" i="15" s="1"/>
  <c r="BE86" i="15" s="1"/>
  <c r="BC102" i="15"/>
  <c r="BD102" i="15" s="1"/>
  <c r="BE102" i="15" s="1"/>
  <c r="BC118" i="15"/>
  <c r="BD118" i="15" s="1"/>
  <c r="BE118" i="15" s="1"/>
  <c r="BC134" i="15"/>
  <c r="BD134" i="15" s="1"/>
  <c r="BE134" i="15" s="1"/>
  <c r="BC150" i="15"/>
  <c r="BD150" i="15" s="1"/>
  <c r="BE150" i="15" s="1"/>
  <c r="BC166" i="15"/>
  <c r="BD166" i="15" s="1"/>
  <c r="BE166" i="15" s="1"/>
  <c r="BC182" i="15"/>
  <c r="BD182" i="15" s="1"/>
  <c r="BE182" i="15" s="1"/>
  <c r="BC198" i="15"/>
  <c r="BD198" i="15" s="1"/>
  <c r="BE198" i="15" s="1"/>
  <c r="BC214" i="15"/>
  <c r="BD214" i="15" s="1"/>
  <c r="BE214" i="15" s="1"/>
  <c r="BC3" i="15"/>
  <c r="BD3" i="15" s="1"/>
  <c r="BE3" i="15" s="1"/>
  <c r="BC19" i="15"/>
  <c r="BD19" i="15" s="1"/>
  <c r="BE19" i="15" s="1"/>
  <c r="BC35" i="15"/>
  <c r="BD35" i="15" s="1"/>
  <c r="BE35" i="15" s="1"/>
  <c r="BC51" i="15"/>
  <c r="BD51" i="15" s="1"/>
  <c r="BE51" i="15" s="1"/>
  <c r="BC67" i="15"/>
  <c r="BD67" i="15" s="1"/>
  <c r="BE67" i="15" s="1"/>
  <c r="BC83" i="15"/>
  <c r="BD83" i="15" s="1"/>
  <c r="BE83" i="15" s="1"/>
  <c r="BC99" i="15"/>
  <c r="BD99" i="15" s="1"/>
  <c r="BE99" i="15" s="1"/>
  <c r="BC115" i="15"/>
  <c r="BD115" i="15" s="1"/>
  <c r="BE115" i="15" s="1"/>
  <c r="BC131" i="15"/>
  <c r="BD131" i="15" s="1"/>
  <c r="BE131" i="15" s="1"/>
  <c r="BC147" i="15"/>
  <c r="BD147" i="15" s="1"/>
  <c r="BE147" i="15" s="1"/>
  <c r="BC163" i="15"/>
  <c r="BD163" i="15" s="1"/>
  <c r="BE163" i="15" s="1"/>
  <c r="BC179" i="15"/>
  <c r="BD179" i="15" s="1"/>
  <c r="BE179" i="15" s="1"/>
  <c r="BC195" i="15"/>
  <c r="BD195" i="15" s="1"/>
  <c r="BE195" i="15" s="1"/>
  <c r="BC211" i="15"/>
  <c r="BD211" i="15" s="1"/>
  <c r="BE211" i="15" s="1"/>
  <c r="BC227" i="15"/>
  <c r="BD227" i="15" s="1"/>
  <c r="BE227" i="15" s="1"/>
  <c r="BC16" i="15"/>
  <c r="BD16" i="15" s="1"/>
  <c r="BE16" i="15" s="1"/>
  <c r="BC32" i="15"/>
  <c r="BD32" i="15" s="1"/>
  <c r="BE32" i="15" s="1"/>
  <c r="BC48" i="15"/>
  <c r="BD48" i="15" s="1"/>
  <c r="BE48" i="15" s="1"/>
  <c r="BC64" i="15"/>
  <c r="BD64" i="15" s="1"/>
  <c r="BE64" i="15" s="1"/>
  <c r="BC80" i="15"/>
  <c r="BD80" i="15" s="1"/>
  <c r="BE80" i="15" s="1"/>
  <c r="BC96" i="15"/>
  <c r="BD96" i="15" s="1"/>
  <c r="BE96" i="15" s="1"/>
  <c r="BC112" i="15"/>
  <c r="BD112" i="15" s="1"/>
  <c r="BE112" i="15" s="1"/>
  <c r="BC128" i="15"/>
  <c r="BD128" i="15" s="1"/>
  <c r="BE128" i="15" s="1"/>
  <c r="BC144" i="15"/>
  <c r="BD144" i="15" s="1"/>
  <c r="BE144" i="15" s="1"/>
  <c r="BC160" i="15"/>
  <c r="BD160" i="15" s="1"/>
  <c r="BE160" i="15" s="1"/>
  <c r="BC176" i="15"/>
  <c r="BD176" i="15" s="1"/>
  <c r="BE176" i="15" s="1"/>
  <c r="BC192" i="15"/>
  <c r="BD192" i="15" s="1"/>
  <c r="BE192" i="15" s="1"/>
  <c r="BC208" i="15"/>
  <c r="BD208" i="15" s="1"/>
  <c r="BE208" i="15" s="1"/>
  <c r="BC224" i="15"/>
  <c r="BD224" i="15" s="1"/>
  <c r="BE224" i="15" s="1"/>
  <c r="BC49" i="15"/>
  <c r="BD49" i="15" s="1"/>
  <c r="BE49" i="15" s="1"/>
  <c r="BC113" i="15"/>
  <c r="BD113" i="15" s="1"/>
  <c r="BE113" i="15" s="1"/>
  <c r="BC177" i="15"/>
  <c r="BD177" i="15" s="1"/>
  <c r="BE177" i="15" s="1"/>
  <c r="BC13" i="15"/>
  <c r="BD13" i="15" s="1"/>
  <c r="BE13" i="15" s="1"/>
  <c r="BC221" i="15"/>
  <c r="BD221" i="15" s="1"/>
  <c r="BE221" i="15" s="1"/>
  <c r="BC53" i="15"/>
  <c r="BD53" i="15" s="1"/>
  <c r="BE53" i="15" s="1"/>
  <c r="BC117" i="15"/>
  <c r="BD117" i="15" s="1"/>
  <c r="BE117" i="15" s="1"/>
  <c r="BC181" i="15"/>
  <c r="BD181" i="15" s="1"/>
  <c r="BE181" i="15" s="1"/>
  <c r="BC93" i="15"/>
  <c r="BD93" i="15" s="1"/>
  <c r="BE93" i="15" s="1"/>
  <c r="BC9" i="15"/>
  <c r="BD9" i="15" s="1"/>
  <c r="BE9" i="15" s="1"/>
  <c r="BC73" i="15"/>
  <c r="BD73" i="15" s="1"/>
  <c r="BE73" i="15" s="1"/>
  <c r="BC137" i="15"/>
  <c r="BD137" i="15" s="1"/>
  <c r="BE137" i="15" s="1"/>
  <c r="BC201" i="15"/>
  <c r="BD201" i="15" s="1"/>
  <c r="BE201" i="15" s="1"/>
  <c r="BC125" i="15"/>
  <c r="BD125" i="15" s="1"/>
  <c r="BE125" i="15" s="1"/>
  <c r="BC10" i="15"/>
  <c r="BD10" i="15" s="1"/>
  <c r="BE10" i="15" s="1"/>
  <c r="BC26" i="15"/>
  <c r="BD26" i="15" s="1"/>
  <c r="BE26" i="15" s="1"/>
  <c r="BC42" i="15"/>
  <c r="BD42" i="15" s="1"/>
  <c r="BE42" i="15" s="1"/>
  <c r="BC58" i="15"/>
  <c r="BD58" i="15" s="1"/>
  <c r="BE58" i="15" s="1"/>
  <c r="BC74" i="15"/>
  <c r="BD74" i="15" s="1"/>
  <c r="BE74" i="15" s="1"/>
  <c r="BC90" i="15"/>
  <c r="BD90" i="15" s="1"/>
  <c r="BE90" i="15" s="1"/>
  <c r="BC106" i="15"/>
  <c r="BD106" i="15" s="1"/>
  <c r="BE106" i="15" s="1"/>
  <c r="BC122" i="15"/>
  <c r="BD122" i="15" s="1"/>
  <c r="BE122" i="15" s="1"/>
  <c r="BC138" i="15"/>
  <c r="BD138" i="15" s="1"/>
  <c r="BE138" i="15" s="1"/>
  <c r="BC154" i="15"/>
  <c r="BD154" i="15" s="1"/>
  <c r="BE154" i="15" s="1"/>
  <c r="BC170" i="15"/>
  <c r="BD170" i="15" s="1"/>
  <c r="BE170" i="15" s="1"/>
  <c r="BC186" i="15"/>
  <c r="BD186" i="15" s="1"/>
  <c r="BE186" i="15" s="1"/>
  <c r="BC202" i="15"/>
  <c r="BD202" i="15" s="1"/>
  <c r="BE202" i="15" s="1"/>
  <c r="BC218" i="15"/>
  <c r="BD218" i="15" s="1"/>
  <c r="BE218" i="15" s="1"/>
  <c r="BC7" i="15"/>
  <c r="BD7" i="15" s="1"/>
  <c r="BE7" i="15" s="1"/>
  <c r="BC23" i="15"/>
  <c r="BD23" i="15" s="1"/>
  <c r="BE23" i="15" s="1"/>
  <c r="BC39" i="15"/>
  <c r="BD39" i="15" s="1"/>
  <c r="BE39" i="15" s="1"/>
  <c r="BC55" i="15"/>
  <c r="BD55" i="15" s="1"/>
  <c r="BE55" i="15" s="1"/>
  <c r="BC71" i="15"/>
  <c r="BD71" i="15" s="1"/>
  <c r="BE71" i="15" s="1"/>
  <c r="BC87" i="15"/>
  <c r="BD87" i="15" s="1"/>
  <c r="BE87" i="15" s="1"/>
  <c r="BC103" i="15"/>
  <c r="BD103" i="15" s="1"/>
  <c r="BE103" i="15" s="1"/>
  <c r="BC119" i="15"/>
  <c r="BD119" i="15" s="1"/>
  <c r="BE119" i="15" s="1"/>
  <c r="BC135" i="15"/>
  <c r="BD135" i="15" s="1"/>
  <c r="BE135" i="15" s="1"/>
  <c r="BC151" i="15"/>
  <c r="BD151" i="15" s="1"/>
  <c r="BE151" i="15" s="1"/>
  <c r="BC167" i="15"/>
  <c r="BD167" i="15" s="1"/>
  <c r="BE167" i="15" s="1"/>
  <c r="BC183" i="15"/>
  <c r="BD183" i="15" s="1"/>
  <c r="BE183" i="15" s="1"/>
  <c r="BC199" i="15"/>
  <c r="BD199" i="15" s="1"/>
  <c r="BE199" i="15" s="1"/>
  <c r="BC215" i="15"/>
  <c r="BD215" i="15" s="1"/>
  <c r="BE215" i="15" s="1"/>
  <c r="BC4" i="15"/>
  <c r="BD4" i="15" s="1"/>
  <c r="BE4" i="15" s="1"/>
  <c r="BC20" i="15"/>
  <c r="BD20" i="15" s="1"/>
  <c r="BE20" i="15" s="1"/>
  <c r="BC36" i="15"/>
  <c r="BD36" i="15" s="1"/>
  <c r="BE36" i="15" s="1"/>
  <c r="BC52" i="15"/>
  <c r="BD52" i="15" s="1"/>
  <c r="BE52" i="15" s="1"/>
  <c r="BC68" i="15"/>
  <c r="BD68" i="15" s="1"/>
  <c r="BE68" i="15" s="1"/>
  <c r="BC84" i="15"/>
  <c r="BD84" i="15" s="1"/>
  <c r="BE84" i="15" s="1"/>
  <c r="BC100" i="15"/>
  <c r="BD100" i="15" s="1"/>
  <c r="BE100" i="15" s="1"/>
  <c r="BC116" i="15"/>
  <c r="BD116" i="15" s="1"/>
  <c r="BE116" i="15" s="1"/>
  <c r="BC132" i="15"/>
  <c r="BD132" i="15" s="1"/>
  <c r="BE132" i="15" s="1"/>
  <c r="BC148" i="15"/>
  <c r="BD148" i="15" s="1"/>
  <c r="BE148" i="15" s="1"/>
  <c r="BC164" i="15"/>
  <c r="BD164" i="15" s="1"/>
  <c r="BE164" i="15" s="1"/>
  <c r="BC180" i="15"/>
  <c r="BD180" i="15" s="1"/>
  <c r="BE180" i="15" s="1"/>
  <c r="BC196" i="15"/>
  <c r="BD196" i="15" s="1"/>
  <c r="BE196" i="15" s="1"/>
  <c r="BC212" i="15"/>
  <c r="BD212" i="15" s="1"/>
  <c r="BE212" i="15" s="1"/>
  <c r="BC2" i="15"/>
  <c r="BC65" i="15"/>
  <c r="BD65" i="15" s="1"/>
  <c r="BE65" i="15" s="1"/>
  <c r="BC129" i="15"/>
  <c r="BD129" i="15" s="1"/>
  <c r="BE129" i="15" s="1"/>
  <c r="BC193" i="15"/>
  <c r="BD193" i="15" s="1"/>
  <c r="BE193" i="15" s="1"/>
  <c r="BC61" i="15"/>
  <c r="BD61" i="15" s="1"/>
  <c r="BE61" i="15" s="1"/>
  <c r="BC5" i="15"/>
  <c r="BD5" i="15" s="1"/>
  <c r="BE5" i="15" s="1"/>
  <c r="BC69" i="15"/>
  <c r="BD69" i="15" s="1"/>
  <c r="BE69" i="15" s="1"/>
  <c r="BC133" i="15"/>
  <c r="BD133" i="15" s="1"/>
  <c r="BE133" i="15" s="1"/>
  <c r="BC197" i="15"/>
  <c r="BD197" i="15" s="1"/>
  <c r="BE197" i="15" s="1"/>
  <c r="BC141" i="15"/>
  <c r="BD141" i="15" s="1"/>
  <c r="BE141" i="15" s="1"/>
  <c r="BC25" i="15"/>
  <c r="BD25" i="15" s="1"/>
  <c r="BE25" i="15" s="1"/>
  <c r="BC89" i="15"/>
  <c r="BD89" i="15" s="1"/>
  <c r="BE89" i="15" s="1"/>
  <c r="BC153" i="15"/>
  <c r="BD153" i="15" s="1"/>
  <c r="BE153" i="15" s="1"/>
  <c r="BC217" i="15"/>
  <c r="BD217" i="15" s="1"/>
  <c r="BE217" i="15" s="1"/>
  <c r="BC173" i="15"/>
  <c r="BD173" i="15" s="1"/>
  <c r="BE173" i="15" s="1"/>
  <c r="V30" i="4"/>
  <c r="EC11" i="15"/>
  <c r="ED11" i="15" s="1"/>
  <c r="EE11" i="15" s="1"/>
  <c r="EC27" i="15"/>
  <c r="ED27" i="15" s="1"/>
  <c r="EE27" i="15" s="1"/>
  <c r="EC43" i="15"/>
  <c r="ED43" i="15" s="1"/>
  <c r="EE43" i="15" s="1"/>
  <c r="EC59" i="15"/>
  <c r="ED59" i="15" s="1"/>
  <c r="EE59" i="15" s="1"/>
  <c r="EC75" i="15"/>
  <c r="ED75" i="15" s="1"/>
  <c r="EE75" i="15" s="1"/>
  <c r="EC91" i="15"/>
  <c r="ED91" i="15" s="1"/>
  <c r="EE91" i="15" s="1"/>
  <c r="EC107" i="15"/>
  <c r="ED107" i="15" s="1"/>
  <c r="EE107" i="15" s="1"/>
  <c r="EC123" i="15"/>
  <c r="ED123" i="15" s="1"/>
  <c r="EE123" i="15" s="1"/>
  <c r="EC139" i="15"/>
  <c r="ED139" i="15" s="1"/>
  <c r="EE139" i="15" s="1"/>
  <c r="EC155" i="15"/>
  <c r="ED155" i="15" s="1"/>
  <c r="EE155" i="15" s="1"/>
  <c r="EC171" i="15"/>
  <c r="ED171" i="15" s="1"/>
  <c r="EE171" i="15" s="1"/>
  <c r="EC187" i="15"/>
  <c r="ED187" i="15" s="1"/>
  <c r="EE187" i="15" s="1"/>
  <c r="EC203" i="15"/>
  <c r="ED203" i="15" s="1"/>
  <c r="EE203" i="15" s="1"/>
  <c r="EC219" i="15"/>
  <c r="ED219" i="15" s="1"/>
  <c r="EE219" i="15" s="1"/>
  <c r="EC8" i="15"/>
  <c r="ED8" i="15" s="1"/>
  <c r="EE8" i="15" s="1"/>
  <c r="EC24" i="15"/>
  <c r="ED24" i="15" s="1"/>
  <c r="EE24" i="15" s="1"/>
  <c r="EC40" i="15"/>
  <c r="ED40" i="15" s="1"/>
  <c r="EE40" i="15" s="1"/>
  <c r="EC56" i="15"/>
  <c r="ED56" i="15" s="1"/>
  <c r="EE56" i="15" s="1"/>
  <c r="EC72" i="15"/>
  <c r="ED72" i="15" s="1"/>
  <c r="EE72" i="15" s="1"/>
  <c r="EC88" i="15"/>
  <c r="ED88" i="15" s="1"/>
  <c r="EE88" i="15" s="1"/>
  <c r="EC104" i="15"/>
  <c r="ED104" i="15" s="1"/>
  <c r="EE104" i="15" s="1"/>
  <c r="EC120" i="15"/>
  <c r="ED120" i="15" s="1"/>
  <c r="EE120" i="15" s="1"/>
  <c r="EC136" i="15"/>
  <c r="ED136" i="15" s="1"/>
  <c r="EE136" i="15" s="1"/>
  <c r="EC152" i="15"/>
  <c r="ED152" i="15" s="1"/>
  <c r="EE152" i="15" s="1"/>
  <c r="EC168" i="15"/>
  <c r="ED168" i="15" s="1"/>
  <c r="EE168" i="15" s="1"/>
  <c r="EC184" i="15"/>
  <c r="ED184" i="15" s="1"/>
  <c r="EE184" i="15" s="1"/>
  <c r="EC200" i="15"/>
  <c r="ED200" i="15" s="1"/>
  <c r="EE200" i="15" s="1"/>
  <c r="EC216" i="15"/>
  <c r="ED216" i="15" s="1"/>
  <c r="EE216" i="15" s="1"/>
  <c r="EC5" i="15"/>
  <c r="ED5" i="15" s="1"/>
  <c r="EE5" i="15" s="1"/>
  <c r="EC37" i="15"/>
  <c r="ED37" i="15" s="1"/>
  <c r="EE37" i="15" s="1"/>
  <c r="EC69" i="15"/>
  <c r="ED69" i="15" s="1"/>
  <c r="EE69" i="15" s="1"/>
  <c r="EC101" i="15"/>
  <c r="ED101" i="15" s="1"/>
  <c r="EE101" i="15" s="1"/>
  <c r="EC133" i="15"/>
  <c r="ED133" i="15" s="1"/>
  <c r="EE133" i="15" s="1"/>
  <c r="EC165" i="15"/>
  <c r="ED165" i="15" s="1"/>
  <c r="EE165" i="15" s="1"/>
  <c r="EC197" i="15"/>
  <c r="ED197" i="15" s="1"/>
  <c r="EE197" i="15" s="1"/>
  <c r="EC6" i="15"/>
  <c r="ED6" i="15" s="1"/>
  <c r="EE6" i="15" s="1"/>
  <c r="EC38" i="15"/>
  <c r="ED38" i="15" s="1"/>
  <c r="EE38" i="15" s="1"/>
  <c r="EC70" i="15"/>
  <c r="ED70" i="15" s="1"/>
  <c r="EE70" i="15" s="1"/>
  <c r="EC102" i="15"/>
  <c r="ED102" i="15" s="1"/>
  <c r="EE102" i="15" s="1"/>
  <c r="EC134" i="15"/>
  <c r="ED134" i="15" s="1"/>
  <c r="EE134" i="15" s="1"/>
  <c r="EC166" i="15"/>
  <c r="ED166" i="15" s="1"/>
  <c r="EE166" i="15" s="1"/>
  <c r="EC198" i="15"/>
  <c r="ED198" i="15" s="1"/>
  <c r="EE198" i="15" s="1"/>
  <c r="EC9" i="15"/>
  <c r="ED9" i="15" s="1"/>
  <c r="EE9" i="15" s="1"/>
  <c r="EC41" i="15"/>
  <c r="ED41" i="15" s="1"/>
  <c r="EE41" i="15" s="1"/>
  <c r="EC73" i="15"/>
  <c r="ED73" i="15" s="1"/>
  <c r="EE73" i="15" s="1"/>
  <c r="EC105" i="15"/>
  <c r="ED105" i="15" s="1"/>
  <c r="EE105" i="15" s="1"/>
  <c r="EC137" i="15"/>
  <c r="ED137" i="15" s="1"/>
  <c r="EE137" i="15" s="1"/>
  <c r="EC169" i="15"/>
  <c r="ED169" i="15" s="1"/>
  <c r="EE169" i="15" s="1"/>
  <c r="EC201" i="15"/>
  <c r="ED201" i="15" s="1"/>
  <c r="EE201" i="15" s="1"/>
  <c r="EC26" i="15"/>
  <c r="ED26" i="15" s="1"/>
  <c r="EE26" i="15" s="1"/>
  <c r="EC154" i="15"/>
  <c r="ED154" i="15" s="1"/>
  <c r="EE154" i="15" s="1"/>
  <c r="EC66" i="15"/>
  <c r="ED66" i="15" s="1"/>
  <c r="EE66" i="15" s="1"/>
  <c r="EC194" i="15"/>
  <c r="ED194" i="15" s="1"/>
  <c r="EE194" i="15" s="1"/>
  <c r="EC74" i="15"/>
  <c r="ED74" i="15" s="1"/>
  <c r="EE74" i="15" s="1"/>
  <c r="EC202" i="15"/>
  <c r="ED202" i="15" s="1"/>
  <c r="EE202" i="15" s="1"/>
  <c r="EC210" i="15"/>
  <c r="ED210" i="15" s="1"/>
  <c r="EE210" i="15" s="1"/>
  <c r="EC15" i="15"/>
  <c r="ED15" i="15" s="1"/>
  <c r="EE15" i="15" s="1"/>
  <c r="EC31" i="15"/>
  <c r="ED31" i="15" s="1"/>
  <c r="EE31" i="15" s="1"/>
  <c r="EC47" i="15"/>
  <c r="ED47" i="15" s="1"/>
  <c r="EE47" i="15" s="1"/>
  <c r="EC63" i="15"/>
  <c r="ED63" i="15" s="1"/>
  <c r="EE63" i="15" s="1"/>
  <c r="EC79" i="15"/>
  <c r="ED79" i="15" s="1"/>
  <c r="EE79" i="15" s="1"/>
  <c r="EC95" i="15"/>
  <c r="ED95" i="15" s="1"/>
  <c r="EE95" i="15" s="1"/>
  <c r="EC111" i="15"/>
  <c r="ED111" i="15" s="1"/>
  <c r="EE111" i="15" s="1"/>
  <c r="EC127" i="15"/>
  <c r="ED127" i="15" s="1"/>
  <c r="EE127" i="15" s="1"/>
  <c r="EC143" i="15"/>
  <c r="ED143" i="15" s="1"/>
  <c r="EE143" i="15" s="1"/>
  <c r="EC159" i="15"/>
  <c r="ED159" i="15" s="1"/>
  <c r="EE159" i="15" s="1"/>
  <c r="EC175" i="15"/>
  <c r="ED175" i="15" s="1"/>
  <c r="EE175" i="15" s="1"/>
  <c r="EC191" i="15"/>
  <c r="ED191" i="15" s="1"/>
  <c r="EE191" i="15" s="1"/>
  <c r="EC207" i="15"/>
  <c r="ED207" i="15" s="1"/>
  <c r="EE207" i="15" s="1"/>
  <c r="EC223" i="15"/>
  <c r="ED223" i="15" s="1"/>
  <c r="EE223" i="15" s="1"/>
  <c r="EC12" i="15"/>
  <c r="ED12" i="15" s="1"/>
  <c r="EE12" i="15" s="1"/>
  <c r="EC28" i="15"/>
  <c r="ED28" i="15" s="1"/>
  <c r="EE28" i="15" s="1"/>
  <c r="EC44" i="15"/>
  <c r="ED44" i="15" s="1"/>
  <c r="EE44" i="15" s="1"/>
  <c r="EC60" i="15"/>
  <c r="ED60" i="15" s="1"/>
  <c r="EE60" i="15" s="1"/>
  <c r="EC76" i="15"/>
  <c r="ED76" i="15" s="1"/>
  <c r="EE76" i="15" s="1"/>
  <c r="EC92" i="15"/>
  <c r="ED92" i="15" s="1"/>
  <c r="EE92" i="15" s="1"/>
  <c r="EC108" i="15"/>
  <c r="ED108" i="15" s="1"/>
  <c r="EE108" i="15" s="1"/>
  <c r="EC124" i="15"/>
  <c r="ED124" i="15" s="1"/>
  <c r="EE124" i="15" s="1"/>
  <c r="EC140" i="15"/>
  <c r="ED140" i="15" s="1"/>
  <c r="EE140" i="15" s="1"/>
  <c r="EC156" i="15"/>
  <c r="ED156" i="15" s="1"/>
  <c r="EE156" i="15" s="1"/>
  <c r="EC172" i="15"/>
  <c r="ED172" i="15" s="1"/>
  <c r="EE172" i="15" s="1"/>
  <c r="EC188" i="15"/>
  <c r="ED188" i="15" s="1"/>
  <c r="EE188" i="15" s="1"/>
  <c r="EC204" i="15"/>
  <c r="ED204" i="15" s="1"/>
  <c r="EE204" i="15" s="1"/>
  <c r="EC220" i="15"/>
  <c r="ED220" i="15" s="1"/>
  <c r="EE220" i="15" s="1"/>
  <c r="EC13" i="15"/>
  <c r="ED13" i="15" s="1"/>
  <c r="EE13" i="15" s="1"/>
  <c r="EC45" i="15"/>
  <c r="ED45" i="15" s="1"/>
  <c r="EE45" i="15" s="1"/>
  <c r="EC77" i="15"/>
  <c r="ED77" i="15" s="1"/>
  <c r="EE77" i="15" s="1"/>
  <c r="EC109" i="15"/>
  <c r="ED109" i="15" s="1"/>
  <c r="EE109" i="15" s="1"/>
  <c r="EC141" i="15"/>
  <c r="ED141" i="15" s="1"/>
  <c r="EE141" i="15" s="1"/>
  <c r="EC173" i="15"/>
  <c r="ED173" i="15" s="1"/>
  <c r="EE173" i="15" s="1"/>
  <c r="EC205" i="15"/>
  <c r="ED205" i="15" s="1"/>
  <c r="EE205" i="15" s="1"/>
  <c r="EC14" i="15"/>
  <c r="ED14" i="15" s="1"/>
  <c r="EE14" i="15" s="1"/>
  <c r="EC46" i="15"/>
  <c r="ED46" i="15" s="1"/>
  <c r="EE46" i="15" s="1"/>
  <c r="EC78" i="15"/>
  <c r="ED78" i="15" s="1"/>
  <c r="EE78" i="15" s="1"/>
  <c r="EC110" i="15"/>
  <c r="ED110" i="15" s="1"/>
  <c r="EE110" i="15" s="1"/>
  <c r="EC142" i="15"/>
  <c r="ED142" i="15" s="1"/>
  <c r="EE142" i="15" s="1"/>
  <c r="EC174" i="15"/>
  <c r="ED174" i="15" s="1"/>
  <c r="EE174" i="15" s="1"/>
  <c r="EC206" i="15"/>
  <c r="ED206" i="15" s="1"/>
  <c r="EE206" i="15" s="1"/>
  <c r="EC17" i="15"/>
  <c r="ED17" i="15" s="1"/>
  <c r="EE17" i="15" s="1"/>
  <c r="EC49" i="15"/>
  <c r="ED49" i="15" s="1"/>
  <c r="EE49" i="15" s="1"/>
  <c r="EC81" i="15"/>
  <c r="ED81" i="15" s="1"/>
  <c r="EE81" i="15" s="1"/>
  <c r="EC113" i="15"/>
  <c r="ED113" i="15" s="1"/>
  <c r="EE113" i="15" s="1"/>
  <c r="EC145" i="15"/>
  <c r="ED145" i="15" s="1"/>
  <c r="EE145" i="15" s="1"/>
  <c r="EC177" i="15"/>
  <c r="ED177" i="15" s="1"/>
  <c r="EE177" i="15" s="1"/>
  <c r="EC209" i="15"/>
  <c r="ED209" i="15" s="1"/>
  <c r="EE209" i="15" s="1"/>
  <c r="EC58" i="15"/>
  <c r="ED58" i="15" s="1"/>
  <c r="EE58" i="15" s="1"/>
  <c r="EC186" i="15"/>
  <c r="ED186" i="15" s="1"/>
  <c r="EE186" i="15" s="1"/>
  <c r="EC98" i="15"/>
  <c r="ED98" i="15" s="1"/>
  <c r="EE98" i="15" s="1"/>
  <c r="EC226" i="15"/>
  <c r="ED226" i="15" s="1"/>
  <c r="EE226" i="15" s="1"/>
  <c r="EC106" i="15"/>
  <c r="ED106" i="15" s="1"/>
  <c r="EE106" i="15" s="1"/>
  <c r="EC50" i="15"/>
  <c r="ED50" i="15" s="1"/>
  <c r="EE50" i="15" s="1"/>
  <c r="EC114" i="15"/>
  <c r="ED114" i="15" s="1"/>
  <c r="EE114" i="15" s="1"/>
  <c r="EC3" i="15"/>
  <c r="ED3" i="15" s="1"/>
  <c r="EE3" i="15" s="1"/>
  <c r="EC19" i="15"/>
  <c r="ED19" i="15" s="1"/>
  <c r="EE19" i="15" s="1"/>
  <c r="EC35" i="15"/>
  <c r="ED35" i="15" s="1"/>
  <c r="EE35" i="15" s="1"/>
  <c r="EC51" i="15"/>
  <c r="ED51" i="15" s="1"/>
  <c r="EE51" i="15" s="1"/>
  <c r="EC67" i="15"/>
  <c r="ED67" i="15" s="1"/>
  <c r="EE67" i="15" s="1"/>
  <c r="EC83" i="15"/>
  <c r="ED83" i="15" s="1"/>
  <c r="EE83" i="15" s="1"/>
  <c r="EC99" i="15"/>
  <c r="ED99" i="15" s="1"/>
  <c r="EE99" i="15" s="1"/>
  <c r="EC115" i="15"/>
  <c r="ED115" i="15" s="1"/>
  <c r="EE115" i="15" s="1"/>
  <c r="EC131" i="15"/>
  <c r="ED131" i="15" s="1"/>
  <c r="EE131" i="15" s="1"/>
  <c r="EC147" i="15"/>
  <c r="ED147" i="15" s="1"/>
  <c r="EE147" i="15" s="1"/>
  <c r="EC163" i="15"/>
  <c r="ED163" i="15" s="1"/>
  <c r="EE163" i="15" s="1"/>
  <c r="EC179" i="15"/>
  <c r="ED179" i="15" s="1"/>
  <c r="EE179" i="15" s="1"/>
  <c r="EC195" i="15"/>
  <c r="ED195" i="15" s="1"/>
  <c r="EE195" i="15" s="1"/>
  <c r="EC211" i="15"/>
  <c r="ED211" i="15" s="1"/>
  <c r="EE211" i="15" s="1"/>
  <c r="EC227" i="15"/>
  <c r="ED227" i="15" s="1"/>
  <c r="EE227" i="15" s="1"/>
  <c r="EC16" i="15"/>
  <c r="ED16" i="15" s="1"/>
  <c r="EE16" i="15" s="1"/>
  <c r="EC32" i="15"/>
  <c r="ED32" i="15" s="1"/>
  <c r="EE32" i="15" s="1"/>
  <c r="EC48" i="15"/>
  <c r="ED48" i="15" s="1"/>
  <c r="EE48" i="15" s="1"/>
  <c r="EC64" i="15"/>
  <c r="ED64" i="15" s="1"/>
  <c r="EE64" i="15" s="1"/>
  <c r="EC80" i="15"/>
  <c r="ED80" i="15" s="1"/>
  <c r="EE80" i="15" s="1"/>
  <c r="EC96" i="15"/>
  <c r="ED96" i="15" s="1"/>
  <c r="EE96" i="15" s="1"/>
  <c r="EC112" i="15"/>
  <c r="ED112" i="15" s="1"/>
  <c r="EE112" i="15" s="1"/>
  <c r="EC128" i="15"/>
  <c r="ED128" i="15" s="1"/>
  <c r="EE128" i="15" s="1"/>
  <c r="EC144" i="15"/>
  <c r="ED144" i="15" s="1"/>
  <c r="EE144" i="15" s="1"/>
  <c r="EC160" i="15"/>
  <c r="ED160" i="15" s="1"/>
  <c r="EE160" i="15" s="1"/>
  <c r="EC176" i="15"/>
  <c r="ED176" i="15" s="1"/>
  <c r="EE176" i="15" s="1"/>
  <c r="EC192" i="15"/>
  <c r="ED192" i="15" s="1"/>
  <c r="EE192" i="15" s="1"/>
  <c r="EC208" i="15"/>
  <c r="ED208" i="15" s="1"/>
  <c r="EE208" i="15" s="1"/>
  <c r="EC178" i="15"/>
  <c r="ED178" i="15" s="1"/>
  <c r="EE178" i="15" s="1"/>
  <c r="EC10" i="15"/>
  <c r="ED10" i="15" s="1"/>
  <c r="EE10" i="15" s="1"/>
  <c r="EC218" i="15"/>
  <c r="ED218" i="15" s="1"/>
  <c r="EE218" i="15" s="1"/>
  <c r="EC217" i="15"/>
  <c r="ED217" i="15" s="1"/>
  <c r="EE217" i="15" s="1"/>
  <c r="EC153" i="15"/>
  <c r="ED153" i="15" s="1"/>
  <c r="EE153" i="15" s="1"/>
  <c r="EC89" i="15"/>
  <c r="ED89" i="15" s="1"/>
  <c r="EE89" i="15" s="1"/>
  <c r="EC25" i="15"/>
  <c r="ED25" i="15" s="1"/>
  <c r="EE25" i="15" s="1"/>
  <c r="EC182" i="15"/>
  <c r="ED182" i="15" s="1"/>
  <c r="EE182" i="15" s="1"/>
  <c r="EC118" i="15"/>
  <c r="ED118" i="15" s="1"/>
  <c r="EE118" i="15" s="1"/>
  <c r="EC54" i="15"/>
  <c r="ED54" i="15" s="1"/>
  <c r="EE54" i="15" s="1"/>
  <c r="EC213" i="15"/>
  <c r="ED213" i="15" s="1"/>
  <c r="EE213" i="15" s="1"/>
  <c r="EC149" i="15"/>
  <c r="ED149" i="15" s="1"/>
  <c r="EE149" i="15" s="1"/>
  <c r="EC85" i="15"/>
  <c r="ED85" i="15" s="1"/>
  <c r="EE85" i="15" s="1"/>
  <c r="EC21" i="15"/>
  <c r="ED21" i="15" s="1"/>
  <c r="EE21" i="15" s="1"/>
  <c r="EC196" i="15"/>
  <c r="ED196" i="15" s="1"/>
  <c r="EE196" i="15" s="1"/>
  <c r="EC132" i="15"/>
  <c r="ED132" i="15" s="1"/>
  <c r="EE132" i="15" s="1"/>
  <c r="EC68" i="15"/>
  <c r="ED68" i="15" s="1"/>
  <c r="EE68" i="15" s="1"/>
  <c r="EC4" i="15"/>
  <c r="ED4" i="15" s="1"/>
  <c r="EE4" i="15" s="1"/>
  <c r="EC167" i="15"/>
  <c r="ED167" i="15" s="1"/>
  <c r="EE167" i="15" s="1"/>
  <c r="EC103" i="15"/>
  <c r="ED103" i="15" s="1"/>
  <c r="EE103" i="15" s="1"/>
  <c r="EC39" i="15"/>
  <c r="ED39" i="15" s="1"/>
  <c r="EE39" i="15" s="1"/>
  <c r="BC105" i="15"/>
  <c r="BD105" i="15" s="1"/>
  <c r="BE105" i="15" s="1"/>
  <c r="BC149" i="15"/>
  <c r="BD149" i="15" s="1"/>
  <c r="BE149" i="15" s="1"/>
  <c r="BC209" i="15"/>
  <c r="BD209" i="15" s="1"/>
  <c r="BE209" i="15" s="1"/>
  <c r="BC216" i="15"/>
  <c r="BD216" i="15" s="1"/>
  <c r="BE216" i="15" s="1"/>
  <c r="BC152" i="15"/>
  <c r="BD152" i="15" s="1"/>
  <c r="BE152" i="15" s="1"/>
  <c r="BC88" i="15"/>
  <c r="BD88" i="15" s="1"/>
  <c r="BE88" i="15" s="1"/>
  <c r="BC24" i="15"/>
  <c r="BD24" i="15" s="1"/>
  <c r="BE24" i="15" s="1"/>
  <c r="BC187" i="15"/>
  <c r="BD187" i="15" s="1"/>
  <c r="BE187" i="15" s="1"/>
  <c r="BC123" i="15"/>
  <c r="BD123" i="15" s="1"/>
  <c r="BE123" i="15" s="1"/>
  <c r="BC59" i="15"/>
  <c r="BD59" i="15" s="1"/>
  <c r="BE59" i="15" s="1"/>
  <c r="BC222" i="15"/>
  <c r="BD222" i="15" s="1"/>
  <c r="BE222" i="15" s="1"/>
  <c r="BC158" i="15"/>
  <c r="BD158" i="15" s="1"/>
  <c r="BE158" i="15" s="1"/>
  <c r="BC94" i="15"/>
  <c r="BD94" i="15" s="1"/>
  <c r="BE94" i="15" s="1"/>
  <c r="BC30" i="15"/>
  <c r="BD30" i="15" s="1"/>
  <c r="BE30" i="15" s="1"/>
  <c r="EC146" i="15"/>
  <c r="ED146" i="15" s="1"/>
  <c r="EE146" i="15" s="1"/>
  <c r="EC170" i="15"/>
  <c r="ED170" i="15" s="1"/>
  <c r="EE170" i="15" s="1"/>
  <c r="EC162" i="15"/>
  <c r="ED162" i="15" s="1"/>
  <c r="EE162" i="15" s="1"/>
  <c r="EC122" i="15"/>
  <c r="ED122" i="15" s="1"/>
  <c r="EE122" i="15" s="1"/>
  <c r="EC193" i="15"/>
  <c r="ED193" i="15" s="1"/>
  <c r="EE193" i="15" s="1"/>
  <c r="EC129" i="15"/>
  <c r="ED129" i="15" s="1"/>
  <c r="EE129" i="15" s="1"/>
  <c r="EC65" i="15"/>
  <c r="ED65" i="15" s="1"/>
  <c r="EE65" i="15" s="1"/>
  <c r="EC222" i="15"/>
  <c r="ED222" i="15" s="1"/>
  <c r="EE222" i="15" s="1"/>
  <c r="EC158" i="15"/>
  <c r="ED158" i="15" s="1"/>
  <c r="EE158" i="15" s="1"/>
  <c r="EC94" i="15"/>
  <c r="ED94" i="15" s="1"/>
  <c r="EE94" i="15" s="1"/>
  <c r="EC30" i="15"/>
  <c r="ED30" i="15" s="1"/>
  <c r="EE30" i="15" s="1"/>
  <c r="EC189" i="15"/>
  <c r="ED189" i="15" s="1"/>
  <c r="EE189" i="15" s="1"/>
  <c r="EC125" i="15"/>
  <c r="ED125" i="15" s="1"/>
  <c r="EE125" i="15" s="1"/>
  <c r="EC61" i="15"/>
  <c r="ED61" i="15" s="1"/>
  <c r="EE61" i="15" s="1"/>
  <c r="EC2" i="15"/>
  <c r="ED2" i="15" s="1"/>
  <c r="EC180" i="15"/>
  <c r="ED180" i="15" s="1"/>
  <c r="EE180" i="15" s="1"/>
  <c r="EC116" i="15"/>
  <c r="ED116" i="15" s="1"/>
  <c r="EE116" i="15" s="1"/>
  <c r="EC52" i="15"/>
  <c r="ED52" i="15" s="1"/>
  <c r="EE52" i="15" s="1"/>
  <c r="EC215" i="15"/>
  <c r="ED215" i="15" s="1"/>
  <c r="EE215" i="15" s="1"/>
  <c r="EC151" i="15"/>
  <c r="ED151" i="15" s="1"/>
  <c r="EE151" i="15" s="1"/>
  <c r="EC87" i="15"/>
  <c r="ED87" i="15" s="1"/>
  <c r="EE87" i="15" s="1"/>
  <c r="EC23" i="15"/>
  <c r="ED23" i="15" s="1"/>
  <c r="EE23" i="15" s="1"/>
  <c r="BC41" i="15"/>
  <c r="BD41" i="15" s="1"/>
  <c r="BE41" i="15" s="1"/>
  <c r="BC85" i="15"/>
  <c r="BD85" i="15" s="1"/>
  <c r="BE85" i="15" s="1"/>
  <c r="BC145" i="15"/>
  <c r="BD145" i="15" s="1"/>
  <c r="BE145" i="15" s="1"/>
  <c r="BC200" i="15"/>
  <c r="BD200" i="15" s="1"/>
  <c r="BE200" i="15" s="1"/>
  <c r="BC136" i="15"/>
  <c r="BD136" i="15" s="1"/>
  <c r="BE136" i="15" s="1"/>
  <c r="BC72" i="15"/>
  <c r="BD72" i="15" s="1"/>
  <c r="BE72" i="15" s="1"/>
  <c r="BC8" i="15"/>
  <c r="BD8" i="15" s="1"/>
  <c r="BE8" i="15" s="1"/>
  <c r="BC171" i="15"/>
  <c r="BD171" i="15" s="1"/>
  <c r="BE171" i="15" s="1"/>
  <c r="BC107" i="15"/>
  <c r="BD107" i="15" s="1"/>
  <c r="BE107" i="15" s="1"/>
  <c r="BC43" i="15"/>
  <c r="BD43" i="15" s="1"/>
  <c r="BE43" i="15" s="1"/>
  <c r="BC206" i="15"/>
  <c r="BD206" i="15" s="1"/>
  <c r="BE206" i="15" s="1"/>
  <c r="BC142" i="15"/>
  <c r="BD142" i="15" s="1"/>
  <c r="BE142" i="15" s="1"/>
  <c r="BC78" i="15"/>
  <c r="BD78" i="15" s="1"/>
  <c r="BE78" i="15" s="1"/>
  <c r="BC14" i="15"/>
  <c r="BD14" i="15" s="1"/>
  <c r="BE14" i="15" s="1"/>
  <c r="EC18" i="15"/>
  <c r="ED18" i="15" s="1"/>
  <c r="EE18" i="15" s="1"/>
  <c r="EC138" i="15"/>
  <c r="ED138" i="15" s="1"/>
  <c r="EE138" i="15" s="1"/>
  <c r="EC130" i="15"/>
  <c r="ED130" i="15" s="1"/>
  <c r="EE130" i="15" s="1"/>
  <c r="EC90" i="15"/>
  <c r="ED90" i="15" s="1"/>
  <c r="EE90" i="15" s="1"/>
  <c r="EC185" i="15"/>
  <c r="ED185" i="15" s="1"/>
  <c r="EE185" i="15" s="1"/>
  <c r="EC121" i="15"/>
  <c r="ED121" i="15" s="1"/>
  <c r="EE121" i="15" s="1"/>
  <c r="EC57" i="15"/>
  <c r="ED57" i="15" s="1"/>
  <c r="EE57" i="15" s="1"/>
  <c r="EC214" i="15"/>
  <c r="ED214" i="15" s="1"/>
  <c r="EE214" i="15" s="1"/>
  <c r="EC150" i="15"/>
  <c r="ED150" i="15" s="1"/>
  <c r="EE150" i="15" s="1"/>
  <c r="EC86" i="15"/>
  <c r="ED86" i="15" s="1"/>
  <c r="EE86" i="15" s="1"/>
  <c r="EC22" i="15"/>
  <c r="ED22" i="15" s="1"/>
  <c r="EE22" i="15" s="1"/>
  <c r="EC181" i="15"/>
  <c r="ED181" i="15" s="1"/>
  <c r="EE181" i="15" s="1"/>
  <c r="EC117" i="15"/>
  <c r="ED117" i="15" s="1"/>
  <c r="EE117" i="15" s="1"/>
  <c r="EC53" i="15"/>
  <c r="ED53" i="15" s="1"/>
  <c r="EE53" i="15" s="1"/>
  <c r="EC224" i="15"/>
  <c r="ED224" i="15" s="1"/>
  <c r="EE224" i="15" s="1"/>
  <c r="EC164" i="15"/>
  <c r="ED164" i="15" s="1"/>
  <c r="EE164" i="15" s="1"/>
  <c r="EC100" i="15"/>
  <c r="ED100" i="15" s="1"/>
  <c r="EE100" i="15" s="1"/>
  <c r="EC36" i="15"/>
  <c r="ED36" i="15" s="1"/>
  <c r="EE36" i="15" s="1"/>
  <c r="EC199" i="15"/>
  <c r="ED199" i="15" s="1"/>
  <c r="EE199" i="15" s="1"/>
  <c r="EC135" i="15"/>
  <c r="ED135" i="15" s="1"/>
  <c r="EE135" i="15" s="1"/>
  <c r="EC71" i="15"/>
  <c r="ED71" i="15" s="1"/>
  <c r="EE71" i="15" s="1"/>
  <c r="EC7" i="15"/>
  <c r="ED7" i="15" s="1"/>
  <c r="EE7" i="15" s="1"/>
  <c r="BC29" i="15"/>
  <c r="BD29" i="15" s="1"/>
  <c r="BE29" i="15" s="1"/>
  <c r="BC189" i="15"/>
  <c r="BD189" i="15" s="1"/>
  <c r="BE189" i="15" s="1"/>
  <c r="BC21" i="15"/>
  <c r="BD21" i="15" s="1"/>
  <c r="BE21" i="15" s="1"/>
  <c r="BC81" i="15"/>
  <c r="BD81" i="15" s="1"/>
  <c r="BE81" i="15" s="1"/>
  <c r="BC184" i="15"/>
  <c r="BD184" i="15" s="1"/>
  <c r="BE184" i="15" s="1"/>
  <c r="BC120" i="15"/>
  <c r="BD120" i="15" s="1"/>
  <c r="BE120" i="15" s="1"/>
  <c r="BC56" i="15"/>
  <c r="BD56" i="15" s="1"/>
  <c r="BE56" i="15" s="1"/>
  <c r="BC219" i="15"/>
  <c r="BD219" i="15" s="1"/>
  <c r="BE219" i="15" s="1"/>
  <c r="BC155" i="15"/>
  <c r="BD155" i="15" s="1"/>
  <c r="BE155" i="15" s="1"/>
  <c r="BC91" i="15"/>
  <c r="BD91" i="15" s="1"/>
  <c r="BE91" i="15" s="1"/>
  <c r="BC27" i="15"/>
  <c r="BD27" i="15" s="1"/>
  <c r="BE27" i="15" s="1"/>
  <c r="BC190" i="15"/>
  <c r="BD190" i="15" s="1"/>
  <c r="BE190" i="15" s="1"/>
  <c r="BC126" i="15"/>
  <c r="BD126" i="15" s="1"/>
  <c r="BE126" i="15" s="1"/>
  <c r="BC62" i="15"/>
  <c r="BD62" i="15" s="1"/>
  <c r="BE62" i="15" s="1"/>
  <c r="EF10" i="15"/>
  <c r="EG10" i="15" s="1"/>
  <c r="EH10" i="15" s="1"/>
  <c r="EF26" i="15"/>
  <c r="EG26" i="15" s="1"/>
  <c r="EH26" i="15" s="1"/>
  <c r="EF7" i="15"/>
  <c r="EG7" i="15" s="1"/>
  <c r="EH7" i="15" s="1"/>
  <c r="EF23" i="15"/>
  <c r="EG23" i="15" s="1"/>
  <c r="EH23" i="15" s="1"/>
  <c r="EF16" i="15"/>
  <c r="EG16" i="15" s="1"/>
  <c r="EH16" i="15" s="1"/>
  <c r="EF41" i="15"/>
  <c r="EG41" i="15" s="1"/>
  <c r="EH41" i="15" s="1"/>
  <c r="W30" i="4"/>
  <c r="EF18" i="15"/>
  <c r="EG18" i="15" s="1"/>
  <c r="EH18" i="15" s="1"/>
  <c r="EF34" i="15"/>
  <c r="EG34" i="15" s="1"/>
  <c r="EH34" i="15" s="1"/>
  <c r="EF15" i="15"/>
  <c r="EG15" i="15" s="1"/>
  <c r="EH15" i="15" s="1"/>
  <c r="EF31" i="15"/>
  <c r="EG31" i="15" s="1"/>
  <c r="EH31" i="15" s="1"/>
  <c r="EF32" i="15"/>
  <c r="EG32" i="15" s="1"/>
  <c r="EH32" i="15" s="1"/>
  <c r="EF49" i="15"/>
  <c r="EG49" i="15" s="1"/>
  <c r="EH49" i="15" s="1"/>
  <c r="EF65" i="15"/>
  <c r="EG65" i="15" s="1"/>
  <c r="EH65" i="15" s="1"/>
  <c r="L11" i="4"/>
  <c r="AE16" i="15"/>
  <c r="AF16" i="15" s="1"/>
  <c r="AG16" i="15" s="1"/>
  <c r="AE32" i="15"/>
  <c r="AF32" i="15" s="1"/>
  <c r="AG32" i="15" s="1"/>
  <c r="AE48" i="15"/>
  <c r="AF48" i="15" s="1"/>
  <c r="AG48" i="15" s="1"/>
  <c r="AE64" i="15"/>
  <c r="AF64" i="15" s="1"/>
  <c r="AG64" i="15" s="1"/>
  <c r="AE80" i="15"/>
  <c r="AF80" i="15" s="1"/>
  <c r="AG80" i="15" s="1"/>
  <c r="AE96" i="15"/>
  <c r="AF96" i="15" s="1"/>
  <c r="AG96" i="15" s="1"/>
  <c r="AE112" i="15"/>
  <c r="AF112" i="15" s="1"/>
  <c r="AG112" i="15" s="1"/>
  <c r="AE128" i="15"/>
  <c r="AF128" i="15" s="1"/>
  <c r="AG128" i="15" s="1"/>
  <c r="AE144" i="15"/>
  <c r="AF144" i="15" s="1"/>
  <c r="AG144" i="15" s="1"/>
  <c r="AE160" i="15"/>
  <c r="AF160" i="15" s="1"/>
  <c r="AG160" i="15" s="1"/>
  <c r="AE176" i="15"/>
  <c r="AF176" i="15" s="1"/>
  <c r="AG176" i="15" s="1"/>
  <c r="AE192" i="15"/>
  <c r="AF192" i="15" s="1"/>
  <c r="AG192" i="15" s="1"/>
  <c r="AE208" i="15"/>
  <c r="AF208" i="15" s="1"/>
  <c r="AG208" i="15" s="1"/>
  <c r="AE224" i="15"/>
  <c r="AF224" i="15" s="1"/>
  <c r="AG224" i="15" s="1"/>
  <c r="AE15" i="15"/>
  <c r="AF15" i="15" s="1"/>
  <c r="AG15" i="15" s="1"/>
  <c r="AE47" i="15"/>
  <c r="AF47" i="15" s="1"/>
  <c r="AG47" i="15" s="1"/>
  <c r="AE79" i="15"/>
  <c r="AF79" i="15" s="1"/>
  <c r="AG79" i="15" s="1"/>
  <c r="AE107" i="15"/>
  <c r="AF107" i="15" s="1"/>
  <c r="AG107" i="15" s="1"/>
  <c r="AE135" i="15"/>
  <c r="AF135" i="15" s="1"/>
  <c r="AG135" i="15" s="1"/>
  <c r="AE167" i="15"/>
  <c r="AF167" i="15" s="1"/>
  <c r="AG167" i="15" s="1"/>
  <c r="AE199" i="15"/>
  <c r="AF199" i="15" s="1"/>
  <c r="AG199" i="15" s="1"/>
  <c r="AE5" i="15"/>
  <c r="AF5" i="15" s="1"/>
  <c r="AG5" i="15" s="1"/>
  <c r="AE21" i="15"/>
  <c r="AF21" i="15" s="1"/>
  <c r="AG21" i="15" s="1"/>
  <c r="AE37" i="15"/>
  <c r="AF37" i="15" s="1"/>
  <c r="AG37" i="15" s="1"/>
  <c r="AE53" i="15"/>
  <c r="AF53" i="15" s="1"/>
  <c r="AG53" i="15" s="1"/>
  <c r="AE69" i="15"/>
  <c r="AF69" i="15" s="1"/>
  <c r="AG69" i="15" s="1"/>
  <c r="AE85" i="15"/>
  <c r="AF85" i="15" s="1"/>
  <c r="AG85" i="15" s="1"/>
  <c r="AE101" i="15"/>
  <c r="AF101" i="15" s="1"/>
  <c r="AG101" i="15" s="1"/>
  <c r="AE117" i="15"/>
  <c r="AF117" i="15" s="1"/>
  <c r="AG117" i="15" s="1"/>
  <c r="AE133" i="15"/>
  <c r="AF133" i="15" s="1"/>
  <c r="AG133" i="15" s="1"/>
  <c r="AE149" i="15"/>
  <c r="AF149" i="15" s="1"/>
  <c r="AG149" i="15" s="1"/>
  <c r="AE165" i="15"/>
  <c r="AF165" i="15" s="1"/>
  <c r="AG165" i="15" s="1"/>
  <c r="AE181" i="15"/>
  <c r="AF181" i="15" s="1"/>
  <c r="AG181" i="15" s="1"/>
  <c r="AE197" i="15"/>
  <c r="AF197" i="15" s="1"/>
  <c r="AG197" i="15" s="1"/>
  <c r="AE213" i="15"/>
  <c r="AF213" i="15" s="1"/>
  <c r="AG213" i="15" s="1"/>
  <c r="AE6" i="15"/>
  <c r="AF6" i="15" s="1"/>
  <c r="AG6" i="15" s="1"/>
  <c r="AE22" i="15"/>
  <c r="AF22" i="15" s="1"/>
  <c r="AG22" i="15" s="1"/>
  <c r="AE38" i="15"/>
  <c r="AF38" i="15" s="1"/>
  <c r="AG38" i="15" s="1"/>
  <c r="AE54" i="15"/>
  <c r="AF54" i="15" s="1"/>
  <c r="AG54" i="15" s="1"/>
  <c r="AE70" i="15"/>
  <c r="AF70" i="15" s="1"/>
  <c r="AG70" i="15" s="1"/>
  <c r="AE86" i="15"/>
  <c r="AF86" i="15" s="1"/>
  <c r="AG86" i="15" s="1"/>
  <c r="AE102" i="15"/>
  <c r="AF102" i="15" s="1"/>
  <c r="AG102" i="15" s="1"/>
  <c r="AE118" i="15"/>
  <c r="AF118" i="15" s="1"/>
  <c r="AG118" i="15" s="1"/>
  <c r="AE134" i="15"/>
  <c r="AF134" i="15" s="1"/>
  <c r="AG134" i="15" s="1"/>
  <c r="AE150" i="15"/>
  <c r="AF150" i="15" s="1"/>
  <c r="AG150" i="15" s="1"/>
  <c r="AE166" i="15"/>
  <c r="AF166" i="15" s="1"/>
  <c r="AG166" i="15" s="1"/>
  <c r="AE182" i="15"/>
  <c r="AF182" i="15" s="1"/>
  <c r="AG182" i="15" s="1"/>
  <c r="AE198" i="15"/>
  <c r="AF198" i="15" s="1"/>
  <c r="AG198" i="15" s="1"/>
  <c r="AE214" i="15"/>
  <c r="AF214" i="15" s="1"/>
  <c r="AG214" i="15" s="1"/>
  <c r="AE7" i="15"/>
  <c r="AF7" i="15" s="1"/>
  <c r="AG7" i="15" s="1"/>
  <c r="AE43" i="15"/>
  <c r="AF43" i="15" s="1"/>
  <c r="AG43" i="15" s="1"/>
  <c r="AE75" i="15"/>
  <c r="AF75" i="15" s="1"/>
  <c r="AG75" i="15" s="1"/>
  <c r="AE115" i="15"/>
  <c r="AF115" i="15" s="1"/>
  <c r="AG115" i="15" s="1"/>
  <c r="AE147" i="15"/>
  <c r="AF147" i="15" s="1"/>
  <c r="AG147" i="15" s="1"/>
  <c r="AE179" i="15"/>
  <c r="AF179" i="15" s="1"/>
  <c r="AG179" i="15" s="1"/>
  <c r="AE211" i="15"/>
  <c r="AF211" i="15" s="1"/>
  <c r="AG211" i="15" s="1"/>
  <c r="AE8" i="15"/>
  <c r="AF8" i="15" s="1"/>
  <c r="AG8" i="15" s="1"/>
  <c r="AE24" i="15"/>
  <c r="AF24" i="15" s="1"/>
  <c r="AG24" i="15" s="1"/>
  <c r="AE40" i="15"/>
  <c r="AF40" i="15" s="1"/>
  <c r="AG40" i="15" s="1"/>
  <c r="AE56" i="15"/>
  <c r="AF56" i="15" s="1"/>
  <c r="AG56" i="15" s="1"/>
  <c r="AE72" i="15"/>
  <c r="AF72" i="15" s="1"/>
  <c r="AG72" i="15" s="1"/>
  <c r="AE88" i="15"/>
  <c r="AF88" i="15" s="1"/>
  <c r="AG88" i="15" s="1"/>
  <c r="AE104" i="15"/>
  <c r="AF104" i="15" s="1"/>
  <c r="AG104" i="15" s="1"/>
  <c r="AE120" i="15"/>
  <c r="AF120" i="15" s="1"/>
  <c r="AG120" i="15" s="1"/>
  <c r="AE136" i="15"/>
  <c r="AF136" i="15" s="1"/>
  <c r="AG136" i="15" s="1"/>
  <c r="AE152" i="15"/>
  <c r="AF152" i="15" s="1"/>
  <c r="AG152" i="15" s="1"/>
  <c r="AE168" i="15"/>
  <c r="AF168" i="15" s="1"/>
  <c r="AG168" i="15" s="1"/>
  <c r="AE184" i="15"/>
  <c r="AF184" i="15" s="1"/>
  <c r="AG184" i="15" s="1"/>
  <c r="AE200" i="15"/>
  <c r="AF200" i="15" s="1"/>
  <c r="AG200" i="15" s="1"/>
  <c r="AE216" i="15"/>
  <c r="AF216" i="15" s="1"/>
  <c r="AG216" i="15" s="1"/>
  <c r="AE3" i="15"/>
  <c r="AF3" i="15" s="1"/>
  <c r="AG3" i="15" s="1"/>
  <c r="AE31" i="15"/>
  <c r="AF31" i="15" s="1"/>
  <c r="AG31" i="15" s="1"/>
  <c r="AE63" i="15"/>
  <c r="AF63" i="15" s="1"/>
  <c r="AG63" i="15" s="1"/>
  <c r="AE95" i="15"/>
  <c r="AF95" i="15" s="1"/>
  <c r="AG95" i="15" s="1"/>
  <c r="AE123" i="15"/>
  <c r="AF123" i="15" s="1"/>
  <c r="AG123" i="15" s="1"/>
  <c r="AE151" i="15"/>
  <c r="AF151" i="15" s="1"/>
  <c r="AG151" i="15" s="1"/>
  <c r="AE183" i="15"/>
  <c r="AF183" i="15" s="1"/>
  <c r="AG183" i="15" s="1"/>
  <c r="AE215" i="15"/>
  <c r="AF215" i="15" s="1"/>
  <c r="AG215" i="15" s="1"/>
  <c r="AE13" i="15"/>
  <c r="AF13" i="15" s="1"/>
  <c r="AG13" i="15" s="1"/>
  <c r="AE29" i="15"/>
  <c r="AF29" i="15" s="1"/>
  <c r="AG29" i="15" s="1"/>
  <c r="AE45" i="15"/>
  <c r="AF45" i="15" s="1"/>
  <c r="AG45" i="15" s="1"/>
  <c r="AE61" i="15"/>
  <c r="AF61" i="15" s="1"/>
  <c r="AG61" i="15" s="1"/>
  <c r="AE77" i="15"/>
  <c r="AF77" i="15" s="1"/>
  <c r="AG77" i="15" s="1"/>
  <c r="AE93" i="15"/>
  <c r="AF93" i="15" s="1"/>
  <c r="AG93" i="15" s="1"/>
  <c r="AE109" i="15"/>
  <c r="AF109" i="15" s="1"/>
  <c r="AG109" i="15" s="1"/>
  <c r="AE125" i="15"/>
  <c r="AF125" i="15" s="1"/>
  <c r="AG125" i="15" s="1"/>
  <c r="AE141" i="15"/>
  <c r="AF141" i="15" s="1"/>
  <c r="AG141" i="15" s="1"/>
  <c r="AE157" i="15"/>
  <c r="AF157" i="15" s="1"/>
  <c r="AG157" i="15" s="1"/>
  <c r="AE173" i="15"/>
  <c r="AF173" i="15" s="1"/>
  <c r="AG173" i="15" s="1"/>
  <c r="AE189" i="15"/>
  <c r="AF189" i="15" s="1"/>
  <c r="AG189" i="15" s="1"/>
  <c r="AE205" i="15"/>
  <c r="AF205" i="15" s="1"/>
  <c r="AG205" i="15" s="1"/>
  <c r="AE221" i="15"/>
  <c r="AF221" i="15" s="1"/>
  <c r="AG221" i="15" s="1"/>
  <c r="AE14" i="15"/>
  <c r="AF14" i="15" s="1"/>
  <c r="AG14" i="15" s="1"/>
  <c r="AE30" i="15"/>
  <c r="AF30" i="15" s="1"/>
  <c r="AG30" i="15" s="1"/>
  <c r="AE46" i="15"/>
  <c r="AF46" i="15" s="1"/>
  <c r="AG46" i="15" s="1"/>
  <c r="AE62" i="15"/>
  <c r="AF62" i="15" s="1"/>
  <c r="AG62" i="15" s="1"/>
  <c r="AE78" i="15"/>
  <c r="AF78" i="15" s="1"/>
  <c r="AG78" i="15" s="1"/>
  <c r="AE94" i="15"/>
  <c r="AF94" i="15" s="1"/>
  <c r="AG94" i="15" s="1"/>
  <c r="AE110" i="15"/>
  <c r="AF110" i="15" s="1"/>
  <c r="AG110" i="15" s="1"/>
  <c r="AE126" i="15"/>
  <c r="AF126" i="15" s="1"/>
  <c r="AG126" i="15" s="1"/>
  <c r="AE142" i="15"/>
  <c r="AF142" i="15" s="1"/>
  <c r="AG142" i="15" s="1"/>
  <c r="AE158" i="15"/>
  <c r="AF158" i="15" s="1"/>
  <c r="AG158" i="15" s="1"/>
  <c r="AE174" i="15"/>
  <c r="AF174" i="15" s="1"/>
  <c r="AG174" i="15" s="1"/>
  <c r="AE190" i="15"/>
  <c r="AF190" i="15" s="1"/>
  <c r="AG190" i="15" s="1"/>
  <c r="AE206" i="15"/>
  <c r="AF206" i="15" s="1"/>
  <c r="AG206" i="15" s="1"/>
  <c r="AE222" i="15"/>
  <c r="AF222" i="15" s="1"/>
  <c r="AG222" i="15" s="1"/>
  <c r="AE27" i="15"/>
  <c r="AF27" i="15" s="1"/>
  <c r="AG27" i="15" s="1"/>
  <c r="AE59" i="15"/>
  <c r="AF59" i="15" s="1"/>
  <c r="AG59" i="15" s="1"/>
  <c r="AE91" i="15"/>
  <c r="AF91" i="15" s="1"/>
  <c r="AG91" i="15" s="1"/>
  <c r="AE131" i="15"/>
  <c r="AF131" i="15" s="1"/>
  <c r="AG131" i="15" s="1"/>
  <c r="AE163" i="15"/>
  <c r="AF163" i="15" s="1"/>
  <c r="AG163" i="15" s="1"/>
  <c r="AE195" i="15"/>
  <c r="AF195" i="15" s="1"/>
  <c r="AG195" i="15" s="1"/>
  <c r="AE227" i="15"/>
  <c r="AF227" i="15" s="1"/>
  <c r="AG227" i="15" s="1"/>
  <c r="AE12" i="15"/>
  <c r="AF12" i="15" s="1"/>
  <c r="AG12" i="15" s="1"/>
  <c r="AE28" i="15"/>
  <c r="AF28" i="15" s="1"/>
  <c r="AG28" i="15" s="1"/>
  <c r="AE44" i="15"/>
  <c r="AF44" i="15" s="1"/>
  <c r="AG44" i="15" s="1"/>
  <c r="AE60" i="15"/>
  <c r="AF60" i="15" s="1"/>
  <c r="AG60" i="15" s="1"/>
  <c r="AE76" i="15"/>
  <c r="AF76" i="15" s="1"/>
  <c r="AG76" i="15" s="1"/>
  <c r="AE92" i="15"/>
  <c r="AF92" i="15" s="1"/>
  <c r="AG92" i="15" s="1"/>
  <c r="AE108" i="15"/>
  <c r="AF108" i="15" s="1"/>
  <c r="AG108" i="15" s="1"/>
  <c r="AE124" i="15"/>
  <c r="AF124" i="15" s="1"/>
  <c r="AG124" i="15" s="1"/>
  <c r="AE140" i="15"/>
  <c r="AF140" i="15" s="1"/>
  <c r="AG140" i="15" s="1"/>
  <c r="AE156" i="15"/>
  <c r="AF156" i="15" s="1"/>
  <c r="AG156" i="15" s="1"/>
  <c r="AE172" i="15"/>
  <c r="AF172" i="15" s="1"/>
  <c r="AG172" i="15" s="1"/>
  <c r="AE188" i="15"/>
  <c r="AF188" i="15" s="1"/>
  <c r="AG188" i="15" s="1"/>
  <c r="AE204" i="15"/>
  <c r="AF204" i="15" s="1"/>
  <c r="AG204" i="15" s="1"/>
  <c r="AE220" i="15"/>
  <c r="AF220" i="15" s="1"/>
  <c r="AG220" i="15" s="1"/>
  <c r="AE11" i="15"/>
  <c r="AF11" i="15" s="1"/>
  <c r="AG11" i="15" s="1"/>
  <c r="AE39" i="15"/>
  <c r="AF39" i="15" s="1"/>
  <c r="AG39" i="15" s="1"/>
  <c r="AE71" i="15"/>
  <c r="AF71" i="15" s="1"/>
  <c r="AG71" i="15" s="1"/>
  <c r="AE99" i="15"/>
  <c r="AF99" i="15" s="1"/>
  <c r="AG99" i="15" s="1"/>
  <c r="AE127" i="15"/>
  <c r="AF127" i="15" s="1"/>
  <c r="AG127" i="15" s="1"/>
  <c r="AE159" i="15"/>
  <c r="AF159" i="15" s="1"/>
  <c r="AG159" i="15" s="1"/>
  <c r="AE191" i="15"/>
  <c r="AF191" i="15" s="1"/>
  <c r="AG191" i="15" s="1"/>
  <c r="AE223" i="15"/>
  <c r="AF223" i="15" s="1"/>
  <c r="AG223" i="15" s="1"/>
  <c r="AE17" i="15"/>
  <c r="AF17" i="15" s="1"/>
  <c r="AG17" i="15" s="1"/>
  <c r="AE33" i="15"/>
  <c r="AF33" i="15" s="1"/>
  <c r="AG33" i="15" s="1"/>
  <c r="AE49" i="15"/>
  <c r="AF49" i="15" s="1"/>
  <c r="AG49" i="15" s="1"/>
  <c r="AE65" i="15"/>
  <c r="AF65" i="15" s="1"/>
  <c r="AG65" i="15" s="1"/>
  <c r="AE81" i="15"/>
  <c r="AF81" i="15" s="1"/>
  <c r="AG81" i="15" s="1"/>
  <c r="AE97" i="15"/>
  <c r="AF97" i="15" s="1"/>
  <c r="AG97" i="15" s="1"/>
  <c r="AE113" i="15"/>
  <c r="AF113" i="15" s="1"/>
  <c r="AG113" i="15" s="1"/>
  <c r="AE129" i="15"/>
  <c r="AF129" i="15" s="1"/>
  <c r="AG129" i="15" s="1"/>
  <c r="AE145" i="15"/>
  <c r="AF145" i="15" s="1"/>
  <c r="AG145" i="15" s="1"/>
  <c r="AE161" i="15"/>
  <c r="AF161" i="15" s="1"/>
  <c r="AG161" i="15" s="1"/>
  <c r="AE177" i="15"/>
  <c r="AF177" i="15" s="1"/>
  <c r="AG177" i="15" s="1"/>
  <c r="AE193" i="15"/>
  <c r="AF193" i="15" s="1"/>
  <c r="AG193" i="15" s="1"/>
  <c r="AE209" i="15"/>
  <c r="AF209" i="15" s="1"/>
  <c r="AG209" i="15" s="1"/>
  <c r="AE225" i="15"/>
  <c r="AF225" i="15" s="1"/>
  <c r="AG225" i="15" s="1"/>
  <c r="AE18" i="15"/>
  <c r="AF18" i="15" s="1"/>
  <c r="AG18" i="15" s="1"/>
  <c r="AE34" i="15"/>
  <c r="AF34" i="15" s="1"/>
  <c r="AG34" i="15" s="1"/>
  <c r="AE50" i="15"/>
  <c r="AF50" i="15" s="1"/>
  <c r="AG50" i="15" s="1"/>
  <c r="AE66" i="15"/>
  <c r="AF66" i="15" s="1"/>
  <c r="AG66" i="15" s="1"/>
  <c r="AE82" i="15"/>
  <c r="AF82" i="15" s="1"/>
  <c r="AG82" i="15" s="1"/>
  <c r="AE98" i="15"/>
  <c r="AF98" i="15" s="1"/>
  <c r="AG98" i="15" s="1"/>
  <c r="AE114" i="15"/>
  <c r="AF114" i="15" s="1"/>
  <c r="AG114" i="15" s="1"/>
  <c r="AE130" i="15"/>
  <c r="AF130" i="15" s="1"/>
  <c r="AG130" i="15" s="1"/>
  <c r="AE146" i="15"/>
  <c r="AF146" i="15" s="1"/>
  <c r="AG146" i="15" s="1"/>
  <c r="AE162" i="15"/>
  <c r="AF162" i="15" s="1"/>
  <c r="AG162" i="15" s="1"/>
  <c r="AE178" i="15"/>
  <c r="AF178" i="15" s="1"/>
  <c r="AG178" i="15" s="1"/>
  <c r="AE194" i="15"/>
  <c r="AF194" i="15" s="1"/>
  <c r="AG194" i="15" s="1"/>
  <c r="AE210" i="15"/>
  <c r="AF210" i="15" s="1"/>
  <c r="AG210" i="15" s="1"/>
  <c r="AE226" i="15"/>
  <c r="AF226" i="15" s="1"/>
  <c r="AG226" i="15" s="1"/>
  <c r="AE35" i="15"/>
  <c r="AF35" i="15" s="1"/>
  <c r="AG35" i="15" s="1"/>
  <c r="AE67" i="15"/>
  <c r="AF67" i="15" s="1"/>
  <c r="AG67" i="15" s="1"/>
  <c r="AE103" i="15"/>
  <c r="AF103" i="15" s="1"/>
  <c r="AG103" i="15" s="1"/>
  <c r="AE139" i="15"/>
  <c r="AF139" i="15" s="1"/>
  <c r="AG139" i="15" s="1"/>
  <c r="AE171" i="15"/>
  <c r="AF171" i="15" s="1"/>
  <c r="AG171" i="15" s="1"/>
  <c r="AE203" i="15"/>
  <c r="AF203" i="15" s="1"/>
  <c r="AG203" i="15" s="1"/>
  <c r="AW121" i="15"/>
  <c r="AX121" i="15" s="1"/>
  <c r="AY121" i="15" s="1"/>
  <c r="AW197" i="15"/>
  <c r="AX197" i="15" s="1"/>
  <c r="AY197" i="15" s="1"/>
  <c r="AW133" i="15"/>
  <c r="AX133" i="15" s="1"/>
  <c r="AY133" i="15" s="1"/>
  <c r="AW69" i="15"/>
  <c r="AX69" i="15" s="1"/>
  <c r="AY69" i="15" s="1"/>
  <c r="AW5" i="15"/>
  <c r="AX5" i="15" s="1"/>
  <c r="AY5" i="15" s="1"/>
  <c r="AW41" i="15"/>
  <c r="AX41" i="15" s="1"/>
  <c r="AY41" i="15" s="1"/>
  <c r="AW177" i="15"/>
  <c r="AX177" i="15" s="1"/>
  <c r="AY177" i="15" s="1"/>
  <c r="AW113" i="15"/>
  <c r="AX113" i="15" s="1"/>
  <c r="AY113" i="15" s="1"/>
  <c r="AW49" i="15"/>
  <c r="AX49" i="15" s="1"/>
  <c r="AY49" i="15" s="1"/>
  <c r="AW169" i="15"/>
  <c r="AX169" i="15" s="1"/>
  <c r="AY169" i="15" s="1"/>
  <c r="AW9" i="15"/>
  <c r="AX9" i="15" s="1"/>
  <c r="AY9" i="15" s="1"/>
  <c r="AW173" i="15"/>
  <c r="AX173" i="15" s="1"/>
  <c r="AY173" i="15" s="1"/>
  <c r="AW109" i="15"/>
  <c r="AX109" i="15" s="1"/>
  <c r="AY109" i="15" s="1"/>
  <c r="AW45" i="15"/>
  <c r="AX45" i="15" s="1"/>
  <c r="AY45" i="15" s="1"/>
  <c r="AW224" i="15"/>
  <c r="AX224" i="15" s="1"/>
  <c r="AY224" i="15" s="1"/>
  <c r="AW208" i="15"/>
  <c r="AX208" i="15" s="1"/>
  <c r="AY208" i="15" s="1"/>
  <c r="AW192" i="15"/>
  <c r="AX192" i="15" s="1"/>
  <c r="AY192" i="15" s="1"/>
  <c r="AW176" i="15"/>
  <c r="AX176" i="15" s="1"/>
  <c r="AY176" i="15" s="1"/>
  <c r="AW160" i="15"/>
  <c r="AX160" i="15" s="1"/>
  <c r="AY160" i="15" s="1"/>
  <c r="AW144" i="15"/>
  <c r="AX144" i="15" s="1"/>
  <c r="AY144" i="15" s="1"/>
  <c r="AW128" i="15"/>
  <c r="AX128" i="15" s="1"/>
  <c r="AY128" i="15" s="1"/>
  <c r="AW112" i="15"/>
  <c r="AX112" i="15" s="1"/>
  <c r="AY112" i="15" s="1"/>
  <c r="AW96" i="15"/>
  <c r="AX96" i="15" s="1"/>
  <c r="AY96" i="15" s="1"/>
  <c r="AW80" i="15"/>
  <c r="AX80" i="15" s="1"/>
  <c r="AY80" i="15" s="1"/>
  <c r="AW64" i="15"/>
  <c r="AX64" i="15" s="1"/>
  <c r="AY64" i="15" s="1"/>
  <c r="AW48" i="15"/>
  <c r="AX48" i="15" s="1"/>
  <c r="AY48" i="15" s="1"/>
  <c r="AW32" i="15"/>
  <c r="AX32" i="15" s="1"/>
  <c r="AY32" i="15" s="1"/>
  <c r="AW16" i="15"/>
  <c r="AX16" i="15" s="1"/>
  <c r="AY16" i="15" s="1"/>
  <c r="AW227" i="15"/>
  <c r="AX227" i="15" s="1"/>
  <c r="AY227" i="15" s="1"/>
  <c r="AW211" i="15"/>
  <c r="AX211" i="15" s="1"/>
  <c r="AY211" i="15" s="1"/>
  <c r="AW195" i="15"/>
  <c r="AX195" i="15" s="1"/>
  <c r="AY195" i="15" s="1"/>
  <c r="AW179" i="15"/>
  <c r="AX179" i="15" s="1"/>
  <c r="AY179" i="15" s="1"/>
  <c r="AW163" i="15"/>
  <c r="AX163" i="15" s="1"/>
  <c r="AY163" i="15" s="1"/>
  <c r="AW147" i="15"/>
  <c r="AX147" i="15" s="1"/>
  <c r="AY147" i="15" s="1"/>
  <c r="AW131" i="15"/>
  <c r="AX131" i="15" s="1"/>
  <c r="AY131" i="15" s="1"/>
  <c r="AW115" i="15"/>
  <c r="AX115" i="15" s="1"/>
  <c r="AY115" i="15" s="1"/>
  <c r="AW99" i="15"/>
  <c r="AX99" i="15" s="1"/>
  <c r="AY99" i="15" s="1"/>
  <c r="AW83" i="15"/>
  <c r="AX83" i="15" s="1"/>
  <c r="AY83" i="15" s="1"/>
  <c r="AW67" i="15"/>
  <c r="AX67" i="15" s="1"/>
  <c r="AY67" i="15" s="1"/>
  <c r="AW51" i="15"/>
  <c r="AX51" i="15" s="1"/>
  <c r="AY51" i="15" s="1"/>
  <c r="AW35" i="15"/>
  <c r="AX35" i="15" s="1"/>
  <c r="AY35" i="15" s="1"/>
  <c r="AW19" i="15"/>
  <c r="AX19" i="15" s="1"/>
  <c r="AY19" i="15" s="1"/>
  <c r="AW3" i="15"/>
  <c r="AX3" i="15" s="1"/>
  <c r="AY3" i="15" s="1"/>
  <c r="AW214" i="15"/>
  <c r="AX214" i="15" s="1"/>
  <c r="AY214" i="15" s="1"/>
  <c r="AW198" i="15"/>
  <c r="AX198" i="15" s="1"/>
  <c r="AY198" i="15" s="1"/>
  <c r="AW182" i="15"/>
  <c r="AX182" i="15" s="1"/>
  <c r="AY182" i="15" s="1"/>
  <c r="AW166" i="15"/>
  <c r="AX166" i="15" s="1"/>
  <c r="AY166" i="15" s="1"/>
  <c r="AW150" i="15"/>
  <c r="AX150" i="15" s="1"/>
  <c r="AY150" i="15" s="1"/>
  <c r="AW134" i="15"/>
  <c r="AX134" i="15" s="1"/>
  <c r="AY134" i="15" s="1"/>
  <c r="AW118" i="15"/>
  <c r="AX118" i="15" s="1"/>
  <c r="AY118" i="15" s="1"/>
  <c r="AW102" i="15"/>
  <c r="AX102" i="15" s="1"/>
  <c r="AY102" i="15" s="1"/>
  <c r="AW86" i="15"/>
  <c r="AX86" i="15" s="1"/>
  <c r="AY86" i="15" s="1"/>
  <c r="AW70" i="15"/>
  <c r="AX70" i="15" s="1"/>
  <c r="AY70" i="15" s="1"/>
  <c r="AW54" i="15"/>
  <c r="AX54" i="15" s="1"/>
  <c r="AY54" i="15" s="1"/>
  <c r="AW38" i="15"/>
  <c r="AX38" i="15" s="1"/>
  <c r="AY38" i="15" s="1"/>
  <c r="AW22" i="15"/>
  <c r="AX22" i="15" s="1"/>
  <c r="AY22" i="15" s="1"/>
  <c r="AW6" i="15"/>
  <c r="AX6" i="15" s="1"/>
  <c r="AY6" i="15" s="1"/>
  <c r="U30" i="4"/>
  <c r="R11" i="4"/>
  <c r="DZ55" i="15"/>
  <c r="EA55" i="15" s="1"/>
  <c r="EB55" i="15" s="1"/>
  <c r="DZ39" i="15"/>
  <c r="EA39" i="15" s="1"/>
  <c r="EB39" i="15" s="1"/>
  <c r="DZ23" i="15"/>
  <c r="EA23" i="15" s="1"/>
  <c r="EB23" i="15" s="1"/>
  <c r="AW185" i="15"/>
  <c r="AX185" i="15" s="1"/>
  <c r="AY185" i="15" s="1"/>
  <c r="AW213" i="15"/>
  <c r="AX213" i="15" s="1"/>
  <c r="AY213" i="15" s="1"/>
  <c r="AW149" i="15"/>
  <c r="AX149" i="15" s="1"/>
  <c r="AY149" i="15" s="1"/>
  <c r="AW85" i="15"/>
  <c r="AX85" i="15" s="1"/>
  <c r="AY85" i="15" s="1"/>
  <c r="AW21" i="15"/>
  <c r="AX21" i="15" s="1"/>
  <c r="AY21" i="15" s="1"/>
  <c r="AW89" i="15"/>
  <c r="AX89" i="15" s="1"/>
  <c r="AY89" i="15" s="1"/>
  <c r="AW193" i="15"/>
  <c r="AX193" i="15" s="1"/>
  <c r="AY193" i="15" s="1"/>
  <c r="AW129" i="15"/>
  <c r="AX129" i="15" s="1"/>
  <c r="AY129" i="15" s="1"/>
  <c r="AW65" i="15"/>
  <c r="AX65" i="15" s="1"/>
  <c r="AY65" i="15" s="1"/>
  <c r="AW217" i="15"/>
  <c r="AX217" i="15" s="1"/>
  <c r="AY217" i="15" s="1"/>
  <c r="AW57" i="15"/>
  <c r="AX57" i="15" s="1"/>
  <c r="AY57" i="15" s="1"/>
  <c r="AW189" i="15"/>
  <c r="AX189" i="15" s="1"/>
  <c r="AY189" i="15" s="1"/>
  <c r="AW125" i="15"/>
  <c r="AX125" i="15" s="1"/>
  <c r="AY125" i="15" s="1"/>
  <c r="AW61" i="15"/>
  <c r="AX61" i="15" s="1"/>
  <c r="AY61" i="15" s="1"/>
  <c r="AW2" i="15"/>
  <c r="AX2" i="15" s="1"/>
  <c r="AW212" i="15"/>
  <c r="AX212" i="15" s="1"/>
  <c r="AY212" i="15" s="1"/>
  <c r="AW196" i="15"/>
  <c r="AX196" i="15" s="1"/>
  <c r="AY196" i="15" s="1"/>
  <c r="AW180" i="15"/>
  <c r="AX180" i="15" s="1"/>
  <c r="AY180" i="15" s="1"/>
  <c r="AW164" i="15"/>
  <c r="AX164" i="15" s="1"/>
  <c r="AY164" i="15" s="1"/>
  <c r="AW148" i="15"/>
  <c r="AX148" i="15" s="1"/>
  <c r="AY148" i="15" s="1"/>
  <c r="AW132" i="15"/>
  <c r="AX132" i="15" s="1"/>
  <c r="AY132" i="15" s="1"/>
  <c r="AW116" i="15"/>
  <c r="AX116" i="15" s="1"/>
  <c r="AY116" i="15" s="1"/>
  <c r="AW100" i="15"/>
  <c r="AX100" i="15" s="1"/>
  <c r="AY100" i="15" s="1"/>
  <c r="AW84" i="15"/>
  <c r="AX84" i="15" s="1"/>
  <c r="AY84" i="15" s="1"/>
  <c r="AW68" i="15"/>
  <c r="AX68" i="15" s="1"/>
  <c r="AY68" i="15" s="1"/>
  <c r="AW52" i="15"/>
  <c r="AX52" i="15" s="1"/>
  <c r="AY52" i="15" s="1"/>
  <c r="AW36" i="15"/>
  <c r="AX36" i="15" s="1"/>
  <c r="AY36" i="15" s="1"/>
  <c r="AW20" i="15"/>
  <c r="AX20" i="15" s="1"/>
  <c r="AY20" i="15" s="1"/>
  <c r="AW4" i="15"/>
  <c r="AX4" i="15" s="1"/>
  <c r="AY4" i="15" s="1"/>
  <c r="AW215" i="15"/>
  <c r="AX215" i="15" s="1"/>
  <c r="AY215" i="15" s="1"/>
  <c r="AW199" i="15"/>
  <c r="AX199" i="15" s="1"/>
  <c r="AY199" i="15" s="1"/>
  <c r="AW183" i="15"/>
  <c r="AX183" i="15" s="1"/>
  <c r="AY183" i="15" s="1"/>
  <c r="AW167" i="15"/>
  <c r="AX167" i="15" s="1"/>
  <c r="AY167" i="15" s="1"/>
  <c r="AW151" i="15"/>
  <c r="AX151" i="15" s="1"/>
  <c r="AY151" i="15" s="1"/>
  <c r="AW135" i="15"/>
  <c r="AX135" i="15" s="1"/>
  <c r="AY135" i="15" s="1"/>
  <c r="AW119" i="15"/>
  <c r="AX119" i="15" s="1"/>
  <c r="AY119" i="15" s="1"/>
  <c r="AW103" i="15"/>
  <c r="AX103" i="15" s="1"/>
  <c r="AY103" i="15" s="1"/>
  <c r="AW87" i="15"/>
  <c r="AX87" i="15" s="1"/>
  <c r="AY87" i="15" s="1"/>
  <c r="AW71" i="15"/>
  <c r="AX71" i="15" s="1"/>
  <c r="AY71" i="15" s="1"/>
  <c r="AW55" i="15"/>
  <c r="AX55" i="15" s="1"/>
  <c r="AY55" i="15" s="1"/>
  <c r="AW39" i="15"/>
  <c r="AX39" i="15" s="1"/>
  <c r="AY39" i="15" s="1"/>
  <c r="AW23" i="15"/>
  <c r="AX23" i="15" s="1"/>
  <c r="AY23" i="15" s="1"/>
  <c r="AW7" i="15"/>
  <c r="AX7" i="15" s="1"/>
  <c r="AY7" i="15" s="1"/>
  <c r="AW218" i="15"/>
  <c r="AX218" i="15" s="1"/>
  <c r="AY218" i="15" s="1"/>
  <c r="AW202" i="15"/>
  <c r="AX202" i="15" s="1"/>
  <c r="AY202" i="15" s="1"/>
  <c r="AW186" i="15"/>
  <c r="AX186" i="15" s="1"/>
  <c r="AY186" i="15" s="1"/>
  <c r="AW170" i="15"/>
  <c r="AX170" i="15" s="1"/>
  <c r="AY170" i="15" s="1"/>
  <c r="AW154" i="15"/>
  <c r="AX154" i="15" s="1"/>
  <c r="AY154" i="15" s="1"/>
  <c r="AW138" i="15"/>
  <c r="AX138" i="15" s="1"/>
  <c r="AY138" i="15" s="1"/>
  <c r="AW122" i="15"/>
  <c r="AX122" i="15" s="1"/>
  <c r="AY122" i="15" s="1"/>
  <c r="AW106" i="15"/>
  <c r="AX106" i="15" s="1"/>
  <c r="AY106" i="15" s="1"/>
  <c r="AW90" i="15"/>
  <c r="AX90" i="15" s="1"/>
  <c r="AY90" i="15" s="1"/>
  <c r="AW74" i="15"/>
  <c r="AX74" i="15" s="1"/>
  <c r="AY74" i="15" s="1"/>
  <c r="AW58" i="15"/>
  <c r="AX58" i="15" s="1"/>
  <c r="AY58" i="15" s="1"/>
  <c r="AW42" i="15"/>
  <c r="AX42" i="15" s="1"/>
  <c r="AY42" i="15" s="1"/>
  <c r="AW26" i="15"/>
  <c r="AX26" i="15" s="1"/>
  <c r="AY26" i="15" s="1"/>
  <c r="AT226" i="15"/>
  <c r="AU226" i="15" s="1"/>
  <c r="AV226" i="15" s="1"/>
  <c r="AT198" i="15"/>
  <c r="AU198" i="15" s="1"/>
  <c r="AV198" i="15" s="1"/>
  <c r="AT162" i="15"/>
  <c r="AU162" i="15" s="1"/>
  <c r="AV162" i="15" s="1"/>
  <c r="AT134" i="15"/>
  <c r="AU134" i="15" s="1"/>
  <c r="AV134" i="15" s="1"/>
  <c r="AT90" i="15"/>
  <c r="AU90" i="15" s="1"/>
  <c r="AV90" i="15" s="1"/>
  <c r="AT225" i="15"/>
  <c r="AU225" i="15" s="1"/>
  <c r="AV225" i="15" s="1"/>
  <c r="AT201" i="15"/>
  <c r="AU201" i="15" s="1"/>
  <c r="AV201" i="15" s="1"/>
  <c r="AT169" i="15"/>
  <c r="AU169" i="15" s="1"/>
  <c r="AV169" i="15" s="1"/>
  <c r="AT137" i="15"/>
  <c r="AU137" i="15" s="1"/>
  <c r="AV137" i="15" s="1"/>
  <c r="AT105" i="15"/>
  <c r="AU105" i="15" s="1"/>
  <c r="AV105" i="15" s="1"/>
  <c r="AT73" i="15"/>
  <c r="AU73" i="15" s="1"/>
  <c r="AV73" i="15" s="1"/>
  <c r="AT98" i="15"/>
  <c r="AU98" i="15" s="1"/>
  <c r="AV98" i="15" s="1"/>
  <c r="AT212" i="15"/>
  <c r="AU212" i="15" s="1"/>
  <c r="AV212" i="15" s="1"/>
  <c r="AT180" i="15"/>
  <c r="AU180" i="15" s="1"/>
  <c r="AV180" i="15" s="1"/>
  <c r="AT148" i="15"/>
  <c r="AU148" i="15" s="1"/>
  <c r="AV148" i="15" s="1"/>
  <c r="AT116" i="15"/>
  <c r="AU116" i="15" s="1"/>
  <c r="AV116" i="15" s="1"/>
  <c r="AT84" i="15"/>
  <c r="AU84" i="15" s="1"/>
  <c r="AV84" i="15" s="1"/>
  <c r="AT15" i="15"/>
  <c r="AU15" i="15" s="1"/>
  <c r="AV15" i="15" s="1"/>
  <c r="AT166" i="15"/>
  <c r="AU166" i="15" s="1"/>
  <c r="AV166" i="15" s="1"/>
  <c r="AT94" i="15"/>
  <c r="AU94" i="15" s="1"/>
  <c r="AV94" i="15" s="1"/>
  <c r="AT215" i="15"/>
  <c r="AU215" i="15" s="1"/>
  <c r="AV215" i="15" s="1"/>
  <c r="AT183" i="15"/>
  <c r="AU183" i="15" s="1"/>
  <c r="AV183" i="15" s="1"/>
  <c r="AT151" i="15"/>
  <c r="AU151" i="15" s="1"/>
  <c r="AV151" i="15" s="1"/>
  <c r="AT119" i="15"/>
  <c r="AU119" i="15" s="1"/>
  <c r="AV119" i="15" s="1"/>
  <c r="AT87" i="15"/>
  <c r="AU87" i="15" s="1"/>
  <c r="AV87" i="15" s="1"/>
  <c r="AT27" i="15"/>
  <c r="AU27" i="15" s="1"/>
  <c r="AV27" i="15" s="1"/>
  <c r="AT38" i="15"/>
  <c r="AU38" i="15" s="1"/>
  <c r="AV38" i="15" s="1"/>
  <c r="AT6" i="15"/>
  <c r="AU6" i="15" s="1"/>
  <c r="AV6" i="15" s="1"/>
  <c r="AT33" i="15"/>
  <c r="AU33" i="15" s="1"/>
  <c r="AV33" i="15" s="1"/>
  <c r="AT64" i="15"/>
  <c r="AU64" i="15" s="1"/>
  <c r="AV64" i="15" s="1"/>
  <c r="AT32" i="15"/>
  <c r="AU32" i="15" s="1"/>
  <c r="AV32" i="15" s="1"/>
  <c r="Q11" i="4"/>
  <c r="Y211" i="15"/>
  <c r="Z211" i="15" s="1"/>
  <c r="AA211" i="15" s="1"/>
  <c r="Y175" i="15"/>
  <c r="Z175" i="15" s="1"/>
  <c r="AA175" i="15" s="1"/>
  <c r="Y143" i="15"/>
  <c r="Z143" i="15" s="1"/>
  <c r="AA143" i="15" s="1"/>
  <c r="Y119" i="15"/>
  <c r="Z119" i="15" s="1"/>
  <c r="AA119" i="15" s="1"/>
  <c r="Y83" i="15"/>
  <c r="Z83" i="15" s="1"/>
  <c r="AA83" i="15" s="1"/>
  <c r="Y47" i="15"/>
  <c r="Z47" i="15" s="1"/>
  <c r="AA47" i="15" s="1"/>
  <c r="Y15" i="15"/>
  <c r="Z15" i="15" s="1"/>
  <c r="AA15" i="15" s="1"/>
  <c r="Y218" i="15"/>
  <c r="Z218" i="15" s="1"/>
  <c r="AA218" i="15" s="1"/>
  <c r="Y202" i="15"/>
  <c r="Z202" i="15" s="1"/>
  <c r="AA202" i="15" s="1"/>
  <c r="Y186" i="15"/>
  <c r="Z186" i="15" s="1"/>
  <c r="AA186" i="15" s="1"/>
  <c r="Y170" i="15"/>
  <c r="Z170" i="15" s="1"/>
  <c r="AA170" i="15" s="1"/>
  <c r="Y154" i="15"/>
  <c r="Z154" i="15" s="1"/>
  <c r="AA154" i="15" s="1"/>
  <c r="Y138" i="15"/>
  <c r="Z138" i="15" s="1"/>
  <c r="AA138" i="15" s="1"/>
  <c r="Y122" i="15"/>
  <c r="Z122" i="15" s="1"/>
  <c r="AA122" i="15" s="1"/>
  <c r="Y106" i="15"/>
  <c r="Z106" i="15" s="1"/>
  <c r="AA106" i="15" s="1"/>
  <c r="Y90" i="15"/>
  <c r="Z90" i="15" s="1"/>
  <c r="AA90" i="15" s="1"/>
  <c r="Y74" i="15"/>
  <c r="Z74" i="15" s="1"/>
  <c r="AA74" i="15" s="1"/>
  <c r="Y58" i="15"/>
  <c r="Z58" i="15" s="1"/>
  <c r="AA58" i="15" s="1"/>
  <c r="Y42" i="15"/>
  <c r="Z42" i="15" s="1"/>
  <c r="AA42" i="15" s="1"/>
  <c r="Y26" i="15"/>
  <c r="Z26" i="15" s="1"/>
  <c r="AA26" i="15" s="1"/>
  <c r="Y10" i="15"/>
  <c r="Z10" i="15" s="1"/>
  <c r="AA10" i="15" s="1"/>
  <c r="Y221" i="15"/>
  <c r="Z221" i="15" s="1"/>
  <c r="AA221" i="15" s="1"/>
  <c r="Y205" i="15"/>
  <c r="Z205" i="15" s="1"/>
  <c r="AA205" i="15" s="1"/>
  <c r="Y189" i="15"/>
  <c r="Z189" i="15" s="1"/>
  <c r="AA189" i="15" s="1"/>
  <c r="Y173" i="15"/>
  <c r="Z173" i="15" s="1"/>
  <c r="AA173" i="15" s="1"/>
  <c r="Y157" i="15"/>
  <c r="Z157" i="15" s="1"/>
  <c r="AA157" i="15" s="1"/>
  <c r="Y141" i="15"/>
  <c r="Z141" i="15" s="1"/>
  <c r="AA141" i="15" s="1"/>
  <c r="Y125" i="15"/>
  <c r="Z125" i="15" s="1"/>
  <c r="AA125" i="15" s="1"/>
  <c r="Y109" i="15"/>
  <c r="Z109" i="15" s="1"/>
  <c r="AA109" i="15" s="1"/>
  <c r="Y93" i="15"/>
  <c r="Z93" i="15" s="1"/>
  <c r="AA93" i="15" s="1"/>
  <c r="Y77" i="15"/>
  <c r="Z77" i="15" s="1"/>
  <c r="AA77" i="15" s="1"/>
  <c r="Y61" i="15"/>
  <c r="Z61" i="15" s="1"/>
  <c r="AA61" i="15" s="1"/>
  <c r="Y45" i="15"/>
  <c r="Z45" i="15" s="1"/>
  <c r="AA45" i="15" s="1"/>
  <c r="Y29" i="15"/>
  <c r="Z29" i="15" s="1"/>
  <c r="AA29" i="15" s="1"/>
  <c r="Y13" i="15"/>
  <c r="Z13" i="15" s="1"/>
  <c r="AA13" i="15" s="1"/>
  <c r="Y215" i="15"/>
  <c r="Z215" i="15" s="1"/>
  <c r="AA215" i="15" s="1"/>
  <c r="Y179" i="15"/>
  <c r="Z179" i="15" s="1"/>
  <c r="AA179" i="15" s="1"/>
  <c r="Y147" i="15"/>
  <c r="Z147" i="15" s="1"/>
  <c r="AA147" i="15" s="1"/>
  <c r="Y107" i="15"/>
  <c r="Z107" i="15" s="1"/>
  <c r="AA107" i="15" s="1"/>
  <c r="Y79" i="15"/>
  <c r="Z79" i="15" s="1"/>
  <c r="AA79" i="15" s="1"/>
  <c r="Y51" i="15"/>
  <c r="Z51" i="15" s="1"/>
  <c r="AA51" i="15" s="1"/>
  <c r="Y19" i="15"/>
  <c r="Z19" i="15" s="1"/>
  <c r="AA19" i="15" s="1"/>
  <c r="Y224" i="15"/>
  <c r="Z224" i="15" s="1"/>
  <c r="AA224" i="15" s="1"/>
  <c r="Y208" i="15"/>
  <c r="Z208" i="15" s="1"/>
  <c r="AA208" i="15" s="1"/>
  <c r="Y192" i="15"/>
  <c r="Z192" i="15" s="1"/>
  <c r="AA192" i="15" s="1"/>
  <c r="Y176" i="15"/>
  <c r="Z176" i="15" s="1"/>
  <c r="AA176" i="15" s="1"/>
  <c r="Y160" i="15"/>
  <c r="Z160" i="15" s="1"/>
  <c r="AA160" i="15" s="1"/>
  <c r="Y144" i="15"/>
  <c r="Z144" i="15" s="1"/>
  <c r="AA144" i="15" s="1"/>
  <c r="Y128" i="15"/>
  <c r="Z128" i="15" s="1"/>
  <c r="AA128" i="15" s="1"/>
  <c r="Y112" i="15"/>
  <c r="Z112" i="15" s="1"/>
  <c r="AA112" i="15" s="1"/>
  <c r="Y96" i="15"/>
  <c r="Z96" i="15" s="1"/>
  <c r="AA96" i="15" s="1"/>
  <c r="Y80" i="15"/>
  <c r="Z80" i="15" s="1"/>
  <c r="AA80" i="15" s="1"/>
  <c r="Y64" i="15"/>
  <c r="Z64" i="15" s="1"/>
  <c r="AA64" i="15" s="1"/>
  <c r="Y48" i="15"/>
  <c r="Z48" i="15" s="1"/>
  <c r="AA48" i="15" s="1"/>
  <c r="Y32" i="15"/>
  <c r="Z32" i="15" s="1"/>
  <c r="AA32" i="15" s="1"/>
  <c r="Y16" i="15"/>
  <c r="Z16" i="15" s="1"/>
  <c r="AA16" i="15" s="1"/>
  <c r="Y203" i="15"/>
  <c r="Z203" i="15" s="1"/>
  <c r="AA203" i="15" s="1"/>
  <c r="Y167" i="15"/>
  <c r="Z167" i="15" s="1"/>
  <c r="AA167" i="15" s="1"/>
  <c r="Y139" i="15"/>
  <c r="Z139" i="15" s="1"/>
  <c r="AA139" i="15" s="1"/>
  <c r="Y111" i="15"/>
  <c r="Z111" i="15" s="1"/>
  <c r="AA111" i="15" s="1"/>
  <c r="Y75" i="15"/>
  <c r="Z75" i="15" s="1"/>
  <c r="AA75" i="15" s="1"/>
  <c r="Y39" i="15"/>
  <c r="Z39" i="15" s="1"/>
  <c r="AA39" i="15" s="1"/>
  <c r="Y7" i="15"/>
  <c r="Z7" i="15" s="1"/>
  <c r="AA7" i="15" s="1"/>
  <c r="Y214" i="15"/>
  <c r="Z214" i="15" s="1"/>
  <c r="AA214" i="15" s="1"/>
  <c r="Y198" i="15"/>
  <c r="Z198" i="15" s="1"/>
  <c r="AA198" i="15" s="1"/>
  <c r="Y182" i="15"/>
  <c r="Z182" i="15" s="1"/>
  <c r="AA182" i="15" s="1"/>
  <c r="Y166" i="15"/>
  <c r="Z166" i="15" s="1"/>
  <c r="AA166" i="15" s="1"/>
  <c r="Y150" i="15"/>
  <c r="Z150" i="15" s="1"/>
  <c r="AA150" i="15" s="1"/>
  <c r="Y134" i="15"/>
  <c r="Z134" i="15" s="1"/>
  <c r="AA134" i="15" s="1"/>
  <c r="Y118" i="15"/>
  <c r="Z118" i="15" s="1"/>
  <c r="AA118" i="15" s="1"/>
  <c r="Y102" i="15"/>
  <c r="Z102" i="15" s="1"/>
  <c r="AA102" i="15" s="1"/>
  <c r="Y86" i="15"/>
  <c r="Z86" i="15" s="1"/>
  <c r="AA86" i="15" s="1"/>
  <c r="Y70" i="15"/>
  <c r="Z70" i="15" s="1"/>
  <c r="AA70" i="15" s="1"/>
  <c r="Y54" i="15"/>
  <c r="Z54" i="15" s="1"/>
  <c r="AA54" i="15" s="1"/>
  <c r="Y38" i="15"/>
  <c r="Z38" i="15" s="1"/>
  <c r="AA38" i="15" s="1"/>
  <c r="Y22" i="15"/>
  <c r="Z22" i="15" s="1"/>
  <c r="AA22" i="15" s="1"/>
  <c r="Y6" i="15"/>
  <c r="Z6" i="15" s="1"/>
  <c r="AA6" i="15" s="1"/>
  <c r="Y217" i="15"/>
  <c r="Z217" i="15" s="1"/>
  <c r="AA217" i="15" s="1"/>
  <c r="Y201" i="15"/>
  <c r="Z201" i="15" s="1"/>
  <c r="AA201" i="15" s="1"/>
  <c r="Y185" i="15"/>
  <c r="Z185" i="15" s="1"/>
  <c r="AA185" i="15" s="1"/>
  <c r="Y169" i="15"/>
  <c r="Z169" i="15" s="1"/>
  <c r="AA169" i="15" s="1"/>
  <c r="Y153" i="15"/>
  <c r="Z153" i="15" s="1"/>
  <c r="AA153" i="15" s="1"/>
  <c r="Y137" i="15"/>
  <c r="Z137" i="15" s="1"/>
  <c r="AA137" i="15" s="1"/>
  <c r="Y121" i="15"/>
  <c r="Z121" i="15" s="1"/>
  <c r="AA121" i="15" s="1"/>
  <c r="Y105" i="15"/>
  <c r="Z105" i="15" s="1"/>
  <c r="AA105" i="15" s="1"/>
  <c r="Y89" i="15"/>
  <c r="Z89" i="15" s="1"/>
  <c r="AA89" i="15" s="1"/>
  <c r="Y73" i="15"/>
  <c r="Z73" i="15" s="1"/>
  <c r="AA73" i="15" s="1"/>
  <c r="Y57" i="15"/>
  <c r="Z57" i="15" s="1"/>
  <c r="AA57" i="15" s="1"/>
  <c r="Y41" i="15"/>
  <c r="Z41" i="15" s="1"/>
  <c r="AA41" i="15" s="1"/>
  <c r="Y25" i="15"/>
  <c r="Z25" i="15" s="1"/>
  <c r="AA25" i="15" s="1"/>
  <c r="Y9" i="15"/>
  <c r="Z9" i="15" s="1"/>
  <c r="AA9" i="15" s="1"/>
  <c r="Y207" i="15"/>
  <c r="Z207" i="15" s="1"/>
  <c r="AA207" i="15" s="1"/>
  <c r="Y171" i="15"/>
  <c r="Z171" i="15" s="1"/>
  <c r="AA171" i="15" s="1"/>
  <c r="Y131" i="15"/>
  <c r="Z131" i="15" s="1"/>
  <c r="AA131" i="15" s="1"/>
  <c r="Y99" i="15"/>
  <c r="Z99" i="15" s="1"/>
  <c r="AA99" i="15" s="1"/>
  <c r="Y71" i="15"/>
  <c r="Z71" i="15" s="1"/>
  <c r="AA71" i="15" s="1"/>
  <c r="Y43" i="15"/>
  <c r="Z43" i="15" s="1"/>
  <c r="AA43" i="15" s="1"/>
  <c r="Y11" i="15"/>
  <c r="Z11" i="15" s="1"/>
  <c r="AA11" i="15" s="1"/>
  <c r="Y220" i="15"/>
  <c r="Z220" i="15" s="1"/>
  <c r="AA220" i="15" s="1"/>
  <c r="Y204" i="15"/>
  <c r="Z204" i="15" s="1"/>
  <c r="AA204" i="15" s="1"/>
  <c r="Y188" i="15"/>
  <c r="Z188" i="15" s="1"/>
  <c r="AA188" i="15" s="1"/>
  <c r="Y172" i="15"/>
  <c r="Z172" i="15" s="1"/>
  <c r="AA172" i="15" s="1"/>
  <c r="Y156" i="15"/>
  <c r="Z156" i="15" s="1"/>
  <c r="AA156" i="15" s="1"/>
  <c r="Y140" i="15"/>
  <c r="Z140" i="15" s="1"/>
  <c r="AA140" i="15" s="1"/>
  <c r="Y124" i="15"/>
  <c r="Z124" i="15" s="1"/>
  <c r="AA124" i="15" s="1"/>
  <c r="Y108" i="15"/>
  <c r="Z108" i="15" s="1"/>
  <c r="AA108" i="15" s="1"/>
  <c r="Y92" i="15"/>
  <c r="Z92" i="15" s="1"/>
  <c r="AA92" i="15" s="1"/>
  <c r="Y76" i="15"/>
  <c r="Z76" i="15" s="1"/>
  <c r="AA76" i="15" s="1"/>
  <c r="Y60" i="15"/>
  <c r="Z60" i="15" s="1"/>
  <c r="AA60" i="15" s="1"/>
  <c r="Y44" i="15"/>
  <c r="Z44" i="15" s="1"/>
  <c r="AA44" i="15" s="1"/>
  <c r="Y28" i="15"/>
  <c r="Z28" i="15" s="1"/>
  <c r="AA28" i="15" s="1"/>
  <c r="Y12" i="15"/>
  <c r="Z12" i="15" s="1"/>
  <c r="AA12" i="15" s="1"/>
  <c r="Y227" i="15"/>
  <c r="Z227" i="15" s="1"/>
  <c r="AA227" i="15" s="1"/>
  <c r="Y195" i="15"/>
  <c r="Z195" i="15" s="1"/>
  <c r="AA195" i="15" s="1"/>
  <c r="Y159" i="15"/>
  <c r="Z159" i="15" s="1"/>
  <c r="AA159" i="15" s="1"/>
  <c r="Y135" i="15"/>
  <c r="Z135" i="15" s="1"/>
  <c r="AA135" i="15" s="1"/>
  <c r="Y103" i="15"/>
  <c r="Z103" i="15" s="1"/>
  <c r="AA103" i="15" s="1"/>
  <c r="Y63" i="15"/>
  <c r="Z63" i="15" s="1"/>
  <c r="AA63" i="15" s="1"/>
  <c r="Y31" i="15"/>
  <c r="Z31" i="15" s="1"/>
  <c r="AA31" i="15" s="1"/>
  <c r="Y226" i="15"/>
  <c r="Z226" i="15" s="1"/>
  <c r="AA226" i="15" s="1"/>
  <c r="Y210" i="15"/>
  <c r="Z210" i="15" s="1"/>
  <c r="AA210" i="15" s="1"/>
  <c r="Y194" i="15"/>
  <c r="Z194" i="15" s="1"/>
  <c r="AA194" i="15" s="1"/>
  <c r="Y178" i="15"/>
  <c r="Z178" i="15" s="1"/>
  <c r="AA178" i="15" s="1"/>
  <c r="Y162" i="15"/>
  <c r="Z162" i="15" s="1"/>
  <c r="AA162" i="15" s="1"/>
  <c r="Y146" i="15"/>
  <c r="Z146" i="15" s="1"/>
  <c r="AA146" i="15" s="1"/>
  <c r="Y130" i="15"/>
  <c r="Z130" i="15" s="1"/>
  <c r="AA130" i="15" s="1"/>
  <c r="Y114" i="15"/>
  <c r="Z114" i="15" s="1"/>
  <c r="AA114" i="15" s="1"/>
  <c r="Y98" i="15"/>
  <c r="Z98" i="15" s="1"/>
  <c r="AA98" i="15" s="1"/>
  <c r="Y82" i="15"/>
  <c r="Z82" i="15" s="1"/>
  <c r="AA82" i="15" s="1"/>
  <c r="Y66" i="15"/>
  <c r="Z66" i="15" s="1"/>
  <c r="AA66" i="15" s="1"/>
  <c r="Y50" i="15"/>
  <c r="Z50" i="15" s="1"/>
  <c r="AA50" i="15" s="1"/>
  <c r="Y34" i="15"/>
  <c r="Z34" i="15" s="1"/>
  <c r="AA34" i="15" s="1"/>
  <c r="Y18" i="15"/>
  <c r="Z18" i="15" s="1"/>
  <c r="AA18" i="15" s="1"/>
  <c r="Y183" i="15"/>
  <c r="Z183" i="15" s="1"/>
  <c r="AA183" i="15" s="1"/>
  <c r="Y213" i="15"/>
  <c r="Z213" i="15" s="1"/>
  <c r="AA213" i="15" s="1"/>
  <c r="Y197" i="15"/>
  <c r="Z197" i="15" s="1"/>
  <c r="AA197" i="15" s="1"/>
  <c r="Y181" i="15"/>
  <c r="Z181" i="15" s="1"/>
  <c r="AA181" i="15" s="1"/>
  <c r="Y165" i="15"/>
  <c r="Z165" i="15" s="1"/>
  <c r="AA165" i="15" s="1"/>
  <c r="Y149" i="15"/>
  <c r="Z149" i="15" s="1"/>
  <c r="AA149" i="15" s="1"/>
  <c r="Y133" i="15"/>
  <c r="Z133" i="15" s="1"/>
  <c r="AA133" i="15" s="1"/>
  <c r="Y117" i="15"/>
  <c r="Z117" i="15" s="1"/>
  <c r="AA117" i="15" s="1"/>
  <c r="Y101" i="15"/>
  <c r="Z101" i="15" s="1"/>
  <c r="AA101" i="15" s="1"/>
  <c r="Y85" i="15"/>
  <c r="Z85" i="15" s="1"/>
  <c r="AA85" i="15" s="1"/>
  <c r="Y69" i="15"/>
  <c r="Z69" i="15" s="1"/>
  <c r="AA69" i="15" s="1"/>
  <c r="Y53" i="15"/>
  <c r="Z53" i="15" s="1"/>
  <c r="AA53" i="15" s="1"/>
  <c r="Y37" i="15"/>
  <c r="Z37" i="15" s="1"/>
  <c r="AA37" i="15" s="1"/>
  <c r="Y21" i="15"/>
  <c r="Z21" i="15" s="1"/>
  <c r="AA21" i="15" s="1"/>
  <c r="Y5" i="15"/>
  <c r="Z5" i="15" s="1"/>
  <c r="AA5" i="15" s="1"/>
  <c r="Y199" i="15"/>
  <c r="Z199" i="15" s="1"/>
  <c r="AA199" i="15" s="1"/>
  <c r="Y163" i="15"/>
  <c r="Z163" i="15" s="1"/>
  <c r="AA163" i="15" s="1"/>
  <c r="Y123" i="15"/>
  <c r="Z123" i="15" s="1"/>
  <c r="AA123" i="15" s="1"/>
  <c r="Y91" i="15"/>
  <c r="Z91" i="15" s="1"/>
  <c r="AA91" i="15" s="1"/>
  <c r="Y67" i="15"/>
  <c r="Z67" i="15" s="1"/>
  <c r="AA67" i="15" s="1"/>
  <c r="Y35" i="15"/>
  <c r="Z35" i="15" s="1"/>
  <c r="AA35" i="15" s="1"/>
  <c r="Y3" i="15"/>
  <c r="Z3" i="15" s="1"/>
  <c r="AA3" i="15" s="1"/>
  <c r="Y216" i="15"/>
  <c r="Z216" i="15" s="1"/>
  <c r="AA216" i="15" s="1"/>
  <c r="Y200" i="15"/>
  <c r="Z200" i="15" s="1"/>
  <c r="AA200" i="15" s="1"/>
  <c r="Y184" i="15"/>
  <c r="Z184" i="15" s="1"/>
  <c r="AA184" i="15" s="1"/>
  <c r="Y168" i="15"/>
  <c r="Z168" i="15" s="1"/>
  <c r="AA168" i="15" s="1"/>
  <c r="Y152" i="15"/>
  <c r="Z152" i="15" s="1"/>
  <c r="AA152" i="15" s="1"/>
  <c r="Y136" i="15"/>
  <c r="Z136" i="15" s="1"/>
  <c r="AA136" i="15" s="1"/>
  <c r="Y120" i="15"/>
  <c r="Z120" i="15" s="1"/>
  <c r="AA120" i="15" s="1"/>
  <c r="Y104" i="15"/>
  <c r="Z104" i="15" s="1"/>
  <c r="AA104" i="15" s="1"/>
  <c r="Y88" i="15"/>
  <c r="Z88" i="15" s="1"/>
  <c r="AA88" i="15" s="1"/>
  <c r="Y72" i="15"/>
  <c r="Z72" i="15" s="1"/>
  <c r="AA72" i="15" s="1"/>
  <c r="Y56" i="15"/>
  <c r="Z56" i="15" s="1"/>
  <c r="AA56" i="15" s="1"/>
  <c r="Y40" i="15"/>
  <c r="Z40" i="15" s="1"/>
  <c r="AA40" i="15" s="1"/>
  <c r="Y24" i="15"/>
  <c r="Z24" i="15" s="1"/>
  <c r="AA24" i="15" s="1"/>
  <c r="Y8" i="15"/>
  <c r="Z8" i="15" s="1"/>
  <c r="AA8" i="15" s="1"/>
  <c r="B29" i="4"/>
  <c r="B30" i="4" s="1"/>
  <c r="AT209" i="15"/>
  <c r="AU209" i="15" s="1"/>
  <c r="AV209" i="15" s="1"/>
  <c r="AT193" i="15"/>
  <c r="AU193" i="15" s="1"/>
  <c r="AV193" i="15" s="1"/>
  <c r="AT177" i="15"/>
  <c r="AU177" i="15" s="1"/>
  <c r="AV177" i="15" s="1"/>
  <c r="AT161" i="15"/>
  <c r="AU161" i="15" s="1"/>
  <c r="AV161" i="15" s="1"/>
  <c r="AT145" i="15"/>
  <c r="AU145" i="15" s="1"/>
  <c r="AV145" i="15" s="1"/>
  <c r="AT129" i="15"/>
  <c r="AU129" i="15" s="1"/>
  <c r="AV129" i="15" s="1"/>
  <c r="AT113" i="15"/>
  <c r="AU113" i="15" s="1"/>
  <c r="AV113" i="15" s="1"/>
  <c r="AT97" i="15"/>
  <c r="AU97" i="15" s="1"/>
  <c r="AV97" i="15" s="1"/>
  <c r="AT81" i="15"/>
  <c r="AU81" i="15" s="1"/>
  <c r="AV81" i="15" s="1"/>
  <c r="AT65" i="15"/>
  <c r="AU65" i="15" s="1"/>
  <c r="AV65" i="15" s="1"/>
  <c r="AT3" i="15"/>
  <c r="AU3" i="15" s="1"/>
  <c r="AV3" i="15" s="1"/>
  <c r="AT70" i="15"/>
  <c r="AU70" i="15" s="1"/>
  <c r="AV70" i="15" s="1"/>
  <c r="AT220" i="15"/>
  <c r="AU220" i="15" s="1"/>
  <c r="AV220" i="15" s="1"/>
  <c r="AT204" i="15"/>
  <c r="AU204" i="15" s="1"/>
  <c r="AV204" i="15" s="1"/>
  <c r="AT188" i="15"/>
  <c r="AU188" i="15" s="1"/>
  <c r="AV188" i="15" s="1"/>
  <c r="AT172" i="15"/>
  <c r="AU172" i="15" s="1"/>
  <c r="AV172" i="15" s="1"/>
  <c r="AT156" i="15"/>
  <c r="AU156" i="15" s="1"/>
  <c r="AV156" i="15" s="1"/>
  <c r="AT140" i="15"/>
  <c r="AU140" i="15" s="1"/>
  <c r="AV140" i="15" s="1"/>
  <c r="AT124" i="15"/>
  <c r="AU124" i="15" s="1"/>
  <c r="AV124" i="15" s="1"/>
  <c r="AT108" i="15"/>
  <c r="AU108" i="15" s="1"/>
  <c r="AV108" i="15" s="1"/>
  <c r="AT92" i="15"/>
  <c r="AU92" i="15" s="1"/>
  <c r="AV92" i="15" s="1"/>
  <c r="AT76" i="15"/>
  <c r="AU76" i="15" s="1"/>
  <c r="AV76" i="15" s="1"/>
  <c r="AT47" i="15"/>
  <c r="AU47" i="15" s="1"/>
  <c r="AV47" i="15" s="1"/>
  <c r="AT214" i="15"/>
  <c r="AU214" i="15" s="1"/>
  <c r="AV214" i="15" s="1"/>
  <c r="AT178" i="15"/>
  <c r="AU178" i="15" s="1"/>
  <c r="AV178" i="15" s="1"/>
  <c r="AT146" i="15"/>
  <c r="AU146" i="15" s="1"/>
  <c r="AV146" i="15" s="1"/>
  <c r="AT118" i="15"/>
  <c r="AU118" i="15" s="1"/>
  <c r="AV118" i="15" s="1"/>
  <c r="AT74" i="15"/>
  <c r="AU74" i="15" s="1"/>
  <c r="AV74" i="15" s="1"/>
  <c r="AT223" i="15"/>
  <c r="AU223" i="15" s="1"/>
  <c r="AV223" i="15" s="1"/>
  <c r="AT207" i="15"/>
  <c r="AU207" i="15" s="1"/>
  <c r="AV207" i="15" s="1"/>
  <c r="AT191" i="15"/>
  <c r="AU191" i="15" s="1"/>
  <c r="AV191" i="15" s="1"/>
  <c r="AT175" i="15"/>
  <c r="AU175" i="15" s="1"/>
  <c r="AV175" i="15" s="1"/>
  <c r="AT159" i="15"/>
  <c r="AU159" i="15" s="1"/>
  <c r="AV159" i="15" s="1"/>
  <c r="AT143" i="15"/>
  <c r="AU143" i="15" s="1"/>
  <c r="AV143" i="15" s="1"/>
  <c r="AT127" i="15"/>
  <c r="AU127" i="15" s="1"/>
  <c r="AV127" i="15" s="1"/>
  <c r="AT111" i="15"/>
  <c r="AU111" i="15" s="1"/>
  <c r="AV111" i="15" s="1"/>
  <c r="AT95" i="15"/>
  <c r="AU95" i="15" s="1"/>
  <c r="AV95" i="15" s="1"/>
  <c r="AT79" i="15"/>
  <c r="AU79" i="15" s="1"/>
  <c r="AV79" i="15" s="1"/>
  <c r="AT59" i="15"/>
  <c r="AU59" i="15" s="1"/>
  <c r="AV59" i="15" s="1"/>
  <c r="AT62" i="15"/>
  <c r="AU62" i="15" s="1"/>
  <c r="AV62" i="15" s="1"/>
  <c r="AT46" i="15"/>
  <c r="AU46" i="15" s="1"/>
  <c r="AV46" i="15" s="1"/>
  <c r="AT30" i="15"/>
  <c r="AU30" i="15" s="1"/>
  <c r="AV30" i="15" s="1"/>
  <c r="AT14" i="15"/>
  <c r="AU14" i="15" s="1"/>
  <c r="AV14" i="15" s="1"/>
  <c r="AT57" i="15"/>
  <c r="AU57" i="15" s="1"/>
  <c r="AV57" i="15" s="1"/>
  <c r="AT41" i="15"/>
  <c r="AU41" i="15" s="1"/>
  <c r="AV41" i="15" s="1"/>
  <c r="AT25" i="15"/>
  <c r="AU25" i="15" s="1"/>
  <c r="AV25" i="15" s="1"/>
  <c r="AT9" i="15"/>
  <c r="AU9" i="15" s="1"/>
  <c r="AV9" i="15" s="1"/>
  <c r="AT56" i="15"/>
  <c r="AU56" i="15" s="1"/>
  <c r="AV56" i="15" s="1"/>
  <c r="AT40" i="15"/>
  <c r="AU40" i="15" s="1"/>
  <c r="AV40" i="15" s="1"/>
  <c r="AT24" i="15"/>
  <c r="AU24" i="15" s="1"/>
  <c r="AV24" i="15" s="1"/>
  <c r="AT8" i="15"/>
  <c r="AU8" i="15" s="1"/>
  <c r="AV8" i="15" s="1"/>
  <c r="AT205" i="15"/>
  <c r="AU205" i="15" s="1"/>
  <c r="AV205" i="15" s="1"/>
  <c r="AT189" i="15"/>
  <c r="AU189" i="15" s="1"/>
  <c r="AV189" i="15" s="1"/>
  <c r="AT173" i="15"/>
  <c r="AU173" i="15" s="1"/>
  <c r="AV173" i="15" s="1"/>
  <c r="AT157" i="15"/>
  <c r="AU157" i="15" s="1"/>
  <c r="AV157" i="15" s="1"/>
  <c r="AT141" i="15"/>
  <c r="AU141" i="15" s="1"/>
  <c r="AV141" i="15" s="1"/>
  <c r="AT125" i="15"/>
  <c r="AU125" i="15" s="1"/>
  <c r="AV125" i="15" s="1"/>
  <c r="AT109" i="15"/>
  <c r="AU109" i="15" s="1"/>
  <c r="AV109" i="15" s="1"/>
  <c r="AT93" i="15"/>
  <c r="AU93" i="15" s="1"/>
  <c r="AV93" i="15" s="1"/>
  <c r="AT77" i="15"/>
  <c r="AU77" i="15" s="1"/>
  <c r="AV77" i="15" s="1"/>
  <c r="AT51" i="15"/>
  <c r="AU51" i="15" s="1"/>
  <c r="AV51" i="15" s="1"/>
  <c r="AT110" i="15"/>
  <c r="AU110" i="15" s="1"/>
  <c r="AV110" i="15" s="1"/>
  <c r="AT23" i="15"/>
  <c r="AU23" i="15" s="1"/>
  <c r="AV23" i="15" s="1"/>
  <c r="AT216" i="15"/>
  <c r="AU216" i="15" s="1"/>
  <c r="AV216" i="15" s="1"/>
  <c r="AT200" i="15"/>
  <c r="AU200" i="15" s="1"/>
  <c r="AV200" i="15" s="1"/>
  <c r="AT184" i="15"/>
  <c r="AU184" i="15" s="1"/>
  <c r="AV184" i="15" s="1"/>
  <c r="AT168" i="15"/>
  <c r="AU168" i="15" s="1"/>
  <c r="AV168" i="15" s="1"/>
  <c r="AT152" i="15"/>
  <c r="AU152" i="15" s="1"/>
  <c r="AV152" i="15" s="1"/>
  <c r="AT136" i="15"/>
  <c r="AU136" i="15" s="1"/>
  <c r="AV136" i="15" s="1"/>
  <c r="AT120" i="15"/>
  <c r="AU120" i="15" s="1"/>
  <c r="AV120" i="15" s="1"/>
  <c r="AT104" i="15"/>
  <c r="AU104" i="15" s="1"/>
  <c r="AV104" i="15" s="1"/>
  <c r="AT88" i="15"/>
  <c r="AU88" i="15" s="1"/>
  <c r="AV88" i="15" s="1"/>
  <c r="AT72" i="15"/>
  <c r="AU72" i="15" s="1"/>
  <c r="AV72" i="15" s="1"/>
  <c r="AT31" i="15"/>
  <c r="AU31" i="15" s="1"/>
  <c r="AV31" i="15" s="1"/>
  <c r="AT202" i="15"/>
  <c r="AU202" i="15" s="1"/>
  <c r="AV202" i="15" s="1"/>
  <c r="AT174" i="15"/>
  <c r="AU174" i="15" s="1"/>
  <c r="AV174" i="15" s="1"/>
  <c r="AT142" i="15"/>
  <c r="AU142" i="15" s="1"/>
  <c r="AV142" i="15" s="1"/>
  <c r="AT106" i="15"/>
  <c r="AU106" i="15" s="1"/>
  <c r="AV106" i="15" s="1"/>
  <c r="AT66" i="15"/>
  <c r="AU66" i="15" s="1"/>
  <c r="AV66" i="15" s="1"/>
  <c r="AT219" i="15"/>
  <c r="AU219" i="15" s="1"/>
  <c r="AV219" i="15" s="1"/>
  <c r="AT203" i="15"/>
  <c r="AU203" i="15" s="1"/>
  <c r="AV203" i="15" s="1"/>
  <c r="AT187" i="15"/>
  <c r="AU187" i="15" s="1"/>
  <c r="AV187" i="15" s="1"/>
  <c r="AT171" i="15"/>
  <c r="AU171" i="15" s="1"/>
  <c r="AV171" i="15" s="1"/>
  <c r="AT155" i="15"/>
  <c r="AU155" i="15" s="1"/>
  <c r="AV155" i="15" s="1"/>
  <c r="AT139" i="15"/>
  <c r="AU139" i="15" s="1"/>
  <c r="AV139" i="15" s="1"/>
  <c r="AT123" i="15"/>
  <c r="AU123" i="15" s="1"/>
  <c r="AV123" i="15" s="1"/>
  <c r="AT107" i="15"/>
  <c r="AU107" i="15" s="1"/>
  <c r="AV107" i="15" s="1"/>
  <c r="AT91" i="15"/>
  <c r="AU91" i="15" s="1"/>
  <c r="AV91" i="15" s="1"/>
  <c r="AT75" i="15"/>
  <c r="AU75" i="15" s="1"/>
  <c r="AV75" i="15" s="1"/>
  <c r="AT43" i="15"/>
  <c r="AU43" i="15" s="1"/>
  <c r="AV43" i="15" s="1"/>
  <c r="AT58" i="15"/>
  <c r="AU58" i="15" s="1"/>
  <c r="AV58" i="15" s="1"/>
  <c r="AT42" i="15"/>
  <c r="AU42" i="15" s="1"/>
  <c r="AV42" i="15" s="1"/>
  <c r="AT26" i="15"/>
  <c r="AU26" i="15" s="1"/>
  <c r="AV26" i="15" s="1"/>
  <c r="AT10" i="15"/>
  <c r="AU10" i="15" s="1"/>
  <c r="AV10" i="15" s="1"/>
  <c r="AT53" i="15"/>
  <c r="AU53" i="15" s="1"/>
  <c r="AV53" i="15" s="1"/>
  <c r="AT37" i="15"/>
  <c r="AU37" i="15" s="1"/>
  <c r="AV37" i="15" s="1"/>
  <c r="AT21" i="15"/>
  <c r="AU21" i="15" s="1"/>
  <c r="AV21" i="15" s="1"/>
  <c r="AT5" i="15"/>
  <c r="AU5" i="15" s="1"/>
  <c r="AV5" i="15" s="1"/>
  <c r="AT52" i="15"/>
  <c r="AU52" i="15" s="1"/>
  <c r="AV52" i="15" s="1"/>
  <c r="AT36" i="15"/>
  <c r="AU36" i="15" s="1"/>
  <c r="AV36" i="15" s="1"/>
  <c r="AT20" i="15"/>
  <c r="AU20" i="15" s="1"/>
  <c r="AV20" i="15" s="1"/>
  <c r="CO2" i="15"/>
  <c r="CX2" i="15"/>
  <c r="BZ2" i="15"/>
  <c r="EH2" i="15"/>
  <c r="DP2" i="15"/>
  <c r="Q31" i="4"/>
  <c r="DV2" i="15"/>
  <c r="S31" i="4"/>
  <c r="DD2" i="15"/>
  <c r="M31" i="4"/>
  <c r="CU2" i="15"/>
  <c r="J31" i="4"/>
  <c r="DG2" i="15"/>
  <c r="N31" i="4"/>
  <c r="CC2" i="15"/>
  <c r="D31" i="4"/>
  <c r="DY2" i="15"/>
  <c r="T31" i="4"/>
  <c r="DM2" i="15"/>
  <c r="P31" i="4"/>
  <c r="CF2" i="15"/>
  <c r="E31" i="4"/>
  <c r="EN2" i="15"/>
  <c r="Y31" i="4"/>
  <c r="DA2" i="15"/>
  <c r="L31" i="4"/>
  <c r="CL2" i="15"/>
  <c r="BM2" i="15"/>
  <c r="BD2" i="15"/>
  <c r="BG2" i="15"/>
  <c r="BA2" i="15"/>
  <c r="BP2" i="15"/>
  <c r="BS2" i="15"/>
  <c r="AL2" i="15"/>
  <c r="AJ2" i="15"/>
  <c r="M12" i="4"/>
  <c r="I2" i="15"/>
  <c r="A5" i="15"/>
  <c r="B5" i="15" s="1"/>
  <c r="A9" i="15"/>
  <c r="B9" i="15" s="1"/>
  <c r="A13" i="15"/>
  <c r="B13" i="15" s="1"/>
  <c r="A17" i="15"/>
  <c r="B17" i="15" s="1"/>
  <c r="A21" i="15"/>
  <c r="B21" i="15" s="1"/>
  <c r="A25" i="15"/>
  <c r="B25" i="15" s="1"/>
  <c r="A29" i="15"/>
  <c r="B29" i="15" s="1"/>
  <c r="A33" i="15"/>
  <c r="B33" i="15" s="1"/>
  <c r="A37" i="15"/>
  <c r="B37" i="15" s="1"/>
  <c r="A41" i="15"/>
  <c r="B41" i="15" s="1"/>
  <c r="A45" i="15"/>
  <c r="B45" i="15" s="1"/>
  <c r="A49" i="15"/>
  <c r="B49" i="15" s="1"/>
  <c r="A53" i="15"/>
  <c r="B53" i="15" s="1"/>
  <c r="A57" i="15"/>
  <c r="B57" i="15" s="1"/>
  <c r="A61" i="15"/>
  <c r="B61" i="15" s="1"/>
  <c r="A65" i="15"/>
  <c r="B65" i="15" s="1"/>
  <c r="A69" i="15"/>
  <c r="B69" i="15" s="1"/>
  <c r="A73" i="15"/>
  <c r="B73" i="15" s="1"/>
  <c r="A77" i="15"/>
  <c r="B77" i="15" s="1"/>
  <c r="A81" i="15"/>
  <c r="B81" i="15" s="1"/>
  <c r="A85" i="15"/>
  <c r="B85" i="15" s="1"/>
  <c r="A89" i="15"/>
  <c r="B89" i="15" s="1"/>
  <c r="A93" i="15"/>
  <c r="B93" i="15" s="1"/>
  <c r="A97" i="15"/>
  <c r="B97" i="15" s="1"/>
  <c r="A101" i="15"/>
  <c r="B101" i="15" s="1"/>
  <c r="A105" i="15"/>
  <c r="B105" i="15" s="1"/>
  <c r="A109" i="15"/>
  <c r="B109" i="15" s="1"/>
  <c r="A113" i="15"/>
  <c r="B113" i="15" s="1"/>
  <c r="A117" i="15"/>
  <c r="B117" i="15" s="1"/>
  <c r="A121" i="15"/>
  <c r="B121" i="15" s="1"/>
  <c r="A125" i="15"/>
  <c r="B125" i="15" s="1"/>
  <c r="A129" i="15"/>
  <c r="B129" i="15" s="1"/>
  <c r="A133" i="15"/>
  <c r="B133" i="15" s="1"/>
  <c r="A137" i="15"/>
  <c r="B137" i="15" s="1"/>
  <c r="A141" i="15"/>
  <c r="B141" i="15" s="1"/>
  <c r="A145" i="15"/>
  <c r="B145" i="15" s="1"/>
  <c r="A149" i="15"/>
  <c r="B149" i="15" s="1"/>
  <c r="A153" i="15"/>
  <c r="B153" i="15" s="1"/>
  <c r="A157" i="15"/>
  <c r="B157" i="15" s="1"/>
  <c r="A161" i="15"/>
  <c r="B161" i="15" s="1"/>
  <c r="A165" i="15"/>
  <c r="B165" i="15" s="1"/>
  <c r="A169" i="15"/>
  <c r="B169" i="15" s="1"/>
  <c r="A173" i="15"/>
  <c r="B173" i="15" s="1"/>
  <c r="A177" i="15"/>
  <c r="B177" i="15" s="1"/>
  <c r="A181" i="15"/>
  <c r="B181" i="15" s="1"/>
  <c r="A185" i="15"/>
  <c r="B185" i="15" s="1"/>
  <c r="A189" i="15"/>
  <c r="B189" i="15" s="1"/>
  <c r="A193" i="15"/>
  <c r="B193" i="15" s="1"/>
  <c r="A197" i="15"/>
  <c r="B197" i="15" s="1"/>
  <c r="A201" i="15"/>
  <c r="B201" i="15" s="1"/>
  <c r="A205" i="15"/>
  <c r="B205" i="15" s="1"/>
  <c r="A209" i="15"/>
  <c r="B209" i="15" s="1"/>
  <c r="A213" i="15"/>
  <c r="B213" i="15" s="1"/>
  <c r="A217" i="15"/>
  <c r="B217" i="15" s="1"/>
  <c r="A221" i="15"/>
  <c r="B221" i="15" s="1"/>
  <c r="A225" i="15"/>
  <c r="B225" i="15" s="1"/>
  <c r="A6" i="15"/>
  <c r="B6" i="15" s="1"/>
  <c r="A10" i="15"/>
  <c r="B10" i="15" s="1"/>
  <c r="A14" i="15"/>
  <c r="B14" i="15" s="1"/>
  <c r="A18" i="15"/>
  <c r="B18" i="15" s="1"/>
  <c r="A22" i="15"/>
  <c r="B22" i="15" s="1"/>
  <c r="A26" i="15"/>
  <c r="B26" i="15" s="1"/>
  <c r="A30" i="15"/>
  <c r="B30" i="15" s="1"/>
  <c r="A34" i="15"/>
  <c r="B34" i="15" s="1"/>
  <c r="A38" i="15"/>
  <c r="B38" i="15" s="1"/>
  <c r="A42" i="15"/>
  <c r="B42" i="15" s="1"/>
  <c r="A46" i="15"/>
  <c r="B46" i="15" s="1"/>
  <c r="A50" i="15"/>
  <c r="B50" i="15" s="1"/>
  <c r="A54" i="15"/>
  <c r="B54" i="15" s="1"/>
  <c r="A58" i="15"/>
  <c r="B58" i="15" s="1"/>
  <c r="A62" i="15"/>
  <c r="B62" i="15" s="1"/>
  <c r="A66" i="15"/>
  <c r="B66" i="15" s="1"/>
  <c r="A70" i="15"/>
  <c r="B70" i="15" s="1"/>
  <c r="A74" i="15"/>
  <c r="B74" i="15" s="1"/>
  <c r="A78" i="15"/>
  <c r="B78" i="15" s="1"/>
  <c r="A82" i="15"/>
  <c r="B82" i="15" s="1"/>
  <c r="A86" i="15"/>
  <c r="B86" i="15" s="1"/>
  <c r="A90" i="15"/>
  <c r="B90" i="15" s="1"/>
  <c r="A94" i="15"/>
  <c r="B94" i="15" s="1"/>
  <c r="A98" i="15"/>
  <c r="B98" i="15" s="1"/>
  <c r="A102" i="15"/>
  <c r="B102" i="15" s="1"/>
  <c r="A106" i="15"/>
  <c r="B106" i="15" s="1"/>
  <c r="A110" i="15"/>
  <c r="B110" i="15" s="1"/>
  <c r="A114" i="15"/>
  <c r="B114" i="15" s="1"/>
  <c r="A118" i="15"/>
  <c r="B118" i="15" s="1"/>
  <c r="A122" i="15"/>
  <c r="B122" i="15" s="1"/>
  <c r="A126" i="15"/>
  <c r="B126" i="15" s="1"/>
  <c r="A130" i="15"/>
  <c r="B130" i="15" s="1"/>
  <c r="A134" i="15"/>
  <c r="B134" i="15" s="1"/>
  <c r="A138" i="15"/>
  <c r="B138" i="15" s="1"/>
  <c r="A142" i="15"/>
  <c r="B142" i="15" s="1"/>
  <c r="A146" i="15"/>
  <c r="B146" i="15" s="1"/>
  <c r="A150" i="15"/>
  <c r="B150" i="15" s="1"/>
  <c r="A154" i="15"/>
  <c r="B154" i="15" s="1"/>
  <c r="A158" i="15"/>
  <c r="B158" i="15" s="1"/>
  <c r="A162" i="15"/>
  <c r="B162" i="15" s="1"/>
  <c r="A166" i="15"/>
  <c r="B166" i="15" s="1"/>
  <c r="A170" i="15"/>
  <c r="B170" i="15" s="1"/>
  <c r="A174" i="15"/>
  <c r="B174" i="15" s="1"/>
  <c r="A178" i="15"/>
  <c r="B178" i="15" s="1"/>
  <c r="A182" i="15"/>
  <c r="B182" i="15" s="1"/>
  <c r="A186" i="15"/>
  <c r="B186" i="15" s="1"/>
  <c r="A190" i="15"/>
  <c r="B190" i="15" s="1"/>
  <c r="A194" i="15"/>
  <c r="B194" i="15" s="1"/>
  <c r="A198" i="15"/>
  <c r="B198" i="15" s="1"/>
  <c r="A202" i="15"/>
  <c r="B202" i="15" s="1"/>
  <c r="A206" i="15"/>
  <c r="B206" i="15" s="1"/>
  <c r="A210" i="15"/>
  <c r="B210" i="15" s="1"/>
  <c r="A214" i="15"/>
  <c r="B214" i="15" s="1"/>
  <c r="A218" i="15"/>
  <c r="B218" i="15" s="1"/>
  <c r="A222" i="15"/>
  <c r="B222" i="15" s="1"/>
  <c r="A226" i="15"/>
  <c r="B226" i="15" s="1"/>
  <c r="A3" i="15"/>
  <c r="B3" i="15" s="1"/>
  <c r="A7" i="15"/>
  <c r="B7" i="15" s="1"/>
  <c r="A11" i="15"/>
  <c r="B11" i="15" s="1"/>
  <c r="A15" i="15"/>
  <c r="B15" i="15" s="1"/>
  <c r="A19" i="15"/>
  <c r="B19" i="15" s="1"/>
  <c r="A23" i="15"/>
  <c r="B23" i="15" s="1"/>
  <c r="A27" i="15"/>
  <c r="B27" i="15" s="1"/>
  <c r="A31" i="15"/>
  <c r="B31" i="15" s="1"/>
  <c r="A35" i="15"/>
  <c r="B35" i="15" s="1"/>
  <c r="A39" i="15"/>
  <c r="B39" i="15" s="1"/>
  <c r="A43" i="15"/>
  <c r="B43" i="15" s="1"/>
  <c r="A47" i="15"/>
  <c r="B47" i="15" s="1"/>
  <c r="A51" i="15"/>
  <c r="B51" i="15" s="1"/>
  <c r="A55" i="15"/>
  <c r="B55" i="15" s="1"/>
  <c r="A59" i="15"/>
  <c r="B59" i="15" s="1"/>
  <c r="A63" i="15"/>
  <c r="B63" i="15" s="1"/>
  <c r="A67" i="15"/>
  <c r="B67" i="15" s="1"/>
  <c r="A71" i="15"/>
  <c r="B71" i="15" s="1"/>
  <c r="A75" i="15"/>
  <c r="B75" i="15" s="1"/>
  <c r="A79" i="15"/>
  <c r="B79" i="15" s="1"/>
  <c r="A83" i="15"/>
  <c r="B83" i="15" s="1"/>
  <c r="A87" i="15"/>
  <c r="B87" i="15" s="1"/>
  <c r="A91" i="15"/>
  <c r="B91" i="15" s="1"/>
  <c r="A95" i="15"/>
  <c r="B95" i="15" s="1"/>
  <c r="A99" i="15"/>
  <c r="B99" i="15" s="1"/>
  <c r="A103" i="15"/>
  <c r="B103" i="15" s="1"/>
  <c r="A107" i="15"/>
  <c r="B107" i="15" s="1"/>
  <c r="A111" i="15"/>
  <c r="B111" i="15" s="1"/>
  <c r="A115" i="15"/>
  <c r="B115" i="15" s="1"/>
  <c r="A119" i="15"/>
  <c r="B119" i="15" s="1"/>
  <c r="A123" i="15"/>
  <c r="B123" i="15" s="1"/>
  <c r="A127" i="15"/>
  <c r="B127" i="15" s="1"/>
  <c r="A131" i="15"/>
  <c r="B131" i="15" s="1"/>
  <c r="A135" i="15"/>
  <c r="B135" i="15" s="1"/>
  <c r="A139" i="15"/>
  <c r="B139" i="15" s="1"/>
  <c r="A143" i="15"/>
  <c r="B143" i="15" s="1"/>
  <c r="A147" i="15"/>
  <c r="B147" i="15" s="1"/>
  <c r="A151" i="15"/>
  <c r="B151" i="15" s="1"/>
  <c r="A155" i="15"/>
  <c r="B155" i="15" s="1"/>
  <c r="A159" i="15"/>
  <c r="B159" i="15" s="1"/>
  <c r="A163" i="15"/>
  <c r="B163" i="15" s="1"/>
  <c r="A167" i="15"/>
  <c r="B167" i="15" s="1"/>
  <c r="A171" i="15"/>
  <c r="B171" i="15" s="1"/>
  <c r="A175" i="15"/>
  <c r="B175" i="15" s="1"/>
  <c r="A179" i="15"/>
  <c r="B179" i="15" s="1"/>
  <c r="A183" i="15"/>
  <c r="B183" i="15" s="1"/>
  <c r="A187" i="15"/>
  <c r="B187" i="15" s="1"/>
  <c r="A191" i="15"/>
  <c r="B191" i="15" s="1"/>
  <c r="A195" i="15"/>
  <c r="B195" i="15" s="1"/>
  <c r="A199" i="15"/>
  <c r="B199" i="15" s="1"/>
  <c r="A203" i="15"/>
  <c r="B203" i="15" s="1"/>
  <c r="A207" i="15"/>
  <c r="B207" i="15" s="1"/>
  <c r="A211" i="15"/>
  <c r="B211" i="15" s="1"/>
  <c r="A215" i="15"/>
  <c r="B215" i="15" s="1"/>
  <c r="A219" i="15"/>
  <c r="B219" i="15" s="1"/>
  <c r="A223" i="15"/>
  <c r="B223" i="15" s="1"/>
  <c r="A227" i="15"/>
  <c r="B227" i="15" s="1"/>
  <c r="A12" i="15"/>
  <c r="B12" i="15" s="1"/>
  <c r="A28" i="15"/>
  <c r="B28" i="15" s="1"/>
  <c r="A44" i="15"/>
  <c r="B44" i="15" s="1"/>
  <c r="A60" i="15"/>
  <c r="B60" i="15" s="1"/>
  <c r="A76" i="15"/>
  <c r="B76" i="15" s="1"/>
  <c r="A92" i="15"/>
  <c r="B92" i="15" s="1"/>
  <c r="A108" i="15"/>
  <c r="B108" i="15" s="1"/>
  <c r="A124" i="15"/>
  <c r="B124" i="15" s="1"/>
  <c r="A140" i="15"/>
  <c r="B140" i="15" s="1"/>
  <c r="A156" i="15"/>
  <c r="B156" i="15" s="1"/>
  <c r="A172" i="15"/>
  <c r="B172" i="15" s="1"/>
  <c r="A188" i="15"/>
  <c r="B188" i="15" s="1"/>
  <c r="A204" i="15"/>
  <c r="B204" i="15" s="1"/>
  <c r="A220" i="15"/>
  <c r="B220" i="15" s="1"/>
  <c r="A16" i="15"/>
  <c r="B16" i="15" s="1"/>
  <c r="A32" i="15"/>
  <c r="B32" i="15" s="1"/>
  <c r="A48" i="15"/>
  <c r="B48" i="15" s="1"/>
  <c r="A64" i="15"/>
  <c r="B64" i="15" s="1"/>
  <c r="A80" i="15"/>
  <c r="B80" i="15" s="1"/>
  <c r="A96" i="15"/>
  <c r="B96" i="15" s="1"/>
  <c r="A112" i="15"/>
  <c r="B112" i="15" s="1"/>
  <c r="A128" i="15"/>
  <c r="B128" i="15" s="1"/>
  <c r="A144" i="15"/>
  <c r="B144" i="15" s="1"/>
  <c r="A160" i="15"/>
  <c r="B160" i="15" s="1"/>
  <c r="A176" i="15"/>
  <c r="B176" i="15" s="1"/>
  <c r="A192" i="15"/>
  <c r="B192" i="15" s="1"/>
  <c r="A208" i="15"/>
  <c r="B208" i="15" s="1"/>
  <c r="A224" i="15"/>
  <c r="B224" i="15" s="1"/>
  <c r="A4" i="15"/>
  <c r="B4" i="15" s="1"/>
  <c r="A20" i="15"/>
  <c r="B20" i="15" s="1"/>
  <c r="A36" i="15"/>
  <c r="B36" i="15" s="1"/>
  <c r="A52" i="15"/>
  <c r="B52" i="15" s="1"/>
  <c r="A68" i="15"/>
  <c r="B68" i="15" s="1"/>
  <c r="A84" i="15"/>
  <c r="B84" i="15" s="1"/>
  <c r="A100" i="15"/>
  <c r="B100" i="15" s="1"/>
  <c r="A116" i="15"/>
  <c r="B116" i="15" s="1"/>
  <c r="A132" i="15"/>
  <c r="B132" i="15" s="1"/>
  <c r="A148" i="15"/>
  <c r="B148" i="15" s="1"/>
  <c r="A164" i="15"/>
  <c r="B164" i="15" s="1"/>
  <c r="A180" i="15"/>
  <c r="B180" i="15" s="1"/>
  <c r="A196" i="15"/>
  <c r="B196" i="15" s="1"/>
  <c r="A212" i="15"/>
  <c r="B212" i="15" s="1"/>
  <c r="A2" i="15"/>
  <c r="B2" i="15" s="1"/>
  <c r="A8" i="15"/>
  <c r="B8" i="15" s="1"/>
  <c r="A72" i="15"/>
  <c r="B72" i="15" s="1"/>
  <c r="A136" i="15"/>
  <c r="B136" i="15" s="1"/>
  <c r="A200" i="15"/>
  <c r="B200" i="15" s="1"/>
  <c r="A56" i="15"/>
  <c r="B56" i="15" s="1"/>
  <c r="A120" i="15"/>
  <c r="B120" i="15" s="1"/>
  <c r="A24" i="15"/>
  <c r="B24" i="15" s="1"/>
  <c r="A88" i="15"/>
  <c r="B88" i="15" s="1"/>
  <c r="A152" i="15"/>
  <c r="B152" i="15" s="1"/>
  <c r="A216" i="15"/>
  <c r="B216" i="15" s="1"/>
  <c r="A40" i="15"/>
  <c r="B40" i="15" s="1"/>
  <c r="A104" i="15"/>
  <c r="B104" i="15" s="1"/>
  <c r="A168" i="15"/>
  <c r="B168" i="15" s="1"/>
  <c r="A184" i="15"/>
  <c r="B184" i="15" s="1"/>
  <c r="AD2" i="15"/>
  <c r="K12" i="4"/>
  <c r="F12" i="4"/>
  <c r="O2" i="15"/>
  <c r="X2" i="15"/>
  <c r="I12" i="4"/>
  <c r="E12" i="4"/>
  <c r="L2" i="15"/>
  <c r="AG2" i="15"/>
  <c r="D12" i="4" l="1"/>
  <c r="E13" i="4"/>
  <c r="E14" i="4" s="1"/>
  <c r="E15" i="4" s="1"/>
  <c r="E16" i="4" s="1"/>
  <c r="F13" i="4"/>
  <c r="F14" i="4" s="1"/>
  <c r="F15" i="4" s="1"/>
  <c r="N32" i="4"/>
  <c r="N33" i="4" s="1"/>
  <c r="N34" i="4" s="1"/>
  <c r="N35" i="4" s="1"/>
  <c r="Q32" i="4"/>
  <c r="Q33" i="4" s="1"/>
  <c r="Q34" i="4" s="1"/>
  <c r="Y32" i="4"/>
  <c r="Y33" i="4" s="1"/>
  <c r="Y34" i="4" s="1"/>
  <c r="Y38" i="4" s="1"/>
  <c r="P32" i="4"/>
  <c r="P33" i="4" s="1"/>
  <c r="P34" i="4" s="1"/>
  <c r="CR2" i="15"/>
  <c r="F2" i="15"/>
  <c r="CI2" i="15"/>
  <c r="EE2" i="15"/>
  <c r="D32" i="4"/>
  <c r="D33" i="4" s="1"/>
  <c r="D34" i="4" s="1"/>
  <c r="J32" i="4"/>
  <c r="J33" i="4" s="1"/>
  <c r="J34" i="4" s="1"/>
  <c r="S32" i="4"/>
  <c r="S33" i="4" s="1"/>
  <c r="S34" i="4" s="1"/>
  <c r="EK2" i="15"/>
  <c r="M32" i="4"/>
  <c r="M33" i="4" s="1"/>
  <c r="M34" i="4" s="1"/>
  <c r="I13" i="4"/>
  <c r="I14" i="4" s="1"/>
  <c r="I15" i="4" s="1"/>
  <c r="I16" i="4" s="1"/>
  <c r="K13" i="4"/>
  <c r="K14" i="4" s="1"/>
  <c r="K15" i="4" s="1"/>
  <c r="L32" i="4"/>
  <c r="L33" i="4" s="1"/>
  <c r="L34" i="4" s="1"/>
  <c r="L35" i="4" s="1"/>
  <c r="E32" i="4"/>
  <c r="E33" i="4" s="1"/>
  <c r="E34" i="4" s="1"/>
  <c r="T32" i="4"/>
  <c r="T33" i="4" s="1"/>
  <c r="T34" i="4" s="1"/>
  <c r="T35" i="4" s="1"/>
  <c r="U32" i="4"/>
  <c r="U33" i="4" s="1"/>
  <c r="U34" i="4" s="1"/>
  <c r="F32" i="4"/>
  <c r="F33" i="4" s="1"/>
  <c r="F34" i="4" s="1"/>
  <c r="K32" i="4"/>
  <c r="K33" i="4" s="1"/>
  <c r="K34" i="4" s="1"/>
  <c r="K38" i="4" s="1"/>
  <c r="I32" i="4"/>
  <c r="I33" i="4" s="1"/>
  <c r="I34" i="4" s="1"/>
  <c r="H31" i="4"/>
  <c r="H12" i="4"/>
  <c r="C12" i="4"/>
  <c r="G32" i="4"/>
  <c r="G33" i="4" s="1"/>
  <c r="G34" i="4" s="1"/>
  <c r="O31" i="4"/>
  <c r="F31" i="4"/>
  <c r="R32" i="4"/>
  <c r="R33" i="4" s="1"/>
  <c r="R34" i="4" s="1"/>
  <c r="H32" i="4"/>
  <c r="H33" i="4" s="1"/>
  <c r="H34" i="4" s="1"/>
  <c r="D13" i="4"/>
  <c r="D14" i="4" s="1"/>
  <c r="D15" i="4" s="1"/>
  <c r="G31" i="4"/>
  <c r="R31" i="4"/>
  <c r="H13" i="4"/>
  <c r="H14" i="4" s="1"/>
  <c r="H15" i="4" s="1"/>
  <c r="O32" i="4"/>
  <c r="O33" i="4" s="1"/>
  <c r="O34" i="4" s="1"/>
  <c r="K31" i="4"/>
  <c r="G12" i="4"/>
  <c r="C31" i="4"/>
  <c r="G13" i="4"/>
  <c r="G14" i="4" s="1"/>
  <c r="G15" i="4" s="1"/>
  <c r="C32" i="4"/>
  <c r="C33" i="4" s="1"/>
  <c r="C34" i="4" s="1"/>
  <c r="I31" i="4"/>
  <c r="X31" i="4"/>
  <c r="U35" i="4"/>
  <c r="U38" i="4"/>
  <c r="P35" i="4"/>
  <c r="P38" i="4"/>
  <c r="T38" i="4"/>
  <c r="M35" i="4"/>
  <c r="M38" i="4"/>
  <c r="L12" i="4"/>
  <c r="V31" i="4"/>
  <c r="W31" i="4"/>
  <c r="L13" i="4"/>
  <c r="L14" i="4" s="1"/>
  <c r="L15" i="4" s="1"/>
  <c r="I19" i="4"/>
  <c r="G35" i="4"/>
  <c r="G38" i="4"/>
  <c r="I35" i="4"/>
  <c r="I38" i="4"/>
  <c r="E35" i="4"/>
  <c r="E38" i="4"/>
  <c r="V32" i="4"/>
  <c r="V33" i="4" s="1"/>
  <c r="V34" i="4" s="1"/>
  <c r="O35" i="4"/>
  <c r="S35" i="4"/>
  <c r="S38" i="4"/>
  <c r="W32" i="4"/>
  <c r="W33" i="4" s="1"/>
  <c r="W34" i="4" s="1"/>
  <c r="J13" i="4"/>
  <c r="J18" i="4" s="1"/>
  <c r="D16" i="4"/>
  <c r="D19" i="4"/>
  <c r="D35" i="4"/>
  <c r="D38" i="4"/>
  <c r="Q35" i="4"/>
  <c r="Q38" i="4"/>
  <c r="H35" i="4"/>
  <c r="H38" i="4"/>
  <c r="H16" i="4"/>
  <c r="H19" i="4"/>
  <c r="E19" i="4"/>
  <c r="F16" i="4"/>
  <c r="F19" i="4"/>
  <c r="K16" i="4"/>
  <c r="K19" i="4"/>
  <c r="U31" i="4"/>
  <c r="J38" i="4"/>
  <c r="J12" i="4"/>
  <c r="BU14" i="15"/>
  <c r="BV14" i="15" s="1"/>
  <c r="BW14" i="15" s="1"/>
  <c r="BU30" i="15"/>
  <c r="BV30" i="15" s="1"/>
  <c r="BW30" i="15" s="1"/>
  <c r="BU46" i="15"/>
  <c r="BV46" i="15" s="1"/>
  <c r="BW46" i="15" s="1"/>
  <c r="BU62" i="15"/>
  <c r="BV62" i="15" s="1"/>
  <c r="BW62" i="15" s="1"/>
  <c r="BU78" i="15"/>
  <c r="BV78" i="15" s="1"/>
  <c r="BW78" i="15" s="1"/>
  <c r="BU94" i="15"/>
  <c r="BV94" i="15" s="1"/>
  <c r="BW94" i="15" s="1"/>
  <c r="BU110" i="15"/>
  <c r="BV110" i="15" s="1"/>
  <c r="BW110" i="15" s="1"/>
  <c r="BU126" i="15"/>
  <c r="BV126" i="15" s="1"/>
  <c r="BW126" i="15" s="1"/>
  <c r="BU142" i="15"/>
  <c r="BV142" i="15" s="1"/>
  <c r="BW142" i="15" s="1"/>
  <c r="BU158" i="15"/>
  <c r="BV158" i="15" s="1"/>
  <c r="BW158" i="15" s="1"/>
  <c r="BU174" i="15"/>
  <c r="BV174" i="15" s="1"/>
  <c r="BW174" i="15" s="1"/>
  <c r="BU18" i="15"/>
  <c r="BV18" i="15" s="1"/>
  <c r="BW18" i="15" s="1"/>
  <c r="BU38" i="15"/>
  <c r="BV38" i="15" s="1"/>
  <c r="BW38" i="15" s="1"/>
  <c r="BU58" i="15"/>
  <c r="BV58" i="15" s="1"/>
  <c r="BW58" i="15" s="1"/>
  <c r="BU82" i="15"/>
  <c r="BV82" i="15" s="1"/>
  <c r="BW82" i="15" s="1"/>
  <c r="BU102" i="15"/>
  <c r="BV102" i="15" s="1"/>
  <c r="BW102" i="15" s="1"/>
  <c r="BU122" i="15"/>
  <c r="BV122" i="15" s="1"/>
  <c r="BW122" i="15" s="1"/>
  <c r="BU146" i="15"/>
  <c r="BV146" i="15" s="1"/>
  <c r="BW146" i="15" s="1"/>
  <c r="BU166" i="15"/>
  <c r="BV166" i="15" s="1"/>
  <c r="BW166" i="15" s="1"/>
  <c r="BU186" i="15"/>
  <c r="BV186" i="15" s="1"/>
  <c r="BW186" i="15" s="1"/>
  <c r="BU202" i="15"/>
  <c r="BV202" i="15" s="1"/>
  <c r="BW202" i="15" s="1"/>
  <c r="BU218" i="15"/>
  <c r="BV218" i="15" s="1"/>
  <c r="BW218" i="15" s="1"/>
  <c r="BU7" i="15"/>
  <c r="BV7" i="15" s="1"/>
  <c r="BW7" i="15" s="1"/>
  <c r="BU23" i="15"/>
  <c r="BV23" i="15" s="1"/>
  <c r="BW23" i="15" s="1"/>
  <c r="BU39" i="15"/>
  <c r="BV39" i="15" s="1"/>
  <c r="BW39" i="15" s="1"/>
  <c r="BU55" i="15"/>
  <c r="BV55" i="15" s="1"/>
  <c r="BW55" i="15" s="1"/>
  <c r="BU71" i="15"/>
  <c r="BV71" i="15" s="1"/>
  <c r="BW71" i="15" s="1"/>
  <c r="BU87" i="15"/>
  <c r="BV87" i="15" s="1"/>
  <c r="BW87" i="15" s="1"/>
  <c r="BU103" i="15"/>
  <c r="BV103" i="15" s="1"/>
  <c r="BW103" i="15" s="1"/>
  <c r="BU119" i="15"/>
  <c r="BV119" i="15" s="1"/>
  <c r="BW119" i="15" s="1"/>
  <c r="BU135" i="15"/>
  <c r="BV135" i="15" s="1"/>
  <c r="BW135" i="15" s="1"/>
  <c r="BU151" i="15"/>
  <c r="BV151" i="15" s="1"/>
  <c r="BW151" i="15" s="1"/>
  <c r="BU167" i="15"/>
  <c r="BV167" i="15" s="1"/>
  <c r="BW167" i="15" s="1"/>
  <c r="BU183" i="15"/>
  <c r="BV183" i="15" s="1"/>
  <c r="BW183" i="15" s="1"/>
  <c r="BU199" i="15"/>
  <c r="BV199" i="15" s="1"/>
  <c r="BW199" i="15" s="1"/>
  <c r="BU215" i="15"/>
  <c r="BV215" i="15" s="1"/>
  <c r="BW215" i="15" s="1"/>
  <c r="BU4" i="15"/>
  <c r="BV4" i="15" s="1"/>
  <c r="BW4" i="15" s="1"/>
  <c r="BU20" i="15"/>
  <c r="BV20" i="15" s="1"/>
  <c r="BW20" i="15" s="1"/>
  <c r="BU36" i="15"/>
  <c r="BV36" i="15" s="1"/>
  <c r="BW36" i="15" s="1"/>
  <c r="BU52" i="15"/>
  <c r="BV52" i="15" s="1"/>
  <c r="BW52" i="15" s="1"/>
  <c r="BU68" i="15"/>
  <c r="BV68" i="15" s="1"/>
  <c r="BW68" i="15" s="1"/>
  <c r="BU84" i="15"/>
  <c r="BV84" i="15" s="1"/>
  <c r="BW84" i="15" s="1"/>
  <c r="BU100" i="15"/>
  <c r="BV100" i="15" s="1"/>
  <c r="BW100" i="15" s="1"/>
  <c r="BU116" i="15"/>
  <c r="BV116" i="15" s="1"/>
  <c r="BW116" i="15" s="1"/>
  <c r="BU132" i="15"/>
  <c r="BV132" i="15" s="1"/>
  <c r="BW132" i="15" s="1"/>
  <c r="BU148" i="15"/>
  <c r="BV148" i="15" s="1"/>
  <c r="BW148" i="15" s="1"/>
  <c r="BU164" i="15"/>
  <c r="BV164" i="15" s="1"/>
  <c r="BW164" i="15" s="1"/>
  <c r="BU180" i="15"/>
  <c r="BV180" i="15" s="1"/>
  <c r="BW180" i="15" s="1"/>
  <c r="BU196" i="15"/>
  <c r="BV196" i="15" s="1"/>
  <c r="BW196" i="15" s="1"/>
  <c r="BU212" i="15"/>
  <c r="BV212" i="15" s="1"/>
  <c r="BW212" i="15" s="1"/>
  <c r="BU13" i="15"/>
  <c r="BV13" i="15" s="1"/>
  <c r="BW13" i="15" s="1"/>
  <c r="BU77" i="15"/>
  <c r="BV77" i="15" s="1"/>
  <c r="BW77" i="15" s="1"/>
  <c r="BU141" i="15"/>
  <c r="BV141" i="15" s="1"/>
  <c r="BW141" i="15" s="1"/>
  <c r="BU205" i="15"/>
  <c r="BV205" i="15" s="1"/>
  <c r="BW205" i="15" s="1"/>
  <c r="BU49" i="15"/>
  <c r="BV49" i="15" s="1"/>
  <c r="BW49" i="15" s="1"/>
  <c r="BU113" i="15"/>
  <c r="BV113" i="15" s="1"/>
  <c r="BW113" i="15" s="1"/>
  <c r="BU177" i="15"/>
  <c r="BV177" i="15" s="1"/>
  <c r="BW177" i="15" s="1"/>
  <c r="BU5" i="15"/>
  <c r="BV5" i="15" s="1"/>
  <c r="BW5" i="15" s="1"/>
  <c r="BU69" i="15"/>
  <c r="BV69" i="15" s="1"/>
  <c r="BW69" i="15" s="1"/>
  <c r="BU133" i="15"/>
  <c r="BV133" i="15" s="1"/>
  <c r="BW133" i="15" s="1"/>
  <c r="BU197" i="15"/>
  <c r="BV197" i="15" s="1"/>
  <c r="BW197" i="15" s="1"/>
  <c r="BU169" i="15"/>
  <c r="BV169" i="15" s="1"/>
  <c r="BW169" i="15" s="1"/>
  <c r="BU185" i="15"/>
  <c r="BV185" i="15" s="1"/>
  <c r="BW185" i="15" s="1"/>
  <c r="BU137" i="15"/>
  <c r="BV137" i="15" s="1"/>
  <c r="BW137" i="15" s="1"/>
  <c r="BU22" i="15"/>
  <c r="BV22" i="15" s="1"/>
  <c r="BW22" i="15" s="1"/>
  <c r="BU106" i="15"/>
  <c r="BV106" i="15" s="1"/>
  <c r="BW106" i="15" s="1"/>
  <c r="BU190" i="15"/>
  <c r="BV190" i="15" s="1"/>
  <c r="BW190" i="15" s="1"/>
  <c r="BU222" i="15"/>
  <c r="BV222" i="15" s="1"/>
  <c r="BW222" i="15" s="1"/>
  <c r="BU43" i="15"/>
  <c r="BV43" i="15" s="1"/>
  <c r="BW43" i="15" s="1"/>
  <c r="BU75" i="15"/>
  <c r="BV75" i="15" s="1"/>
  <c r="BW75" i="15" s="1"/>
  <c r="BU107" i="15"/>
  <c r="BV107" i="15" s="1"/>
  <c r="BW107" i="15" s="1"/>
  <c r="BU155" i="15"/>
  <c r="BV155" i="15" s="1"/>
  <c r="BW155" i="15" s="1"/>
  <c r="BU187" i="15"/>
  <c r="BV187" i="15" s="1"/>
  <c r="BW187" i="15" s="1"/>
  <c r="BU8" i="15"/>
  <c r="BV8" i="15" s="1"/>
  <c r="BW8" i="15" s="1"/>
  <c r="BU40" i="15"/>
  <c r="BV40" i="15" s="1"/>
  <c r="BW40" i="15" s="1"/>
  <c r="BU72" i="15"/>
  <c r="BV72" i="15" s="1"/>
  <c r="BW72" i="15" s="1"/>
  <c r="BU104" i="15"/>
  <c r="BV104" i="15" s="1"/>
  <c r="BW104" i="15" s="1"/>
  <c r="BU136" i="15"/>
  <c r="BV136" i="15" s="1"/>
  <c r="BW136" i="15" s="1"/>
  <c r="BU168" i="15"/>
  <c r="BV168" i="15" s="1"/>
  <c r="BW168" i="15" s="1"/>
  <c r="BU200" i="15"/>
  <c r="BV200" i="15" s="1"/>
  <c r="BW200" i="15" s="1"/>
  <c r="BU29" i="15"/>
  <c r="BV29" i="15" s="1"/>
  <c r="BW29" i="15" s="1"/>
  <c r="BU157" i="15"/>
  <c r="BV157" i="15" s="1"/>
  <c r="BW157" i="15" s="1"/>
  <c r="BU129" i="15"/>
  <c r="BV129" i="15" s="1"/>
  <c r="BW129" i="15" s="1"/>
  <c r="BU21" i="15"/>
  <c r="BV21" i="15" s="1"/>
  <c r="BW21" i="15" s="1"/>
  <c r="BU149" i="15"/>
  <c r="BV149" i="15" s="1"/>
  <c r="BW149" i="15" s="1"/>
  <c r="BU89" i="15"/>
  <c r="BV89" i="15" s="1"/>
  <c r="BW89" i="15" s="1"/>
  <c r="BU10" i="15"/>
  <c r="BV10" i="15" s="1"/>
  <c r="BW10" i="15" s="1"/>
  <c r="BU34" i="15"/>
  <c r="BV34" i="15" s="1"/>
  <c r="BW34" i="15" s="1"/>
  <c r="BU54" i="15"/>
  <c r="BV54" i="15" s="1"/>
  <c r="BW54" i="15" s="1"/>
  <c r="BU74" i="15"/>
  <c r="BV74" i="15" s="1"/>
  <c r="BW74" i="15" s="1"/>
  <c r="BU98" i="15"/>
  <c r="BV98" i="15" s="1"/>
  <c r="BW98" i="15" s="1"/>
  <c r="BU118" i="15"/>
  <c r="BV118" i="15" s="1"/>
  <c r="BW118" i="15" s="1"/>
  <c r="BU138" i="15"/>
  <c r="BV138" i="15" s="1"/>
  <c r="BW138" i="15" s="1"/>
  <c r="BU162" i="15"/>
  <c r="BV162" i="15" s="1"/>
  <c r="BW162" i="15" s="1"/>
  <c r="BU182" i="15"/>
  <c r="BV182" i="15" s="1"/>
  <c r="BW182" i="15" s="1"/>
  <c r="BU198" i="15"/>
  <c r="BV198" i="15" s="1"/>
  <c r="BW198" i="15" s="1"/>
  <c r="BU214" i="15"/>
  <c r="BV214" i="15" s="1"/>
  <c r="BW214" i="15" s="1"/>
  <c r="BU3" i="15"/>
  <c r="BV3" i="15" s="1"/>
  <c r="BW3" i="15" s="1"/>
  <c r="BU19" i="15"/>
  <c r="BV19" i="15" s="1"/>
  <c r="BW19" i="15" s="1"/>
  <c r="BU35" i="15"/>
  <c r="BV35" i="15" s="1"/>
  <c r="BW35" i="15" s="1"/>
  <c r="BU51" i="15"/>
  <c r="BV51" i="15" s="1"/>
  <c r="BW51" i="15" s="1"/>
  <c r="BU67" i="15"/>
  <c r="BV67" i="15" s="1"/>
  <c r="BW67" i="15" s="1"/>
  <c r="BU83" i="15"/>
  <c r="BV83" i="15" s="1"/>
  <c r="BW83" i="15" s="1"/>
  <c r="BU99" i="15"/>
  <c r="BV99" i="15" s="1"/>
  <c r="BW99" i="15" s="1"/>
  <c r="BU115" i="15"/>
  <c r="BV115" i="15" s="1"/>
  <c r="BW115" i="15" s="1"/>
  <c r="BU131" i="15"/>
  <c r="BV131" i="15" s="1"/>
  <c r="BW131" i="15" s="1"/>
  <c r="BU147" i="15"/>
  <c r="BV147" i="15" s="1"/>
  <c r="BW147" i="15" s="1"/>
  <c r="BU163" i="15"/>
  <c r="BV163" i="15" s="1"/>
  <c r="BW163" i="15" s="1"/>
  <c r="BU179" i="15"/>
  <c r="BV179" i="15" s="1"/>
  <c r="BW179" i="15" s="1"/>
  <c r="BU195" i="15"/>
  <c r="BV195" i="15" s="1"/>
  <c r="BW195" i="15" s="1"/>
  <c r="BU211" i="15"/>
  <c r="BV211" i="15" s="1"/>
  <c r="BW211" i="15" s="1"/>
  <c r="BU227" i="15"/>
  <c r="BV227" i="15" s="1"/>
  <c r="BW227" i="15" s="1"/>
  <c r="BU16" i="15"/>
  <c r="BV16" i="15" s="1"/>
  <c r="BW16" i="15" s="1"/>
  <c r="BU32" i="15"/>
  <c r="BV32" i="15" s="1"/>
  <c r="BW32" i="15" s="1"/>
  <c r="BU48" i="15"/>
  <c r="BV48" i="15" s="1"/>
  <c r="BW48" i="15" s="1"/>
  <c r="BU64" i="15"/>
  <c r="BV64" i="15" s="1"/>
  <c r="BW64" i="15" s="1"/>
  <c r="BU80" i="15"/>
  <c r="BV80" i="15" s="1"/>
  <c r="BW80" i="15" s="1"/>
  <c r="BU96" i="15"/>
  <c r="BV96" i="15" s="1"/>
  <c r="BW96" i="15" s="1"/>
  <c r="BU112" i="15"/>
  <c r="BV112" i="15" s="1"/>
  <c r="BW112" i="15" s="1"/>
  <c r="BU128" i="15"/>
  <c r="BV128" i="15" s="1"/>
  <c r="BW128" i="15" s="1"/>
  <c r="BU144" i="15"/>
  <c r="BV144" i="15" s="1"/>
  <c r="BW144" i="15" s="1"/>
  <c r="BU160" i="15"/>
  <c r="BV160" i="15" s="1"/>
  <c r="BW160" i="15" s="1"/>
  <c r="BU176" i="15"/>
  <c r="BV176" i="15" s="1"/>
  <c r="BW176" i="15" s="1"/>
  <c r="BU192" i="15"/>
  <c r="BV192" i="15" s="1"/>
  <c r="BW192" i="15" s="1"/>
  <c r="BU208" i="15"/>
  <c r="BV208" i="15" s="1"/>
  <c r="BW208" i="15" s="1"/>
  <c r="BU224" i="15"/>
  <c r="BV224" i="15" s="1"/>
  <c r="BW224" i="15" s="1"/>
  <c r="BU61" i="15"/>
  <c r="BV61" i="15" s="1"/>
  <c r="BW61" i="15" s="1"/>
  <c r="BU125" i="15"/>
  <c r="BV125" i="15" s="1"/>
  <c r="BW125" i="15" s="1"/>
  <c r="BU189" i="15"/>
  <c r="BV189" i="15" s="1"/>
  <c r="BW189" i="15" s="1"/>
  <c r="BU33" i="15"/>
  <c r="BV33" i="15" s="1"/>
  <c r="BW33" i="15" s="1"/>
  <c r="BU97" i="15"/>
  <c r="BV97" i="15" s="1"/>
  <c r="BW97" i="15" s="1"/>
  <c r="BU161" i="15"/>
  <c r="BV161" i="15" s="1"/>
  <c r="BW161" i="15" s="1"/>
  <c r="BU225" i="15"/>
  <c r="BV225" i="15" s="1"/>
  <c r="BW225" i="15" s="1"/>
  <c r="BU53" i="15"/>
  <c r="BV53" i="15" s="1"/>
  <c r="BW53" i="15" s="1"/>
  <c r="BU117" i="15"/>
  <c r="BV117" i="15" s="1"/>
  <c r="BW117" i="15" s="1"/>
  <c r="BU181" i="15"/>
  <c r="BV181" i="15" s="1"/>
  <c r="BW181" i="15" s="1"/>
  <c r="BU105" i="15"/>
  <c r="BV105" i="15" s="1"/>
  <c r="BW105" i="15" s="1"/>
  <c r="BU121" i="15"/>
  <c r="BV121" i="15" s="1"/>
  <c r="BW121" i="15" s="1"/>
  <c r="BU73" i="15"/>
  <c r="BV73" i="15" s="1"/>
  <c r="BW73" i="15" s="1"/>
  <c r="BU217" i="15"/>
  <c r="BV217" i="15" s="1"/>
  <c r="BW217" i="15" s="1"/>
  <c r="BU2" i="15"/>
  <c r="BV2" i="15" s="1"/>
  <c r="BU42" i="15"/>
  <c r="BV42" i="15" s="1"/>
  <c r="BW42" i="15" s="1"/>
  <c r="BU66" i="15"/>
  <c r="BV66" i="15" s="1"/>
  <c r="BW66" i="15" s="1"/>
  <c r="BU86" i="15"/>
  <c r="BV86" i="15" s="1"/>
  <c r="BW86" i="15" s="1"/>
  <c r="BU130" i="15"/>
  <c r="BV130" i="15" s="1"/>
  <c r="BW130" i="15" s="1"/>
  <c r="BU150" i="15"/>
  <c r="BV150" i="15" s="1"/>
  <c r="BW150" i="15" s="1"/>
  <c r="BU170" i="15"/>
  <c r="BV170" i="15" s="1"/>
  <c r="BW170" i="15" s="1"/>
  <c r="BU206" i="15"/>
  <c r="BV206" i="15" s="1"/>
  <c r="BW206" i="15" s="1"/>
  <c r="BU11" i="15"/>
  <c r="BV11" i="15" s="1"/>
  <c r="BW11" i="15" s="1"/>
  <c r="BU27" i="15"/>
  <c r="BV27" i="15" s="1"/>
  <c r="BW27" i="15" s="1"/>
  <c r="BU59" i="15"/>
  <c r="BV59" i="15" s="1"/>
  <c r="BW59" i="15" s="1"/>
  <c r="BU91" i="15"/>
  <c r="BV91" i="15" s="1"/>
  <c r="BW91" i="15" s="1"/>
  <c r="BU123" i="15"/>
  <c r="BV123" i="15" s="1"/>
  <c r="BW123" i="15" s="1"/>
  <c r="BU139" i="15"/>
  <c r="BV139" i="15" s="1"/>
  <c r="BW139" i="15" s="1"/>
  <c r="BU171" i="15"/>
  <c r="BV171" i="15" s="1"/>
  <c r="BW171" i="15" s="1"/>
  <c r="BU203" i="15"/>
  <c r="BV203" i="15" s="1"/>
  <c r="BW203" i="15" s="1"/>
  <c r="BU219" i="15"/>
  <c r="BV219" i="15" s="1"/>
  <c r="BW219" i="15" s="1"/>
  <c r="BU24" i="15"/>
  <c r="BV24" i="15" s="1"/>
  <c r="BW24" i="15" s="1"/>
  <c r="BU56" i="15"/>
  <c r="BV56" i="15" s="1"/>
  <c r="BW56" i="15" s="1"/>
  <c r="BU88" i="15"/>
  <c r="BV88" i="15" s="1"/>
  <c r="BW88" i="15" s="1"/>
  <c r="BU120" i="15"/>
  <c r="BV120" i="15" s="1"/>
  <c r="BW120" i="15" s="1"/>
  <c r="BU152" i="15"/>
  <c r="BV152" i="15" s="1"/>
  <c r="BW152" i="15" s="1"/>
  <c r="BU184" i="15"/>
  <c r="BV184" i="15" s="1"/>
  <c r="BW184" i="15" s="1"/>
  <c r="BU216" i="15"/>
  <c r="BV216" i="15" s="1"/>
  <c r="BW216" i="15" s="1"/>
  <c r="BU93" i="15"/>
  <c r="BV93" i="15" s="1"/>
  <c r="BW93" i="15" s="1"/>
  <c r="BU221" i="15"/>
  <c r="BV221" i="15" s="1"/>
  <c r="BW221" i="15" s="1"/>
  <c r="BU65" i="15"/>
  <c r="BV65" i="15" s="1"/>
  <c r="BW65" i="15" s="1"/>
  <c r="BU193" i="15"/>
  <c r="BV193" i="15" s="1"/>
  <c r="BW193" i="15" s="1"/>
  <c r="BU85" i="15"/>
  <c r="BV85" i="15" s="1"/>
  <c r="BW85" i="15" s="1"/>
  <c r="BU213" i="15"/>
  <c r="BV213" i="15" s="1"/>
  <c r="BW213" i="15" s="1"/>
  <c r="BU153" i="15"/>
  <c r="BV153" i="15" s="1"/>
  <c r="BW153" i="15" s="1"/>
  <c r="BU70" i="15"/>
  <c r="BV70" i="15" s="1"/>
  <c r="BW70" i="15" s="1"/>
  <c r="BU154" i="15"/>
  <c r="BV154" i="15" s="1"/>
  <c r="BW154" i="15" s="1"/>
  <c r="BU226" i="15"/>
  <c r="BV226" i="15" s="1"/>
  <c r="BW226" i="15" s="1"/>
  <c r="BU63" i="15"/>
  <c r="BV63" i="15" s="1"/>
  <c r="BW63" i="15" s="1"/>
  <c r="BU127" i="15"/>
  <c r="BV127" i="15" s="1"/>
  <c r="BW127" i="15" s="1"/>
  <c r="BU191" i="15"/>
  <c r="BV191" i="15" s="1"/>
  <c r="BW191" i="15" s="1"/>
  <c r="BU28" i="15"/>
  <c r="BV28" i="15" s="1"/>
  <c r="BW28" i="15" s="1"/>
  <c r="BU92" i="15"/>
  <c r="BV92" i="15" s="1"/>
  <c r="BW92" i="15" s="1"/>
  <c r="BU156" i="15"/>
  <c r="BV156" i="15" s="1"/>
  <c r="BW156" i="15" s="1"/>
  <c r="BU220" i="15"/>
  <c r="BV220" i="15" s="1"/>
  <c r="BW220" i="15" s="1"/>
  <c r="BU17" i="15"/>
  <c r="BV17" i="15" s="1"/>
  <c r="BW17" i="15" s="1"/>
  <c r="BU37" i="15"/>
  <c r="BV37" i="15" s="1"/>
  <c r="BW37" i="15" s="1"/>
  <c r="BU57" i="15"/>
  <c r="BV57" i="15" s="1"/>
  <c r="BW57" i="15" s="1"/>
  <c r="BU114" i="15"/>
  <c r="BV114" i="15" s="1"/>
  <c r="BW114" i="15" s="1"/>
  <c r="BU95" i="15"/>
  <c r="BV95" i="15" s="1"/>
  <c r="BW95" i="15" s="1"/>
  <c r="BU60" i="15"/>
  <c r="BV60" i="15" s="1"/>
  <c r="BW60" i="15" s="1"/>
  <c r="BU109" i="15"/>
  <c r="BV109" i="15" s="1"/>
  <c r="BW109" i="15" s="1"/>
  <c r="BU165" i="15"/>
  <c r="BV165" i="15" s="1"/>
  <c r="BW165" i="15" s="1"/>
  <c r="BU210" i="15"/>
  <c r="BV210" i="15" s="1"/>
  <c r="BW210" i="15" s="1"/>
  <c r="BU111" i="15"/>
  <c r="BV111" i="15" s="1"/>
  <c r="BW111" i="15" s="1"/>
  <c r="BU12" i="15"/>
  <c r="BV12" i="15" s="1"/>
  <c r="BW12" i="15" s="1"/>
  <c r="BU204" i="15"/>
  <c r="BV204" i="15" s="1"/>
  <c r="BW204" i="15" s="1"/>
  <c r="BU41" i="15"/>
  <c r="BV41" i="15" s="1"/>
  <c r="BW41" i="15" s="1"/>
  <c r="BU6" i="15"/>
  <c r="BV6" i="15" s="1"/>
  <c r="BW6" i="15" s="1"/>
  <c r="BU90" i="15"/>
  <c r="BV90" i="15" s="1"/>
  <c r="BW90" i="15" s="1"/>
  <c r="BU178" i="15"/>
  <c r="BV178" i="15" s="1"/>
  <c r="BW178" i="15" s="1"/>
  <c r="BU15" i="15"/>
  <c r="BV15" i="15" s="1"/>
  <c r="BW15" i="15" s="1"/>
  <c r="BU79" i="15"/>
  <c r="BV79" i="15" s="1"/>
  <c r="BW79" i="15" s="1"/>
  <c r="BU143" i="15"/>
  <c r="BV143" i="15" s="1"/>
  <c r="BW143" i="15" s="1"/>
  <c r="BU207" i="15"/>
  <c r="BV207" i="15" s="1"/>
  <c r="BW207" i="15" s="1"/>
  <c r="BU44" i="15"/>
  <c r="BV44" i="15" s="1"/>
  <c r="BW44" i="15" s="1"/>
  <c r="BU108" i="15"/>
  <c r="BV108" i="15" s="1"/>
  <c r="BW108" i="15" s="1"/>
  <c r="BU172" i="15"/>
  <c r="BV172" i="15" s="1"/>
  <c r="BW172" i="15" s="1"/>
  <c r="BU45" i="15"/>
  <c r="BV45" i="15" s="1"/>
  <c r="BW45" i="15" s="1"/>
  <c r="BU81" i="15"/>
  <c r="BV81" i="15" s="1"/>
  <c r="BW81" i="15" s="1"/>
  <c r="BU101" i="15"/>
  <c r="BV101" i="15" s="1"/>
  <c r="BW101" i="15" s="1"/>
  <c r="BU9" i="15"/>
  <c r="BV9" i="15" s="1"/>
  <c r="BW9" i="15" s="1"/>
  <c r="BU194" i="15"/>
  <c r="BV194" i="15" s="1"/>
  <c r="BW194" i="15" s="1"/>
  <c r="BU223" i="15"/>
  <c r="BV223" i="15" s="1"/>
  <c r="BW223" i="15" s="1"/>
  <c r="BU188" i="15"/>
  <c r="BV188" i="15" s="1"/>
  <c r="BW188" i="15" s="1"/>
  <c r="BU201" i="15"/>
  <c r="BV201" i="15" s="1"/>
  <c r="BW201" i="15" s="1"/>
  <c r="BU50" i="15"/>
  <c r="BV50" i="15" s="1"/>
  <c r="BW50" i="15" s="1"/>
  <c r="BU47" i="15"/>
  <c r="BV47" i="15" s="1"/>
  <c r="BW47" i="15" s="1"/>
  <c r="BU76" i="15"/>
  <c r="BV76" i="15" s="1"/>
  <c r="BW76" i="15" s="1"/>
  <c r="BU173" i="15"/>
  <c r="BV173" i="15" s="1"/>
  <c r="BW173" i="15" s="1"/>
  <c r="BU26" i="15"/>
  <c r="BV26" i="15" s="1"/>
  <c r="BW26" i="15" s="1"/>
  <c r="BU31" i="15"/>
  <c r="BV31" i="15" s="1"/>
  <c r="BW31" i="15" s="1"/>
  <c r="BU159" i="15"/>
  <c r="BV159" i="15" s="1"/>
  <c r="BW159" i="15" s="1"/>
  <c r="BU124" i="15"/>
  <c r="BV124" i="15" s="1"/>
  <c r="BW124" i="15" s="1"/>
  <c r="BU145" i="15"/>
  <c r="BV145" i="15" s="1"/>
  <c r="BW145" i="15" s="1"/>
  <c r="BU134" i="15"/>
  <c r="BV134" i="15" s="1"/>
  <c r="BW134" i="15" s="1"/>
  <c r="BU175" i="15"/>
  <c r="BV175" i="15" s="1"/>
  <c r="BW175" i="15" s="1"/>
  <c r="BU140" i="15"/>
  <c r="BV140" i="15" s="1"/>
  <c r="BW140" i="15" s="1"/>
  <c r="BU209" i="15"/>
  <c r="BV209" i="15" s="1"/>
  <c r="BW209" i="15" s="1"/>
  <c r="BU25" i="15"/>
  <c r="BV25" i="15" s="1"/>
  <c r="BW25" i="15" s="1"/>
  <c r="BQ2" i="15"/>
  <c r="X12" i="4"/>
  <c r="BB2" i="15"/>
  <c r="S12" i="4"/>
  <c r="BE2" i="15"/>
  <c r="T12" i="4"/>
  <c r="AS2" i="15"/>
  <c r="P12" i="4"/>
  <c r="BT2" i="15"/>
  <c r="Y12" i="4"/>
  <c r="BK2" i="15"/>
  <c r="V12" i="4"/>
  <c r="AV2" i="15"/>
  <c r="Q12" i="4"/>
  <c r="AY2" i="15"/>
  <c r="R12" i="4"/>
  <c r="BH2" i="15"/>
  <c r="U12" i="4"/>
  <c r="BN2" i="15"/>
  <c r="W12" i="4"/>
  <c r="AP2" i="15"/>
  <c r="O12" i="4"/>
  <c r="C24" i="15"/>
  <c r="C212" i="15"/>
  <c r="C84" i="15"/>
  <c r="C192" i="15"/>
  <c r="C64" i="15"/>
  <c r="C156" i="15"/>
  <c r="C28" i="15"/>
  <c r="C203" i="15"/>
  <c r="C171" i="15"/>
  <c r="C139" i="15"/>
  <c r="C107" i="15"/>
  <c r="C75" i="15"/>
  <c r="C43" i="15"/>
  <c r="C11" i="15"/>
  <c r="C206" i="15"/>
  <c r="C174" i="15"/>
  <c r="C142" i="15"/>
  <c r="C110" i="15"/>
  <c r="C78" i="15"/>
  <c r="C46" i="15"/>
  <c r="C221" i="15"/>
  <c r="C189" i="15"/>
  <c r="C157" i="15"/>
  <c r="C125" i="15"/>
  <c r="C93" i="15"/>
  <c r="C61" i="15"/>
  <c r="C29" i="15"/>
  <c r="AM2" i="15"/>
  <c r="N12" i="4"/>
  <c r="C216" i="15"/>
  <c r="C72" i="15"/>
  <c r="C132" i="15"/>
  <c r="C4" i="15"/>
  <c r="C112" i="15"/>
  <c r="C204" i="15"/>
  <c r="C76" i="15"/>
  <c r="C215" i="15"/>
  <c r="C167" i="15"/>
  <c r="C135" i="15"/>
  <c r="C119" i="15"/>
  <c r="C71" i="15"/>
  <c r="C39" i="15"/>
  <c r="C7" i="15"/>
  <c r="C202" i="15"/>
  <c r="C186" i="15"/>
  <c r="C154" i="15"/>
  <c r="C122" i="15"/>
  <c r="C90" i="15"/>
  <c r="C58" i="15"/>
  <c r="C26" i="15"/>
  <c r="C217" i="15"/>
  <c r="C201" i="15"/>
  <c r="C169" i="15"/>
  <c r="C137" i="15"/>
  <c r="C105" i="15"/>
  <c r="C73" i="15"/>
  <c r="C41" i="15"/>
  <c r="C9" i="15"/>
  <c r="C104" i="15"/>
  <c r="C88" i="15"/>
  <c r="C200" i="15"/>
  <c r="C2" i="15"/>
  <c r="B12" i="4"/>
  <c r="C164" i="15"/>
  <c r="C100" i="15"/>
  <c r="C36" i="15"/>
  <c r="C208" i="15"/>
  <c r="C144" i="15"/>
  <c r="C80" i="15"/>
  <c r="C16" i="15"/>
  <c r="C172" i="15"/>
  <c r="C108" i="15"/>
  <c r="C44" i="15"/>
  <c r="C223" i="15"/>
  <c r="C207" i="15"/>
  <c r="C191" i="15"/>
  <c r="C175" i="15"/>
  <c r="C159" i="15"/>
  <c r="C143" i="15"/>
  <c r="C127" i="15"/>
  <c r="C111" i="15"/>
  <c r="C95" i="15"/>
  <c r="C79" i="15"/>
  <c r="C63" i="15"/>
  <c r="C47" i="15"/>
  <c r="C31" i="15"/>
  <c r="C15" i="15"/>
  <c r="C226" i="15"/>
  <c r="C210" i="15"/>
  <c r="C194" i="15"/>
  <c r="C178" i="15"/>
  <c r="C162" i="15"/>
  <c r="C146" i="15"/>
  <c r="C130" i="15"/>
  <c r="C114" i="15"/>
  <c r="C98" i="15"/>
  <c r="C82" i="15"/>
  <c r="C66" i="15"/>
  <c r="C50" i="15"/>
  <c r="C34" i="15"/>
  <c r="C18" i="15"/>
  <c r="C225" i="15"/>
  <c r="C209" i="15"/>
  <c r="C193" i="15"/>
  <c r="C177" i="15"/>
  <c r="C161" i="15"/>
  <c r="C145" i="15"/>
  <c r="C129" i="15"/>
  <c r="C113" i="15"/>
  <c r="C97" i="15"/>
  <c r="C81" i="15"/>
  <c r="C65" i="15"/>
  <c r="C49" i="15"/>
  <c r="C33" i="15"/>
  <c r="C17" i="15"/>
  <c r="M13" i="4"/>
  <c r="M14" i="4" s="1"/>
  <c r="M15" i="4" s="1"/>
  <c r="C40" i="15"/>
  <c r="C136" i="15"/>
  <c r="C148" i="15"/>
  <c r="C20" i="15"/>
  <c r="C128" i="15"/>
  <c r="C220" i="15"/>
  <c r="C92" i="15"/>
  <c r="C219" i="15"/>
  <c r="C187" i="15"/>
  <c r="C155" i="15"/>
  <c r="C123" i="15"/>
  <c r="C91" i="15"/>
  <c r="C59" i="15"/>
  <c r="C27" i="15"/>
  <c r="C222" i="15"/>
  <c r="C190" i="15"/>
  <c r="C158" i="15"/>
  <c r="C126" i="15"/>
  <c r="C94" i="15"/>
  <c r="C62" i="15"/>
  <c r="C30" i="15"/>
  <c r="C14" i="15"/>
  <c r="C205" i="15"/>
  <c r="C173" i="15"/>
  <c r="C141" i="15"/>
  <c r="C109" i="15"/>
  <c r="C77" i="15"/>
  <c r="C45" i="15"/>
  <c r="C13" i="15"/>
  <c r="C184" i="15"/>
  <c r="C120" i="15"/>
  <c r="C196" i="15"/>
  <c r="C68" i="15"/>
  <c r="C176" i="15"/>
  <c r="C48" i="15"/>
  <c r="C140" i="15"/>
  <c r="C12" i="15"/>
  <c r="C199" i="15"/>
  <c r="C183" i="15"/>
  <c r="C151" i="15"/>
  <c r="C103" i="15"/>
  <c r="C87" i="15"/>
  <c r="C55" i="15"/>
  <c r="C23" i="15"/>
  <c r="C218" i="15"/>
  <c r="C170" i="15"/>
  <c r="C138" i="15"/>
  <c r="C106" i="15"/>
  <c r="C74" i="15"/>
  <c r="C42" i="15"/>
  <c r="C10" i="15"/>
  <c r="C185" i="15"/>
  <c r="C153" i="15"/>
  <c r="C121" i="15"/>
  <c r="C89" i="15"/>
  <c r="C57" i="15"/>
  <c r="C25" i="15"/>
  <c r="C168" i="15"/>
  <c r="C152" i="15"/>
  <c r="C56" i="15"/>
  <c r="C8" i="15"/>
  <c r="C180" i="15"/>
  <c r="C116" i="15"/>
  <c r="C52" i="15"/>
  <c r="C224" i="15"/>
  <c r="C160" i="15"/>
  <c r="C96" i="15"/>
  <c r="C32" i="15"/>
  <c r="C188" i="15"/>
  <c r="C124" i="15"/>
  <c r="C60" i="15"/>
  <c r="C227" i="15"/>
  <c r="C211" i="15"/>
  <c r="C195" i="15"/>
  <c r="C179" i="15"/>
  <c r="C163" i="15"/>
  <c r="C147" i="15"/>
  <c r="C131" i="15"/>
  <c r="C115" i="15"/>
  <c r="C99" i="15"/>
  <c r="C83" i="15"/>
  <c r="C67" i="15"/>
  <c r="C51" i="15"/>
  <c r="C35" i="15"/>
  <c r="C19" i="15"/>
  <c r="C3" i="15"/>
  <c r="C214" i="15"/>
  <c r="C198" i="15"/>
  <c r="C182" i="15"/>
  <c r="C166" i="15"/>
  <c r="C150" i="15"/>
  <c r="C134" i="15"/>
  <c r="C118" i="15"/>
  <c r="C102" i="15"/>
  <c r="C86" i="15"/>
  <c r="C70" i="15"/>
  <c r="C54" i="15"/>
  <c r="C38" i="15"/>
  <c r="C22" i="15"/>
  <c r="C6" i="15"/>
  <c r="C213" i="15"/>
  <c r="C197" i="15"/>
  <c r="C181" i="15"/>
  <c r="C165" i="15"/>
  <c r="C149" i="15"/>
  <c r="C133" i="15"/>
  <c r="C117" i="15"/>
  <c r="C101" i="15"/>
  <c r="C85" i="15"/>
  <c r="C69" i="15"/>
  <c r="C53" i="15"/>
  <c r="C37" i="15"/>
  <c r="C21" i="15"/>
  <c r="C5" i="15"/>
  <c r="N38" i="4" l="1"/>
  <c r="L38" i="4"/>
  <c r="X32" i="4"/>
  <c r="X33" i="4" s="1"/>
  <c r="X34" i="4" s="1"/>
  <c r="J14" i="4"/>
  <c r="J15" i="4" s="1"/>
  <c r="J21" i="4" s="1"/>
  <c r="C13" i="4"/>
  <c r="C14" i="4" s="1"/>
  <c r="C15" i="4" s="1"/>
  <c r="J40" i="4"/>
  <c r="J39" i="4"/>
  <c r="BW2" i="15"/>
  <c r="J35" i="4"/>
  <c r="L20" i="4"/>
  <c r="L21" i="4"/>
  <c r="O38" i="4"/>
  <c r="O39" i="4"/>
  <c r="O40" i="4"/>
  <c r="D21" i="4"/>
  <c r="D20" i="4"/>
  <c r="X40" i="4"/>
  <c r="X39" i="4"/>
  <c r="E39" i="4"/>
  <c r="E40" i="4"/>
  <c r="K20" i="4"/>
  <c r="K21" i="4"/>
  <c r="Q39" i="4"/>
  <c r="Q40" i="4"/>
  <c r="F21" i="4"/>
  <c r="F20" i="4"/>
  <c r="G16" i="4"/>
  <c r="G20" i="4"/>
  <c r="G21" i="4"/>
  <c r="F35" i="4"/>
  <c r="F39" i="4"/>
  <c r="F40" i="4"/>
  <c r="Y40" i="4"/>
  <c r="Y39" i="4"/>
  <c r="M20" i="4"/>
  <c r="M21" i="4"/>
  <c r="J20" i="4"/>
  <c r="Y35" i="4"/>
  <c r="F38" i="4"/>
  <c r="V39" i="4"/>
  <c r="V40" i="4"/>
  <c r="C21" i="4"/>
  <c r="C20" i="4"/>
  <c r="H20" i="4"/>
  <c r="H21" i="4"/>
  <c r="H39" i="4"/>
  <c r="H40" i="4"/>
  <c r="G40" i="4"/>
  <c r="G39" i="4"/>
  <c r="I39" i="4"/>
  <c r="I40" i="4"/>
  <c r="U40" i="4"/>
  <c r="U39" i="4"/>
  <c r="M40" i="4"/>
  <c r="M39" i="4"/>
  <c r="S40" i="4"/>
  <c r="S39" i="4"/>
  <c r="D40" i="4"/>
  <c r="D39" i="4"/>
  <c r="P39" i="4"/>
  <c r="P40" i="4"/>
  <c r="W40" i="4"/>
  <c r="W39" i="4"/>
  <c r="C35" i="4"/>
  <c r="C40" i="4"/>
  <c r="C39" i="4"/>
  <c r="R35" i="4"/>
  <c r="R39" i="4"/>
  <c r="R40" i="4"/>
  <c r="K35" i="4"/>
  <c r="K39" i="4"/>
  <c r="K40" i="4"/>
  <c r="T39" i="4"/>
  <c r="T40" i="4"/>
  <c r="L39" i="4"/>
  <c r="L40" i="4"/>
  <c r="I20" i="4"/>
  <c r="I21" i="4"/>
  <c r="N40" i="4"/>
  <c r="N39" i="4"/>
  <c r="E20" i="4"/>
  <c r="E21" i="4"/>
  <c r="R38" i="4"/>
  <c r="C38" i="4"/>
  <c r="G19" i="4"/>
  <c r="M16" i="4"/>
  <c r="M19" i="4"/>
  <c r="W35" i="4"/>
  <c r="W38" i="4"/>
  <c r="L16" i="4"/>
  <c r="L19" i="4"/>
  <c r="V35" i="4"/>
  <c r="V38" i="4"/>
  <c r="J19" i="4"/>
  <c r="B31" i="4"/>
  <c r="U13" i="4"/>
  <c r="U14" i="4" s="1"/>
  <c r="U15" i="4" s="1"/>
  <c r="W13" i="4"/>
  <c r="W14" i="4" s="1"/>
  <c r="W15" i="4" s="1"/>
  <c r="V13" i="4"/>
  <c r="V14" i="4" s="1"/>
  <c r="V15" i="4" s="1"/>
  <c r="T13" i="4"/>
  <c r="T14" i="4" s="1"/>
  <c r="T15" i="4" s="1"/>
  <c r="S13" i="4"/>
  <c r="S14" i="4" s="1"/>
  <c r="S15" i="4" s="1"/>
  <c r="Q13" i="4"/>
  <c r="Q14" i="4" s="1"/>
  <c r="Q15" i="4" s="1"/>
  <c r="P13" i="4"/>
  <c r="P14" i="4" s="1"/>
  <c r="P15" i="4" s="1"/>
  <c r="Y13" i="4"/>
  <c r="Y14" i="4" s="1"/>
  <c r="Y15" i="4" s="1"/>
  <c r="R13" i="4"/>
  <c r="R14" i="4" s="1"/>
  <c r="R15" i="4" s="1"/>
  <c r="X13" i="4"/>
  <c r="X14" i="4" s="1"/>
  <c r="X15" i="4" s="1"/>
  <c r="N13" i="4"/>
  <c r="N14" i="4" s="1"/>
  <c r="N15" i="4" s="1"/>
  <c r="B13" i="4"/>
  <c r="O13" i="4"/>
  <c r="O14" i="4" s="1"/>
  <c r="O15" i="4" s="1"/>
  <c r="J16" i="4" l="1"/>
  <c r="X38" i="4"/>
  <c r="X35" i="4"/>
  <c r="B32" i="4"/>
  <c r="B33" i="4" s="1"/>
  <c r="B34" i="4" s="1"/>
  <c r="B35" i="4" s="1"/>
  <c r="C19" i="4"/>
  <c r="C16" i="4"/>
  <c r="V20" i="4"/>
  <c r="V21" i="4"/>
  <c r="Q21" i="4"/>
  <c r="Q20" i="4"/>
  <c r="W21" i="4"/>
  <c r="W20" i="4"/>
  <c r="P20" i="4"/>
  <c r="P21" i="4"/>
  <c r="O20" i="4"/>
  <c r="O21" i="4"/>
  <c r="R20" i="4"/>
  <c r="R21" i="4"/>
  <c r="S20" i="4"/>
  <c r="S21" i="4"/>
  <c r="U20" i="4"/>
  <c r="U21" i="4"/>
  <c r="N21" i="4"/>
  <c r="N20" i="4"/>
  <c r="X21" i="4"/>
  <c r="X20" i="4"/>
  <c r="Y20" i="4"/>
  <c r="Y21" i="4"/>
  <c r="T20" i="4"/>
  <c r="T21" i="4"/>
  <c r="S16" i="4"/>
  <c r="S19" i="4"/>
  <c r="Y16" i="4"/>
  <c r="Y19" i="4"/>
  <c r="T16" i="4"/>
  <c r="T19" i="4"/>
  <c r="R16" i="4"/>
  <c r="R19" i="4"/>
  <c r="N16" i="4"/>
  <c r="N19" i="4"/>
  <c r="P16" i="4"/>
  <c r="P19" i="4"/>
  <c r="V16" i="4"/>
  <c r="V19" i="4"/>
  <c r="O16" i="4"/>
  <c r="O19" i="4"/>
  <c r="U16" i="4"/>
  <c r="U19" i="4"/>
  <c r="X16" i="4"/>
  <c r="X19" i="4"/>
  <c r="Q16" i="4"/>
  <c r="Q19" i="4"/>
  <c r="W16" i="4"/>
  <c r="W19" i="4"/>
  <c r="B14" i="4"/>
  <c r="B15" i="4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C4" i="10"/>
  <c r="C6" i="10" s="1"/>
  <c r="D4" i="10"/>
  <c r="D6" i="10" s="1"/>
  <c r="E4" i="10"/>
  <c r="E6" i="10" s="1"/>
  <c r="F4" i="10"/>
  <c r="F6" i="10" s="1"/>
  <c r="G4" i="10"/>
  <c r="G6" i="10" s="1"/>
  <c r="H4" i="10"/>
  <c r="H6" i="10" s="1"/>
  <c r="I4" i="10"/>
  <c r="I6" i="10" s="1"/>
  <c r="J4" i="10"/>
  <c r="J6" i="10" s="1"/>
  <c r="K4" i="10"/>
  <c r="K6" i="10" s="1"/>
  <c r="L4" i="10"/>
  <c r="L6" i="10" s="1"/>
  <c r="M4" i="10"/>
  <c r="M6" i="10" s="1"/>
  <c r="N4" i="10"/>
  <c r="N6" i="10" s="1"/>
  <c r="O4" i="10"/>
  <c r="O6" i="10" s="1"/>
  <c r="P4" i="10"/>
  <c r="P6" i="10" s="1"/>
  <c r="Q4" i="10"/>
  <c r="Q6" i="10" s="1"/>
  <c r="R4" i="10"/>
  <c r="R6" i="10" s="1"/>
  <c r="S4" i="10"/>
  <c r="S6" i="10" s="1"/>
  <c r="T4" i="10"/>
  <c r="T6" i="10" s="1"/>
  <c r="U4" i="10"/>
  <c r="U6" i="10" s="1"/>
  <c r="V4" i="10"/>
  <c r="V6" i="10" s="1"/>
  <c r="W4" i="10"/>
  <c r="W6" i="10" s="1"/>
  <c r="X4" i="10"/>
  <c r="X6" i="10" s="1"/>
  <c r="Y4" i="10"/>
  <c r="Y6" i="10" s="1"/>
  <c r="Z4" i="10"/>
  <c r="Z6" i="10" s="1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B7" i="10"/>
  <c r="B5" i="10"/>
  <c r="B4" i="10"/>
  <c r="B6" i="10" s="1"/>
  <c r="B3" i="10"/>
  <c r="B2" i="10"/>
  <c r="Y9" i="10" l="1"/>
  <c r="U9" i="10"/>
  <c r="Q9" i="10"/>
  <c r="M10" i="10"/>
  <c r="I15" i="10"/>
  <c r="I16" i="10" s="1"/>
  <c r="E10" i="10"/>
  <c r="X10" i="10"/>
  <c r="X11" i="10" s="1"/>
  <c r="T10" i="10"/>
  <c r="P10" i="10"/>
  <c r="L9" i="10"/>
  <c r="H9" i="10"/>
  <c r="D9" i="10"/>
  <c r="I10" i="10"/>
  <c r="P15" i="10"/>
  <c r="P16" i="10" s="1"/>
  <c r="D15" i="10"/>
  <c r="D16" i="10" s="1"/>
  <c r="W9" i="10"/>
  <c r="S9" i="10"/>
  <c r="K15" i="10"/>
  <c r="K16" i="10" s="1"/>
  <c r="G15" i="10"/>
  <c r="G16" i="10" s="1"/>
  <c r="C15" i="10"/>
  <c r="C16" i="10" s="1"/>
  <c r="H10" i="10"/>
  <c r="X9" i="10"/>
  <c r="P9" i="10"/>
  <c r="M15" i="10"/>
  <c r="M16" i="10" s="1"/>
  <c r="H15" i="10"/>
  <c r="H16" i="10" s="1"/>
  <c r="Z9" i="10"/>
  <c r="V9" i="10"/>
  <c r="R9" i="10"/>
  <c r="J10" i="10"/>
  <c r="F10" i="10"/>
  <c r="X15" i="10"/>
  <c r="X16" i="10" s="1"/>
  <c r="L15" i="10"/>
  <c r="L16" i="10" s="1"/>
  <c r="F15" i="10"/>
  <c r="F16" i="10" s="1"/>
  <c r="Y15" i="10"/>
  <c r="Y16" i="10" s="1"/>
  <c r="U15" i="10"/>
  <c r="U16" i="10" s="1"/>
  <c r="Q15" i="10"/>
  <c r="Q16" i="10" s="1"/>
  <c r="M9" i="10"/>
  <c r="I9" i="10"/>
  <c r="E9" i="10"/>
  <c r="E11" i="10" s="1"/>
  <c r="L10" i="10"/>
  <c r="L11" i="10" s="1"/>
  <c r="D10" i="10"/>
  <c r="T9" i="10"/>
  <c r="T15" i="10"/>
  <c r="T16" i="10" s="1"/>
  <c r="J15" i="10"/>
  <c r="J16" i="10" s="1"/>
  <c r="E15" i="10"/>
  <c r="E16" i="10" s="1"/>
  <c r="B40" i="4"/>
  <c r="B38" i="4"/>
  <c r="B39" i="4"/>
  <c r="B21" i="4"/>
  <c r="B20" i="4"/>
  <c r="B19" i="4"/>
  <c r="B16" i="4"/>
  <c r="B15" i="10"/>
  <c r="B16" i="10" s="1"/>
  <c r="O15" i="10"/>
  <c r="O16" i="10" s="1"/>
  <c r="W10" i="10"/>
  <c r="S10" i="10"/>
  <c r="K9" i="10"/>
  <c r="G9" i="10"/>
  <c r="C9" i="10"/>
  <c r="B9" i="10"/>
  <c r="Z10" i="10"/>
  <c r="R10" i="10"/>
  <c r="J9" i="10"/>
  <c r="S15" i="10"/>
  <c r="S16" i="10" s="1"/>
  <c r="V10" i="10"/>
  <c r="F9" i="10"/>
  <c r="W15" i="10"/>
  <c r="W16" i="10" s="1"/>
  <c r="B10" i="10"/>
  <c r="B11" i="10" s="1"/>
  <c r="Y10" i="10"/>
  <c r="Y11" i="10" s="1"/>
  <c r="U10" i="10"/>
  <c r="U11" i="10" s="1"/>
  <c r="Q10" i="10"/>
  <c r="K10" i="10"/>
  <c r="G10" i="10"/>
  <c r="C10" i="10"/>
  <c r="Z15" i="10"/>
  <c r="Z16" i="10" s="1"/>
  <c r="V15" i="10"/>
  <c r="V16" i="10" s="1"/>
  <c r="R15" i="10"/>
  <c r="R16" i="10" s="1"/>
  <c r="N9" i="10"/>
  <c r="N15" i="10"/>
  <c r="N16" i="10" s="1"/>
  <c r="O9" i="10"/>
  <c r="O10" i="10"/>
  <c r="N10" i="10"/>
  <c r="N11" i="10" s="1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K11" i="10" l="1"/>
  <c r="S11" i="10"/>
  <c r="Q11" i="10"/>
  <c r="W11" i="10"/>
  <c r="R11" i="10"/>
  <c r="O11" i="10"/>
  <c r="G11" i="10"/>
  <c r="V11" i="10"/>
  <c r="Z11" i="10"/>
  <c r="D11" i="10"/>
  <c r="M11" i="10"/>
  <c r="T11" i="10"/>
  <c r="C11" i="10"/>
  <c r="F11" i="10"/>
  <c r="J11" i="10"/>
  <c r="H11" i="10"/>
  <c r="I11" i="10"/>
  <c r="P11" i="10"/>
</calcChain>
</file>

<file path=xl/sharedStrings.xml><?xml version="1.0" encoding="utf-8"?>
<sst xmlns="http://schemas.openxmlformats.org/spreadsheetml/2006/main" count="944" uniqueCount="238">
  <si>
    <t>Date</t>
  </si>
  <si>
    <t>Weight (Pounds)</t>
  </si>
  <si>
    <t>Waist (Inches)</t>
  </si>
  <si>
    <t>Neck (Inches)</t>
  </si>
  <si>
    <t>Morning Body Temp</t>
  </si>
  <si>
    <t>Morning Systolic Pressure</t>
  </si>
  <si>
    <t>Morning Diastolic Pressure</t>
  </si>
  <si>
    <t>Morning Pulse</t>
  </si>
  <si>
    <t>Night Body Temp</t>
  </si>
  <si>
    <t>Night Systolic Pressure</t>
  </si>
  <si>
    <t>Night Diastolic Pressure</t>
  </si>
  <si>
    <t>Night Pulse</t>
  </si>
  <si>
    <t>Sleep</t>
  </si>
  <si>
    <t>BMI</t>
  </si>
  <si>
    <t>CBF</t>
  </si>
  <si>
    <t>Gym</t>
  </si>
  <si>
    <t>Cardio</t>
  </si>
  <si>
    <t>Calories</t>
  </si>
  <si>
    <t>Carbs</t>
  </si>
  <si>
    <t xml:space="preserve">Fat </t>
  </si>
  <si>
    <t>Protein</t>
  </si>
  <si>
    <t>Fiber</t>
  </si>
  <si>
    <t>Sugar</t>
  </si>
  <si>
    <t>Servings</t>
  </si>
  <si>
    <t>Daily Water Intake (liters)</t>
  </si>
  <si>
    <t>Fat Calories</t>
  </si>
  <si>
    <t>Yes</t>
  </si>
  <si>
    <t>No</t>
  </si>
  <si>
    <t>Weight</t>
  </si>
  <si>
    <t>Waist</t>
  </si>
  <si>
    <t>Neck</t>
  </si>
  <si>
    <t>Water</t>
  </si>
  <si>
    <t>Mean:</t>
  </si>
  <si>
    <t>Variance:</t>
  </si>
  <si>
    <t>Standard Dev</t>
  </si>
  <si>
    <t>Range</t>
  </si>
  <si>
    <t>Sample Standard Deviation</t>
  </si>
  <si>
    <t>mean</t>
  </si>
  <si>
    <t>Mode</t>
  </si>
  <si>
    <t>Confidence Interval +</t>
  </si>
  <si>
    <t>Confidence Interval -</t>
  </si>
  <si>
    <t>CI Range</t>
  </si>
  <si>
    <t>HO</t>
  </si>
  <si>
    <t>HA</t>
  </si>
  <si>
    <t>Mean is Actually the Mode</t>
  </si>
  <si>
    <t>The Mean is not The Mode</t>
  </si>
  <si>
    <t>Z</t>
  </si>
  <si>
    <t>Answer</t>
  </si>
  <si>
    <t>SSXY</t>
  </si>
  <si>
    <t>SSXX</t>
  </si>
  <si>
    <t>SumXY</t>
  </si>
  <si>
    <t>Weight v Waist</t>
  </si>
  <si>
    <t>Weight^2</t>
  </si>
  <si>
    <t>Waist^2</t>
  </si>
  <si>
    <t>Neck^2</t>
  </si>
  <si>
    <t>Morning Temp^2</t>
  </si>
  <si>
    <t>Morning Sys^2</t>
  </si>
  <si>
    <t>Morning Dia^2</t>
  </si>
  <si>
    <t>Morning Pulse^2</t>
  </si>
  <si>
    <t>Night Temp^2</t>
  </si>
  <si>
    <t>Night Sys^2</t>
  </si>
  <si>
    <t>Night Dia^2</t>
  </si>
  <si>
    <t>Night Pulse^2</t>
  </si>
  <si>
    <t>Sleep^2</t>
  </si>
  <si>
    <t>BMI^2</t>
  </si>
  <si>
    <t>CBF^2</t>
  </si>
  <si>
    <t>Gym^2</t>
  </si>
  <si>
    <t>Cardio^2</t>
  </si>
  <si>
    <t>Calories^2</t>
  </si>
  <si>
    <t>Carbs^2</t>
  </si>
  <si>
    <t>Fat^2</t>
  </si>
  <si>
    <t>Protein^2</t>
  </si>
  <si>
    <t>Fiber^2</t>
  </si>
  <si>
    <t>Sugar^2</t>
  </si>
  <si>
    <t>Servings^2</t>
  </si>
  <si>
    <t>Water^2</t>
  </si>
  <si>
    <t>Fat Cal^2</t>
  </si>
  <si>
    <t>Weight v Neck</t>
  </si>
  <si>
    <t>Weight v Morning Temp</t>
  </si>
  <si>
    <t>Weight v Morning Sys</t>
  </si>
  <si>
    <t>Weight v Morning Dia</t>
  </si>
  <si>
    <t>Weight v Morning Pulse</t>
  </si>
  <si>
    <t>Weight v Night Temp</t>
  </si>
  <si>
    <t>Weight v Night Sys</t>
  </si>
  <si>
    <t>Weight v Night Dia</t>
  </si>
  <si>
    <t>Weight v Night Pulse</t>
  </si>
  <si>
    <t>Weight v Sleep</t>
  </si>
  <si>
    <t>Weight v BMI</t>
  </si>
  <si>
    <t>Weight v CBF</t>
  </si>
  <si>
    <t>Weight v Gym</t>
  </si>
  <si>
    <t>Weight v Cardio</t>
  </si>
  <si>
    <t>Weight v Calories</t>
  </si>
  <si>
    <t>Weight v Carbs</t>
  </si>
  <si>
    <t>Weight v Fat</t>
  </si>
  <si>
    <t>Weight v Protein</t>
  </si>
  <si>
    <t>Weight v Fiber</t>
  </si>
  <si>
    <t>Weight v Sugar</t>
  </si>
  <si>
    <t>Weight v Servings</t>
  </si>
  <si>
    <t>Weight v Water</t>
  </si>
  <si>
    <t>Weight v Fat Calories</t>
  </si>
  <si>
    <t>Waist v Neck</t>
  </si>
  <si>
    <t>Waist v Morning Temp</t>
  </si>
  <si>
    <t>Waist v Morning Sys</t>
  </si>
  <si>
    <t>Waist v Morning Dia</t>
  </si>
  <si>
    <t>Waist v Morning Pulse</t>
  </si>
  <si>
    <t>Waist v Night Temp</t>
  </si>
  <si>
    <t>Waist v  Night Sys</t>
  </si>
  <si>
    <t>Waist v Night Dia</t>
  </si>
  <si>
    <t>Waist v Night Pulse</t>
  </si>
  <si>
    <t>Waist v  Sleep</t>
  </si>
  <si>
    <t>Waist v BMI</t>
  </si>
  <si>
    <t>Waist v  CBF</t>
  </si>
  <si>
    <t>Waist v  Gym</t>
  </si>
  <si>
    <t>Waist v Cardio</t>
  </si>
  <si>
    <t>Waist v Calories</t>
  </si>
  <si>
    <t>Waist v Carbs</t>
  </si>
  <si>
    <t>Waist v Fiber</t>
  </si>
  <si>
    <t>Waist v Protein</t>
  </si>
  <si>
    <t>Waist v Fat</t>
  </si>
  <si>
    <t>Waist v Sugar</t>
  </si>
  <si>
    <t>Waist v Servings</t>
  </si>
  <si>
    <t>Waist v Water</t>
  </si>
  <si>
    <t>Waist v Fat Calories</t>
  </si>
  <si>
    <t>SUMXY</t>
  </si>
  <si>
    <t>SUMX^2</t>
  </si>
  <si>
    <t>B1</t>
  </si>
  <si>
    <t>B0</t>
  </si>
  <si>
    <t>Waist v Weight</t>
  </si>
  <si>
    <t>Line</t>
  </si>
  <si>
    <t>R^2</t>
  </si>
  <si>
    <t>SE</t>
  </si>
  <si>
    <t>SSE</t>
  </si>
  <si>
    <t>S^2</t>
  </si>
  <si>
    <t>S</t>
  </si>
  <si>
    <t>CV</t>
  </si>
  <si>
    <t>Weight v Waist Res</t>
  </si>
  <si>
    <t>WW Res Squared</t>
  </si>
  <si>
    <t>WN Res</t>
  </si>
  <si>
    <t>WN Res Squared</t>
  </si>
  <si>
    <t>WMT Res</t>
  </si>
  <si>
    <t>WMT Res Squared</t>
  </si>
  <si>
    <t>WMS Res</t>
  </si>
  <si>
    <t>WMS Res Squared</t>
  </si>
  <si>
    <t>WMD Res</t>
  </si>
  <si>
    <t>WMD Res Squared</t>
  </si>
  <si>
    <t>WMP Res</t>
  </si>
  <si>
    <t>WMP Res Squared</t>
  </si>
  <si>
    <t>WNT Res</t>
  </si>
  <si>
    <t>WNT Res Squared</t>
  </si>
  <si>
    <t>WNS Res</t>
  </si>
  <si>
    <t>WNS Res Squared</t>
  </si>
  <si>
    <t>WND Res</t>
  </si>
  <si>
    <t>WND Res Squared</t>
  </si>
  <si>
    <t xml:space="preserve">WNP Res </t>
  </si>
  <si>
    <t>WNP Res Squared</t>
  </si>
  <si>
    <t>WS Res</t>
  </si>
  <si>
    <t>WS Res Squared</t>
  </si>
  <si>
    <t>WBMI Res</t>
  </si>
  <si>
    <t>WBMI Squared</t>
  </si>
  <si>
    <t>WCBF Res</t>
  </si>
  <si>
    <t>WCBF Res Squared</t>
  </si>
  <si>
    <t>WG Res</t>
  </si>
  <si>
    <t>WG Res Squared</t>
  </si>
  <si>
    <t>WC Res</t>
  </si>
  <si>
    <t>WC Res Squared</t>
  </si>
  <si>
    <t>WCAL Res</t>
  </si>
  <si>
    <t>WCAL Res Squared</t>
  </si>
  <si>
    <t>Wcarb Res</t>
  </si>
  <si>
    <t>Wcarb Res Squared</t>
  </si>
  <si>
    <t>WF Res</t>
  </si>
  <si>
    <t>WF Res Squared</t>
  </si>
  <si>
    <t>WP Res</t>
  </si>
  <si>
    <t>WP Res Squared</t>
  </si>
  <si>
    <t>Wfib Res</t>
  </si>
  <si>
    <t>Wfib Res Squared</t>
  </si>
  <si>
    <t>Wsugar Res</t>
  </si>
  <si>
    <t>Wsugar Res Squared</t>
  </si>
  <si>
    <t>Wserv Res</t>
  </si>
  <si>
    <t>Wserv Res Squared</t>
  </si>
  <si>
    <t>Wwater Res</t>
  </si>
  <si>
    <t>Wwater Res Squared</t>
  </si>
  <si>
    <t>WFC Res</t>
  </si>
  <si>
    <t>WFC Res Squared</t>
  </si>
  <si>
    <t>WaistW Res</t>
  </si>
  <si>
    <t>WaistW Res Squared</t>
  </si>
  <si>
    <t>WaistN Res</t>
  </si>
  <si>
    <t>WaistN Res Squared</t>
  </si>
  <si>
    <t>WaistMT Res</t>
  </si>
  <si>
    <t>Waist MT Res Squared</t>
  </si>
  <si>
    <t>WaistMS Res</t>
  </si>
  <si>
    <t>WaistMS Res Squared</t>
  </si>
  <si>
    <t>WaistMD Res</t>
  </si>
  <si>
    <t>WaistMD Res Squared</t>
  </si>
  <si>
    <t>WaistMP Res</t>
  </si>
  <si>
    <t>WaistMP Res Squared</t>
  </si>
  <si>
    <t>WaistNT Res</t>
  </si>
  <si>
    <t>WaistNT Res Squared</t>
  </si>
  <si>
    <t>WaistNS Res</t>
  </si>
  <si>
    <t>WaistNS Res Squared</t>
  </si>
  <si>
    <t>WaistND Res</t>
  </si>
  <si>
    <t>WaistND Res Squared</t>
  </si>
  <si>
    <t>WaistNP Res</t>
  </si>
  <si>
    <t>WaistNP Res Squared</t>
  </si>
  <si>
    <t>WaistS Res</t>
  </si>
  <si>
    <t>WaistS Res Squared</t>
  </si>
  <si>
    <t>WaistBMI Res</t>
  </si>
  <si>
    <t>WaistBMI Res Squared</t>
  </si>
  <si>
    <t>WaistCBF Res</t>
  </si>
  <si>
    <t>WaistCBF Res Squared</t>
  </si>
  <si>
    <t>WaistGYM Res</t>
  </si>
  <si>
    <t>WaistGYM Res Squared</t>
  </si>
  <si>
    <t>WaistC Res</t>
  </si>
  <si>
    <t>WaistC Res Squared</t>
  </si>
  <si>
    <t>WaistCal Res</t>
  </si>
  <si>
    <t>WaistCal Res Squared</t>
  </si>
  <si>
    <t>WaistCarb Res</t>
  </si>
  <si>
    <t>WaistCarb Res Squared</t>
  </si>
  <si>
    <t>WaistF Res</t>
  </si>
  <si>
    <t>WaistF Res Squared</t>
  </si>
  <si>
    <t>WaistP Res</t>
  </si>
  <si>
    <t>WaistP Res Squared</t>
  </si>
  <si>
    <t>WaistSugar Res</t>
  </si>
  <si>
    <t>WaistSugar Res Squared</t>
  </si>
  <si>
    <t>WaistServ Res</t>
  </si>
  <si>
    <t>WaistServ Res Squared</t>
  </si>
  <si>
    <t>WaistWat Res</t>
  </si>
  <si>
    <t>WaistWat Res Squared</t>
  </si>
  <si>
    <t>WaistFatCal Res</t>
  </si>
  <si>
    <t>WaistFatCal Res Squared</t>
  </si>
  <si>
    <t>R</t>
  </si>
  <si>
    <t>WaistFib Res</t>
  </si>
  <si>
    <t>WaistFib Res Squared</t>
  </si>
  <si>
    <t>T</t>
  </si>
  <si>
    <t>B1 CI Upper</t>
  </si>
  <si>
    <t>B1 CI Lower</t>
  </si>
  <si>
    <t>T Alpha</t>
  </si>
  <si>
    <t>P-Value</t>
  </si>
  <si>
    <t>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</si>
</sst>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3" borderId="4" xfId="0" applyNumberFormat="1" applyFill="1" applyBorder="1"/>
    <xf numFmtId="2" fontId="0" fillId="3" borderId="5" xfId="0" applyNumberFormat="1" applyFill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2" fillId="2" borderId="4" xfId="0" applyFont="1" applyFill="1" applyBorder="1"/>
    <xf numFmtId="0" fontId="2" fillId="2" borderId="5" xfId="0" applyFont="1" applyFill="1" applyBorder="1"/>
    <xf numFmtId="2" fontId="0" fillId="3" borderId="6" xfId="0" applyNumberFormat="1" applyFill="1" applyBorder="1"/>
    <xf numFmtId="2" fontId="0" fillId="0" borderId="6" xfId="0" applyNumberFormat="1" applyBorder="1"/>
    <xf numFmtId="2" fontId="0" fillId="0" borderId="3" xfId="0" applyNumberFormat="1" applyBorder="1"/>
    <xf numFmtId="0" fontId="2" fillId="2" borderId="6" xfId="0" applyFont="1" applyFill="1" applyBorder="1"/>
    <xf numFmtId="165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25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800]dddd\,\ mmmm\ dd\,\ 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Waist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7-42BE-9979-D2776764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9168"/>
        <c:axId val="672867328"/>
      </c:scatterChart>
      <c:valAx>
        <c:axId val="6728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7328"/>
        <c:crosses val="autoZero"/>
        <c:crossBetween val="midCat"/>
      </c:valAx>
      <c:valAx>
        <c:axId val="67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Log'!$L$2:$L$227</c:f>
              <c:numCache>
                <c:formatCode>0.00</c:formatCode>
                <c:ptCount val="226"/>
                <c:pt idx="0">
                  <c:v>73</c:v>
                </c:pt>
                <c:pt idx="1">
                  <c:v>82</c:v>
                </c:pt>
                <c:pt idx="2">
                  <c:v>70</c:v>
                </c:pt>
                <c:pt idx="3">
                  <c:v>86</c:v>
                </c:pt>
                <c:pt idx="4">
                  <c:v>81</c:v>
                </c:pt>
                <c:pt idx="5">
                  <c:v>73</c:v>
                </c:pt>
                <c:pt idx="6">
                  <c:v>89</c:v>
                </c:pt>
                <c:pt idx="7">
                  <c:v>89</c:v>
                </c:pt>
                <c:pt idx="8">
                  <c:v>66</c:v>
                </c:pt>
                <c:pt idx="9">
                  <c:v>68</c:v>
                </c:pt>
                <c:pt idx="10">
                  <c:v>65</c:v>
                </c:pt>
                <c:pt idx="11">
                  <c:v>74</c:v>
                </c:pt>
                <c:pt idx="12">
                  <c:v>78</c:v>
                </c:pt>
                <c:pt idx="13">
                  <c:v>60</c:v>
                </c:pt>
                <c:pt idx="14">
                  <c:v>66</c:v>
                </c:pt>
                <c:pt idx="15">
                  <c:v>71</c:v>
                </c:pt>
                <c:pt idx="16">
                  <c:v>58</c:v>
                </c:pt>
                <c:pt idx="17">
                  <c:v>63</c:v>
                </c:pt>
                <c:pt idx="18">
                  <c:v>74</c:v>
                </c:pt>
                <c:pt idx="19">
                  <c:v>73</c:v>
                </c:pt>
                <c:pt idx="20">
                  <c:v>59</c:v>
                </c:pt>
                <c:pt idx="21">
                  <c:v>70</c:v>
                </c:pt>
                <c:pt idx="22">
                  <c:v>73</c:v>
                </c:pt>
                <c:pt idx="23">
                  <c:v>73</c:v>
                </c:pt>
                <c:pt idx="24">
                  <c:v>69</c:v>
                </c:pt>
                <c:pt idx="25">
                  <c:v>59</c:v>
                </c:pt>
                <c:pt idx="26">
                  <c:v>73</c:v>
                </c:pt>
                <c:pt idx="27">
                  <c:v>61</c:v>
                </c:pt>
                <c:pt idx="28">
                  <c:v>62</c:v>
                </c:pt>
                <c:pt idx="29">
                  <c:v>71</c:v>
                </c:pt>
                <c:pt idx="30">
                  <c:v>69</c:v>
                </c:pt>
                <c:pt idx="31">
                  <c:v>69</c:v>
                </c:pt>
                <c:pt idx="32">
                  <c:v>71</c:v>
                </c:pt>
                <c:pt idx="33">
                  <c:v>53</c:v>
                </c:pt>
                <c:pt idx="34">
                  <c:v>65</c:v>
                </c:pt>
                <c:pt idx="35">
                  <c:v>70</c:v>
                </c:pt>
                <c:pt idx="36">
                  <c:v>87</c:v>
                </c:pt>
                <c:pt idx="37">
                  <c:v>97</c:v>
                </c:pt>
                <c:pt idx="38">
                  <c:v>71</c:v>
                </c:pt>
                <c:pt idx="39">
                  <c:v>82</c:v>
                </c:pt>
                <c:pt idx="40">
                  <c:v>96</c:v>
                </c:pt>
                <c:pt idx="41">
                  <c:v>81</c:v>
                </c:pt>
                <c:pt idx="42">
                  <c:v>74</c:v>
                </c:pt>
                <c:pt idx="43">
                  <c:v>82</c:v>
                </c:pt>
                <c:pt idx="44">
                  <c:v>81</c:v>
                </c:pt>
                <c:pt idx="45">
                  <c:v>86</c:v>
                </c:pt>
                <c:pt idx="46">
                  <c:v>77</c:v>
                </c:pt>
                <c:pt idx="47">
                  <c:v>67</c:v>
                </c:pt>
                <c:pt idx="48">
                  <c:v>76</c:v>
                </c:pt>
                <c:pt idx="49">
                  <c:v>70</c:v>
                </c:pt>
                <c:pt idx="50">
                  <c:v>77</c:v>
                </c:pt>
                <c:pt idx="51">
                  <c:v>63</c:v>
                </c:pt>
                <c:pt idx="52">
                  <c:v>65</c:v>
                </c:pt>
                <c:pt idx="53">
                  <c:v>63</c:v>
                </c:pt>
                <c:pt idx="54">
                  <c:v>54</c:v>
                </c:pt>
                <c:pt idx="55">
                  <c:v>80</c:v>
                </c:pt>
                <c:pt idx="56">
                  <c:v>70</c:v>
                </c:pt>
                <c:pt idx="57">
                  <c:v>60</c:v>
                </c:pt>
                <c:pt idx="58">
                  <c:v>65</c:v>
                </c:pt>
                <c:pt idx="59">
                  <c:v>66</c:v>
                </c:pt>
                <c:pt idx="60">
                  <c:v>73</c:v>
                </c:pt>
                <c:pt idx="61">
                  <c:v>71</c:v>
                </c:pt>
                <c:pt idx="62">
                  <c:v>75</c:v>
                </c:pt>
                <c:pt idx="63">
                  <c:v>70</c:v>
                </c:pt>
                <c:pt idx="64">
                  <c:v>99</c:v>
                </c:pt>
                <c:pt idx="65">
                  <c:v>73</c:v>
                </c:pt>
                <c:pt idx="66">
                  <c:v>70</c:v>
                </c:pt>
                <c:pt idx="67">
                  <c:v>70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94</c:v>
                </c:pt>
                <c:pt idx="72">
                  <c:v>72</c:v>
                </c:pt>
                <c:pt idx="73">
                  <c:v>73</c:v>
                </c:pt>
                <c:pt idx="74">
                  <c:v>66</c:v>
                </c:pt>
                <c:pt idx="75">
                  <c:v>67</c:v>
                </c:pt>
                <c:pt idx="76">
                  <c:v>67</c:v>
                </c:pt>
                <c:pt idx="77">
                  <c:v>69</c:v>
                </c:pt>
                <c:pt idx="78">
                  <c:v>62</c:v>
                </c:pt>
                <c:pt idx="79">
                  <c:v>72</c:v>
                </c:pt>
                <c:pt idx="80">
                  <c:v>70</c:v>
                </c:pt>
                <c:pt idx="81">
                  <c:v>78</c:v>
                </c:pt>
                <c:pt idx="82">
                  <c:v>69</c:v>
                </c:pt>
                <c:pt idx="83">
                  <c:v>72</c:v>
                </c:pt>
                <c:pt idx="84">
                  <c:v>73</c:v>
                </c:pt>
                <c:pt idx="85">
                  <c:v>72</c:v>
                </c:pt>
                <c:pt idx="86">
                  <c:v>73</c:v>
                </c:pt>
                <c:pt idx="87">
                  <c:v>69</c:v>
                </c:pt>
                <c:pt idx="88">
                  <c:v>63</c:v>
                </c:pt>
                <c:pt idx="89">
                  <c:v>77</c:v>
                </c:pt>
                <c:pt idx="90">
                  <c:v>72</c:v>
                </c:pt>
                <c:pt idx="91">
                  <c:v>77</c:v>
                </c:pt>
                <c:pt idx="92">
                  <c:v>82</c:v>
                </c:pt>
                <c:pt idx="93">
                  <c:v>67</c:v>
                </c:pt>
                <c:pt idx="94">
                  <c:v>62</c:v>
                </c:pt>
                <c:pt idx="95">
                  <c:v>66</c:v>
                </c:pt>
                <c:pt idx="96">
                  <c:v>61</c:v>
                </c:pt>
                <c:pt idx="97">
                  <c:v>62</c:v>
                </c:pt>
                <c:pt idx="98">
                  <c:v>66</c:v>
                </c:pt>
                <c:pt idx="99">
                  <c:v>73</c:v>
                </c:pt>
                <c:pt idx="100">
                  <c:v>71</c:v>
                </c:pt>
                <c:pt idx="101">
                  <c:v>72</c:v>
                </c:pt>
                <c:pt idx="102">
                  <c:v>76</c:v>
                </c:pt>
                <c:pt idx="103">
                  <c:v>79</c:v>
                </c:pt>
                <c:pt idx="104">
                  <c:v>72</c:v>
                </c:pt>
                <c:pt idx="105">
                  <c:v>74</c:v>
                </c:pt>
                <c:pt idx="106">
                  <c:v>59</c:v>
                </c:pt>
                <c:pt idx="107">
                  <c:v>67</c:v>
                </c:pt>
                <c:pt idx="108">
                  <c:v>68</c:v>
                </c:pt>
                <c:pt idx="109">
                  <c:v>88</c:v>
                </c:pt>
                <c:pt idx="110">
                  <c:v>74</c:v>
                </c:pt>
                <c:pt idx="111">
                  <c:v>70</c:v>
                </c:pt>
                <c:pt idx="112">
                  <c:v>59</c:v>
                </c:pt>
                <c:pt idx="113">
                  <c:v>55</c:v>
                </c:pt>
                <c:pt idx="114">
                  <c:v>58</c:v>
                </c:pt>
                <c:pt idx="115">
                  <c:v>53</c:v>
                </c:pt>
                <c:pt idx="116">
                  <c:v>64</c:v>
                </c:pt>
                <c:pt idx="117">
                  <c:v>65</c:v>
                </c:pt>
                <c:pt idx="118">
                  <c:v>89</c:v>
                </c:pt>
                <c:pt idx="119">
                  <c:v>64</c:v>
                </c:pt>
                <c:pt idx="120">
                  <c:v>88</c:v>
                </c:pt>
                <c:pt idx="121">
                  <c:v>71</c:v>
                </c:pt>
                <c:pt idx="122">
                  <c:v>71</c:v>
                </c:pt>
                <c:pt idx="123">
                  <c:v>63</c:v>
                </c:pt>
                <c:pt idx="124">
                  <c:v>94</c:v>
                </c:pt>
                <c:pt idx="125">
                  <c:v>94</c:v>
                </c:pt>
                <c:pt idx="126">
                  <c:v>87</c:v>
                </c:pt>
                <c:pt idx="127">
                  <c:v>88</c:v>
                </c:pt>
                <c:pt idx="128">
                  <c:v>72</c:v>
                </c:pt>
                <c:pt idx="129">
                  <c:v>76</c:v>
                </c:pt>
                <c:pt idx="130">
                  <c:v>77</c:v>
                </c:pt>
                <c:pt idx="131">
                  <c:v>73</c:v>
                </c:pt>
                <c:pt idx="132">
                  <c:v>80</c:v>
                </c:pt>
                <c:pt idx="133">
                  <c:v>77</c:v>
                </c:pt>
                <c:pt idx="134">
                  <c:v>77</c:v>
                </c:pt>
                <c:pt idx="135">
                  <c:v>85</c:v>
                </c:pt>
                <c:pt idx="136">
                  <c:v>80</c:v>
                </c:pt>
                <c:pt idx="137">
                  <c:v>81</c:v>
                </c:pt>
                <c:pt idx="138">
                  <c:v>83</c:v>
                </c:pt>
                <c:pt idx="139">
                  <c:v>88</c:v>
                </c:pt>
                <c:pt idx="140">
                  <c:v>78</c:v>
                </c:pt>
                <c:pt idx="141">
                  <c:v>74</c:v>
                </c:pt>
                <c:pt idx="142">
                  <c:v>81</c:v>
                </c:pt>
                <c:pt idx="143">
                  <c:v>64</c:v>
                </c:pt>
                <c:pt idx="144">
                  <c:v>66</c:v>
                </c:pt>
                <c:pt idx="145">
                  <c:v>89</c:v>
                </c:pt>
                <c:pt idx="146">
                  <c:v>90</c:v>
                </c:pt>
                <c:pt idx="147">
                  <c:v>91</c:v>
                </c:pt>
                <c:pt idx="148">
                  <c:v>91</c:v>
                </c:pt>
                <c:pt idx="149">
                  <c:v>89</c:v>
                </c:pt>
                <c:pt idx="150">
                  <c:v>90</c:v>
                </c:pt>
                <c:pt idx="151">
                  <c:v>87</c:v>
                </c:pt>
                <c:pt idx="152">
                  <c:v>90</c:v>
                </c:pt>
                <c:pt idx="153">
                  <c:v>86</c:v>
                </c:pt>
                <c:pt idx="154">
                  <c:v>66</c:v>
                </c:pt>
                <c:pt idx="155">
                  <c:v>66</c:v>
                </c:pt>
                <c:pt idx="156">
                  <c:v>67</c:v>
                </c:pt>
                <c:pt idx="157">
                  <c:v>65</c:v>
                </c:pt>
                <c:pt idx="158">
                  <c:v>67</c:v>
                </c:pt>
                <c:pt idx="159">
                  <c:v>72</c:v>
                </c:pt>
                <c:pt idx="160">
                  <c:v>71</c:v>
                </c:pt>
                <c:pt idx="161">
                  <c:v>74</c:v>
                </c:pt>
                <c:pt idx="162">
                  <c:v>77</c:v>
                </c:pt>
                <c:pt idx="163">
                  <c:v>74</c:v>
                </c:pt>
                <c:pt idx="164">
                  <c:v>77</c:v>
                </c:pt>
                <c:pt idx="165">
                  <c:v>70</c:v>
                </c:pt>
                <c:pt idx="166">
                  <c:v>77</c:v>
                </c:pt>
                <c:pt idx="167">
                  <c:v>71</c:v>
                </c:pt>
                <c:pt idx="168">
                  <c:v>74</c:v>
                </c:pt>
                <c:pt idx="169">
                  <c:v>73</c:v>
                </c:pt>
                <c:pt idx="170">
                  <c:v>75</c:v>
                </c:pt>
                <c:pt idx="171">
                  <c:v>71</c:v>
                </c:pt>
                <c:pt idx="172">
                  <c:v>68</c:v>
                </c:pt>
                <c:pt idx="173">
                  <c:v>73</c:v>
                </c:pt>
                <c:pt idx="174">
                  <c:v>76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84</c:v>
                </c:pt>
                <c:pt idx="179">
                  <c:v>76</c:v>
                </c:pt>
                <c:pt idx="180">
                  <c:v>78</c:v>
                </c:pt>
                <c:pt idx="181">
                  <c:v>72</c:v>
                </c:pt>
                <c:pt idx="182">
                  <c:v>72</c:v>
                </c:pt>
                <c:pt idx="183">
                  <c:v>71</c:v>
                </c:pt>
                <c:pt idx="184">
                  <c:v>59</c:v>
                </c:pt>
                <c:pt idx="185">
                  <c:v>73</c:v>
                </c:pt>
                <c:pt idx="186">
                  <c:v>74</c:v>
                </c:pt>
                <c:pt idx="187">
                  <c:v>76</c:v>
                </c:pt>
                <c:pt idx="188">
                  <c:v>68</c:v>
                </c:pt>
                <c:pt idx="189">
                  <c:v>64</c:v>
                </c:pt>
                <c:pt idx="190">
                  <c:v>60</c:v>
                </c:pt>
                <c:pt idx="191">
                  <c:v>63</c:v>
                </c:pt>
                <c:pt idx="192">
                  <c:v>73</c:v>
                </c:pt>
                <c:pt idx="193">
                  <c:v>75</c:v>
                </c:pt>
                <c:pt idx="194">
                  <c:v>76</c:v>
                </c:pt>
                <c:pt idx="195">
                  <c:v>68</c:v>
                </c:pt>
                <c:pt idx="196">
                  <c:v>80</c:v>
                </c:pt>
                <c:pt idx="197">
                  <c:v>86</c:v>
                </c:pt>
                <c:pt idx="198">
                  <c:v>70</c:v>
                </c:pt>
                <c:pt idx="199">
                  <c:v>71</c:v>
                </c:pt>
                <c:pt idx="200">
                  <c:v>73</c:v>
                </c:pt>
                <c:pt idx="201">
                  <c:v>69</c:v>
                </c:pt>
                <c:pt idx="202">
                  <c:v>79</c:v>
                </c:pt>
                <c:pt idx="203">
                  <c:v>75</c:v>
                </c:pt>
                <c:pt idx="204">
                  <c:v>68</c:v>
                </c:pt>
                <c:pt idx="205">
                  <c:v>80</c:v>
                </c:pt>
                <c:pt idx="206">
                  <c:v>72</c:v>
                </c:pt>
                <c:pt idx="207">
                  <c:v>75</c:v>
                </c:pt>
                <c:pt idx="208">
                  <c:v>74</c:v>
                </c:pt>
                <c:pt idx="209">
                  <c:v>70</c:v>
                </c:pt>
                <c:pt idx="210">
                  <c:v>67</c:v>
                </c:pt>
                <c:pt idx="211">
                  <c:v>66</c:v>
                </c:pt>
                <c:pt idx="212">
                  <c:v>68</c:v>
                </c:pt>
                <c:pt idx="213">
                  <c:v>68</c:v>
                </c:pt>
                <c:pt idx="214">
                  <c:v>63</c:v>
                </c:pt>
                <c:pt idx="215">
                  <c:v>62</c:v>
                </c:pt>
                <c:pt idx="216">
                  <c:v>67</c:v>
                </c:pt>
                <c:pt idx="217">
                  <c:v>88</c:v>
                </c:pt>
                <c:pt idx="218">
                  <c:v>71</c:v>
                </c:pt>
                <c:pt idx="219">
                  <c:v>95</c:v>
                </c:pt>
                <c:pt idx="220">
                  <c:v>87</c:v>
                </c:pt>
                <c:pt idx="221">
                  <c:v>86</c:v>
                </c:pt>
                <c:pt idx="222">
                  <c:v>68</c:v>
                </c:pt>
                <c:pt idx="223">
                  <c:v>65</c:v>
                </c:pt>
                <c:pt idx="224">
                  <c:v>91</c:v>
                </c:pt>
                <c:pt idx="225">
                  <c:v>95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D-4AB2-9031-5D4EA6DF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0751"/>
        <c:axId val="2117242191"/>
      </c:scatterChart>
      <c:valAx>
        <c:axId val="21172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2191"/>
        <c:crosses val="autoZero"/>
        <c:crossBetween val="midCat"/>
      </c:valAx>
      <c:valAx>
        <c:axId val="211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Log'!$M$2:$M$227</c:f>
              <c:numCache>
                <c:formatCode>0.00</c:formatCode>
                <c:ptCount val="226"/>
                <c:pt idx="0">
                  <c:v>11.5</c:v>
                </c:pt>
                <c:pt idx="1">
                  <c:v>5.5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16.5</c:v>
                </c:pt>
                <c:pt idx="9">
                  <c:v>10</c:v>
                </c:pt>
                <c:pt idx="10">
                  <c:v>8.5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7.5</c:v>
                </c:pt>
                <c:pt idx="16">
                  <c:v>11</c:v>
                </c:pt>
                <c:pt idx="17">
                  <c:v>7</c:v>
                </c:pt>
                <c:pt idx="18">
                  <c:v>10.5</c:v>
                </c:pt>
                <c:pt idx="19">
                  <c:v>2</c:v>
                </c:pt>
                <c:pt idx="20">
                  <c:v>13</c:v>
                </c:pt>
                <c:pt idx="21">
                  <c:v>7.5</c:v>
                </c:pt>
                <c:pt idx="22">
                  <c:v>11.5</c:v>
                </c:pt>
                <c:pt idx="23">
                  <c:v>10</c:v>
                </c:pt>
                <c:pt idx="24">
                  <c:v>5</c:v>
                </c:pt>
                <c:pt idx="25">
                  <c:v>12</c:v>
                </c:pt>
                <c:pt idx="26">
                  <c:v>0</c:v>
                </c:pt>
                <c:pt idx="27">
                  <c:v>8</c:v>
                </c:pt>
                <c:pt idx="28">
                  <c:v>5</c:v>
                </c:pt>
                <c:pt idx="29">
                  <c:v>10</c:v>
                </c:pt>
                <c:pt idx="30">
                  <c:v>10</c:v>
                </c:pt>
                <c:pt idx="31">
                  <c:v>7.5</c:v>
                </c:pt>
                <c:pt idx="32">
                  <c:v>9</c:v>
                </c:pt>
                <c:pt idx="33">
                  <c:v>9.5</c:v>
                </c:pt>
                <c:pt idx="34">
                  <c:v>6.5</c:v>
                </c:pt>
                <c:pt idx="35">
                  <c:v>1</c:v>
                </c:pt>
                <c:pt idx="36">
                  <c:v>9.5</c:v>
                </c:pt>
                <c:pt idx="37">
                  <c:v>2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10</c:v>
                </c:pt>
                <c:pt idx="42">
                  <c:v>6</c:v>
                </c:pt>
                <c:pt idx="43">
                  <c:v>8</c:v>
                </c:pt>
                <c:pt idx="44">
                  <c:v>12</c:v>
                </c:pt>
                <c:pt idx="45">
                  <c:v>11</c:v>
                </c:pt>
                <c:pt idx="46">
                  <c:v>8.5</c:v>
                </c:pt>
                <c:pt idx="47">
                  <c:v>5</c:v>
                </c:pt>
                <c:pt idx="48">
                  <c:v>10</c:v>
                </c:pt>
                <c:pt idx="49">
                  <c:v>11</c:v>
                </c:pt>
                <c:pt idx="50">
                  <c:v>7</c:v>
                </c:pt>
                <c:pt idx="51">
                  <c:v>7</c:v>
                </c:pt>
                <c:pt idx="52">
                  <c:v>13</c:v>
                </c:pt>
                <c:pt idx="53">
                  <c:v>3.5</c:v>
                </c:pt>
                <c:pt idx="54">
                  <c:v>12</c:v>
                </c:pt>
                <c:pt idx="55">
                  <c:v>7</c:v>
                </c:pt>
                <c:pt idx="56">
                  <c:v>9.5</c:v>
                </c:pt>
                <c:pt idx="57">
                  <c:v>7</c:v>
                </c:pt>
                <c:pt idx="58">
                  <c:v>8</c:v>
                </c:pt>
                <c:pt idx="59">
                  <c:v>8.5</c:v>
                </c:pt>
                <c:pt idx="60">
                  <c:v>0</c:v>
                </c:pt>
                <c:pt idx="61">
                  <c:v>5.5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11</c:v>
                </c:pt>
                <c:pt idx="66">
                  <c:v>1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11</c:v>
                </c:pt>
                <c:pt idx="75">
                  <c:v>9.5</c:v>
                </c:pt>
                <c:pt idx="76">
                  <c:v>3</c:v>
                </c:pt>
                <c:pt idx="77">
                  <c:v>2</c:v>
                </c:pt>
                <c:pt idx="78">
                  <c:v>0.5</c:v>
                </c:pt>
                <c:pt idx="79">
                  <c:v>3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2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7</c:v>
                </c:pt>
                <c:pt idx="94">
                  <c:v>6.5</c:v>
                </c:pt>
                <c:pt idx="95">
                  <c:v>5</c:v>
                </c:pt>
                <c:pt idx="96">
                  <c:v>2</c:v>
                </c:pt>
                <c:pt idx="97">
                  <c:v>10</c:v>
                </c:pt>
                <c:pt idx="98">
                  <c:v>8</c:v>
                </c:pt>
                <c:pt idx="99">
                  <c:v>7.5</c:v>
                </c:pt>
                <c:pt idx="100">
                  <c:v>10</c:v>
                </c:pt>
                <c:pt idx="101">
                  <c:v>12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4.5</c:v>
                </c:pt>
                <c:pt idx="106">
                  <c:v>6</c:v>
                </c:pt>
                <c:pt idx="107">
                  <c:v>12</c:v>
                </c:pt>
                <c:pt idx="108">
                  <c:v>6</c:v>
                </c:pt>
                <c:pt idx="109">
                  <c:v>4</c:v>
                </c:pt>
                <c:pt idx="110">
                  <c:v>12</c:v>
                </c:pt>
                <c:pt idx="111">
                  <c:v>4</c:v>
                </c:pt>
                <c:pt idx="112">
                  <c:v>4</c:v>
                </c:pt>
                <c:pt idx="113">
                  <c:v>13.5</c:v>
                </c:pt>
                <c:pt idx="114">
                  <c:v>7.5</c:v>
                </c:pt>
                <c:pt idx="115">
                  <c:v>10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2</c:v>
                </c:pt>
                <c:pt idx="122">
                  <c:v>19</c:v>
                </c:pt>
                <c:pt idx="123">
                  <c:v>8</c:v>
                </c:pt>
                <c:pt idx="124">
                  <c:v>2</c:v>
                </c:pt>
                <c:pt idx="125">
                  <c:v>8</c:v>
                </c:pt>
                <c:pt idx="126">
                  <c:v>9</c:v>
                </c:pt>
                <c:pt idx="127">
                  <c:v>10</c:v>
                </c:pt>
                <c:pt idx="128">
                  <c:v>14</c:v>
                </c:pt>
                <c:pt idx="129">
                  <c:v>10</c:v>
                </c:pt>
                <c:pt idx="130">
                  <c:v>1</c:v>
                </c:pt>
                <c:pt idx="131">
                  <c:v>5</c:v>
                </c:pt>
                <c:pt idx="132">
                  <c:v>10</c:v>
                </c:pt>
                <c:pt idx="133">
                  <c:v>10</c:v>
                </c:pt>
                <c:pt idx="134">
                  <c:v>6</c:v>
                </c:pt>
                <c:pt idx="135">
                  <c:v>9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9</c:v>
                </c:pt>
                <c:pt idx="140">
                  <c:v>16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3</c:v>
                </c:pt>
                <c:pt idx="149">
                  <c:v>9</c:v>
                </c:pt>
                <c:pt idx="150">
                  <c:v>12</c:v>
                </c:pt>
                <c:pt idx="151">
                  <c:v>8</c:v>
                </c:pt>
                <c:pt idx="152">
                  <c:v>6</c:v>
                </c:pt>
                <c:pt idx="153">
                  <c:v>12</c:v>
                </c:pt>
                <c:pt idx="154">
                  <c:v>14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12</c:v>
                </c:pt>
                <c:pt idx="159">
                  <c:v>8</c:v>
                </c:pt>
                <c:pt idx="160">
                  <c:v>8</c:v>
                </c:pt>
                <c:pt idx="161">
                  <c:v>6</c:v>
                </c:pt>
                <c:pt idx="162">
                  <c:v>6</c:v>
                </c:pt>
                <c:pt idx="163">
                  <c:v>19</c:v>
                </c:pt>
                <c:pt idx="164">
                  <c:v>6</c:v>
                </c:pt>
                <c:pt idx="165">
                  <c:v>8</c:v>
                </c:pt>
                <c:pt idx="166">
                  <c:v>8.5</c:v>
                </c:pt>
                <c:pt idx="167">
                  <c:v>0</c:v>
                </c:pt>
                <c:pt idx="168">
                  <c:v>16</c:v>
                </c:pt>
                <c:pt idx="169">
                  <c:v>10</c:v>
                </c:pt>
                <c:pt idx="170">
                  <c:v>8</c:v>
                </c:pt>
                <c:pt idx="171">
                  <c:v>10</c:v>
                </c:pt>
                <c:pt idx="172">
                  <c:v>8</c:v>
                </c:pt>
                <c:pt idx="173">
                  <c:v>4</c:v>
                </c:pt>
                <c:pt idx="174">
                  <c:v>12</c:v>
                </c:pt>
                <c:pt idx="175">
                  <c:v>8</c:v>
                </c:pt>
                <c:pt idx="176">
                  <c:v>8</c:v>
                </c:pt>
                <c:pt idx="177">
                  <c:v>6.5</c:v>
                </c:pt>
                <c:pt idx="178">
                  <c:v>9</c:v>
                </c:pt>
                <c:pt idx="179">
                  <c:v>7.5</c:v>
                </c:pt>
                <c:pt idx="180">
                  <c:v>10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7.5</c:v>
                </c:pt>
                <c:pt idx="185">
                  <c:v>8</c:v>
                </c:pt>
                <c:pt idx="186">
                  <c:v>0</c:v>
                </c:pt>
                <c:pt idx="187">
                  <c:v>7.5</c:v>
                </c:pt>
                <c:pt idx="188">
                  <c:v>7</c:v>
                </c:pt>
                <c:pt idx="189">
                  <c:v>8</c:v>
                </c:pt>
                <c:pt idx="190">
                  <c:v>13</c:v>
                </c:pt>
                <c:pt idx="191">
                  <c:v>7.5</c:v>
                </c:pt>
                <c:pt idx="192">
                  <c:v>6.5</c:v>
                </c:pt>
                <c:pt idx="193">
                  <c:v>14.5</c:v>
                </c:pt>
                <c:pt idx="194">
                  <c:v>8</c:v>
                </c:pt>
                <c:pt idx="195">
                  <c:v>13</c:v>
                </c:pt>
                <c:pt idx="196">
                  <c:v>0.5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14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7</c:v>
                </c:pt>
                <c:pt idx="206">
                  <c:v>9</c:v>
                </c:pt>
                <c:pt idx="207">
                  <c:v>3</c:v>
                </c:pt>
                <c:pt idx="208">
                  <c:v>13.5</c:v>
                </c:pt>
                <c:pt idx="209">
                  <c:v>6</c:v>
                </c:pt>
                <c:pt idx="210">
                  <c:v>11</c:v>
                </c:pt>
                <c:pt idx="211">
                  <c:v>8</c:v>
                </c:pt>
                <c:pt idx="212">
                  <c:v>7</c:v>
                </c:pt>
                <c:pt idx="213">
                  <c:v>12</c:v>
                </c:pt>
                <c:pt idx="214">
                  <c:v>17</c:v>
                </c:pt>
                <c:pt idx="215">
                  <c:v>1</c:v>
                </c:pt>
                <c:pt idx="216">
                  <c:v>3</c:v>
                </c:pt>
                <c:pt idx="217">
                  <c:v>9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12</c:v>
                </c:pt>
                <c:pt idx="222">
                  <c:v>12</c:v>
                </c:pt>
                <c:pt idx="223">
                  <c:v>3.5</c:v>
                </c:pt>
                <c:pt idx="224">
                  <c:v>4.5</c:v>
                </c:pt>
                <c:pt idx="225">
                  <c:v>4.5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5-40E0-A324-16CD25B9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1951"/>
        <c:axId val="2117217231"/>
      </c:scatterChart>
      <c:valAx>
        <c:axId val="2117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7231"/>
        <c:crosses val="autoZero"/>
        <c:crossBetween val="midCat"/>
      </c:valAx>
      <c:valAx>
        <c:axId val="2117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Body Mass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Log'!$N$2:$N$227</c:f>
              <c:numCache>
                <c:formatCode>0.00</c:formatCode>
                <c:ptCount val="226"/>
                <c:pt idx="0">
                  <c:v>39.540163265306127</c:v>
                </c:pt>
                <c:pt idx="1">
                  <c:v>38.994979591836739</c:v>
                </c:pt>
                <c:pt idx="2">
                  <c:v>38.994979591836739</c:v>
                </c:pt>
                <c:pt idx="3">
                  <c:v>39.138448979591836</c:v>
                </c:pt>
                <c:pt idx="4">
                  <c:v>38.679346938775517</c:v>
                </c:pt>
                <c:pt idx="5">
                  <c:v>38.535877551020413</c:v>
                </c:pt>
                <c:pt idx="6">
                  <c:v>38.564571428571433</c:v>
                </c:pt>
                <c:pt idx="7">
                  <c:v>38.564571428571433</c:v>
                </c:pt>
                <c:pt idx="8">
                  <c:v>38.650653061224489</c:v>
                </c:pt>
                <c:pt idx="9">
                  <c:v>39.109755102040822</c:v>
                </c:pt>
                <c:pt idx="10">
                  <c:v>38.851510204081634</c:v>
                </c:pt>
                <c:pt idx="11">
                  <c:v>38.507183673469385</c:v>
                </c:pt>
                <c:pt idx="12">
                  <c:v>38.248938775510204</c:v>
                </c:pt>
                <c:pt idx="13">
                  <c:v>38.679346938775517</c:v>
                </c:pt>
                <c:pt idx="14">
                  <c:v>38.392408163265308</c:v>
                </c:pt>
                <c:pt idx="15">
                  <c:v>38.392408163265308</c:v>
                </c:pt>
                <c:pt idx="16">
                  <c:v>37.990693877551024</c:v>
                </c:pt>
                <c:pt idx="17">
                  <c:v>37.962000000000003</c:v>
                </c:pt>
                <c:pt idx="18">
                  <c:v>37.761142857142858</c:v>
                </c:pt>
                <c:pt idx="19">
                  <c:v>37.732448979591837</c:v>
                </c:pt>
                <c:pt idx="20">
                  <c:v>37.560285714285712</c:v>
                </c:pt>
                <c:pt idx="21">
                  <c:v>37.560285714285712</c:v>
                </c:pt>
                <c:pt idx="22">
                  <c:v>37.273346938775511</c:v>
                </c:pt>
                <c:pt idx="23">
                  <c:v>37.330734693877552</c:v>
                </c:pt>
                <c:pt idx="24">
                  <c:v>37.158571428571427</c:v>
                </c:pt>
                <c:pt idx="25">
                  <c:v>36.871632653061219</c:v>
                </c:pt>
                <c:pt idx="26">
                  <c:v>37.273346938775511</c:v>
                </c:pt>
                <c:pt idx="27">
                  <c:v>37.273346938775511</c:v>
                </c:pt>
                <c:pt idx="28">
                  <c:v>37.158571428571427</c:v>
                </c:pt>
                <c:pt idx="29">
                  <c:v>37.043795918367344</c:v>
                </c:pt>
                <c:pt idx="30">
                  <c:v>37.015102040816323</c:v>
                </c:pt>
                <c:pt idx="31">
                  <c:v>36.728163265306122</c:v>
                </c:pt>
                <c:pt idx="32">
                  <c:v>36.728163265306122</c:v>
                </c:pt>
                <c:pt idx="33">
                  <c:v>36.584693877551018</c:v>
                </c:pt>
                <c:pt idx="34">
                  <c:v>36.670775510204081</c:v>
                </c:pt>
                <c:pt idx="35">
                  <c:v>36.670775510204081</c:v>
                </c:pt>
                <c:pt idx="36">
                  <c:v>36.269061224489796</c:v>
                </c:pt>
                <c:pt idx="37">
                  <c:v>36.269061224489796</c:v>
                </c:pt>
                <c:pt idx="38">
                  <c:v>36.871632653061219</c:v>
                </c:pt>
                <c:pt idx="39">
                  <c:v>37.474204081632649</c:v>
                </c:pt>
                <c:pt idx="40">
                  <c:v>37.445510204081636</c:v>
                </c:pt>
                <c:pt idx="41">
                  <c:v>37.101183673469393</c:v>
                </c:pt>
                <c:pt idx="42">
                  <c:v>37.015102040816323</c:v>
                </c:pt>
                <c:pt idx="43">
                  <c:v>37.302040816326532</c:v>
                </c:pt>
                <c:pt idx="44">
                  <c:v>37.187265306122448</c:v>
                </c:pt>
                <c:pt idx="45">
                  <c:v>37.416816326530615</c:v>
                </c:pt>
                <c:pt idx="46">
                  <c:v>37.560285714285712</c:v>
                </c:pt>
                <c:pt idx="47">
                  <c:v>36.98640816326531</c:v>
                </c:pt>
                <c:pt idx="48">
                  <c:v>36.699469387755101</c:v>
                </c:pt>
                <c:pt idx="49">
                  <c:v>36.441224489795914</c:v>
                </c:pt>
                <c:pt idx="50">
                  <c:v>36.297755102040817</c:v>
                </c:pt>
                <c:pt idx="51">
                  <c:v>36.240367346938775</c:v>
                </c:pt>
                <c:pt idx="52">
                  <c:v>36.498612244897963</c:v>
                </c:pt>
                <c:pt idx="53">
                  <c:v>36.269061224489796</c:v>
                </c:pt>
                <c:pt idx="54">
                  <c:v>36.326448979591831</c:v>
                </c:pt>
                <c:pt idx="55">
                  <c:v>36.096897959183678</c:v>
                </c:pt>
                <c:pt idx="56">
                  <c:v>36.068204081632651</c:v>
                </c:pt>
                <c:pt idx="57">
                  <c:v>35.867346938775512</c:v>
                </c:pt>
                <c:pt idx="58">
                  <c:v>35.80995918367347</c:v>
                </c:pt>
                <c:pt idx="59">
                  <c:v>35.752571428571429</c:v>
                </c:pt>
                <c:pt idx="60">
                  <c:v>35.637795918367345</c:v>
                </c:pt>
                <c:pt idx="61">
                  <c:v>35.523020408163262</c:v>
                </c:pt>
                <c:pt idx="62">
                  <c:v>35.379551020408158</c:v>
                </c:pt>
                <c:pt idx="63">
                  <c:v>35.379551020408158</c:v>
                </c:pt>
                <c:pt idx="64">
                  <c:v>35.436938775510207</c:v>
                </c:pt>
                <c:pt idx="65">
                  <c:v>35.982122448979595</c:v>
                </c:pt>
                <c:pt idx="66">
                  <c:v>35.723877551020408</c:v>
                </c:pt>
                <c:pt idx="67">
                  <c:v>35.695183673469387</c:v>
                </c:pt>
                <c:pt idx="68">
                  <c:v>36.211673469387755</c:v>
                </c:pt>
                <c:pt idx="69">
                  <c:v>35.80995918367347</c:v>
                </c:pt>
                <c:pt idx="70">
                  <c:v>35.494326530612248</c:v>
                </c:pt>
                <c:pt idx="71">
                  <c:v>35.264775510204082</c:v>
                </c:pt>
                <c:pt idx="72">
                  <c:v>36.154285714285713</c:v>
                </c:pt>
                <c:pt idx="73">
                  <c:v>36.154285714285713</c:v>
                </c:pt>
                <c:pt idx="74">
                  <c:v>36.355142857142859</c:v>
                </c:pt>
                <c:pt idx="75">
                  <c:v>35.80995918367347</c:v>
                </c:pt>
                <c:pt idx="76">
                  <c:v>35.695183673469387</c:v>
                </c:pt>
                <c:pt idx="77">
                  <c:v>35.580408163265311</c:v>
                </c:pt>
                <c:pt idx="78">
                  <c:v>35.379551020408158</c:v>
                </c:pt>
                <c:pt idx="79">
                  <c:v>35.982122448979595</c:v>
                </c:pt>
                <c:pt idx="80">
                  <c:v>36.125591836734699</c:v>
                </c:pt>
                <c:pt idx="81">
                  <c:v>36.240367346938775</c:v>
                </c:pt>
                <c:pt idx="82">
                  <c:v>35.752571428571429</c:v>
                </c:pt>
                <c:pt idx="83">
                  <c:v>35.666489795918366</c:v>
                </c:pt>
                <c:pt idx="84">
                  <c:v>35.867346938775512</c:v>
                </c:pt>
                <c:pt idx="85">
                  <c:v>36.010816326530609</c:v>
                </c:pt>
                <c:pt idx="86">
                  <c:v>36.556000000000004</c:v>
                </c:pt>
                <c:pt idx="87">
                  <c:v>37.015102040816323</c:v>
                </c:pt>
                <c:pt idx="88">
                  <c:v>36.498612244897963</c:v>
                </c:pt>
                <c:pt idx="89">
                  <c:v>36.297755102040817</c:v>
                </c:pt>
                <c:pt idx="90">
                  <c:v>36.498612244897963</c:v>
                </c:pt>
                <c:pt idx="91">
                  <c:v>36.211673469387755</c:v>
                </c:pt>
                <c:pt idx="92">
                  <c:v>36.699469387755101</c:v>
                </c:pt>
                <c:pt idx="93">
                  <c:v>36.670775510204081</c:v>
                </c:pt>
                <c:pt idx="94">
                  <c:v>36.355142857142859</c:v>
                </c:pt>
                <c:pt idx="95">
                  <c:v>36.355142857142859</c:v>
                </c:pt>
                <c:pt idx="96">
                  <c:v>36.355142857142859</c:v>
                </c:pt>
                <c:pt idx="97">
                  <c:v>35.924734693877546</c:v>
                </c:pt>
                <c:pt idx="98">
                  <c:v>35.867346938775512</c:v>
                </c:pt>
                <c:pt idx="99">
                  <c:v>36.068204081632651</c:v>
                </c:pt>
                <c:pt idx="100">
                  <c:v>35.982122448979595</c:v>
                </c:pt>
                <c:pt idx="101">
                  <c:v>36.182979591836734</c:v>
                </c:pt>
                <c:pt idx="102">
                  <c:v>36.98640816326531</c:v>
                </c:pt>
                <c:pt idx="103">
                  <c:v>37.043795918367344</c:v>
                </c:pt>
                <c:pt idx="104">
                  <c:v>36.814244897959192</c:v>
                </c:pt>
                <c:pt idx="105">
                  <c:v>36.670775510204081</c:v>
                </c:pt>
                <c:pt idx="106">
                  <c:v>36.642081632653067</c:v>
                </c:pt>
                <c:pt idx="107">
                  <c:v>36.068204081632651</c:v>
                </c:pt>
                <c:pt idx="108">
                  <c:v>35.924734693877546</c:v>
                </c:pt>
                <c:pt idx="109">
                  <c:v>35.982122448979595</c:v>
                </c:pt>
                <c:pt idx="110">
                  <c:v>35.752571428571429</c:v>
                </c:pt>
                <c:pt idx="111">
                  <c:v>35.924734693877546</c:v>
                </c:pt>
                <c:pt idx="112">
                  <c:v>36.125591836734699</c:v>
                </c:pt>
                <c:pt idx="113">
                  <c:v>35.580408163265311</c:v>
                </c:pt>
                <c:pt idx="114">
                  <c:v>35.637795918367345</c:v>
                </c:pt>
                <c:pt idx="115">
                  <c:v>35.436938775510207</c:v>
                </c:pt>
                <c:pt idx="116">
                  <c:v>35.408244897959186</c:v>
                </c:pt>
                <c:pt idx="117">
                  <c:v>35.121306122448978</c:v>
                </c:pt>
                <c:pt idx="118">
                  <c:v>35.063918367346943</c:v>
                </c:pt>
                <c:pt idx="119">
                  <c:v>35.035224489795915</c:v>
                </c:pt>
                <c:pt idx="120">
                  <c:v>35.15</c:v>
                </c:pt>
                <c:pt idx="121">
                  <c:v>35.436938775510207</c:v>
                </c:pt>
                <c:pt idx="122">
                  <c:v>35.80995918367347</c:v>
                </c:pt>
                <c:pt idx="123">
                  <c:v>35.924734693877546</c:v>
                </c:pt>
                <c:pt idx="124">
                  <c:v>36.211673469387755</c:v>
                </c:pt>
                <c:pt idx="125">
                  <c:v>35.953428571428574</c:v>
                </c:pt>
                <c:pt idx="126">
                  <c:v>36.240367346938775</c:v>
                </c:pt>
                <c:pt idx="127">
                  <c:v>36.38383673469388</c:v>
                </c:pt>
                <c:pt idx="128">
                  <c:v>36.297755102040817</c:v>
                </c:pt>
                <c:pt idx="129">
                  <c:v>36.900326530612247</c:v>
                </c:pt>
                <c:pt idx="130">
                  <c:v>36.527306122448977</c:v>
                </c:pt>
                <c:pt idx="131">
                  <c:v>36.613387755102039</c:v>
                </c:pt>
                <c:pt idx="132">
                  <c:v>36.556000000000004</c:v>
                </c:pt>
                <c:pt idx="133">
                  <c:v>36.699469387755101</c:v>
                </c:pt>
                <c:pt idx="134">
                  <c:v>36.900326530612247</c:v>
                </c:pt>
                <c:pt idx="135">
                  <c:v>37.015102040816323</c:v>
                </c:pt>
                <c:pt idx="136">
                  <c:v>36.125591836734699</c:v>
                </c:pt>
                <c:pt idx="137">
                  <c:v>35.924734693877546</c:v>
                </c:pt>
                <c:pt idx="138">
                  <c:v>36.010816326530609</c:v>
                </c:pt>
                <c:pt idx="139">
                  <c:v>35.752571428571429</c:v>
                </c:pt>
                <c:pt idx="140">
                  <c:v>35.580408163265311</c:v>
                </c:pt>
                <c:pt idx="141">
                  <c:v>35.896040816326526</c:v>
                </c:pt>
                <c:pt idx="142">
                  <c:v>36.297755102040817</c:v>
                </c:pt>
                <c:pt idx="143">
                  <c:v>35.982122448979595</c:v>
                </c:pt>
                <c:pt idx="144">
                  <c:v>36.269061224489796</c:v>
                </c:pt>
                <c:pt idx="145">
                  <c:v>36.010816326530609</c:v>
                </c:pt>
                <c:pt idx="146">
                  <c:v>35.781265306122449</c:v>
                </c:pt>
                <c:pt idx="147">
                  <c:v>36.38383673469388</c:v>
                </c:pt>
                <c:pt idx="148">
                  <c:v>36.527306122448977</c:v>
                </c:pt>
                <c:pt idx="149">
                  <c:v>36.297755102040817</c:v>
                </c:pt>
                <c:pt idx="150">
                  <c:v>36.441224489795914</c:v>
                </c:pt>
                <c:pt idx="151">
                  <c:v>36.297755102040817</c:v>
                </c:pt>
                <c:pt idx="152">
                  <c:v>36.125591836734699</c:v>
                </c:pt>
                <c:pt idx="153">
                  <c:v>36.068204081632651</c:v>
                </c:pt>
                <c:pt idx="154">
                  <c:v>35.752571428571429</c:v>
                </c:pt>
                <c:pt idx="155">
                  <c:v>36.269061224489796</c:v>
                </c:pt>
                <c:pt idx="156">
                  <c:v>36.297755102040817</c:v>
                </c:pt>
                <c:pt idx="157">
                  <c:v>37.158571428571427</c:v>
                </c:pt>
                <c:pt idx="158">
                  <c:v>36.556000000000004</c:v>
                </c:pt>
                <c:pt idx="159">
                  <c:v>36.269061224489796</c:v>
                </c:pt>
                <c:pt idx="160">
                  <c:v>36.125591836734699</c:v>
                </c:pt>
                <c:pt idx="161">
                  <c:v>36.556000000000004</c:v>
                </c:pt>
                <c:pt idx="162">
                  <c:v>36.584693877551018</c:v>
                </c:pt>
                <c:pt idx="163">
                  <c:v>36.556000000000004</c:v>
                </c:pt>
                <c:pt idx="164">
                  <c:v>36.125591836734699</c:v>
                </c:pt>
                <c:pt idx="165">
                  <c:v>36.929020408163261</c:v>
                </c:pt>
                <c:pt idx="166">
                  <c:v>36.699469387755101</c:v>
                </c:pt>
                <c:pt idx="167">
                  <c:v>36.125591836734699</c:v>
                </c:pt>
                <c:pt idx="168">
                  <c:v>35.523020408163262</c:v>
                </c:pt>
                <c:pt idx="169">
                  <c:v>35.695183673469387</c:v>
                </c:pt>
                <c:pt idx="170">
                  <c:v>35.838653061224491</c:v>
                </c:pt>
                <c:pt idx="171">
                  <c:v>35.953428571428574</c:v>
                </c:pt>
                <c:pt idx="172">
                  <c:v>36.154285714285713</c:v>
                </c:pt>
                <c:pt idx="173">
                  <c:v>36.670775510204081</c:v>
                </c:pt>
                <c:pt idx="174">
                  <c:v>36.240367346938775</c:v>
                </c:pt>
                <c:pt idx="175">
                  <c:v>36.211673469387755</c:v>
                </c:pt>
                <c:pt idx="176">
                  <c:v>36.010816326530609</c:v>
                </c:pt>
                <c:pt idx="177">
                  <c:v>36.03951020408163</c:v>
                </c:pt>
                <c:pt idx="178">
                  <c:v>36.211673469387755</c:v>
                </c:pt>
                <c:pt idx="179">
                  <c:v>36.441224489795914</c:v>
                </c:pt>
                <c:pt idx="180">
                  <c:v>36.4125306122449</c:v>
                </c:pt>
                <c:pt idx="181">
                  <c:v>36.556000000000004</c:v>
                </c:pt>
                <c:pt idx="182">
                  <c:v>36.4125306122449</c:v>
                </c:pt>
                <c:pt idx="183">
                  <c:v>36.297755102040817</c:v>
                </c:pt>
                <c:pt idx="184">
                  <c:v>36.211673469387755</c:v>
                </c:pt>
                <c:pt idx="185">
                  <c:v>36.441224489795914</c:v>
                </c:pt>
                <c:pt idx="186">
                  <c:v>36.211673469387755</c:v>
                </c:pt>
                <c:pt idx="187">
                  <c:v>36.154285714285713</c:v>
                </c:pt>
                <c:pt idx="188">
                  <c:v>36.297755102040817</c:v>
                </c:pt>
                <c:pt idx="189">
                  <c:v>36.211673469387755</c:v>
                </c:pt>
                <c:pt idx="190">
                  <c:v>36.182979591836734</c:v>
                </c:pt>
                <c:pt idx="191">
                  <c:v>36.240367346938775</c:v>
                </c:pt>
                <c:pt idx="192">
                  <c:v>36.441224489795914</c:v>
                </c:pt>
                <c:pt idx="193">
                  <c:v>36.584693877551018</c:v>
                </c:pt>
                <c:pt idx="194">
                  <c:v>37.043795918367344</c:v>
                </c:pt>
                <c:pt idx="195">
                  <c:v>36.642081632653067</c:v>
                </c:pt>
                <c:pt idx="196">
                  <c:v>36.154285714285713</c:v>
                </c:pt>
                <c:pt idx="197">
                  <c:v>36.441224489795914</c:v>
                </c:pt>
                <c:pt idx="198">
                  <c:v>36.584693877551018</c:v>
                </c:pt>
                <c:pt idx="199">
                  <c:v>36.441224489795914</c:v>
                </c:pt>
                <c:pt idx="200">
                  <c:v>36.98640816326531</c:v>
                </c:pt>
                <c:pt idx="201">
                  <c:v>36.756857142857143</c:v>
                </c:pt>
                <c:pt idx="202">
                  <c:v>37.302040816326532</c:v>
                </c:pt>
                <c:pt idx="203">
                  <c:v>37.560285714285712</c:v>
                </c:pt>
                <c:pt idx="204">
                  <c:v>37.302040816326532</c:v>
                </c:pt>
                <c:pt idx="205">
                  <c:v>37.646367346938767</c:v>
                </c:pt>
                <c:pt idx="206">
                  <c:v>38.048081632653059</c:v>
                </c:pt>
                <c:pt idx="207">
                  <c:v>37.531591836734698</c:v>
                </c:pt>
                <c:pt idx="208">
                  <c:v>36.900326530612247</c:v>
                </c:pt>
                <c:pt idx="209">
                  <c:v>36.957714285714289</c:v>
                </c:pt>
                <c:pt idx="210">
                  <c:v>37.416816326530615</c:v>
                </c:pt>
                <c:pt idx="211">
                  <c:v>37.474204081632649</c:v>
                </c:pt>
                <c:pt idx="212">
                  <c:v>37.531591836734698</c:v>
                </c:pt>
                <c:pt idx="213">
                  <c:v>37.789836734693871</c:v>
                </c:pt>
                <c:pt idx="214">
                  <c:v>36.756857142857143</c:v>
                </c:pt>
                <c:pt idx="215">
                  <c:v>36.842938775510206</c:v>
                </c:pt>
                <c:pt idx="216">
                  <c:v>37.015102040816323</c:v>
                </c:pt>
                <c:pt idx="217">
                  <c:v>37.129877551020407</c:v>
                </c:pt>
                <c:pt idx="218">
                  <c:v>37.129877551020407</c:v>
                </c:pt>
                <c:pt idx="219">
                  <c:v>37.445510204081636</c:v>
                </c:pt>
                <c:pt idx="220">
                  <c:v>37.474204081632649</c:v>
                </c:pt>
                <c:pt idx="221">
                  <c:v>37.445510204081636</c:v>
                </c:pt>
                <c:pt idx="222">
                  <c:v>37.158571428571427</c:v>
                </c:pt>
                <c:pt idx="223">
                  <c:v>37.101183673469393</c:v>
                </c:pt>
                <c:pt idx="224">
                  <c:v>36.699469387755101</c:v>
                </c:pt>
                <c:pt idx="225">
                  <c:v>36.584693877551018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5-4E0F-8B4F-CBF43AC4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80591"/>
        <c:axId val="2117272911"/>
      </c:scatterChart>
      <c:valAx>
        <c:axId val="21172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2911"/>
        <c:crosses val="autoZero"/>
        <c:crossBetween val="midCat"/>
      </c:valAx>
      <c:valAx>
        <c:axId val="21172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Gym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Log'!$P$2:$P$227</c:f>
              <c:numCache>
                <c:formatCode>General</c:formatCode>
                <c:ptCount val="22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A-4804-9FB4-B919AB41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363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3631"/>
        <c:crosses val="autoZero"/>
        <c:crossBetween val="midCat"/>
      </c:valAx>
      <c:valAx>
        <c:axId val="2117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Log'!$O$2:$O$227</c:f>
              <c:numCache>
                <c:formatCode>0.00</c:formatCode>
                <c:ptCount val="226"/>
                <c:pt idx="0">
                  <c:v>35.192117361578489</c:v>
                </c:pt>
                <c:pt idx="1">
                  <c:v>34.574687297799606</c:v>
                </c:pt>
                <c:pt idx="2">
                  <c:v>34.574687297799606</c:v>
                </c:pt>
                <c:pt idx="3">
                  <c:v>34.574687297799606</c:v>
                </c:pt>
                <c:pt idx="4">
                  <c:v>33.946879773643239</c:v>
                </c:pt>
                <c:pt idx="5">
                  <c:v>34.574687297799606</c:v>
                </c:pt>
                <c:pt idx="6">
                  <c:v>33.946879773643239</c:v>
                </c:pt>
                <c:pt idx="7">
                  <c:v>33.946879773643239</c:v>
                </c:pt>
                <c:pt idx="8">
                  <c:v>34.574687297799606</c:v>
                </c:pt>
                <c:pt idx="9">
                  <c:v>34.574687297799606</c:v>
                </c:pt>
                <c:pt idx="10">
                  <c:v>33.946879773643239</c:v>
                </c:pt>
                <c:pt idx="11">
                  <c:v>33.308339978650658</c:v>
                </c:pt>
                <c:pt idx="12">
                  <c:v>33.946879773643239</c:v>
                </c:pt>
                <c:pt idx="13">
                  <c:v>33.308339978650658</c:v>
                </c:pt>
                <c:pt idx="14">
                  <c:v>33.308339978650658</c:v>
                </c:pt>
                <c:pt idx="15">
                  <c:v>33.308339978650658</c:v>
                </c:pt>
                <c:pt idx="16">
                  <c:v>33.308339978650658</c:v>
                </c:pt>
                <c:pt idx="17">
                  <c:v>33.308339978650658</c:v>
                </c:pt>
                <c:pt idx="18">
                  <c:v>33.308339978650658</c:v>
                </c:pt>
                <c:pt idx="19">
                  <c:v>33.308339978650658</c:v>
                </c:pt>
                <c:pt idx="20">
                  <c:v>33.308339978650658</c:v>
                </c:pt>
                <c:pt idx="21">
                  <c:v>32.6586945886934</c:v>
                </c:pt>
                <c:pt idx="22">
                  <c:v>32.6586945886934</c:v>
                </c:pt>
                <c:pt idx="23">
                  <c:v>31.997550455105717</c:v>
                </c:pt>
                <c:pt idx="24">
                  <c:v>32.6586945886934</c:v>
                </c:pt>
                <c:pt idx="25">
                  <c:v>31.997550455105717</c:v>
                </c:pt>
                <c:pt idx="26">
                  <c:v>33.308339978650658</c:v>
                </c:pt>
                <c:pt idx="27">
                  <c:v>31.997550455105717</c:v>
                </c:pt>
                <c:pt idx="28">
                  <c:v>31.997550455105717</c:v>
                </c:pt>
                <c:pt idx="29">
                  <c:v>31.997550455105717</c:v>
                </c:pt>
                <c:pt idx="30">
                  <c:v>31.997550455105717</c:v>
                </c:pt>
                <c:pt idx="31">
                  <c:v>31.997550455105717</c:v>
                </c:pt>
                <c:pt idx="32">
                  <c:v>31.324493175702337</c:v>
                </c:pt>
                <c:pt idx="33">
                  <c:v>31.324493175702337</c:v>
                </c:pt>
                <c:pt idx="34">
                  <c:v>31.324493175702337</c:v>
                </c:pt>
                <c:pt idx="35">
                  <c:v>31.324493175702337</c:v>
                </c:pt>
                <c:pt idx="36">
                  <c:v>31.324493175702337</c:v>
                </c:pt>
                <c:pt idx="37">
                  <c:v>31.324493175702337</c:v>
                </c:pt>
                <c:pt idx="38">
                  <c:v>31.997550455105717</c:v>
                </c:pt>
                <c:pt idx="39">
                  <c:v>31.997550455105717</c:v>
                </c:pt>
                <c:pt idx="40">
                  <c:v>30.639085534675949</c:v>
                </c:pt>
                <c:pt idx="41">
                  <c:v>31.324493175702337</c:v>
                </c:pt>
                <c:pt idx="42">
                  <c:v>31.324493175702337</c:v>
                </c:pt>
                <c:pt idx="43">
                  <c:v>31.324493175702337</c:v>
                </c:pt>
                <c:pt idx="44">
                  <c:v>31.324493175702337</c:v>
                </c:pt>
                <c:pt idx="45">
                  <c:v>31.997550455105717</c:v>
                </c:pt>
                <c:pt idx="46">
                  <c:v>31.997550455105717</c:v>
                </c:pt>
                <c:pt idx="47">
                  <c:v>31.324493175702337</c:v>
                </c:pt>
                <c:pt idx="48">
                  <c:v>31.324493175702337</c:v>
                </c:pt>
                <c:pt idx="49">
                  <c:v>31.324493175702337</c:v>
                </c:pt>
                <c:pt idx="50">
                  <c:v>31.324493175702337</c:v>
                </c:pt>
                <c:pt idx="51">
                  <c:v>31.324493175702337</c:v>
                </c:pt>
                <c:pt idx="52">
                  <c:v>31.324493175702337</c:v>
                </c:pt>
                <c:pt idx="53">
                  <c:v>31.324493175702337</c:v>
                </c:pt>
                <c:pt idx="54">
                  <c:v>30.639085534675949</c:v>
                </c:pt>
                <c:pt idx="55">
                  <c:v>30.639085534675949</c:v>
                </c:pt>
                <c:pt idx="56">
                  <c:v>30.639085534675949</c:v>
                </c:pt>
                <c:pt idx="57">
                  <c:v>30.639085534675949</c:v>
                </c:pt>
                <c:pt idx="58">
                  <c:v>30.639085534675949</c:v>
                </c:pt>
                <c:pt idx="59">
                  <c:v>29.940865796666294</c:v>
                </c:pt>
                <c:pt idx="60">
                  <c:v>29.940865796666294</c:v>
                </c:pt>
                <c:pt idx="61">
                  <c:v>30.639085534675949</c:v>
                </c:pt>
                <c:pt idx="62">
                  <c:v>31.324493175702337</c:v>
                </c:pt>
                <c:pt idx="63">
                  <c:v>30.639085534675949</c:v>
                </c:pt>
                <c:pt idx="64">
                  <c:v>30.639085534675949</c:v>
                </c:pt>
                <c:pt idx="65">
                  <c:v>30.639085534675949</c:v>
                </c:pt>
                <c:pt idx="66">
                  <c:v>30.639085534675949</c:v>
                </c:pt>
                <c:pt idx="67">
                  <c:v>30.639085534675949</c:v>
                </c:pt>
                <c:pt idx="68">
                  <c:v>31.324493175702337</c:v>
                </c:pt>
                <c:pt idx="69">
                  <c:v>30.639085534675949</c:v>
                </c:pt>
                <c:pt idx="70">
                  <c:v>30.639085534675949</c:v>
                </c:pt>
                <c:pt idx="71">
                  <c:v>29.940865796666294</c:v>
                </c:pt>
                <c:pt idx="72">
                  <c:v>29.940865796666294</c:v>
                </c:pt>
                <c:pt idx="73">
                  <c:v>29.940865796666294</c:v>
                </c:pt>
                <c:pt idx="74">
                  <c:v>31.324493175702337</c:v>
                </c:pt>
                <c:pt idx="75">
                  <c:v>30.639085534675949</c:v>
                </c:pt>
                <c:pt idx="76">
                  <c:v>29.940865796666294</c:v>
                </c:pt>
                <c:pt idx="77">
                  <c:v>30.639085534675949</c:v>
                </c:pt>
                <c:pt idx="78">
                  <c:v>30.639085534675949</c:v>
                </c:pt>
                <c:pt idx="79">
                  <c:v>30.639085534675949</c:v>
                </c:pt>
                <c:pt idx="80">
                  <c:v>30.639085534675949</c:v>
                </c:pt>
                <c:pt idx="81">
                  <c:v>29.940865796666294</c:v>
                </c:pt>
                <c:pt idx="82">
                  <c:v>30.639085534675949</c:v>
                </c:pt>
                <c:pt idx="83">
                  <c:v>30.639085534675949</c:v>
                </c:pt>
                <c:pt idx="84">
                  <c:v>30.639085534675949</c:v>
                </c:pt>
                <c:pt idx="85">
                  <c:v>30.639085534675949</c:v>
                </c:pt>
                <c:pt idx="86">
                  <c:v>30.639085534675949</c:v>
                </c:pt>
                <c:pt idx="87">
                  <c:v>30.639085534675949</c:v>
                </c:pt>
                <c:pt idx="88">
                  <c:v>30.639085534675949</c:v>
                </c:pt>
                <c:pt idx="89">
                  <c:v>31.324493175702337</c:v>
                </c:pt>
                <c:pt idx="90">
                  <c:v>30.639085534675949</c:v>
                </c:pt>
                <c:pt idx="91">
                  <c:v>30.639085534675949</c:v>
                </c:pt>
                <c:pt idx="92">
                  <c:v>31.324493175702337</c:v>
                </c:pt>
                <c:pt idx="93">
                  <c:v>31.997550455105717</c:v>
                </c:pt>
                <c:pt idx="94">
                  <c:v>31.997550455105717</c:v>
                </c:pt>
                <c:pt idx="95">
                  <c:v>31.324493175702337</c:v>
                </c:pt>
                <c:pt idx="96">
                  <c:v>31.324493175702337</c:v>
                </c:pt>
                <c:pt idx="97">
                  <c:v>31.324493175702337</c:v>
                </c:pt>
                <c:pt idx="98">
                  <c:v>30.639085534675949</c:v>
                </c:pt>
                <c:pt idx="99">
                  <c:v>29.940865796666294</c:v>
                </c:pt>
                <c:pt idx="100">
                  <c:v>30.639085534675949</c:v>
                </c:pt>
                <c:pt idx="101">
                  <c:v>29.940865796666294</c:v>
                </c:pt>
                <c:pt idx="102">
                  <c:v>31.324493175702337</c:v>
                </c:pt>
                <c:pt idx="103">
                  <c:v>31.997550455105717</c:v>
                </c:pt>
                <c:pt idx="104">
                  <c:v>31.997550455105717</c:v>
                </c:pt>
                <c:pt idx="105">
                  <c:v>31.997550455105717</c:v>
                </c:pt>
                <c:pt idx="106">
                  <c:v>31.324493175702337</c:v>
                </c:pt>
                <c:pt idx="107">
                  <c:v>31.324493175702337</c:v>
                </c:pt>
                <c:pt idx="108">
                  <c:v>30.639085534675949</c:v>
                </c:pt>
                <c:pt idx="109">
                  <c:v>30.639085534675949</c:v>
                </c:pt>
                <c:pt idx="110">
                  <c:v>30.639085534675949</c:v>
                </c:pt>
                <c:pt idx="111">
                  <c:v>31.324493175702337</c:v>
                </c:pt>
                <c:pt idx="112">
                  <c:v>30.639085534675949</c:v>
                </c:pt>
                <c:pt idx="113">
                  <c:v>30.639085534675949</c:v>
                </c:pt>
                <c:pt idx="114">
                  <c:v>30.639085534675949</c:v>
                </c:pt>
                <c:pt idx="115">
                  <c:v>30.639085534675949</c:v>
                </c:pt>
                <c:pt idx="116">
                  <c:v>30.639085534675949</c:v>
                </c:pt>
                <c:pt idx="117">
                  <c:v>29.940865796666294</c:v>
                </c:pt>
                <c:pt idx="118">
                  <c:v>29.940865796666294</c:v>
                </c:pt>
                <c:pt idx="119">
                  <c:v>29.940865796666294</c:v>
                </c:pt>
                <c:pt idx="120">
                  <c:v>29.940865796666294</c:v>
                </c:pt>
                <c:pt idx="121">
                  <c:v>30.639085534675949</c:v>
                </c:pt>
                <c:pt idx="122">
                  <c:v>30.639085534675949</c:v>
                </c:pt>
                <c:pt idx="123">
                  <c:v>30.639085534675949</c:v>
                </c:pt>
                <c:pt idx="124">
                  <c:v>30.639085534675949</c:v>
                </c:pt>
                <c:pt idx="125">
                  <c:v>30.639085534675949</c:v>
                </c:pt>
                <c:pt idx="126">
                  <c:v>30.639085534675949</c:v>
                </c:pt>
                <c:pt idx="127">
                  <c:v>30.639085534675949</c:v>
                </c:pt>
                <c:pt idx="128">
                  <c:v>30.639085534675949</c:v>
                </c:pt>
                <c:pt idx="129">
                  <c:v>31.324493175702337</c:v>
                </c:pt>
                <c:pt idx="130">
                  <c:v>31.324493175702337</c:v>
                </c:pt>
                <c:pt idx="131">
                  <c:v>31.324493175702337</c:v>
                </c:pt>
                <c:pt idx="132">
                  <c:v>31.324493175702337</c:v>
                </c:pt>
                <c:pt idx="133">
                  <c:v>31.324493175702337</c:v>
                </c:pt>
                <c:pt idx="134">
                  <c:v>31.997550455105717</c:v>
                </c:pt>
                <c:pt idx="135">
                  <c:v>31.997550455105717</c:v>
                </c:pt>
                <c:pt idx="136">
                  <c:v>31.997550455105717</c:v>
                </c:pt>
                <c:pt idx="137">
                  <c:v>31.997550455105717</c:v>
                </c:pt>
                <c:pt idx="138">
                  <c:v>31.997550455105717</c:v>
                </c:pt>
                <c:pt idx="139">
                  <c:v>31.324493175702337</c:v>
                </c:pt>
                <c:pt idx="140">
                  <c:v>31.324493175702337</c:v>
                </c:pt>
                <c:pt idx="141">
                  <c:v>31.324493175702337</c:v>
                </c:pt>
                <c:pt idx="142">
                  <c:v>31.324493175702337</c:v>
                </c:pt>
                <c:pt idx="143">
                  <c:v>31.324493175702337</c:v>
                </c:pt>
                <c:pt idx="144">
                  <c:v>31.324493175702337</c:v>
                </c:pt>
                <c:pt idx="145">
                  <c:v>31.324493175702337</c:v>
                </c:pt>
                <c:pt idx="146">
                  <c:v>31.324493175702337</c:v>
                </c:pt>
                <c:pt idx="147">
                  <c:v>31.324493175702337</c:v>
                </c:pt>
                <c:pt idx="148">
                  <c:v>31.324493175702337</c:v>
                </c:pt>
                <c:pt idx="149">
                  <c:v>31.324493175702337</c:v>
                </c:pt>
                <c:pt idx="150">
                  <c:v>31.324493175702337</c:v>
                </c:pt>
                <c:pt idx="151">
                  <c:v>31.324493175702337</c:v>
                </c:pt>
                <c:pt idx="152">
                  <c:v>31.324493175702337</c:v>
                </c:pt>
                <c:pt idx="153">
                  <c:v>31.324493175702337</c:v>
                </c:pt>
                <c:pt idx="154">
                  <c:v>31.324493175702337</c:v>
                </c:pt>
                <c:pt idx="155">
                  <c:v>31.324493175702337</c:v>
                </c:pt>
                <c:pt idx="156">
                  <c:v>31.324493175702337</c:v>
                </c:pt>
                <c:pt idx="157">
                  <c:v>31.997550455105717</c:v>
                </c:pt>
                <c:pt idx="158">
                  <c:v>31.997550455105717</c:v>
                </c:pt>
                <c:pt idx="159">
                  <c:v>31.997550455105717</c:v>
                </c:pt>
                <c:pt idx="160">
                  <c:v>31.997550455105717</c:v>
                </c:pt>
                <c:pt idx="161">
                  <c:v>31.997550455105717</c:v>
                </c:pt>
                <c:pt idx="162">
                  <c:v>31.997550455105717</c:v>
                </c:pt>
                <c:pt idx="163">
                  <c:v>31.997550455105717</c:v>
                </c:pt>
                <c:pt idx="164">
                  <c:v>31.997550455105717</c:v>
                </c:pt>
                <c:pt idx="165">
                  <c:v>32.6586945886934</c:v>
                </c:pt>
                <c:pt idx="166">
                  <c:v>32.6586945886934</c:v>
                </c:pt>
                <c:pt idx="167">
                  <c:v>31.997550455105717</c:v>
                </c:pt>
                <c:pt idx="168">
                  <c:v>31.997550455105717</c:v>
                </c:pt>
                <c:pt idx="169">
                  <c:v>31.997550455105717</c:v>
                </c:pt>
                <c:pt idx="170">
                  <c:v>31.997550455105717</c:v>
                </c:pt>
                <c:pt idx="171">
                  <c:v>31.997550455105717</c:v>
                </c:pt>
                <c:pt idx="172">
                  <c:v>31.997550455105717</c:v>
                </c:pt>
                <c:pt idx="173">
                  <c:v>31.997550455105717</c:v>
                </c:pt>
                <c:pt idx="174">
                  <c:v>31.997550455105717</c:v>
                </c:pt>
                <c:pt idx="175">
                  <c:v>31.997550455105717</c:v>
                </c:pt>
                <c:pt idx="176">
                  <c:v>31.324493175702337</c:v>
                </c:pt>
                <c:pt idx="177">
                  <c:v>31.324493175702337</c:v>
                </c:pt>
                <c:pt idx="178">
                  <c:v>31.324493175702337</c:v>
                </c:pt>
                <c:pt idx="179">
                  <c:v>31.997550455105717</c:v>
                </c:pt>
                <c:pt idx="180">
                  <c:v>31.997550455105717</c:v>
                </c:pt>
                <c:pt idx="181">
                  <c:v>32.6586945886934</c:v>
                </c:pt>
                <c:pt idx="182">
                  <c:v>32.6586945886934</c:v>
                </c:pt>
                <c:pt idx="183">
                  <c:v>32.6586945886934</c:v>
                </c:pt>
                <c:pt idx="184">
                  <c:v>32.6586945886934</c:v>
                </c:pt>
                <c:pt idx="185">
                  <c:v>31.997550455105717</c:v>
                </c:pt>
                <c:pt idx="186">
                  <c:v>31.997550455105717</c:v>
                </c:pt>
                <c:pt idx="187">
                  <c:v>31.997550455105717</c:v>
                </c:pt>
                <c:pt idx="188">
                  <c:v>31.997550455105717</c:v>
                </c:pt>
                <c:pt idx="189">
                  <c:v>31.997550455105717</c:v>
                </c:pt>
                <c:pt idx="190">
                  <c:v>32.6586945886934</c:v>
                </c:pt>
                <c:pt idx="191">
                  <c:v>32.6586945886934</c:v>
                </c:pt>
                <c:pt idx="192">
                  <c:v>31.997550455105717</c:v>
                </c:pt>
                <c:pt idx="193">
                  <c:v>31.997550455105717</c:v>
                </c:pt>
                <c:pt idx="194">
                  <c:v>31.997550455105717</c:v>
                </c:pt>
                <c:pt idx="195">
                  <c:v>31.997550455105717</c:v>
                </c:pt>
                <c:pt idx="196">
                  <c:v>31.997550455105717</c:v>
                </c:pt>
                <c:pt idx="197">
                  <c:v>31.997550455105717</c:v>
                </c:pt>
                <c:pt idx="198">
                  <c:v>32.6586945886934</c:v>
                </c:pt>
                <c:pt idx="199">
                  <c:v>32.6586945886934</c:v>
                </c:pt>
                <c:pt idx="200">
                  <c:v>32.6586945886934</c:v>
                </c:pt>
                <c:pt idx="201">
                  <c:v>32.6586945886934</c:v>
                </c:pt>
                <c:pt idx="202">
                  <c:v>32.6586945886934</c:v>
                </c:pt>
                <c:pt idx="203">
                  <c:v>33.308339978650658</c:v>
                </c:pt>
                <c:pt idx="204">
                  <c:v>32.6586945886934</c:v>
                </c:pt>
                <c:pt idx="205">
                  <c:v>33.308339978650658</c:v>
                </c:pt>
                <c:pt idx="206">
                  <c:v>33.946879773643239</c:v>
                </c:pt>
                <c:pt idx="207">
                  <c:v>33.308339978650658</c:v>
                </c:pt>
                <c:pt idx="208">
                  <c:v>32.6586945886934</c:v>
                </c:pt>
                <c:pt idx="209">
                  <c:v>33.308339978650658</c:v>
                </c:pt>
                <c:pt idx="210">
                  <c:v>32.6586945886934</c:v>
                </c:pt>
                <c:pt idx="211">
                  <c:v>33.308339978650658</c:v>
                </c:pt>
                <c:pt idx="212">
                  <c:v>33.308339978650658</c:v>
                </c:pt>
                <c:pt idx="213">
                  <c:v>32.6586945886934</c:v>
                </c:pt>
                <c:pt idx="214">
                  <c:v>31.997550455105717</c:v>
                </c:pt>
                <c:pt idx="215">
                  <c:v>31.997550455105717</c:v>
                </c:pt>
                <c:pt idx="216">
                  <c:v>32.6586945886934</c:v>
                </c:pt>
                <c:pt idx="217">
                  <c:v>31.997550455105717</c:v>
                </c:pt>
                <c:pt idx="218">
                  <c:v>31.997550455105717</c:v>
                </c:pt>
                <c:pt idx="219">
                  <c:v>32.6586945886934</c:v>
                </c:pt>
                <c:pt idx="220">
                  <c:v>32.6586945886934</c:v>
                </c:pt>
                <c:pt idx="221">
                  <c:v>31.997550455105717</c:v>
                </c:pt>
                <c:pt idx="222">
                  <c:v>33.308339978650658</c:v>
                </c:pt>
                <c:pt idx="223">
                  <c:v>32.6586945886934</c:v>
                </c:pt>
                <c:pt idx="224">
                  <c:v>32.6586945886934</c:v>
                </c:pt>
                <c:pt idx="225">
                  <c:v>32.6586945886934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ABD-B4E8-533E812E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9375"/>
        <c:axId val="2123675535"/>
      </c:scatterChart>
      <c:valAx>
        <c:axId val="2123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5535"/>
        <c:crosses val="autoZero"/>
        <c:crossBetween val="midCat"/>
      </c:valAx>
      <c:valAx>
        <c:axId val="2123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Log'!$Q$2:$Q$227</c:f>
              <c:numCache>
                <c:formatCode>General</c:formatCode>
                <c:ptCount val="2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6-4532-981F-6B5931CA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56175"/>
        <c:axId val="2123757135"/>
      </c:scatterChart>
      <c:valAx>
        <c:axId val="21237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7135"/>
        <c:crosses val="autoZero"/>
        <c:crossBetween val="midCat"/>
      </c:valAx>
      <c:valAx>
        <c:axId val="2123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Log'!$R$2:$R$227</c:f>
              <c:numCache>
                <c:formatCode>0.00</c:formatCode>
                <c:ptCount val="226"/>
                <c:pt idx="0">
                  <c:v>1465</c:v>
                </c:pt>
                <c:pt idx="1">
                  <c:v>2521</c:v>
                </c:pt>
                <c:pt idx="2">
                  <c:v>1385.1916666666666</c:v>
                </c:pt>
                <c:pt idx="3">
                  <c:v>570</c:v>
                </c:pt>
                <c:pt idx="4">
                  <c:v>1946.3333333333301</c:v>
                </c:pt>
                <c:pt idx="5">
                  <c:v>1265.2333333333333</c:v>
                </c:pt>
                <c:pt idx="6">
                  <c:v>2167.3333333333335</c:v>
                </c:pt>
                <c:pt idx="7">
                  <c:v>4080</c:v>
                </c:pt>
                <c:pt idx="8">
                  <c:v>2535.9333333333334</c:v>
                </c:pt>
                <c:pt idx="9">
                  <c:v>1635.9333333333334</c:v>
                </c:pt>
                <c:pt idx="10">
                  <c:v>1645.3333333333333</c:v>
                </c:pt>
                <c:pt idx="11">
                  <c:v>1216.2666666666669</c:v>
                </c:pt>
                <c:pt idx="12">
                  <c:v>2812.3583333333336</c:v>
                </c:pt>
                <c:pt idx="13">
                  <c:v>1805.45</c:v>
                </c:pt>
                <c:pt idx="14">
                  <c:v>1547.6925000000001</c:v>
                </c:pt>
                <c:pt idx="15">
                  <c:v>2194.1925000000001</c:v>
                </c:pt>
                <c:pt idx="16">
                  <c:v>954.40000000000009</c:v>
                </c:pt>
                <c:pt idx="17">
                  <c:v>1094.4000000000001</c:v>
                </c:pt>
                <c:pt idx="18">
                  <c:v>952.90000000000009</c:v>
                </c:pt>
                <c:pt idx="19">
                  <c:v>2076.0425</c:v>
                </c:pt>
                <c:pt idx="20">
                  <c:v>1171.1500000000001</c:v>
                </c:pt>
                <c:pt idx="21">
                  <c:v>1103.1424999999999</c:v>
                </c:pt>
                <c:pt idx="22">
                  <c:v>1099.3403333333333</c:v>
                </c:pt>
                <c:pt idx="23">
                  <c:v>929.57666666666671</c:v>
                </c:pt>
                <c:pt idx="24">
                  <c:v>1264.6766666666667</c:v>
                </c:pt>
                <c:pt idx="25">
                  <c:v>1016.4766666666667</c:v>
                </c:pt>
                <c:pt idx="26">
                  <c:v>1494.2766666666666</c:v>
                </c:pt>
                <c:pt idx="27">
                  <c:v>1373.0766666666666</c:v>
                </c:pt>
                <c:pt idx="28">
                  <c:v>1208.0766666666666</c:v>
                </c:pt>
                <c:pt idx="29">
                  <c:v>1084.4850000000001</c:v>
                </c:pt>
                <c:pt idx="30">
                  <c:v>838.5150000000001</c:v>
                </c:pt>
                <c:pt idx="31">
                  <c:v>1120.8966666666668</c:v>
                </c:pt>
                <c:pt idx="32">
                  <c:v>961.5150000000001</c:v>
                </c:pt>
                <c:pt idx="33">
                  <c:v>1679.0300000000002</c:v>
                </c:pt>
                <c:pt idx="34">
                  <c:v>910.89666666666676</c:v>
                </c:pt>
                <c:pt idx="35">
                  <c:v>1913</c:v>
                </c:pt>
                <c:pt idx="36">
                  <c:v>660.31500000000005</c:v>
                </c:pt>
                <c:pt idx="37">
                  <c:v>8729</c:v>
                </c:pt>
                <c:pt idx="38">
                  <c:v>5246</c:v>
                </c:pt>
                <c:pt idx="39">
                  <c:v>4250</c:v>
                </c:pt>
                <c:pt idx="40">
                  <c:v>3910</c:v>
                </c:pt>
                <c:pt idx="41">
                  <c:v>2672</c:v>
                </c:pt>
                <c:pt idx="42">
                  <c:v>2990</c:v>
                </c:pt>
                <c:pt idx="43">
                  <c:v>4480</c:v>
                </c:pt>
                <c:pt idx="44">
                  <c:v>4097.0910000000003</c:v>
                </c:pt>
                <c:pt idx="45">
                  <c:v>4807.8961428571429</c:v>
                </c:pt>
                <c:pt idx="46">
                  <c:v>1731.8363095238096</c:v>
                </c:pt>
                <c:pt idx="47">
                  <c:v>1426.5876015289059</c:v>
                </c:pt>
                <c:pt idx="48">
                  <c:v>1383.4785714285715</c:v>
                </c:pt>
                <c:pt idx="49">
                  <c:v>1320.5876015289059</c:v>
                </c:pt>
                <c:pt idx="50">
                  <c:v>1420.5876015289059</c:v>
                </c:pt>
                <c:pt idx="51">
                  <c:v>2715.5266666666666</c:v>
                </c:pt>
                <c:pt idx="52">
                  <c:v>1360.5876015289059</c:v>
                </c:pt>
                <c:pt idx="53">
                  <c:v>1806.7666666666669</c:v>
                </c:pt>
                <c:pt idx="54">
                  <c:v>1420.5876015289059</c:v>
                </c:pt>
                <c:pt idx="55">
                  <c:v>2139.6756967670008</c:v>
                </c:pt>
                <c:pt idx="56">
                  <c:v>1865.945238095238</c:v>
                </c:pt>
                <c:pt idx="57">
                  <c:v>950.84523809523807</c:v>
                </c:pt>
                <c:pt idx="58">
                  <c:v>1500.1</c:v>
                </c:pt>
                <c:pt idx="59">
                  <c:v>947.84523809523807</c:v>
                </c:pt>
                <c:pt idx="60">
                  <c:v>1579.1</c:v>
                </c:pt>
                <c:pt idx="61">
                  <c:v>1396.8452380952381</c:v>
                </c:pt>
                <c:pt idx="62">
                  <c:v>1535.945238095238</c:v>
                </c:pt>
                <c:pt idx="63">
                  <c:v>917.09999999999991</c:v>
                </c:pt>
                <c:pt idx="64">
                  <c:v>5571</c:v>
                </c:pt>
                <c:pt idx="65">
                  <c:v>563</c:v>
                </c:pt>
                <c:pt idx="66">
                  <c:v>1751.8452380952381</c:v>
                </c:pt>
                <c:pt idx="67">
                  <c:v>6805.1</c:v>
                </c:pt>
                <c:pt idx="68">
                  <c:v>1611.3416666666667</c:v>
                </c:pt>
                <c:pt idx="69">
                  <c:v>1531.4642857142858</c:v>
                </c:pt>
                <c:pt idx="70">
                  <c:v>1168.6833333333334</c:v>
                </c:pt>
                <c:pt idx="71">
                  <c:v>5765.9809523809527</c:v>
                </c:pt>
                <c:pt idx="72">
                  <c:v>1465</c:v>
                </c:pt>
                <c:pt idx="73">
                  <c:v>5250</c:v>
                </c:pt>
                <c:pt idx="74">
                  <c:v>1052.6833333333334</c:v>
                </c:pt>
                <c:pt idx="75">
                  <c:v>1256.7809523809524</c:v>
                </c:pt>
                <c:pt idx="76">
                  <c:v>1981.3666666666666</c:v>
                </c:pt>
                <c:pt idx="77">
                  <c:v>1446.7809523809524</c:v>
                </c:pt>
                <c:pt idx="78">
                  <c:v>6761.2809523809519</c:v>
                </c:pt>
                <c:pt idx="79">
                  <c:v>3475</c:v>
                </c:pt>
                <c:pt idx="80">
                  <c:v>1697.6833333333334</c:v>
                </c:pt>
                <c:pt idx="81">
                  <c:v>2614.1476190476192</c:v>
                </c:pt>
                <c:pt idx="82">
                  <c:v>2384.9333333333334</c:v>
                </c:pt>
                <c:pt idx="83">
                  <c:v>1826.8833333333332</c:v>
                </c:pt>
                <c:pt idx="84">
                  <c:v>3227.333333333333</c:v>
                </c:pt>
                <c:pt idx="85">
                  <c:v>5149.2775000000001</c:v>
                </c:pt>
                <c:pt idx="86">
                  <c:v>6937.7775000000001</c:v>
                </c:pt>
                <c:pt idx="87">
                  <c:v>1985.5549999999998</c:v>
                </c:pt>
                <c:pt idx="88">
                  <c:v>2473.7108333333331</c:v>
                </c:pt>
                <c:pt idx="89">
                  <c:v>3155.1333333333332</c:v>
                </c:pt>
                <c:pt idx="90">
                  <c:v>2717.6</c:v>
                </c:pt>
                <c:pt idx="91">
                  <c:v>7706.8</c:v>
                </c:pt>
                <c:pt idx="92">
                  <c:v>6005.7866666666669</c:v>
                </c:pt>
                <c:pt idx="93">
                  <c:v>1501.3583333333331</c:v>
                </c:pt>
                <c:pt idx="94">
                  <c:v>1293.1566666666668</c:v>
                </c:pt>
                <c:pt idx="95">
                  <c:v>2740.1949999999997</c:v>
                </c:pt>
                <c:pt idx="96">
                  <c:v>1731.3566666666666</c:v>
                </c:pt>
                <c:pt idx="97">
                  <c:v>2851.8975</c:v>
                </c:pt>
                <c:pt idx="98">
                  <c:v>3982.0666666666666</c:v>
                </c:pt>
                <c:pt idx="99">
                  <c:v>4340.2266666666665</c:v>
                </c:pt>
                <c:pt idx="100">
                  <c:v>6197.8975</c:v>
                </c:pt>
                <c:pt idx="101">
                  <c:v>7687</c:v>
                </c:pt>
                <c:pt idx="102">
                  <c:v>1855.9666666666667</c:v>
                </c:pt>
                <c:pt idx="103">
                  <c:v>1957.58</c:v>
                </c:pt>
                <c:pt idx="104">
                  <c:v>1957.58</c:v>
                </c:pt>
                <c:pt idx="105">
                  <c:v>2466.2033333333334</c:v>
                </c:pt>
                <c:pt idx="106">
                  <c:v>2987.55</c:v>
                </c:pt>
                <c:pt idx="107">
                  <c:v>1735.0233333333333</c:v>
                </c:pt>
                <c:pt idx="108">
                  <c:v>1204.9933333333333</c:v>
                </c:pt>
                <c:pt idx="109">
                  <c:v>2981.1</c:v>
                </c:pt>
                <c:pt idx="110">
                  <c:v>2506.7633333333333</c:v>
                </c:pt>
                <c:pt idx="111">
                  <c:v>3673.7</c:v>
                </c:pt>
                <c:pt idx="112">
                  <c:v>2366.0533333333333</c:v>
                </c:pt>
                <c:pt idx="113">
                  <c:v>1635.9233333333332</c:v>
                </c:pt>
                <c:pt idx="114">
                  <c:v>1498.1</c:v>
                </c:pt>
                <c:pt idx="115">
                  <c:v>1605.0633333333333</c:v>
                </c:pt>
                <c:pt idx="116">
                  <c:v>1748.55</c:v>
                </c:pt>
                <c:pt idx="117">
                  <c:v>1548.4</c:v>
                </c:pt>
                <c:pt idx="118">
                  <c:v>1562</c:v>
                </c:pt>
                <c:pt idx="119">
                  <c:v>1366</c:v>
                </c:pt>
                <c:pt idx="120">
                  <c:v>1257.0999999999999</c:v>
                </c:pt>
                <c:pt idx="121">
                  <c:v>8222</c:v>
                </c:pt>
                <c:pt idx="122">
                  <c:v>4515.8237499999996</c:v>
                </c:pt>
                <c:pt idx="123">
                  <c:v>5192.6812499999996</c:v>
                </c:pt>
                <c:pt idx="124">
                  <c:v>560</c:v>
                </c:pt>
                <c:pt idx="125">
                  <c:v>4345.1558333333342</c:v>
                </c:pt>
                <c:pt idx="126">
                  <c:v>5061.466071428571</c:v>
                </c:pt>
                <c:pt idx="127">
                  <c:v>7330.8238095238103</c:v>
                </c:pt>
                <c:pt idx="128">
                  <c:v>6810.4339285714286</c:v>
                </c:pt>
                <c:pt idx="129">
                  <c:v>5391.7351190476193</c:v>
                </c:pt>
                <c:pt idx="130">
                  <c:v>4849.4448214285712</c:v>
                </c:pt>
                <c:pt idx="131">
                  <c:v>500</c:v>
                </c:pt>
                <c:pt idx="132">
                  <c:v>5525</c:v>
                </c:pt>
                <c:pt idx="133">
                  <c:v>4857.2833333333328</c:v>
                </c:pt>
                <c:pt idx="134">
                  <c:v>4762.6833333333334</c:v>
                </c:pt>
                <c:pt idx="135">
                  <c:v>4631.3</c:v>
                </c:pt>
                <c:pt idx="136">
                  <c:v>3025.2295833333337</c:v>
                </c:pt>
                <c:pt idx="137">
                  <c:v>3309.7843750000002</c:v>
                </c:pt>
                <c:pt idx="138">
                  <c:v>692</c:v>
                </c:pt>
                <c:pt idx="139">
                  <c:v>3776.5233333333335</c:v>
                </c:pt>
                <c:pt idx="140">
                  <c:v>4886.0414583333331</c:v>
                </c:pt>
                <c:pt idx="141">
                  <c:v>3312.8814583333333</c:v>
                </c:pt>
                <c:pt idx="142">
                  <c:v>3113.3677083333332</c:v>
                </c:pt>
                <c:pt idx="143">
                  <c:v>4050.583333333333</c:v>
                </c:pt>
                <c:pt idx="144">
                  <c:v>2263.6781249999999</c:v>
                </c:pt>
                <c:pt idx="145">
                  <c:v>10</c:v>
                </c:pt>
                <c:pt idx="146">
                  <c:v>2235.6781249999999</c:v>
                </c:pt>
                <c:pt idx="147">
                  <c:v>6047</c:v>
                </c:pt>
                <c:pt idx="148">
                  <c:v>2667</c:v>
                </c:pt>
                <c:pt idx="149">
                  <c:v>2940</c:v>
                </c:pt>
                <c:pt idx="150">
                  <c:v>1592</c:v>
                </c:pt>
                <c:pt idx="151">
                  <c:v>5802.7849999999999</c:v>
                </c:pt>
                <c:pt idx="152">
                  <c:v>1316.9749999999999</c:v>
                </c:pt>
                <c:pt idx="153">
                  <c:v>1219.3699999999999</c:v>
                </c:pt>
                <c:pt idx="154">
                  <c:v>2270.0566666666668</c:v>
                </c:pt>
                <c:pt idx="155">
                  <c:v>2812.5150000000003</c:v>
                </c:pt>
                <c:pt idx="156">
                  <c:v>7104.37</c:v>
                </c:pt>
                <c:pt idx="157">
                  <c:v>1995.5166666666667</c:v>
                </c:pt>
                <c:pt idx="158">
                  <c:v>2392.7399999999998</c:v>
                </c:pt>
                <c:pt idx="159">
                  <c:v>1908.2166666666665</c:v>
                </c:pt>
                <c:pt idx="160">
                  <c:v>4115.6466666666665</c:v>
                </c:pt>
                <c:pt idx="161">
                  <c:v>2253.5166666666664</c:v>
                </c:pt>
                <c:pt idx="162">
                  <c:v>4339.55</c:v>
                </c:pt>
                <c:pt idx="163">
                  <c:v>2963.74</c:v>
                </c:pt>
                <c:pt idx="164">
                  <c:v>5194.74</c:v>
                </c:pt>
                <c:pt idx="165">
                  <c:v>2174</c:v>
                </c:pt>
                <c:pt idx="166">
                  <c:v>2046.3866666666668</c:v>
                </c:pt>
                <c:pt idx="167">
                  <c:v>1417.494375</c:v>
                </c:pt>
                <c:pt idx="168">
                  <c:v>2175.2666666666664</c:v>
                </c:pt>
                <c:pt idx="169">
                  <c:v>2027.547619047619</c:v>
                </c:pt>
                <c:pt idx="170">
                  <c:v>3443.7610416666666</c:v>
                </c:pt>
                <c:pt idx="171">
                  <c:v>3056.2666666666664</c:v>
                </c:pt>
                <c:pt idx="172">
                  <c:v>6201.5</c:v>
                </c:pt>
                <c:pt idx="173">
                  <c:v>3067.041994047619</c:v>
                </c:pt>
                <c:pt idx="174">
                  <c:v>2795.8586607142856</c:v>
                </c:pt>
                <c:pt idx="175">
                  <c:v>2490.5476190476193</c:v>
                </c:pt>
                <c:pt idx="176">
                  <c:v>2392.6666666666665</c:v>
                </c:pt>
                <c:pt idx="177">
                  <c:v>1220.4000000000001</c:v>
                </c:pt>
                <c:pt idx="178">
                  <c:v>4894.0476190476193</c:v>
                </c:pt>
                <c:pt idx="179">
                  <c:v>2821.5142857142855</c:v>
                </c:pt>
                <c:pt idx="180">
                  <c:v>2853.2666666666664</c:v>
                </c:pt>
                <c:pt idx="181">
                  <c:v>1625.2666666666667</c:v>
                </c:pt>
                <c:pt idx="182">
                  <c:v>3921.0125595238096</c:v>
                </c:pt>
                <c:pt idx="183">
                  <c:v>2820.7610416666666</c:v>
                </c:pt>
                <c:pt idx="184">
                  <c:v>1694.2666666666667</c:v>
                </c:pt>
                <c:pt idx="185">
                  <c:v>963.26666666666665</c:v>
                </c:pt>
                <c:pt idx="186">
                  <c:v>2564.7571428571428</c:v>
                </c:pt>
                <c:pt idx="187">
                  <c:v>3749.5142857142855</c:v>
                </c:pt>
                <c:pt idx="188">
                  <c:v>2080.6566666666668</c:v>
                </c:pt>
                <c:pt idx="189">
                  <c:v>6100.4210416666665</c:v>
                </c:pt>
                <c:pt idx="190">
                  <c:v>4590.5896130952387</c:v>
                </c:pt>
                <c:pt idx="191">
                  <c:v>4289.8196130952383</c:v>
                </c:pt>
                <c:pt idx="192">
                  <c:v>5915</c:v>
                </c:pt>
                <c:pt idx="193">
                  <c:v>5619.666666666667</c:v>
                </c:pt>
                <c:pt idx="194">
                  <c:v>2403.3229464285714</c:v>
                </c:pt>
                <c:pt idx="195">
                  <c:v>2964.7252380952382</c:v>
                </c:pt>
                <c:pt idx="196">
                  <c:v>3016.4285714285716</c:v>
                </c:pt>
                <c:pt idx="197">
                  <c:v>2835.166666666667</c:v>
                </c:pt>
                <c:pt idx="198">
                  <c:v>3105.8571428571431</c:v>
                </c:pt>
                <c:pt idx="199">
                  <c:v>4711.3943749999999</c:v>
                </c:pt>
                <c:pt idx="200">
                  <c:v>5535.3943749999999</c:v>
                </c:pt>
                <c:pt idx="201">
                  <c:v>6639</c:v>
                </c:pt>
                <c:pt idx="202">
                  <c:v>4938.1818750000002</c:v>
                </c:pt>
                <c:pt idx="203">
                  <c:v>6715.1818750000002</c:v>
                </c:pt>
                <c:pt idx="204">
                  <c:v>6197</c:v>
                </c:pt>
                <c:pt idx="205">
                  <c:v>5768.4333333333334</c:v>
                </c:pt>
                <c:pt idx="206">
                  <c:v>1053.2833333333333</c:v>
                </c:pt>
                <c:pt idx="207">
                  <c:v>3000.2233333333334</c:v>
                </c:pt>
                <c:pt idx="208">
                  <c:v>3526.6766666666667</c:v>
                </c:pt>
                <c:pt idx="209">
                  <c:v>4550.4666666666662</c:v>
                </c:pt>
                <c:pt idx="210">
                  <c:v>1650.7433333333333</c:v>
                </c:pt>
                <c:pt idx="211">
                  <c:v>2914.3553395667836</c:v>
                </c:pt>
                <c:pt idx="212">
                  <c:v>2914.3553395667836</c:v>
                </c:pt>
                <c:pt idx="213">
                  <c:v>2914.3553395667836</c:v>
                </c:pt>
                <c:pt idx="214">
                  <c:v>2914.3553395667836</c:v>
                </c:pt>
                <c:pt idx="215">
                  <c:v>2914.3553395667836</c:v>
                </c:pt>
                <c:pt idx="216">
                  <c:v>2914.3553395667836</c:v>
                </c:pt>
                <c:pt idx="217">
                  <c:v>2914.3553395667836</c:v>
                </c:pt>
                <c:pt idx="218">
                  <c:v>3404.6666666666665</c:v>
                </c:pt>
                <c:pt idx="219">
                  <c:v>3011</c:v>
                </c:pt>
                <c:pt idx="220">
                  <c:v>1508</c:v>
                </c:pt>
                <c:pt idx="221">
                  <c:v>4368</c:v>
                </c:pt>
                <c:pt idx="222">
                  <c:v>1983.9</c:v>
                </c:pt>
                <c:pt idx="223">
                  <c:v>1723.8200000000002</c:v>
                </c:pt>
                <c:pt idx="224">
                  <c:v>2553.94</c:v>
                </c:pt>
                <c:pt idx="225">
                  <c:v>8019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9-489E-8C38-63C312D9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6255"/>
        <c:axId val="2123707215"/>
      </c:scatterChart>
      <c:valAx>
        <c:axId val="212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7215"/>
        <c:crosses val="autoZero"/>
        <c:crossBetween val="midCat"/>
      </c:valAx>
      <c:valAx>
        <c:axId val="2123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Log'!$S$2:$S$227</c:f>
              <c:numCache>
                <c:formatCode>0.00</c:formatCode>
                <c:ptCount val="226"/>
                <c:pt idx="0">
                  <c:v>189.5</c:v>
                </c:pt>
                <c:pt idx="1">
                  <c:v>499.95</c:v>
                </c:pt>
                <c:pt idx="2">
                  <c:v>172.41208333333333</c:v>
                </c:pt>
                <c:pt idx="3">
                  <c:v>108</c:v>
                </c:pt>
                <c:pt idx="4">
                  <c:v>259.04000000000002</c:v>
                </c:pt>
                <c:pt idx="5">
                  <c:v>195.20333333333332</c:v>
                </c:pt>
                <c:pt idx="6">
                  <c:v>309.47333333333336</c:v>
                </c:pt>
                <c:pt idx="7">
                  <c:v>349</c:v>
                </c:pt>
                <c:pt idx="8">
                  <c:v>235.18333333333331</c:v>
                </c:pt>
                <c:pt idx="9">
                  <c:v>139.18333333333331</c:v>
                </c:pt>
                <c:pt idx="10">
                  <c:v>119.54166666666666</c:v>
                </c:pt>
                <c:pt idx="11">
                  <c:v>111.93333333333332</c:v>
                </c:pt>
                <c:pt idx="12">
                  <c:v>287.93333333333334</c:v>
                </c:pt>
                <c:pt idx="13">
                  <c:v>206.88333333333333</c:v>
                </c:pt>
                <c:pt idx="14">
                  <c:v>204.06225000000001</c:v>
                </c:pt>
                <c:pt idx="15">
                  <c:v>280.62708333333336</c:v>
                </c:pt>
                <c:pt idx="16">
                  <c:v>116.63333333333333</c:v>
                </c:pt>
                <c:pt idx="17">
                  <c:v>142.63333333333333</c:v>
                </c:pt>
                <c:pt idx="18">
                  <c:v>116.42333333333333</c:v>
                </c:pt>
                <c:pt idx="19">
                  <c:v>293.27308333333337</c:v>
                </c:pt>
                <c:pt idx="20">
                  <c:v>124.89999999999998</c:v>
                </c:pt>
                <c:pt idx="21">
                  <c:v>126.84975</c:v>
                </c:pt>
                <c:pt idx="22">
                  <c:v>136.31986666666666</c:v>
                </c:pt>
                <c:pt idx="23">
                  <c:v>119.70183333333333</c:v>
                </c:pt>
                <c:pt idx="24">
                  <c:v>131.39683333333335</c:v>
                </c:pt>
                <c:pt idx="25">
                  <c:v>129.08183333333335</c:v>
                </c:pt>
                <c:pt idx="26">
                  <c:v>168.80183333333335</c:v>
                </c:pt>
                <c:pt idx="27">
                  <c:v>150.42183333333332</c:v>
                </c:pt>
                <c:pt idx="28">
                  <c:v>172.42183333333332</c:v>
                </c:pt>
                <c:pt idx="29">
                  <c:v>112.8995</c:v>
                </c:pt>
                <c:pt idx="30">
                  <c:v>90.527500000000003</c:v>
                </c:pt>
                <c:pt idx="31">
                  <c:v>68.50333333333333</c:v>
                </c:pt>
                <c:pt idx="32">
                  <c:v>99.227499999999992</c:v>
                </c:pt>
                <c:pt idx="33">
                  <c:v>119.35499999999999</c:v>
                </c:pt>
                <c:pt idx="34">
                  <c:v>43.003333333333337</c:v>
                </c:pt>
                <c:pt idx="35">
                  <c:v>146.79999999999998</c:v>
                </c:pt>
                <c:pt idx="36">
                  <c:v>48.047499999999999</c:v>
                </c:pt>
                <c:pt idx="37">
                  <c:v>908.85000000000014</c:v>
                </c:pt>
                <c:pt idx="38">
                  <c:v>622.20000000000005</c:v>
                </c:pt>
                <c:pt idx="39">
                  <c:v>572.5</c:v>
                </c:pt>
                <c:pt idx="40">
                  <c:v>655</c:v>
                </c:pt>
                <c:pt idx="41">
                  <c:v>340.8</c:v>
                </c:pt>
                <c:pt idx="42">
                  <c:v>364</c:v>
                </c:pt>
                <c:pt idx="43">
                  <c:v>575</c:v>
                </c:pt>
                <c:pt idx="44">
                  <c:v>628.79999999999995</c:v>
                </c:pt>
                <c:pt idx="45">
                  <c:v>631.78571428571422</c:v>
                </c:pt>
                <c:pt idx="46">
                  <c:v>303.92931547619042</c:v>
                </c:pt>
                <c:pt idx="47">
                  <c:v>66.84253132133567</c:v>
                </c:pt>
                <c:pt idx="48">
                  <c:v>63.817261904761914</c:v>
                </c:pt>
                <c:pt idx="49">
                  <c:v>70.942531321335665</c:v>
                </c:pt>
                <c:pt idx="50">
                  <c:v>71.442531321335665</c:v>
                </c:pt>
                <c:pt idx="51">
                  <c:v>346.685</c:v>
                </c:pt>
                <c:pt idx="52">
                  <c:v>71.442531321335665</c:v>
                </c:pt>
                <c:pt idx="53">
                  <c:v>151.16</c:v>
                </c:pt>
                <c:pt idx="54">
                  <c:v>72.442531321335665</c:v>
                </c:pt>
                <c:pt idx="55">
                  <c:v>215.71526941657376</c:v>
                </c:pt>
                <c:pt idx="56">
                  <c:v>178.92202380952378</c:v>
                </c:pt>
                <c:pt idx="57">
                  <c:v>44.072023809523806</c:v>
                </c:pt>
                <c:pt idx="58">
                  <c:v>73.849999999999994</c:v>
                </c:pt>
                <c:pt idx="59">
                  <c:v>47.87202380952381</c:v>
                </c:pt>
                <c:pt idx="60">
                  <c:v>51.45</c:v>
                </c:pt>
                <c:pt idx="61">
                  <c:v>103.9720238095238</c:v>
                </c:pt>
                <c:pt idx="62">
                  <c:v>50.922023809523814</c:v>
                </c:pt>
                <c:pt idx="63">
                  <c:v>86.149999999999991</c:v>
                </c:pt>
                <c:pt idx="64">
                  <c:v>731.84999999999991</c:v>
                </c:pt>
                <c:pt idx="65">
                  <c:v>80.800000000000011</c:v>
                </c:pt>
                <c:pt idx="66">
                  <c:v>236.07202380952378</c:v>
                </c:pt>
                <c:pt idx="67">
                  <c:v>837.35000000000014</c:v>
                </c:pt>
                <c:pt idx="68">
                  <c:v>114.51944444444445</c:v>
                </c:pt>
                <c:pt idx="69">
                  <c:v>61.185317460317457</c:v>
                </c:pt>
                <c:pt idx="70">
                  <c:v>116.63888888888889</c:v>
                </c:pt>
                <c:pt idx="71">
                  <c:v>818.50642857142861</c:v>
                </c:pt>
                <c:pt idx="72">
                  <c:v>148.1</c:v>
                </c:pt>
                <c:pt idx="73">
                  <c:v>756</c:v>
                </c:pt>
                <c:pt idx="74">
                  <c:v>92.538888888888891</c:v>
                </c:pt>
                <c:pt idx="75">
                  <c:v>66.046428571428578</c:v>
                </c:pt>
                <c:pt idx="76">
                  <c:v>122.57777777777777</c:v>
                </c:pt>
                <c:pt idx="77">
                  <c:v>140.54642857142855</c:v>
                </c:pt>
                <c:pt idx="78">
                  <c:v>936.84642857142853</c:v>
                </c:pt>
                <c:pt idx="79">
                  <c:v>342.6</c:v>
                </c:pt>
                <c:pt idx="80">
                  <c:v>241.83888888888887</c:v>
                </c:pt>
                <c:pt idx="81">
                  <c:v>412.20642857142855</c:v>
                </c:pt>
                <c:pt idx="82">
                  <c:v>390.66500000000002</c:v>
                </c:pt>
                <c:pt idx="83">
                  <c:v>321.42</c:v>
                </c:pt>
                <c:pt idx="84">
                  <c:v>466.72500000000002</c:v>
                </c:pt>
                <c:pt idx="85">
                  <c:v>797.06784722222221</c:v>
                </c:pt>
                <c:pt idx="86">
                  <c:v>989.93312500000002</c:v>
                </c:pt>
                <c:pt idx="87">
                  <c:v>303.86625000000004</c:v>
                </c:pt>
                <c:pt idx="88">
                  <c:v>310.198125</c:v>
                </c:pt>
                <c:pt idx="89">
                  <c:v>326.05972222222221</c:v>
                </c:pt>
                <c:pt idx="90">
                  <c:v>268.66944444444448</c:v>
                </c:pt>
                <c:pt idx="91">
                  <c:v>934.53472222222229</c:v>
                </c:pt>
                <c:pt idx="92">
                  <c:v>970.16666666666674</c:v>
                </c:pt>
                <c:pt idx="93">
                  <c:v>99.205555555555549</c:v>
                </c:pt>
                <c:pt idx="94">
                  <c:v>101.54700000000001</c:v>
                </c:pt>
                <c:pt idx="95">
                  <c:v>193.24499999999998</c:v>
                </c:pt>
                <c:pt idx="96">
                  <c:v>208.52799999999999</c:v>
                </c:pt>
                <c:pt idx="97">
                  <c:v>267.30999999999995</c:v>
                </c:pt>
                <c:pt idx="98">
                  <c:v>648.2940000000001</c:v>
                </c:pt>
                <c:pt idx="99">
                  <c:v>671.29300000000012</c:v>
                </c:pt>
                <c:pt idx="100">
                  <c:v>850.51</c:v>
                </c:pt>
                <c:pt idx="101">
                  <c:v>1192.5999999999999</c:v>
                </c:pt>
                <c:pt idx="102">
                  <c:v>290.07400000000001</c:v>
                </c:pt>
                <c:pt idx="103">
                  <c:v>233.24</c:v>
                </c:pt>
                <c:pt idx="104">
                  <c:v>233.24</c:v>
                </c:pt>
                <c:pt idx="105">
                  <c:v>299.18766666666664</c:v>
                </c:pt>
                <c:pt idx="106">
                  <c:v>461.82499999999999</c:v>
                </c:pt>
                <c:pt idx="107">
                  <c:v>171.67666666666665</c:v>
                </c:pt>
                <c:pt idx="108">
                  <c:v>131.89766666666668</c:v>
                </c:pt>
                <c:pt idx="109">
                  <c:v>485.65000000000003</c:v>
                </c:pt>
                <c:pt idx="110">
                  <c:v>408.57266666666663</c:v>
                </c:pt>
                <c:pt idx="111">
                  <c:v>676.7</c:v>
                </c:pt>
                <c:pt idx="112">
                  <c:v>410.00766666666669</c:v>
                </c:pt>
                <c:pt idx="113">
                  <c:v>268.26966666666664</c:v>
                </c:pt>
                <c:pt idx="114">
                  <c:v>139.85</c:v>
                </c:pt>
                <c:pt idx="115">
                  <c:v>267.9496666666667</c:v>
                </c:pt>
                <c:pt idx="116">
                  <c:v>287.77500000000003</c:v>
                </c:pt>
                <c:pt idx="117">
                  <c:v>284.02999999999997</c:v>
                </c:pt>
                <c:pt idx="118">
                  <c:v>304.09999999999997</c:v>
                </c:pt>
                <c:pt idx="119">
                  <c:v>278.7</c:v>
                </c:pt>
                <c:pt idx="120">
                  <c:v>281.8</c:v>
                </c:pt>
                <c:pt idx="121">
                  <c:v>1273.9000000000001</c:v>
                </c:pt>
                <c:pt idx="122">
                  <c:v>873.69037500000002</c:v>
                </c:pt>
                <c:pt idx="123">
                  <c:v>717.67062499999997</c:v>
                </c:pt>
                <c:pt idx="124">
                  <c:v>152</c:v>
                </c:pt>
                <c:pt idx="125">
                  <c:v>606.38508333333334</c:v>
                </c:pt>
                <c:pt idx="126">
                  <c:v>708.60833333333335</c:v>
                </c:pt>
                <c:pt idx="127">
                  <c:v>1146.0858333333333</c:v>
                </c:pt>
                <c:pt idx="128">
                  <c:v>947.95781250000005</c:v>
                </c:pt>
                <c:pt idx="129">
                  <c:v>746.953125</c:v>
                </c:pt>
                <c:pt idx="130">
                  <c:v>581.27920833333326</c:v>
                </c:pt>
                <c:pt idx="131">
                  <c:v>130</c:v>
                </c:pt>
                <c:pt idx="132">
                  <c:v>761.80000000000007</c:v>
                </c:pt>
                <c:pt idx="133">
                  <c:v>656.09333333333336</c:v>
                </c:pt>
                <c:pt idx="134">
                  <c:v>648.98333333333335</c:v>
                </c:pt>
                <c:pt idx="135">
                  <c:v>742.88333333333333</c:v>
                </c:pt>
                <c:pt idx="136">
                  <c:v>520.81616666666662</c:v>
                </c:pt>
                <c:pt idx="137">
                  <c:v>587.67520833333333</c:v>
                </c:pt>
                <c:pt idx="138">
                  <c:v>138.4</c:v>
                </c:pt>
                <c:pt idx="139">
                  <c:v>640.2836666666667</c:v>
                </c:pt>
                <c:pt idx="140">
                  <c:v>730.48337500000002</c:v>
                </c:pt>
                <c:pt idx="141">
                  <c:v>511.657375</c:v>
                </c:pt>
                <c:pt idx="142">
                  <c:v>361.111875</c:v>
                </c:pt>
                <c:pt idx="143">
                  <c:v>644.8366666666667</c:v>
                </c:pt>
                <c:pt idx="144">
                  <c:v>391.88270833333331</c:v>
                </c:pt>
                <c:pt idx="145">
                  <c:v>3</c:v>
                </c:pt>
                <c:pt idx="146">
                  <c:v>412.28270833333335</c:v>
                </c:pt>
                <c:pt idx="147">
                  <c:v>759.4</c:v>
                </c:pt>
                <c:pt idx="148">
                  <c:v>441.4</c:v>
                </c:pt>
                <c:pt idx="149">
                  <c:v>420.5</c:v>
                </c:pt>
                <c:pt idx="150">
                  <c:v>244.8</c:v>
                </c:pt>
                <c:pt idx="151">
                  <c:v>833.42620370370378</c:v>
                </c:pt>
                <c:pt idx="152">
                  <c:v>186.535</c:v>
                </c:pt>
                <c:pt idx="153">
                  <c:v>127.9124074074074</c:v>
                </c:pt>
                <c:pt idx="154">
                  <c:v>329.8830740740741</c:v>
                </c:pt>
                <c:pt idx="155">
                  <c:v>441.84981481481475</c:v>
                </c:pt>
                <c:pt idx="156">
                  <c:v>816.91240740740739</c:v>
                </c:pt>
                <c:pt idx="157">
                  <c:v>299.86666666666667</c:v>
                </c:pt>
                <c:pt idx="158">
                  <c:v>133.42481481481479</c:v>
                </c:pt>
                <c:pt idx="159">
                  <c:v>213.73666666666668</c:v>
                </c:pt>
                <c:pt idx="160">
                  <c:v>463.25366666666667</c:v>
                </c:pt>
                <c:pt idx="161">
                  <c:v>285.66666666666663</c:v>
                </c:pt>
                <c:pt idx="162">
                  <c:v>871.2</c:v>
                </c:pt>
                <c:pt idx="163">
                  <c:v>434.82481481481477</c:v>
                </c:pt>
                <c:pt idx="164">
                  <c:v>666.82481481481477</c:v>
                </c:pt>
                <c:pt idx="165">
                  <c:v>437.6</c:v>
                </c:pt>
                <c:pt idx="166">
                  <c:v>419.45266666666669</c:v>
                </c:pt>
                <c:pt idx="167">
                  <c:v>267.525125</c:v>
                </c:pt>
                <c:pt idx="168">
                  <c:v>376.66666666666669</c:v>
                </c:pt>
                <c:pt idx="169">
                  <c:v>304.3630952380953</c:v>
                </c:pt>
                <c:pt idx="170">
                  <c:v>644.09179166666672</c:v>
                </c:pt>
                <c:pt idx="171">
                  <c:v>601.56666666666661</c:v>
                </c:pt>
                <c:pt idx="172">
                  <c:v>872.35</c:v>
                </c:pt>
                <c:pt idx="173">
                  <c:v>431.28822023809528</c:v>
                </c:pt>
                <c:pt idx="174">
                  <c:v>317.82588690476189</c:v>
                </c:pt>
                <c:pt idx="175">
                  <c:v>300.51309523809522</c:v>
                </c:pt>
                <c:pt idx="176">
                  <c:v>267.20166666666665</c:v>
                </c:pt>
                <c:pt idx="177">
                  <c:v>224.97499999999999</c:v>
                </c:pt>
                <c:pt idx="178">
                  <c:v>812.71309523809532</c:v>
                </c:pt>
                <c:pt idx="179">
                  <c:v>486.04285714285714</c:v>
                </c:pt>
                <c:pt idx="180">
                  <c:v>408.86666666666667</c:v>
                </c:pt>
                <c:pt idx="181">
                  <c:v>146.31666666666666</c:v>
                </c:pt>
                <c:pt idx="182">
                  <c:v>470.13834523809527</c:v>
                </c:pt>
                <c:pt idx="183">
                  <c:v>399.39179166666668</c:v>
                </c:pt>
                <c:pt idx="184">
                  <c:v>165.76666666666668</c:v>
                </c:pt>
                <c:pt idx="185">
                  <c:v>112.86666666666666</c:v>
                </c:pt>
                <c:pt idx="186">
                  <c:v>445.17142857142858</c:v>
                </c:pt>
                <c:pt idx="187">
                  <c:v>587.79285714285709</c:v>
                </c:pt>
                <c:pt idx="188">
                  <c:v>303.20566666666673</c:v>
                </c:pt>
                <c:pt idx="189">
                  <c:v>816.2897916666667</c:v>
                </c:pt>
                <c:pt idx="190">
                  <c:v>709.21607738095236</c:v>
                </c:pt>
                <c:pt idx="191">
                  <c:v>730.96207738095245</c:v>
                </c:pt>
                <c:pt idx="192">
                  <c:v>935</c:v>
                </c:pt>
                <c:pt idx="193">
                  <c:v>794.51666666666665</c:v>
                </c:pt>
                <c:pt idx="194">
                  <c:v>256.10441071428568</c:v>
                </c:pt>
                <c:pt idx="195">
                  <c:v>386.71695238095236</c:v>
                </c:pt>
                <c:pt idx="196">
                  <c:v>546.00428571428574</c:v>
                </c:pt>
                <c:pt idx="197">
                  <c:v>456.7166666666667</c:v>
                </c:pt>
                <c:pt idx="198">
                  <c:v>472.20857142857142</c:v>
                </c:pt>
                <c:pt idx="199">
                  <c:v>600.400125</c:v>
                </c:pt>
                <c:pt idx="200">
                  <c:v>785.00012500000003</c:v>
                </c:pt>
                <c:pt idx="201">
                  <c:v>808.33285714285716</c:v>
                </c:pt>
                <c:pt idx="202">
                  <c:v>646.775125</c:v>
                </c:pt>
                <c:pt idx="203">
                  <c:v>871.47512499999993</c:v>
                </c:pt>
                <c:pt idx="204">
                  <c:v>882.4</c:v>
                </c:pt>
                <c:pt idx="205">
                  <c:v>865</c:v>
                </c:pt>
                <c:pt idx="206">
                  <c:v>99.310333333333318</c:v>
                </c:pt>
                <c:pt idx="207">
                  <c:v>477.03699999999998</c:v>
                </c:pt>
                <c:pt idx="208">
                  <c:v>522.94133333333332</c:v>
                </c:pt>
                <c:pt idx="209">
                  <c:v>650.78666666666675</c:v>
                </c:pt>
                <c:pt idx="210">
                  <c:v>302.88833333333332</c:v>
                </c:pt>
                <c:pt idx="211">
                  <c:v>397.84503909680592</c:v>
                </c:pt>
                <c:pt idx="212">
                  <c:v>397.84503909680592</c:v>
                </c:pt>
                <c:pt idx="213">
                  <c:v>397.84503909680592</c:v>
                </c:pt>
                <c:pt idx="214">
                  <c:v>397.84503909680592</c:v>
                </c:pt>
                <c:pt idx="215">
                  <c:v>397.84503909680592</c:v>
                </c:pt>
                <c:pt idx="216">
                  <c:v>397.84503909680592</c:v>
                </c:pt>
                <c:pt idx="217">
                  <c:v>397.84503909680592</c:v>
                </c:pt>
                <c:pt idx="218">
                  <c:v>638.76666666666665</c:v>
                </c:pt>
                <c:pt idx="219">
                  <c:v>478.1</c:v>
                </c:pt>
                <c:pt idx="220">
                  <c:v>238.3</c:v>
                </c:pt>
                <c:pt idx="221">
                  <c:v>526.29999999999995</c:v>
                </c:pt>
                <c:pt idx="222">
                  <c:v>341.87333333333328</c:v>
                </c:pt>
                <c:pt idx="223">
                  <c:v>269.86933333333332</c:v>
                </c:pt>
                <c:pt idx="224">
                  <c:v>452.02033333333333</c:v>
                </c:pt>
                <c:pt idx="225">
                  <c:v>976.6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5-427F-996B-E4959A5A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4385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3855"/>
        <c:crosses val="autoZero"/>
        <c:crossBetween val="midCat"/>
      </c:valAx>
      <c:valAx>
        <c:axId val="2123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Log'!$T$2:$T$227</c:f>
              <c:numCache>
                <c:formatCode>0.00</c:formatCode>
                <c:ptCount val="226"/>
                <c:pt idx="0">
                  <c:v>50.5</c:v>
                </c:pt>
                <c:pt idx="1">
                  <c:v>85</c:v>
                </c:pt>
                <c:pt idx="2">
                  <c:v>39.075833333333335</c:v>
                </c:pt>
                <c:pt idx="3">
                  <c:v>12</c:v>
                </c:pt>
                <c:pt idx="4">
                  <c:v>60.098333333333343</c:v>
                </c:pt>
                <c:pt idx="5">
                  <c:v>34.861666666666672</c:v>
                </c:pt>
                <c:pt idx="6">
                  <c:v>70.801666666666662</c:v>
                </c:pt>
                <c:pt idx="7">
                  <c:v>229</c:v>
                </c:pt>
                <c:pt idx="8">
                  <c:v>120.44166666666668</c:v>
                </c:pt>
                <c:pt idx="9">
                  <c:v>82.441666666666677</c:v>
                </c:pt>
                <c:pt idx="10">
                  <c:v>76.603333333333339</c:v>
                </c:pt>
                <c:pt idx="11">
                  <c:v>55.379166666666663</c:v>
                </c:pt>
                <c:pt idx="12">
                  <c:v>127.2</c:v>
                </c:pt>
                <c:pt idx="13">
                  <c:v>83.064583333333331</c:v>
                </c:pt>
                <c:pt idx="14">
                  <c:v>56.902499999999996</c:v>
                </c:pt>
                <c:pt idx="15">
                  <c:v>82.025833333333338</c:v>
                </c:pt>
                <c:pt idx="16">
                  <c:v>34.75833333333334</c:v>
                </c:pt>
                <c:pt idx="17">
                  <c:v>37.75833333333334</c:v>
                </c:pt>
                <c:pt idx="18">
                  <c:v>34.708333333333336</c:v>
                </c:pt>
                <c:pt idx="19">
                  <c:v>59.710833333333341</c:v>
                </c:pt>
                <c:pt idx="20">
                  <c:v>43.975000000000001</c:v>
                </c:pt>
                <c:pt idx="21">
                  <c:v>45.002499999999998</c:v>
                </c:pt>
                <c:pt idx="22">
                  <c:v>36.88773333333333</c:v>
                </c:pt>
                <c:pt idx="23">
                  <c:v>29.758666666666667</c:v>
                </c:pt>
                <c:pt idx="24">
                  <c:v>55.948666666666668</c:v>
                </c:pt>
                <c:pt idx="25">
                  <c:v>34.86866666666667</c:v>
                </c:pt>
                <c:pt idx="26">
                  <c:v>64.888666666666666</c:v>
                </c:pt>
                <c:pt idx="27">
                  <c:v>56.808666666666667</c:v>
                </c:pt>
                <c:pt idx="28">
                  <c:v>31.808666666666667</c:v>
                </c:pt>
                <c:pt idx="29">
                  <c:v>44.83</c:v>
                </c:pt>
                <c:pt idx="30">
                  <c:v>35.345666666666673</c:v>
                </c:pt>
                <c:pt idx="31">
                  <c:v>65.075666666666677</c:v>
                </c:pt>
                <c:pt idx="32">
                  <c:v>42.745666666666679</c:v>
                </c:pt>
                <c:pt idx="33">
                  <c:v>89.591333333333353</c:v>
                </c:pt>
                <c:pt idx="34">
                  <c:v>52.075666666666677</c:v>
                </c:pt>
                <c:pt idx="35">
                  <c:v>93.5</c:v>
                </c:pt>
                <c:pt idx="36">
                  <c:v>29.865666666666673</c:v>
                </c:pt>
                <c:pt idx="37">
                  <c:v>275.95</c:v>
                </c:pt>
                <c:pt idx="38">
                  <c:v>233.5</c:v>
                </c:pt>
                <c:pt idx="39">
                  <c:v>165</c:v>
                </c:pt>
                <c:pt idx="40">
                  <c:v>99.25</c:v>
                </c:pt>
                <c:pt idx="41">
                  <c:v>119.6</c:v>
                </c:pt>
                <c:pt idx="42">
                  <c:v>135</c:v>
                </c:pt>
                <c:pt idx="43">
                  <c:v>198</c:v>
                </c:pt>
                <c:pt idx="44">
                  <c:v>116.2924</c:v>
                </c:pt>
                <c:pt idx="45">
                  <c:v>189.84674285714286</c:v>
                </c:pt>
                <c:pt idx="46">
                  <c:v>49.472916666666663</c:v>
                </c:pt>
                <c:pt idx="47">
                  <c:v>75.686984392419191</c:v>
                </c:pt>
                <c:pt idx="48">
                  <c:v>76.954999999999998</c:v>
                </c:pt>
                <c:pt idx="49">
                  <c:v>65.986984392419188</c:v>
                </c:pt>
                <c:pt idx="50">
                  <c:v>74.486984392419188</c:v>
                </c:pt>
                <c:pt idx="51">
                  <c:v>114.53066666666666</c:v>
                </c:pt>
                <c:pt idx="52">
                  <c:v>68.986984392419188</c:v>
                </c:pt>
                <c:pt idx="53">
                  <c:v>95.526666666666657</c:v>
                </c:pt>
                <c:pt idx="54">
                  <c:v>72.486984392419188</c:v>
                </c:pt>
                <c:pt idx="55">
                  <c:v>86.228651059085863</c:v>
                </c:pt>
                <c:pt idx="56">
                  <c:v>79.477380952380969</c:v>
                </c:pt>
                <c:pt idx="57">
                  <c:v>57.210714285714296</c:v>
                </c:pt>
                <c:pt idx="58">
                  <c:v>91.766666666666666</c:v>
                </c:pt>
                <c:pt idx="59">
                  <c:v>54.210714285714296</c:v>
                </c:pt>
                <c:pt idx="60">
                  <c:v>107.96666666666667</c:v>
                </c:pt>
                <c:pt idx="61">
                  <c:v>76.5107142857143</c:v>
                </c:pt>
                <c:pt idx="62">
                  <c:v>93.977380952380969</c:v>
                </c:pt>
                <c:pt idx="63">
                  <c:v>38.466666666666669</c:v>
                </c:pt>
                <c:pt idx="64">
                  <c:v>251.6</c:v>
                </c:pt>
                <c:pt idx="65">
                  <c:v>19.900000000000002</c:v>
                </c:pt>
                <c:pt idx="66">
                  <c:v>61.510714285714293</c:v>
                </c:pt>
                <c:pt idx="67">
                  <c:v>310.46666666666664</c:v>
                </c:pt>
                <c:pt idx="68">
                  <c:v>84.974999999999994</c:v>
                </c:pt>
                <c:pt idx="69">
                  <c:v>88.759523809523827</c:v>
                </c:pt>
                <c:pt idx="70">
                  <c:v>48.45</c:v>
                </c:pt>
                <c:pt idx="71">
                  <c:v>242.8095238095238</c:v>
                </c:pt>
                <c:pt idx="72">
                  <c:v>71.2</c:v>
                </c:pt>
                <c:pt idx="73">
                  <c:v>209</c:v>
                </c:pt>
                <c:pt idx="74">
                  <c:v>47.050000000000004</c:v>
                </c:pt>
                <c:pt idx="75">
                  <c:v>67.80952380952381</c:v>
                </c:pt>
                <c:pt idx="76">
                  <c:v>102.10000000000001</c:v>
                </c:pt>
                <c:pt idx="77">
                  <c:v>62.80952380952381</c:v>
                </c:pt>
                <c:pt idx="78">
                  <c:v>240.2095238095238</c:v>
                </c:pt>
                <c:pt idx="79">
                  <c:v>127.5</c:v>
                </c:pt>
                <c:pt idx="80">
                  <c:v>54.45</c:v>
                </c:pt>
                <c:pt idx="81">
                  <c:v>73.624523809523808</c:v>
                </c:pt>
                <c:pt idx="82">
                  <c:v>63.115000000000002</c:v>
                </c:pt>
                <c:pt idx="83">
                  <c:v>38.720000000000006</c:v>
                </c:pt>
                <c:pt idx="84">
                  <c:v>73.174999999999997</c:v>
                </c:pt>
                <c:pt idx="85">
                  <c:v>134.22624999999999</c:v>
                </c:pt>
                <c:pt idx="86">
                  <c:v>266.45125000000002</c:v>
                </c:pt>
                <c:pt idx="87">
                  <c:v>64.902500000000003</c:v>
                </c:pt>
                <c:pt idx="88">
                  <c:v>86.866250000000008</c:v>
                </c:pt>
                <c:pt idx="89">
                  <c:v>128.44999999999999</c:v>
                </c:pt>
                <c:pt idx="90">
                  <c:v>125.25000000000001</c:v>
                </c:pt>
                <c:pt idx="91">
                  <c:v>327.47499999999997</c:v>
                </c:pt>
                <c:pt idx="92">
                  <c:v>195.5</c:v>
                </c:pt>
                <c:pt idx="93">
                  <c:v>76.7</c:v>
                </c:pt>
                <c:pt idx="94">
                  <c:v>63.729333333333336</c:v>
                </c:pt>
                <c:pt idx="95">
                  <c:v>153.24</c:v>
                </c:pt>
                <c:pt idx="96">
                  <c:v>59.829333333333338</c:v>
                </c:pt>
                <c:pt idx="97">
                  <c:v>141.79500000000002</c:v>
                </c:pt>
                <c:pt idx="98">
                  <c:v>113.22833333333335</c:v>
                </c:pt>
                <c:pt idx="99">
                  <c:v>139.17233333333334</c:v>
                </c:pt>
                <c:pt idx="100">
                  <c:v>259.79499999999996</c:v>
                </c:pt>
                <c:pt idx="101">
                  <c:v>255.2</c:v>
                </c:pt>
                <c:pt idx="102">
                  <c:v>42.768333333333331</c:v>
                </c:pt>
                <c:pt idx="103">
                  <c:v>77.650000000000006</c:v>
                </c:pt>
                <c:pt idx="104">
                  <c:v>77.650000000000006</c:v>
                </c:pt>
                <c:pt idx="105">
                  <c:v>90.930500000000009</c:v>
                </c:pt>
                <c:pt idx="106">
                  <c:v>98.037500000000009</c:v>
                </c:pt>
                <c:pt idx="107">
                  <c:v>65.988500000000002</c:v>
                </c:pt>
                <c:pt idx="108">
                  <c:v>41.879000000000005</c:v>
                </c:pt>
                <c:pt idx="109">
                  <c:v>76.875000000000014</c:v>
                </c:pt>
                <c:pt idx="110">
                  <c:v>65.162000000000006</c:v>
                </c:pt>
                <c:pt idx="111">
                  <c:v>87.5</c:v>
                </c:pt>
                <c:pt idx="112">
                  <c:v>58.052999999999997</c:v>
                </c:pt>
                <c:pt idx="113">
                  <c:v>37.066000000000003</c:v>
                </c:pt>
                <c:pt idx="114">
                  <c:v>64.875000000000014</c:v>
                </c:pt>
                <c:pt idx="115">
                  <c:v>36.171999999999997</c:v>
                </c:pt>
                <c:pt idx="116">
                  <c:v>52.537500000000009</c:v>
                </c:pt>
                <c:pt idx="117">
                  <c:v>25.599999999999998</c:v>
                </c:pt>
                <c:pt idx="118">
                  <c:v>20.8</c:v>
                </c:pt>
                <c:pt idx="119">
                  <c:v>9.5</c:v>
                </c:pt>
                <c:pt idx="120">
                  <c:v>11</c:v>
                </c:pt>
                <c:pt idx="121">
                  <c:v>288</c:v>
                </c:pt>
                <c:pt idx="122">
                  <c:v>94.364999999999995</c:v>
                </c:pt>
                <c:pt idx="123">
                  <c:v>203.45</c:v>
                </c:pt>
                <c:pt idx="124">
                  <c:v>0</c:v>
                </c:pt>
                <c:pt idx="125">
                  <c:v>138.87399999999997</c:v>
                </c:pt>
                <c:pt idx="126">
                  <c:v>179.23839285714286</c:v>
                </c:pt>
                <c:pt idx="127">
                  <c:v>246.7717857142857</c:v>
                </c:pt>
                <c:pt idx="128">
                  <c:v>253.04129464285711</c:v>
                </c:pt>
                <c:pt idx="129">
                  <c:v>223.14419642857143</c:v>
                </c:pt>
                <c:pt idx="130">
                  <c:v>204.39239285714285</c:v>
                </c:pt>
                <c:pt idx="131">
                  <c:v>0</c:v>
                </c:pt>
                <c:pt idx="132">
                  <c:v>214.7</c:v>
                </c:pt>
                <c:pt idx="133">
                  <c:v>183.95499999999998</c:v>
                </c:pt>
                <c:pt idx="134">
                  <c:v>250.35499999999999</c:v>
                </c:pt>
                <c:pt idx="135">
                  <c:v>151.15875</c:v>
                </c:pt>
                <c:pt idx="136">
                  <c:v>74.574875000000006</c:v>
                </c:pt>
                <c:pt idx="137">
                  <c:v>82.926937499999994</c:v>
                </c:pt>
                <c:pt idx="138">
                  <c:v>17</c:v>
                </c:pt>
                <c:pt idx="139">
                  <c:v>99.191000000000003</c:v>
                </c:pt>
                <c:pt idx="140">
                  <c:v>148.85006249999998</c:v>
                </c:pt>
                <c:pt idx="141">
                  <c:v>93.966062500000007</c:v>
                </c:pt>
                <c:pt idx="142">
                  <c:v>111.4519375</c:v>
                </c:pt>
                <c:pt idx="143">
                  <c:v>105.22500000000001</c:v>
                </c:pt>
                <c:pt idx="144">
                  <c:v>52.483062500000003</c:v>
                </c:pt>
                <c:pt idx="145">
                  <c:v>0</c:v>
                </c:pt>
                <c:pt idx="146">
                  <c:v>47.483062500000003</c:v>
                </c:pt>
                <c:pt idx="147">
                  <c:v>264.5</c:v>
                </c:pt>
                <c:pt idx="148">
                  <c:v>82.5</c:v>
                </c:pt>
                <c:pt idx="149">
                  <c:v>99.2</c:v>
                </c:pt>
                <c:pt idx="150">
                  <c:v>47</c:v>
                </c:pt>
                <c:pt idx="151">
                  <c:v>216.76972222222221</c:v>
                </c:pt>
                <c:pt idx="152">
                  <c:v>56.275000000000006</c:v>
                </c:pt>
                <c:pt idx="153">
                  <c:v>54.449444444444445</c:v>
                </c:pt>
                <c:pt idx="154">
                  <c:v>57.797444444444444</c:v>
                </c:pt>
                <c:pt idx="155">
                  <c:v>74.048888888888882</c:v>
                </c:pt>
                <c:pt idx="156">
                  <c:v>277.44944444444445</c:v>
                </c:pt>
                <c:pt idx="157">
                  <c:v>55.525000000000006</c:v>
                </c:pt>
                <c:pt idx="158">
                  <c:v>135.09888888888889</c:v>
                </c:pt>
                <c:pt idx="159">
                  <c:v>173.85499999999999</c:v>
                </c:pt>
                <c:pt idx="160">
                  <c:v>172.392</c:v>
                </c:pt>
                <c:pt idx="161">
                  <c:v>74.325000000000003</c:v>
                </c:pt>
                <c:pt idx="162">
                  <c:v>39.975000000000001</c:v>
                </c:pt>
                <c:pt idx="163">
                  <c:v>88.898888888888891</c:v>
                </c:pt>
                <c:pt idx="164">
                  <c:v>211.09888888888889</c:v>
                </c:pt>
                <c:pt idx="165">
                  <c:v>142.5</c:v>
                </c:pt>
                <c:pt idx="166">
                  <c:v>27.042999999999999</c:v>
                </c:pt>
                <c:pt idx="167">
                  <c:v>26.328375000000001</c:v>
                </c:pt>
                <c:pt idx="168">
                  <c:v>45.075000000000003</c:v>
                </c:pt>
                <c:pt idx="169">
                  <c:v>60.359523809523822</c:v>
                </c:pt>
                <c:pt idx="170">
                  <c:v>66.703374999999994</c:v>
                </c:pt>
                <c:pt idx="171">
                  <c:v>50.875</c:v>
                </c:pt>
                <c:pt idx="172">
                  <c:v>224.2</c:v>
                </c:pt>
                <c:pt idx="173">
                  <c:v>109.68789880952382</c:v>
                </c:pt>
                <c:pt idx="174">
                  <c:v>104.82789880952382</c:v>
                </c:pt>
                <c:pt idx="175">
                  <c:v>97.509523809523827</c:v>
                </c:pt>
                <c:pt idx="176">
                  <c:v>97.130000000000024</c:v>
                </c:pt>
                <c:pt idx="177">
                  <c:v>30.3</c:v>
                </c:pt>
                <c:pt idx="178">
                  <c:v>145.65952380952382</c:v>
                </c:pt>
                <c:pt idx="179">
                  <c:v>65.01428571428572</c:v>
                </c:pt>
                <c:pt idx="180">
                  <c:v>105.075</c:v>
                </c:pt>
                <c:pt idx="181">
                  <c:v>87.275000000000006</c:v>
                </c:pt>
                <c:pt idx="182">
                  <c:v>163.58889285714284</c:v>
                </c:pt>
                <c:pt idx="183">
                  <c:v>103.903375</c:v>
                </c:pt>
                <c:pt idx="184">
                  <c:v>91.875000000000014</c:v>
                </c:pt>
                <c:pt idx="185">
                  <c:v>35.075000000000003</c:v>
                </c:pt>
                <c:pt idx="186">
                  <c:v>71.357142857142861</c:v>
                </c:pt>
                <c:pt idx="187">
                  <c:v>122.51428571428572</c:v>
                </c:pt>
                <c:pt idx="188">
                  <c:v>72.089333333333329</c:v>
                </c:pt>
                <c:pt idx="189">
                  <c:v>235.14070833333332</c:v>
                </c:pt>
                <c:pt idx="190">
                  <c:v>143.6438511904762</c:v>
                </c:pt>
                <c:pt idx="191">
                  <c:v>108.5808511904762</c:v>
                </c:pt>
                <c:pt idx="192">
                  <c:v>249</c:v>
                </c:pt>
                <c:pt idx="193">
                  <c:v>200.4083333333333</c:v>
                </c:pt>
                <c:pt idx="194">
                  <c:v>102.29551785714285</c:v>
                </c:pt>
                <c:pt idx="195">
                  <c:v>100.37247619047619</c:v>
                </c:pt>
                <c:pt idx="196">
                  <c:v>80.817142857142869</c:v>
                </c:pt>
                <c:pt idx="197">
                  <c:v>89.608333333333334</c:v>
                </c:pt>
                <c:pt idx="198">
                  <c:v>82.934285714285721</c:v>
                </c:pt>
                <c:pt idx="199">
                  <c:v>204.87837500000001</c:v>
                </c:pt>
                <c:pt idx="200">
                  <c:v>228.07837499999999</c:v>
                </c:pt>
                <c:pt idx="201">
                  <c:v>171.74571428571429</c:v>
                </c:pt>
                <c:pt idx="202">
                  <c:v>200.34087500000001</c:v>
                </c:pt>
                <c:pt idx="203">
                  <c:v>238.79087499999997</c:v>
                </c:pt>
                <c:pt idx="204">
                  <c:v>200.2</c:v>
                </c:pt>
                <c:pt idx="205">
                  <c:v>215.96666666666667</c:v>
                </c:pt>
                <c:pt idx="206">
                  <c:v>48.72</c:v>
                </c:pt>
                <c:pt idx="207">
                  <c:v>82.99766666666666</c:v>
                </c:pt>
                <c:pt idx="208">
                  <c:v>117.39066666666668</c:v>
                </c:pt>
                <c:pt idx="209">
                  <c:v>151.51999999999998</c:v>
                </c:pt>
                <c:pt idx="210">
                  <c:v>33.814</c:v>
                </c:pt>
                <c:pt idx="211">
                  <c:v>105.42853820488766</c:v>
                </c:pt>
                <c:pt idx="212">
                  <c:v>105.42853820488766</c:v>
                </c:pt>
                <c:pt idx="213">
                  <c:v>105.42853820488766</c:v>
                </c:pt>
                <c:pt idx="214">
                  <c:v>105.42853820488766</c:v>
                </c:pt>
                <c:pt idx="215">
                  <c:v>105.42853820488766</c:v>
                </c:pt>
                <c:pt idx="216">
                  <c:v>105.42853820488766</c:v>
                </c:pt>
                <c:pt idx="217">
                  <c:v>105.42853820488766</c:v>
                </c:pt>
                <c:pt idx="218">
                  <c:v>62.25</c:v>
                </c:pt>
                <c:pt idx="219">
                  <c:v>91.25</c:v>
                </c:pt>
                <c:pt idx="220">
                  <c:v>52</c:v>
                </c:pt>
                <c:pt idx="221">
                  <c:v>200.5</c:v>
                </c:pt>
                <c:pt idx="222">
                  <c:v>49.655000000000001</c:v>
                </c:pt>
                <c:pt idx="223">
                  <c:v>44.442999999999998</c:v>
                </c:pt>
                <c:pt idx="224">
                  <c:v>58.711000000000006</c:v>
                </c:pt>
                <c:pt idx="225">
                  <c:v>282.3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2-4A73-9845-BF923800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2415"/>
        <c:axId val="2123649615"/>
      </c:scatterChart>
      <c:valAx>
        <c:axId val="21236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9615"/>
        <c:crosses val="autoZero"/>
        <c:crossBetween val="midCat"/>
      </c:valAx>
      <c:valAx>
        <c:axId val="2123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524059492563427E-3"/>
                  <c:y val="-5.64195100612423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Log'!$U$2:$U$227</c:f>
              <c:numCache>
                <c:formatCode>0.00</c:formatCode>
                <c:ptCount val="226"/>
                <c:pt idx="0">
                  <c:v>73</c:v>
                </c:pt>
                <c:pt idx="1">
                  <c:v>71.5</c:v>
                </c:pt>
                <c:pt idx="2">
                  <c:v>74.289583333333354</c:v>
                </c:pt>
                <c:pt idx="3">
                  <c:v>4</c:v>
                </c:pt>
                <c:pt idx="4">
                  <c:v>104.32666666666668</c:v>
                </c:pt>
                <c:pt idx="5">
                  <c:v>69.580000000000013</c:v>
                </c:pt>
                <c:pt idx="6">
                  <c:v>67.880000000000024</c:v>
                </c:pt>
                <c:pt idx="7">
                  <c:v>163</c:v>
                </c:pt>
                <c:pt idx="8">
                  <c:v>99.950000000000031</c:v>
                </c:pt>
                <c:pt idx="9">
                  <c:v>78.450000000000017</c:v>
                </c:pt>
                <c:pt idx="10">
                  <c:v>108.05500000000001</c:v>
                </c:pt>
                <c:pt idx="11">
                  <c:v>75.029166666666669</c:v>
                </c:pt>
                <c:pt idx="12">
                  <c:v>119.9875</c:v>
                </c:pt>
                <c:pt idx="13">
                  <c:v>56.15</c:v>
                </c:pt>
                <c:pt idx="14">
                  <c:v>50.186</c:v>
                </c:pt>
                <c:pt idx="15">
                  <c:v>99.683000000000007</c:v>
                </c:pt>
                <c:pt idx="16">
                  <c:v>62.6</c:v>
                </c:pt>
                <c:pt idx="17">
                  <c:v>63.6</c:v>
                </c:pt>
                <c:pt idx="18">
                  <c:v>62.42</c:v>
                </c:pt>
                <c:pt idx="19">
                  <c:v>85.606000000000009</c:v>
                </c:pt>
                <c:pt idx="20">
                  <c:v>63.933333333333337</c:v>
                </c:pt>
                <c:pt idx="21">
                  <c:v>45.186</c:v>
                </c:pt>
                <c:pt idx="22">
                  <c:v>50.2958</c:v>
                </c:pt>
                <c:pt idx="23">
                  <c:v>61.1265</c:v>
                </c:pt>
                <c:pt idx="24">
                  <c:v>74.95150000000001</c:v>
                </c:pt>
                <c:pt idx="25">
                  <c:v>62.576499999999996</c:v>
                </c:pt>
                <c:pt idx="26">
                  <c:v>75.656499999999994</c:v>
                </c:pt>
                <c:pt idx="27">
                  <c:v>58.336499999999994</c:v>
                </c:pt>
                <c:pt idx="28">
                  <c:v>53.336499999999994</c:v>
                </c:pt>
                <c:pt idx="29">
                  <c:v>55.384499999999996</c:v>
                </c:pt>
                <c:pt idx="30">
                  <c:v>56.428166666666677</c:v>
                </c:pt>
                <c:pt idx="31">
                  <c:v>67.36966666666666</c:v>
                </c:pt>
                <c:pt idx="32">
                  <c:v>58.128166666666672</c:v>
                </c:pt>
                <c:pt idx="33">
                  <c:v>122.55633333333336</c:v>
                </c:pt>
                <c:pt idx="34">
                  <c:v>70.36966666666666</c:v>
                </c:pt>
                <c:pt idx="35">
                  <c:v>60.4</c:v>
                </c:pt>
                <c:pt idx="36">
                  <c:v>45.608166666666669</c:v>
                </c:pt>
                <c:pt idx="37">
                  <c:v>182.9</c:v>
                </c:pt>
                <c:pt idx="38">
                  <c:v>172</c:v>
                </c:pt>
                <c:pt idx="39">
                  <c:v>133.5</c:v>
                </c:pt>
                <c:pt idx="40">
                  <c:v>117</c:v>
                </c:pt>
                <c:pt idx="41">
                  <c:v>93.2</c:v>
                </c:pt>
                <c:pt idx="42">
                  <c:v>57</c:v>
                </c:pt>
                <c:pt idx="43">
                  <c:v>120</c:v>
                </c:pt>
                <c:pt idx="44">
                  <c:v>166.13659999999999</c:v>
                </c:pt>
                <c:pt idx="45">
                  <c:v>158.75139999999999</c:v>
                </c:pt>
                <c:pt idx="46">
                  <c:v>23.972023809523812</c:v>
                </c:pt>
                <c:pt idx="47">
                  <c:v>121.90903540903541</c:v>
                </c:pt>
                <c:pt idx="48">
                  <c:v>108.60142857142858</c:v>
                </c:pt>
                <c:pt idx="49">
                  <c:v>114.00903540903542</c:v>
                </c:pt>
                <c:pt idx="50">
                  <c:v>121.00903540903542</c:v>
                </c:pt>
                <c:pt idx="51">
                  <c:v>131.61566666666667</c:v>
                </c:pt>
                <c:pt idx="52">
                  <c:v>118.00903540903542</c:v>
                </c:pt>
                <c:pt idx="53">
                  <c:v>125.10666666666668</c:v>
                </c:pt>
                <c:pt idx="54">
                  <c:v>118.50903540903542</c:v>
                </c:pt>
                <c:pt idx="55">
                  <c:v>124.3742735042735</c:v>
                </c:pt>
                <c:pt idx="56">
                  <c:v>118.11428571428573</c:v>
                </c:pt>
                <c:pt idx="57">
                  <c:v>61.680952380952384</c:v>
                </c:pt>
                <c:pt idx="58">
                  <c:v>98.933333333333337</c:v>
                </c:pt>
                <c:pt idx="59">
                  <c:v>68.180952380952391</c:v>
                </c:pt>
                <c:pt idx="60">
                  <c:v>110.33333333333334</c:v>
                </c:pt>
                <c:pt idx="61">
                  <c:v>72.280952380952385</c:v>
                </c:pt>
                <c:pt idx="62">
                  <c:v>124.61428571428573</c:v>
                </c:pt>
                <c:pt idx="63">
                  <c:v>62.333333333333336</c:v>
                </c:pt>
                <c:pt idx="64">
                  <c:v>95.1</c:v>
                </c:pt>
                <c:pt idx="65">
                  <c:v>14.4</c:v>
                </c:pt>
                <c:pt idx="66">
                  <c:v>65.180952380952391</c:v>
                </c:pt>
                <c:pt idx="67">
                  <c:v>226.33333333333334</c:v>
                </c:pt>
                <c:pt idx="68">
                  <c:v>80.822222222222223</c:v>
                </c:pt>
                <c:pt idx="69">
                  <c:v>138.28492063492064</c:v>
                </c:pt>
                <c:pt idx="70">
                  <c:v>80.64444444444446</c:v>
                </c:pt>
                <c:pt idx="71">
                  <c:v>182.32047619047617</c:v>
                </c:pt>
                <c:pt idx="72">
                  <c:v>62.4</c:v>
                </c:pt>
                <c:pt idx="73">
                  <c:v>123</c:v>
                </c:pt>
                <c:pt idx="74">
                  <c:v>74.544444444444451</c:v>
                </c:pt>
                <c:pt idx="75">
                  <c:v>102.74047619047619</c:v>
                </c:pt>
                <c:pt idx="76">
                  <c:v>155.48888888888891</c:v>
                </c:pt>
                <c:pt idx="77">
                  <c:v>77.740476190476187</c:v>
                </c:pt>
                <c:pt idx="78">
                  <c:v>210.04047619047617</c:v>
                </c:pt>
                <c:pt idx="79">
                  <c:v>92.100000000000009</c:v>
                </c:pt>
                <c:pt idx="80">
                  <c:v>74.044444444444451</c:v>
                </c:pt>
                <c:pt idx="81">
                  <c:v>102.20380952380953</c:v>
                </c:pt>
                <c:pt idx="82">
                  <c:v>73.701666666666682</c:v>
                </c:pt>
                <c:pt idx="83">
                  <c:v>74.12166666666667</c:v>
                </c:pt>
                <c:pt idx="84">
                  <c:v>90.541666666666671</c:v>
                </c:pt>
                <c:pt idx="85">
                  <c:v>136.32965277777777</c:v>
                </c:pt>
                <c:pt idx="86">
                  <c:v>192.764375</c:v>
                </c:pt>
                <c:pt idx="87">
                  <c:v>49.528750000000002</c:v>
                </c:pt>
                <c:pt idx="88">
                  <c:v>96.066041666666663</c:v>
                </c:pt>
                <c:pt idx="89">
                  <c:v>157.00694444444446</c:v>
                </c:pt>
                <c:pt idx="90">
                  <c:v>165.53055555555559</c:v>
                </c:pt>
                <c:pt idx="91">
                  <c:v>276.46527777777777</c:v>
                </c:pt>
                <c:pt idx="92">
                  <c:v>95.833333333333343</c:v>
                </c:pt>
                <c:pt idx="93">
                  <c:v>110.48611111111113</c:v>
                </c:pt>
                <c:pt idx="94">
                  <c:v>79.132000000000005</c:v>
                </c:pt>
                <c:pt idx="95">
                  <c:v>148.85499999999999</c:v>
                </c:pt>
                <c:pt idx="96">
                  <c:v>86.525000000000006</c:v>
                </c:pt>
                <c:pt idx="97">
                  <c:v>125.465</c:v>
                </c:pt>
                <c:pt idx="98">
                  <c:v>120.35200000000002</c:v>
                </c:pt>
                <c:pt idx="99">
                  <c:v>134.52300000000002</c:v>
                </c:pt>
                <c:pt idx="100">
                  <c:v>149.46500000000003</c:v>
                </c:pt>
                <c:pt idx="101">
                  <c:v>206.4</c:v>
                </c:pt>
                <c:pt idx="102">
                  <c:v>64.282000000000011</c:v>
                </c:pt>
                <c:pt idx="103">
                  <c:v>78.52</c:v>
                </c:pt>
                <c:pt idx="104">
                  <c:v>78.52</c:v>
                </c:pt>
                <c:pt idx="105">
                  <c:v>123.55766666666668</c:v>
                </c:pt>
                <c:pt idx="106">
                  <c:v>81.975000000000009</c:v>
                </c:pt>
                <c:pt idx="107">
                  <c:v>118.19266666666668</c:v>
                </c:pt>
                <c:pt idx="108">
                  <c:v>71.543666666666681</c:v>
                </c:pt>
                <c:pt idx="109">
                  <c:v>104.85000000000001</c:v>
                </c:pt>
                <c:pt idx="110">
                  <c:v>88.26166666666667</c:v>
                </c:pt>
                <c:pt idx="111">
                  <c:v>81</c:v>
                </c:pt>
                <c:pt idx="112">
                  <c:v>67.227666666666678</c:v>
                </c:pt>
                <c:pt idx="113">
                  <c:v>70.88666666666667</c:v>
                </c:pt>
                <c:pt idx="114">
                  <c:v>99.550000000000011</c:v>
                </c:pt>
                <c:pt idx="115">
                  <c:v>67.75266666666667</c:v>
                </c:pt>
                <c:pt idx="116">
                  <c:v>54.975000000000001</c:v>
                </c:pt>
                <c:pt idx="117">
                  <c:v>73.13</c:v>
                </c:pt>
                <c:pt idx="118">
                  <c:v>59.1</c:v>
                </c:pt>
                <c:pt idx="119">
                  <c:v>61.5</c:v>
                </c:pt>
                <c:pt idx="120">
                  <c:v>17.174999999999997</c:v>
                </c:pt>
                <c:pt idx="121">
                  <c:v>172</c:v>
                </c:pt>
                <c:pt idx="122">
                  <c:v>95.332875000000001</c:v>
                </c:pt>
                <c:pt idx="123">
                  <c:v>111.640625</c:v>
                </c:pt>
                <c:pt idx="124">
                  <c:v>0</c:v>
                </c:pt>
                <c:pt idx="125">
                  <c:v>206.44258333333335</c:v>
                </c:pt>
                <c:pt idx="126">
                  <c:v>192.45416666666668</c:v>
                </c:pt>
                <c:pt idx="127">
                  <c:v>150.10249999999999</c:v>
                </c:pt>
                <c:pt idx="128">
                  <c:v>209.50156250000001</c:v>
                </c:pt>
                <c:pt idx="129">
                  <c:v>129.65729166666665</c:v>
                </c:pt>
                <c:pt idx="130">
                  <c:v>168.54454166666667</c:v>
                </c:pt>
                <c:pt idx="131">
                  <c:v>0</c:v>
                </c:pt>
                <c:pt idx="132">
                  <c:v>136.4</c:v>
                </c:pt>
                <c:pt idx="133">
                  <c:v>140.09333333333336</c:v>
                </c:pt>
                <c:pt idx="134">
                  <c:v>136.54333333333335</c:v>
                </c:pt>
                <c:pt idx="135">
                  <c:v>119.62541666666667</c:v>
                </c:pt>
                <c:pt idx="136">
                  <c:v>90.387125000000012</c:v>
                </c:pt>
                <c:pt idx="137">
                  <c:v>85.182979166666684</c:v>
                </c:pt>
                <c:pt idx="138">
                  <c:v>2</c:v>
                </c:pt>
                <c:pt idx="139">
                  <c:v>93.937000000000012</c:v>
                </c:pt>
                <c:pt idx="140">
                  <c:v>154.92685416666669</c:v>
                </c:pt>
                <c:pt idx="141">
                  <c:v>123.98485416666668</c:v>
                </c:pt>
                <c:pt idx="142">
                  <c:v>135.84297916666665</c:v>
                </c:pt>
                <c:pt idx="143">
                  <c:v>89.060000000000016</c:v>
                </c:pt>
                <c:pt idx="144">
                  <c:v>66.492854166666675</c:v>
                </c:pt>
                <c:pt idx="145">
                  <c:v>0</c:v>
                </c:pt>
                <c:pt idx="146">
                  <c:v>63.492854166666667</c:v>
                </c:pt>
                <c:pt idx="147">
                  <c:v>123.5</c:v>
                </c:pt>
                <c:pt idx="148">
                  <c:v>41</c:v>
                </c:pt>
                <c:pt idx="149">
                  <c:v>98.4</c:v>
                </c:pt>
                <c:pt idx="150">
                  <c:v>46</c:v>
                </c:pt>
                <c:pt idx="151">
                  <c:v>143.81657407407408</c:v>
                </c:pt>
                <c:pt idx="152">
                  <c:v>27.375</c:v>
                </c:pt>
                <c:pt idx="153">
                  <c:v>60.013148148148147</c:v>
                </c:pt>
                <c:pt idx="154">
                  <c:v>108.97481481481483</c:v>
                </c:pt>
                <c:pt idx="155">
                  <c:v>109.3012962962963</c:v>
                </c:pt>
                <c:pt idx="156">
                  <c:v>221.01314814814816</c:v>
                </c:pt>
                <c:pt idx="157">
                  <c:v>83.666666666666686</c:v>
                </c:pt>
                <c:pt idx="158">
                  <c:v>182.4262962962963</c:v>
                </c:pt>
                <c:pt idx="159">
                  <c:v>97.006666666666675</c:v>
                </c:pt>
                <c:pt idx="160">
                  <c:v>144.58466666666666</c:v>
                </c:pt>
                <c:pt idx="161">
                  <c:v>94.26666666666668</c:v>
                </c:pt>
                <c:pt idx="162">
                  <c:v>122.00000000000001</c:v>
                </c:pt>
                <c:pt idx="163">
                  <c:v>107.02629629629629</c:v>
                </c:pt>
                <c:pt idx="164">
                  <c:v>157.4262962962963</c:v>
                </c:pt>
                <c:pt idx="165">
                  <c:v>47</c:v>
                </c:pt>
                <c:pt idx="166">
                  <c:v>61.13600000000001</c:v>
                </c:pt>
                <c:pt idx="167">
                  <c:v>33.312062499999996</c:v>
                </c:pt>
                <c:pt idx="168">
                  <c:v>74.750000000000014</c:v>
                </c:pt>
                <c:pt idx="169">
                  <c:v>76.157142857142873</c:v>
                </c:pt>
                <c:pt idx="170">
                  <c:v>93.162062500000019</c:v>
                </c:pt>
                <c:pt idx="171">
                  <c:v>76.850000000000009</c:v>
                </c:pt>
                <c:pt idx="172">
                  <c:v>190.4</c:v>
                </c:pt>
                <c:pt idx="173">
                  <c:v>97.969205357142869</c:v>
                </c:pt>
                <c:pt idx="174">
                  <c:v>149.84720535714285</c:v>
                </c:pt>
                <c:pt idx="175">
                  <c:v>109.70714285714286</c:v>
                </c:pt>
                <c:pt idx="176">
                  <c:v>125.02500000000002</c:v>
                </c:pt>
                <c:pt idx="177">
                  <c:v>27.274999999999999</c:v>
                </c:pt>
                <c:pt idx="178">
                  <c:v>118.25714285714287</c:v>
                </c:pt>
                <c:pt idx="179">
                  <c:v>95.200000000000017</c:v>
                </c:pt>
                <c:pt idx="180">
                  <c:v>106.25000000000001</c:v>
                </c:pt>
                <c:pt idx="181">
                  <c:v>87.6</c:v>
                </c:pt>
                <c:pt idx="182">
                  <c:v>169.024125</c:v>
                </c:pt>
                <c:pt idx="183">
                  <c:v>108.56206250000002</c:v>
                </c:pt>
                <c:pt idx="184">
                  <c:v>75.450000000000017</c:v>
                </c:pt>
                <c:pt idx="185">
                  <c:v>66.250000000000014</c:v>
                </c:pt>
                <c:pt idx="186">
                  <c:v>51.800000000000004</c:v>
                </c:pt>
                <c:pt idx="187">
                  <c:v>103.75000000000001</c:v>
                </c:pt>
                <c:pt idx="188">
                  <c:v>78.419666666666686</c:v>
                </c:pt>
                <c:pt idx="189">
                  <c:v>205.10672916666667</c:v>
                </c:pt>
                <c:pt idx="190">
                  <c:v>140.28872916666668</c:v>
                </c:pt>
                <c:pt idx="191">
                  <c:v>135.00372916666669</c:v>
                </c:pt>
                <c:pt idx="192">
                  <c:v>85</c:v>
                </c:pt>
                <c:pt idx="193">
                  <c:v>178.76666666666668</c:v>
                </c:pt>
                <c:pt idx="194">
                  <c:v>118.74706250000001</c:v>
                </c:pt>
                <c:pt idx="195">
                  <c:v>144.55166666666668</c:v>
                </c:pt>
                <c:pt idx="196">
                  <c:v>44.81</c:v>
                </c:pt>
                <c:pt idx="197">
                  <c:v>72.866666666666674</c:v>
                </c:pt>
                <c:pt idx="198">
                  <c:v>132.82</c:v>
                </c:pt>
                <c:pt idx="199">
                  <c:v>122.4370625</c:v>
                </c:pt>
                <c:pt idx="200">
                  <c:v>85.837062500000002</c:v>
                </c:pt>
                <c:pt idx="201">
                  <c:v>172.75285714285712</c:v>
                </c:pt>
                <c:pt idx="202">
                  <c:v>143.41206249999999</c:v>
                </c:pt>
                <c:pt idx="203">
                  <c:v>165.51206250000001</c:v>
                </c:pt>
                <c:pt idx="204">
                  <c:v>86.600000000000009</c:v>
                </c:pt>
                <c:pt idx="205">
                  <c:v>110.83333333333334</c:v>
                </c:pt>
                <c:pt idx="206">
                  <c:v>70.575999999999993</c:v>
                </c:pt>
                <c:pt idx="207">
                  <c:v>113.22366666666667</c:v>
                </c:pt>
                <c:pt idx="208">
                  <c:v>134.73633333333336</c:v>
                </c:pt>
                <c:pt idx="209">
                  <c:v>197.28</c:v>
                </c:pt>
                <c:pt idx="210">
                  <c:v>63.984000000000002</c:v>
                </c:pt>
                <c:pt idx="211">
                  <c:v>101.34424305957444</c:v>
                </c:pt>
                <c:pt idx="212">
                  <c:v>101.34424305957444</c:v>
                </c:pt>
                <c:pt idx="213">
                  <c:v>101.34424305957444</c:v>
                </c:pt>
                <c:pt idx="214">
                  <c:v>101.34424305957444</c:v>
                </c:pt>
                <c:pt idx="215">
                  <c:v>101.34424305957444</c:v>
                </c:pt>
                <c:pt idx="216">
                  <c:v>101.34424305957444</c:v>
                </c:pt>
                <c:pt idx="217">
                  <c:v>101.34424305957444</c:v>
                </c:pt>
                <c:pt idx="218">
                  <c:v>109.2</c:v>
                </c:pt>
                <c:pt idx="219">
                  <c:v>78.900000000000006</c:v>
                </c:pt>
                <c:pt idx="220">
                  <c:v>28.2</c:v>
                </c:pt>
                <c:pt idx="221">
                  <c:v>92.7</c:v>
                </c:pt>
                <c:pt idx="222">
                  <c:v>66.016666666666666</c:v>
                </c:pt>
                <c:pt idx="223">
                  <c:v>67.25266666666667</c:v>
                </c:pt>
                <c:pt idx="224">
                  <c:v>82.283666666666676</c:v>
                </c:pt>
                <c:pt idx="225">
                  <c:v>196.6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F-4F07-9BD1-C9CDF2E1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775"/>
        <c:axId val="2123699535"/>
      </c:scatterChart>
      <c:valAx>
        <c:axId val="21237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535"/>
        <c:crosses val="autoZero"/>
        <c:crossBetween val="midCat"/>
      </c:valAx>
      <c:valAx>
        <c:axId val="21236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Log'!$D$2:$D$227</c:f>
              <c:numCache>
                <c:formatCode>0.00</c:formatCode>
                <c:ptCount val="22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16.5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16.5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16.5</c:v>
                </c:pt>
                <c:pt idx="201">
                  <c:v>16.5</c:v>
                </c:pt>
                <c:pt idx="202">
                  <c:v>16.5</c:v>
                </c:pt>
                <c:pt idx="203">
                  <c:v>16.5</c:v>
                </c:pt>
                <c:pt idx="204">
                  <c:v>16.5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</c:v>
                </c:pt>
                <c:pt idx="210">
                  <c:v>16.5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16.5</c:v>
                </c:pt>
                <c:pt idx="220">
                  <c:v>16.5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E-4662-A6C6-61253EEF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891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8911"/>
        <c:crosses val="autoZero"/>
        <c:crossBetween val="midCat"/>
      </c:valAx>
      <c:valAx>
        <c:axId val="2117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334645669291336E-2"/>
                  <c:y val="0.13324511519393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Log'!$V$2:$V$227</c:f>
              <c:numCache>
                <c:formatCode>0.00</c:formatCode>
                <c:ptCount val="226"/>
                <c:pt idx="0">
                  <c:v>19</c:v>
                </c:pt>
                <c:pt idx="1">
                  <c:v>34.5</c:v>
                </c:pt>
                <c:pt idx="2">
                  <c:v>41.209583333333342</c:v>
                </c:pt>
                <c:pt idx="3">
                  <c:v>8</c:v>
                </c:pt>
                <c:pt idx="4">
                  <c:v>47.730000000000004</c:v>
                </c:pt>
                <c:pt idx="5">
                  <c:v>42.556666666666672</c:v>
                </c:pt>
                <c:pt idx="6">
                  <c:v>19.906666666666666</c:v>
                </c:pt>
                <c:pt idx="7">
                  <c:v>15</c:v>
                </c:pt>
                <c:pt idx="8">
                  <c:v>25.366666666666667</c:v>
                </c:pt>
                <c:pt idx="9">
                  <c:v>21.866666666666667</c:v>
                </c:pt>
                <c:pt idx="10">
                  <c:v>8.2449999999999992</c:v>
                </c:pt>
                <c:pt idx="11">
                  <c:v>4.5958333333333332</c:v>
                </c:pt>
                <c:pt idx="12">
                  <c:v>9.2687499999999989</c:v>
                </c:pt>
                <c:pt idx="13">
                  <c:v>13.204166666666666</c:v>
                </c:pt>
                <c:pt idx="14">
                  <c:v>10.215249999999999</c:v>
                </c:pt>
                <c:pt idx="15">
                  <c:v>47.375416666666666</c:v>
                </c:pt>
                <c:pt idx="16">
                  <c:v>39.766666666666666</c:v>
                </c:pt>
                <c:pt idx="17">
                  <c:v>41.766666666666666</c:v>
                </c:pt>
                <c:pt idx="18">
                  <c:v>39.376666666666665</c:v>
                </c:pt>
                <c:pt idx="19">
                  <c:v>22.054416666666665</c:v>
                </c:pt>
                <c:pt idx="20">
                  <c:v>21.25</c:v>
                </c:pt>
                <c:pt idx="21">
                  <c:v>5.1777499999999996</c:v>
                </c:pt>
                <c:pt idx="22">
                  <c:v>6.9224333333333323</c:v>
                </c:pt>
                <c:pt idx="23">
                  <c:v>38.244666666666667</c:v>
                </c:pt>
                <c:pt idx="24">
                  <c:v>39.94466666666667</c:v>
                </c:pt>
                <c:pt idx="25">
                  <c:v>39.494666666666667</c:v>
                </c:pt>
                <c:pt idx="26">
                  <c:v>49.134666666666668</c:v>
                </c:pt>
                <c:pt idx="27">
                  <c:v>23.074666666666662</c:v>
                </c:pt>
                <c:pt idx="28">
                  <c:v>17.074666666666666</c:v>
                </c:pt>
                <c:pt idx="29">
                  <c:v>3.8554999999999993</c:v>
                </c:pt>
                <c:pt idx="30">
                  <c:v>29.824666666666666</c:v>
                </c:pt>
                <c:pt idx="31">
                  <c:v>11.389666666666667</c:v>
                </c:pt>
                <c:pt idx="32">
                  <c:v>27.424666666666667</c:v>
                </c:pt>
                <c:pt idx="33">
                  <c:v>44.24933333333334</c:v>
                </c:pt>
                <c:pt idx="34">
                  <c:v>7.3896666666666668</c:v>
                </c:pt>
                <c:pt idx="35">
                  <c:v>9</c:v>
                </c:pt>
                <c:pt idx="36">
                  <c:v>5.7646666666666668</c:v>
                </c:pt>
                <c:pt idx="37">
                  <c:v>35.450000000000003</c:v>
                </c:pt>
                <c:pt idx="38">
                  <c:v>23.75</c:v>
                </c:pt>
                <c:pt idx="39">
                  <c:v>64.5</c:v>
                </c:pt>
                <c:pt idx="40">
                  <c:v>67</c:v>
                </c:pt>
                <c:pt idx="41">
                  <c:v>15.6</c:v>
                </c:pt>
                <c:pt idx="42">
                  <c:v>26.5</c:v>
                </c:pt>
                <c:pt idx="43">
                  <c:v>32</c:v>
                </c:pt>
                <c:pt idx="44">
                  <c:v>30.093800000000002</c:v>
                </c:pt>
                <c:pt idx="45">
                  <c:v>20.440199999999997</c:v>
                </c:pt>
                <c:pt idx="46">
                  <c:v>7.8666666666666671</c:v>
                </c:pt>
                <c:pt idx="47">
                  <c:v>10.690542549238202</c:v>
                </c:pt>
                <c:pt idx="48">
                  <c:v>7.6433333333333335</c:v>
                </c:pt>
                <c:pt idx="49">
                  <c:v>9.4905425492382012</c:v>
                </c:pt>
                <c:pt idx="50">
                  <c:v>9.4905425492382012</c:v>
                </c:pt>
                <c:pt idx="51">
                  <c:v>68.535333333333341</c:v>
                </c:pt>
                <c:pt idx="52">
                  <c:v>9.4905425492382012</c:v>
                </c:pt>
                <c:pt idx="53">
                  <c:v>56.993333333333339</c:v>
                </c:pt>
                <c:pt idx="54">
                  <c:v>9.4905425492382012</c:v>
                </c:pt>
                <c:pt idx="55">
                  <c:v>34.770542549238208</c:v>
                </c:pt>
                <c:pt idx="56">
                  <c:v>7.0666666666666664</c:v>
                </c:pt>
                <c:pt idx="57">
                  <c:v>4.1666666666666661</c:v>
                </c:pt>
                <c:pt idx="58">
                  <c:v>7.4</c:v>
                </c:pt>
                <c:pt idx="59">
                  <c:v>5.666666666666667</c:v>
                </c:pt>
                <c:pt idx="60">
                  <c:v>6.6000000000000005</c:v>
                </c:pt>
                <c:pt idx="61">
                  <c:v>2.4666666666666663</c:v>
                </c:pt>
                <c:pt idx="62">
                  <c:v>7.0666666666666664</c:v>
                </c:pt>
                <c:pt idx="63">
                  <c:v>8.6</c:v>
                </c:pt>
                <c:pt idx="64">
                  <c:v>32.075000000000003</c:v>
                </c:pt>
                <c:pt idx="65">
                  <c:v>6.3</c:v>
                </c:pt>
                <c:pt idx="66">
                  <c:v>7.666666666666667</c:v>
                </c:pt>
                <c:pt idx="67">
                  <c:v>37.1</c:v>
                </c:pt>
                <c:pt idx="68">
                  <c:v>6.4027777777777768</c:v>
                </c:pt>
                <c:pt idx="69">
                  <c:v>10.27222222222222</c:v>
                </c:pt>
                <c:pt idx="70">
                  <c:v>21.005555555555553</c:v>
                </c:pt>
                <c:pt idx="71">
                  <c:v>30.466666666666665</c:v>
                </c:pt>
                <c:pt idx="72">
                  <c:v>13.7</c:v>
                </c:pt>
                <c:pt idx="73">
                  <c:v>43.5</c:v>
                </c:pt>
                <c:pt idx="74">
                  <c:v>15.005555555555553</c:v>
                </c:pt>
                <c:pt idx="75">
                  <c:v>6.4666666666666659</c:v>
                </c:pt>
                <c:pt idx="76">
                  <c:v>16.81111111111111</c:v>
                </c:pt>
                <c:pt idx="77">
                  <c:v>8.466666666666665</c:v>
                </c:pt>
                <c:pt idx="78">
                  <c:v>15.866666666666665</c:v>
                </c:pt>
                <c:pt idx="79">
                  <c:v>10.3</c:v>
                </c:pt>
                <c:pt idx="80">
                  <c:v>7.8055555555555545</c:v>
                </c:pt>
                <c:pt idx="81">
                  <c:v>5.8299999999999992</c:v>
                </c:pt>
                <c:pt idx="82">
                  <c:v>42.146666666666668</c:v>
                </c:pt>
                <c:pt idx="83">
                  <c:v>49.881666666666668</c:v>
                </c:pt>
                <c:pt idx="84">
                  <c:v>47.56666666666667</c:v>
                </c:pt>
                <c:pt idx="85">
                  <c:v>17.288888888888888</c:v>
                </c:pt>
                <c:pt idx="86">
                  <c:v>34.024999999999999</c:v>
                </c:pt>
                <c:pt idx="87">
                  <c:v>6.05</c:v>
                </c:pt>
                <c:pt idx="88">
                  <c:v>29.471666666666664</c:v>
                </c:pt>
                <c:pt idx="89">
                  <c:v>24.130555555555553</c:v>
                </c:pt>
                <c:pt idx="90">
                  <c:v>10.327777777777776</c:v>
                </c:pt>
                <c:pt idx="91">
                  <c:v>28.763888888888889</c:v>
                </c:pt>
                <c:pt idx="92">
                  <c:v>36.256666666666668</c:v>
                </c:pt>
                <c:pt idx="93">
                  <c:v>12.234722222222221</c:v>
                </c:pt>
                <c:pt idx="94">
                  <c:v>37.317666666666668</c:v>
                </c:pt>
                <c:pt idx="95">
                  <c:v>13.184999999999999</c:v>
                </c:pt>
                <c:pt idx="96">
                  <c:v>41.031666666666666</c:v>
                </c:pt>
                <c:pt idx="97">
                  <c:v>19.27375</c:v>
                </c:pt>
                <c:pt idx="98">
                  <c:v>48.450166666666668</c:v>
                </c:pt>
                <c:pt idx="99">
                  <c:v>60.768166666666666</c:v>
                </c:pt>
                <c:pt idx="100">
                  <c:v>26.27375</c:v>
                </c:pt>
                <c:pt idx="101">
                  <c:v>44.2</c:v>
                </c:pt>
                <c:pt idx="102">
                  <c:v>16.602666666666664</c:v>
                </c:pt>
                <c:pt idx="103">
                  <c:v>18.47</c:v>
                </c:pt>
                <c:pt idx="104">
                  <c:v>18.47</c:v>
                </c:pt>
                <c:pt idx="105">
                  <c:v>52.454666666666661</c:v>
                </c:pt>
                <c:pt idx="106">
                  <c:v>16.8</c:v>
                </c:pt>
                <c:pt idx="107">
                  <c:v>51.05466666666667</c:v>
                </c:pt>
                <c:pt idx="108">
                  <c:v>38.522666666666666</c:v>
                </c:pt>
                <c:pt idx="109">
                  <c:v>29.4</c:v>
                </c:pt>
                <c:pt idx="110">
                  <c:v>39.831666666666663</c:v>
                </c:pt>
                <c:pt idx="111">
                  <c:v>21.7</c:v>
                </c:pt>
                <c:pt idx="112">
                  <c:v>39.26466666666667</c:v>
                </c:pt>
                <c:pt idx="113">
                  <c:v>39.141666666666666</c:v>
                </c:pt>
                <c:pt idx="114">
                  <c:v>23.4</c:v>
                </c:pt>
                <c:pt idx="115">
                  <c:v>39.99966666666667</c:v>
                </c:pt>
                <c:pt idx="116">
                  <c:v>12.299999999999999</c:v>
                </c:pt>
                <c:pt idx="117">
                  <c:v>9.92</c:v>
                </c:pt>
                <c:pt idx="118">
                  <c:v>3.8</c:v>
                </c:pt>
                <c:pt idx="119">
                  <c:v>5</c:v>
                </c:pt>
                <c:pt idx="120">
                  <c:v>6.0000000000000009</c:v>
                </c:pt>
                <c:pt idx="121">
                  <c:v>35.5</c:v>
                </c:pt>
                <c:pt idx="122">
                  <c:v>31.140249999999998</c:v>
                </c:pt>
                <c:pt idx="123">
                  <c:v>45.212500000000006</c:v>
                </c:pt>
                <c:pt idx="124">
                  <c:v>0</c:v>
                </c:pt>
                <c:pt idx="125">
                  <c:v>73.660250000000005</c:v>
                </c:pt>
                <c:pt idx="126">
                  <c:v>38.377083333333339</c:v>
                </c:pt>
                <c:pt idx="127">
                  <c:v>41.461666666666673</c:v>
                </c:pt>
                <c:pt idx="128">
                  <c:v>71.796875</c:v>
                </c:pt>
                <c:pt idx="129">
                  <c:v>30.235416666666666</c:v>
                </c:pt>
                <c:pt idx="130">
                  <c:v>56.406333333333336</c:v>
                </c:pt>
                <c:pt idx="131">
                  <c:v>0</c:v>
                </c:pt>
                <c:pt idx="132">
                  <c:v>38.700000000000003</c:v>
                </c:pt>
                <c:pt idx="133">
                  <c:v>44.68</c:v>
                </c:pt>
                <c:pt idx="134">
                  <c:v>73.160000000000011</c:v>
                </c:pt>
                <c:pt idx="135">
                  <c:v>9.6883333333333326</c:v>
                </c:pt>
                <c:pt idx="136">
                  <c:v>40.594583333333333</c:v>
                </c:pt>
                <c:pt idx="137">
                  <c:v>8.9678333333333331</c:v>
                </c:pt>
                <c:pt idx="138">
                  <c:v>0</c:v>
                </c:pt>
                <c:pt idx="139">
                  <c:v>44.299333333333337</c:v>
                </c:pt>
                <c:pt idx="140">
                  <c:v>48.697916666666664</c:v>
                </c:pt>
                <c:pt idx="141">
                  <c:v>45.321916666666667</c:v>
                </c:pt>
                <c:pt idx="142">
                  <c:v>27.331166666666668</c:v>
                </c:pt>
                <c:pt idx="143">
                  <c:v>28.563333333333333</c:v>
                </c:pt>
                <c:pt idx="144">
                  <c:v>7.2525833333333329</c:v>
                </c:pt>
                <c:pt idx="145">
                  <c:v>0</c:v>
                </c:pt>
                <c:pt idx="146">
                  <c:v>15.252583333333332</c:v>
                </c:pt>
                <c:pt idx="147">
                  <c:v>45.5</c:v>
                </c:pt>
                <c:pt idx="148">
                  <c:v>12.5</c:v>
                </c:pt>
                <c:pt idx="149">
                  <c:v>8.1999999999999993</c:v>
                </c:pt>
                <c:pt idx="150">
                  <c:v>2</c:v>
                </c:pt>
                <c:pt idx="151">
                  <c:v>10.941203703703703</c:v>
                </c:pt>
                <c:pt idx="152">
                  <c:v>27.005000000000003</c:v>
                </c:pt>
                <c:pt idx="153">
                  <c:v>6.4824074074074067</c:v>
                </c:pt>
                <c:pt idx="154">
                  <c:v>44.937407407407406</c:v>
                </c:pt>
                <c:pt idx="155">
                  <c:v>14.939814814814813</c:v>
                </c:pt>
                <c:pt idx="156">
                  <c:v>51.982407407407408</c:v>
                </c:pt>
                <c:pt idx="157">
                  <c:v>57.7</c:v>
                </c:pt>
                <c:pt idx="158">
                  <c:v>14.164814814814813</c:v>
                </c:pt>
                <c:pt idx="159">
                  <c:v>59.470000000000006</c:v>
                </c:pt>
                <c:pt idx="160">
                  <c:v>28.869</c:v>
                </c:pt>
                <c:pt idx="161">
                  <c:v>18</c:v>
                </c:pt>
                <c:pt idx="162">
                  <c:v>39.6</c:v>
                </c:pt>
                <c:pt idx="163">
                  <c:v>14.964814814814813</c:v>
                </c:pt>
                <c:pt idx="164">
                  <c:v>39.664814814814818</c:v>
                </c:pt>
                <c:pt idx="165">
                  <c:v>42</c:v>
                </c:pt>
                <c:pt idx="166">
                  <c:v>36.448</c:v>
                </c:pt>
                <c:pt idx="167">
                  <c:v>4.6653124999999998</c:v>
                </c:pt>
                <c:pt idx="168">
                  <c:v>50.2</c:v>
                </c:pt>
                <c:pt idx="169">
                  <c:v>17.166666666666668</c:v>
                </c:pt>
                <c:pt idx="170">
                  <c:v>55.165312499999999</c:v>
                </c:pt>
                <c:pt idx="171">
                  <c:v>53.5</c:v>
                </c:pt>
                <c:pt idx="172">
                  <c:v>37.200000000000003</c:v>
                </c:pt>
                <c:pt idx="173">
                  <c:v>7.3319791666666667</c:v>
                </c:pt>
                <c:pt idx="174">
                  <c:v>39.250979166666667</c:v>
                </c:pt>
                <c:pt idx="175">
                  <c:v>8.6666666666666661</c:v>
                </c:pt>
                <c:pt idx="176">
                  <c:v>43.9</c:v>
                </c:pt>
                <c:pt idx="177">
                  <c:v>28.349999999999998</c:v>
                </c:pt>
                <c:pt idx="178">
                  <c:v>13.466666666666667</c:v>
                </c:pt>
                <c:pt idx="179">
                  <c:v>10.97142857142857</c:v>
                </c:pt>
                <c:pt idx="180">
                  <c:v>47.7</c:v>
                </c:pt>
                <c:pt idx="181">
                  <c:v>44.599999999999994</c:v>
                </c:pt>
                <c:pt idx="182">
                  <c:v>55.516339285714288</c:v>
                </c:pt>
                <c:pt idx="183">
                  <c:v>42.365312500000002</c:v>
                </c:pt>
                <c:pt idx="184">
                  <c:v>43.8</c:v>
                </c:pt>
                <c:pt idx="185">
                  <c:v>36.700000000000003</c:v>
                </c:pt>
                <c:pt idx="186">
                  <c:v>6.0857142857142854</c:v>
                </c:pt>
                <c:pt idx="187">
                  <c:v>13.87142857142857</c:v>
                </c:pt>
                <c:pt idx="188">
                  <c:v>38.975666666666669</c:v>
                </c:pt>
                <c:pt idx="189">
                  <c:v>48.135979166666672</c:v>
                </c:pt>
                <c:pt idx="190">
                  <c:v>47.939122023809524</c:v>
                </c:pt>
                <c:pt idx="191">
                  <c:v>43.564122023809524</c:v>
                </c:pt>
                <c:pt idx="192">
                  <c:v>41.5</c:v>
                </c:pt>
                <c:pt idx="193">
                  <c:v>68.766666666666666</c:v>
                </c:pt>
                <c:pt idx="194">
                  <c:v>12.622455357142856</c:v>
                </c:pt>
                <c:pt idx="195">
                  <c:v>39.778809523809521</c:v>
                </c:pt>
                <c:pt idx="196">
                  <c:v>7.2571428571428571</c:v>
                </c:pt>
                <c:pt idx="197">
                  <c:v>40.066666666666663</c:v>
                </c:pt>
                <c:pt idx="198">
                  <c:v>8.1142857142857139</c:v>
                </c:pt>
                <c:pt idx="199">
                  <c:v>34.365312500000002</c:v>
                </c:pt>
                <c:pt idx="200">
                  <c:v>43.565312500000005</c:v>
                </c:pt>
                <c:pt idx="201">
                  <c:v>32.142857142857139</c:v>
                </c:pt>
                <c:pt idx="202">
                  <c:v>24.802812500000002</c:v>
                </c:pt>
                <c:pt idx="203">
                  <c:v>36.702812500000007</c:v>
                </c:pt>
                <c:pt idx="204">
                  <c:v>30.9</c:v>
                </c:pt>
                <c:pt idx="205">
                  <c:v>15.033333333333333</c:v>
                </c:pt>
                <c:pt idx="206">
                  <c:v>36.656333333333329</c:v>
                </c:pt>
                <c:pt idx="207">
                  <c:v>40.406000000000006</c:v>
                </c:pt>
                <c:pt idx="208">
                  <c:v>39.995666666666672</c:v>
                </c:pt>
                <c:pt idx="209">
                  <c:v>80.406666666666666</c:v>
                </c:pt>
                <c:pt idx="210">
                  <c:v>35.25033333333333</c:v>
                </c:pt>
                <c:pt idx="211">
                  <c:v>27.785301097178991</c:v>
                </c:pt>
                <c:pt idx="212">
                  <c:v>27.785301097178991</c:v>
                </c:pt>
                <c:pt idx="213">
                  <c:v>27.785301097178991</c:v>
                </c:pt>
                <c:pt idx="214">
                  <c:v>27.785301097178991</c:v>
                </c:pt>
                <c:pt idx="215">
                  <c:v>27.785301097178991</c:v>
                </c:pt>
                <c:pt idx="216">
                  <c:v>27.785301097178991</c:v>
                </c:pt>
                <c:pt idx="217">
                  <c:v>27.785301097178991</c:v>
                </c:pt>
                <c:pt idx="218">
                  <c:v>29.866666666666664</c:v>
                </c:pt>
                <c:pt idx="219">
                  <c:v>23.9</c:v>
                </c:pt>
                <c:pt idx="220">
                  <c:v>5.2</c:v>
                </c:pt>
                <c:pt idx="221">
                  <c:v>37.200000000000003</c:v>
                </c:pt>
                <c:pt idx="222">
                  <c:v>37.633333333333333</c:v>
                </c:pt>
                <c:pt idx="223">
                  <c:v>44.481333333333332</c:v>
                </c:pt>
                <c:pt idx="224">
                  <c:v>38.439333333333337</c:v>
                </c:pt>
                <c:pt idx="225">
                  <c:v>44.3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618-B310-1F4C8E74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8095"/>
        <c:axId val="2123699055"/>
      </c:scatterChart>
      <c:valAx>
        <c:axId val="21236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055"/>
        <c:crosses val="autoZero"/>
        <c:crossBetween val="midCat"/>
      </c:valAx>
      <c:valAx>
        <c:axId val="21236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Log'!$W$2:$W$227</c:f>
              <c:numCache>
                <c:formatCode>0.00</c:formatCode>
                <c:ptCount val="226"/>
                <c:pt idx="0">
                  <c:v>67.5</c:v>
                </c:pt>
                <c:pt idx="1">
                  <c:v>325.45</c:v>
                </c:pt>
                <c:pt idx="2">
                  <c:v>66.442083333333329</c:v>
                </c:pt>
                <c:pt idx="3">
                  <c:v>46</c:v>
                </c:pt>
                <c:pt idx="4">
                  <c:v>67.668333333333322</c:v>
                </c:pt>
                <c:pt idx="5">
                  <c:v>96.87166666666667</c:v>
                </c:pt>
                <c:pt idx="6">
                  <c:v>213.35166666666666</c:v>
                </c:pt>
                <c:pt idx="7">
                  <c:v>91</c:v>
                </c:pt>
                <c:pt idx="8">
                  <c:v>30.091666666666669</c:v>
                </c:pt>
                <c:pt idx="9">
                  <c:v>20.591666666666669</c:v>
                </c:pt>
                <c:pt idx="10">
                  <c:v>40.258333333333333</c:v>
                </c:pt>
                <c:pt idx="11">
                  <c:v>31.554166666666667</c:v>
                </c:pt>
                <c:pt idx="12">
                  <c:v>131.35</c:v>
                </c:pt>
                <c:pt idx="13">
                  <c:v>38.685416666666669</c:v>
                </c:pt>
                <c:pt idx="14">
                  <c:v>58.955750000000002</c:v>
                </c:pt>
                <c:pt idx="15">
                  <c:v>58.923416666666668</c:v>
                </c:pt>
                <c:pt idx="16">
                  <c:v>15.641666666666664</c:v>
                </c:pt>
                <c:pt idx="17">
                  <c:v>26.641666666666666</c:v>
                </c:pt>
                <c:pt idx="18">
                  <c:v>15.801666666666666</c:v>
                </c:pt>
                <c:pt idx="19">
                  <c:v>145.95741666666666</c:v>
                </c:pt>
                <c:pt idx="20">
                  <c:v>36.741666666666667</c:v>
                </c:pt>
                <c:pt idx="21">
                  <c:v>32.655749999999998</c:v>
                </c:pt>
                <c:pt idx="22">
                  <c:v>43.19756666666666</c:v>
                </c:pt>
                <c:pt idx="23">
                  <c:v>19.880333333333333</c:v>
                </c:pt>
                <c:pt idx="24">
                  <c:v>22.310333333333336</c:v>
                </c:pt>
                <c:pt idx="25">
                  <c:v>20.500333333333334</c:v>
                </c:pt>
                <c:pt idx="26">
                  <c:v>26.580333333333336</c:v>
                </c:pt>
                <c:pt idx="27">
                  <c:v>32.760333333333335</c:v>
                </c:pt>
                <c:pt idx="28">
                  <c:v>96.760333333333335</c:v>
                </c:pt>
                <c:pt idx="29">
                  <c:v>41.361499999999992</c:v>
                </c:pt>
                <c:pt idx="30">
                  <c:v>23.225166666666667</c:v>
                </c:pt>
                <c:pt idx="31">
                  <c:v>18.669833333333337</c:v>
                </c:pt>
                <c:pt idx="32">
                  <c:v>29.625166666666665</c:v>
                </c:pt>
                <c:pt idx="33">
                  <c:v>24.250333333333334</c:v>
                </c:pt>
                <c:pt idx="34">
                  <c:v>16.669833333333337</c:v>
                </c:pt>
                <c:pt idx="35">
                  <c:v>88.4</c:v>
                </c:pt>
                <c:pt idx="36">
                  <c:v>21.505166666666668</c:v>
                </c:pt>
                <c:pt idx="37">
                  <c:v>478.34999999999997</c:v>
                </c:pt>
                <c:pt idx="38">
                  <c:v>252.2</c:v>
                </c:pt>
                <c:pt idx="39">
                  <c:v>325.75</c:v>
                </c:pt>
                <c:pt idx="40">
                  <c:v>328.25</c:v>
                </c:pt>
                <c:pt idx="41">
                  <c:v>272</c:v>
                </c:pt>
                <c:pt idx="42">
                  <c:v>134</c:v>
                </c:pt>
                <c:pt idx="43">
                  <c:v>290</c:v>
                </c:pt>
                <c:pt idx="44">
                  <c:v>322.23899999999998</c:v>
                </c:pt>
                <c:pt idx="45">
                  <c:v>341.44171428571428</c:v>
                </c:pt>
                <c:pt idx="46">
                  <c:v>212.22544642857144</c:v>
                </c:pt>
                <c:pt idx="47">
                  <c:v>14.921518155757285</c:v>
                </c:pt>
                <c:pt idx="48">
                  <c:v>27.305119047619048</c:v>
                </c:pt>
                <c:pt idx="49">
                  <c:v>20.721518155757284</c:v>
                </c:pt>
                <c:pt idx="50">
                  <c:v>20.721518155757284</c:v>
                </c:pt>
                <c:pt idx="51">
                  <c:v>207.03666666666669</c:v>
                </c:pt>
                <c:pt idx="52">
                  <c:v>20.721518155757284</c:v>
                </c:pt>
                <c:pt idx="53">
                  <c:v>36.246666666666663</c:v>
                </c:pt>
                <c:pt idx="54">
                  <c:v>21.721518155757284</c:v>
                </c:pt>
                <c:pt idx="55">
                  <c:v>106.58306577480491</c:v>
                </c:pt>
                <c:pt idx="56">
                  <c:v>149.85178571428571</c:v>
                </c:pt>
                <c:pt idx="57">
                  <c:v>17.201785714285712</c:v>
                </c:pt>
                <c:pt idx="58">
                  <c:v>14.649999999999999</c:v>
                </c:pt>
                <c:pt idx="59">
                  <c:v>12.401785714285712</c:v>
                </c:pt>
                <c:pt idx="60">
                  <c:v>11.649999999999999</c:v>
                </c:pt>
                <c:pt idx="61">
                  <c:v>88.201785714285705</c:v>
                </c:pt>
                <c:pt idx="62">
                  <c:v>23.851785714285711</c:v>
                </c:pt>
                <c:pt idx="63">
                  <c:v>37.449999999999996</c:v>
                </c:pt>
                <c:pt idx="64">
                  <c:v>489.79999999999995</c:v>
                </c:pt>
                <c:pt idx="65">
                  <c:v>14.2</c:v>
                </c:pt>
                <c:pt idx="66">
                  <c:v>189.20178571428573</c:v>
                </c:pt>
                <c:pt idx="67">
                  <c:v>425.65</c:v>
                </c:pt>
                <c:pt idx="68">
                  <c:v>29.545833333333334</c:v>
                </c:pt>
                <c:pt idx="69">
                  <c:v>29.107142857142858</c:v>
                </c:pt>
                <c:pt idx="70">
                  <c:v>60.691666666666663</c:v>
                </c:pt>
                <c:pt idx="71">
                  <c:v>529.81547619047615</c:v>
                </c:pt>
                <c:pt idx="72">
                  <c:v>23</c:v>
                </c:pt>
                <c:pt idx="73">
                  <c:v>443</c:v>
                </c:pt>
                <c:pt idx="74">
                  <c:v>45.991666666666667</c:v>
                </c:pt>
                <c:pt idx="75">
                  <c:v>31.115476190476191</c:v>
                </c:pt>
                <c:pt idx="76">
                  <c:v>53.783333333333331</c:v>
                </c:pt>
                <c:pt idx="77">
                  <c:v>90.615476190476187</c:v>
                </c:pt>
                <c:pt idx="78">
                  <c:v>591.21547619047624</c:v>
                </c:pt>
                <c:pt idx="79">
                  <c:v>155.6</c:v>
                </c:pt>
                <c:pt idx="80">
                  <c:v>201.79166666666669</c:v>
                </c:pt>
                <c:pt idx="81">
                  <c:v>386.47047619047618</c:v>
                </c:pt>
                <c:pt idx="82">
                  <c:v>265.63499999999999</c:v>
                </c:pt>
                <c:pt idx="83">
                  <c:v>231.05500000000001</c:v>
                </c:pt>
                <c:pt idx="84">
                  <c:v>326.67500000000001</c:v>
                </c:pt>
                <c:pt idx="85">
                  <c:v>638.91187500000001</c:v>
                </c:pt>
                <c:pt idx="86">
                  <c:v>522.52437499999996</c:v>
                </c:pt>
                <c:pt idx="87">
                  <c:v>208.04874999999998</c:v>
                </c:pt>
                <c:pt idx="88">
                  <c:v>154.55937500000002</c:v>
                </c:pt>
                <c:pt idx="89">
                  <c:v>197.26250000000002</c:v>
                </c:pt>
                <c:pt idx="90">
                  <c:v>234.97500000000002</c:v>
                </c:pt>
                <c:pt idx="91">
                  <c:v>523.58749999999998</c:v>
                </c:pt>
                <c:pt idx="92">
                  <c:v>653.99</c:v>
                </c:pt>
                <c:pt idx="93">
                  <c:v>28.254166666666666</c:v>
                </c:pt>
                <c:pt idx="94">
                  <c:v>25.539666666666665</c:v>
                </c:pt>
                <c:pt idx="95">
                  <c:v>40.587499999999999</c:v>
                </c:pt>
                <c:pt idx="96">
                  <c:v>106.81366666666666</c:v>
                </c:pt>
                <c:pt idx="97">
                  <c:v>104.0125</c:v>
                </c:pt>
                <c:pt idx="98">
                  <c:v>475.33016666666663</c:v>
                </c:pt>
                <c:pt idx="99">
                  <c:v>472.61616666666669</c:v>
                </c:pt>
                <c:pt idx="100">
                  <c:v>620.61249999999995</c:v>
                </c:pt>
                <c:pt idx="101">
                  <c:v>808</c:v>
                </c:pt>
                <c:pt idx="102">
                  <c:v>192.78766666666667</c:v>
                </c:pt>
                <c:pt idx="103">
                  <c:v>126.67</c:v>
                </c:pt>
                <c:pt idx="104">
                  <c:v>126.67</c:v>
                </c:pt>
                <c:pt idx="105">
                  <c:v>138.76400000000001</c:v>
                </c:pt>
                <c:pt idx="106">
                  <c:v>325.47500000000002</c:v>
                </c:pt>
                <c:pt idx="107">
                  <c:v>39.65</c:v>
                </c:pt>
                <c:pt idx="108">
                  <c:v>28.138999999999999</c:v>
                </c:pt>
                <c:pt idx="109">
                  <c:v>317.35000000000002</c:v>
                </c:pt>
                <c:pt idx="110">
                  <c:v>307.71899999999999</c:v>
                </c:pt>
                <c:pt idx="111">
                  <c:v>475.8</c:v>
                </c:pt>
                <c:pt idx="112">
                  <c:v>306.01900000000001</c:v>
                </c:pt>
                <c:pt idx="113">
                  <c:v>188.39699999999999</c:v>
                </c:pt>
                <c:pt idx="114">
                  <c:v>30.150000000000002</c:v>
                </c:pt>
                <c:pt idx="115">
                  <c:v>191.17699999999999</c:v>
                </c:pt>
                <c:pt idx="116">
                  <c:v>214.67500000000001</c:v>
                </c:pt>
                <c:pt idx="117">
                  <c:v>215.36</c:v>
                </c:pt>
                <c:pt idx="118">
                  <c:v>225.1</c:v>
                </c:pt>
                <c:pt idx="119">
                  <c:v>206.1</c:v>
                </c:pt>
                <c:pt idx="120">
                  <c:v>196.04999999999998</c:v>
                </c:pt>
                <c:pt idx="121">
                  <c:v>821.9</c:v>
                </c:pt>
                <c:pt idx="122">
                  <c:v>687.84012500000006</c:v>
                </c:pt>
                <c:pt idx="123">
                  <c:v>362.08937499999996</c:v>
                </c:pt>
                <c:pt idx="124">
                  <c:v>152</c:v>
                </c:pt>
                <c:pt idx="125">
                  <c:v>349.9449166666667</c:v>
                </c:pt>
                <c:pt idx="126">
                  <c:v>516.88958333333335</c:v>
                </c:pt>
                <c:pt idx="127">
                  <c:v>1012.2850000000001</c:v>
                </c:pt>
                <c:pt idx="128">
                  <c:v>540.84687499999995</c:v>
                </c:pt>
                <c:pt idx="129">
                  <c:v>427.88333333333333</c:v>
                </c:pt>
                <c:pt idx="130">
                  <c:v>334.10370833333332</c:v>
                </c:pt>
                <c:pt idx="131">
                  <c:v>129</c:v>
                </c:pt>
                <c:pt idx="132">
                  <c:v>378.2</c:v>
                </c:pt>
                <c:pt idx="133">
                  <c:v>390.73166666666668</c:v>
                </c:pt>
                <c:pt idx="134">
                  <c:v>316.12166666666667</c:v>
                </c:pt>
                <c:pt idx="135">
                  <c:v>554.69124999999997</c:v>
                </c:pt>
                <c:pt idx="136">
                  <c:v>373.47787499999998</c:v>
                </c:pt>
                <c:pt idx="137">
                  <c:v>498.64431249999996</c:v>
                </c:pt>
                <c:pt idx="138">
                  <c:v>119.4</c:v>
                </c:pt>
                <c:pt idx="139">
                  <c:v>459.10299999999995</c:v>
                </c:pt>
                <c:pt idx="140">
                  <c:v>541.51043749999997</c:v>
                </c:pt>
                <c:pt idx="141">
                  <c:v>391.66643750000003</c:v>
                </c:pt>
                <c:pt idx="142">
                  <c:v>193.44931249999999</c:v>
                </c:pt>
                <c:pt idx="143">
                  <c:v>436.60500000000002</c:v>
                </c:pt>
                <c:pt idx="144">
                  <c:v>349.62943749999999</c:v>
                </c:pt>
                <c:pt idx="145">
                  <c:v>2</c:v>
                </c:pt>
                <c:pt idx="146">
                  <c:v>372.02943750000003</c:v>
                </c:pt>
                <c:pt idx="147">
                  <c:v>330.4</c:v>
                </c:pt>
                <c:pt idx="148">
                  <c:v>296.39999999999998</c:v>
                </c:pt>
                <c:pt idx="149">
                  <c:v>295.10000000000002</c:v>
                </c:pt>
                <c:pt idx="150">
                  <c:v>140.80000000000001</c:v>
                </c:pt>
                <c:pt idx="151">
                  <c:v>525.43208333333337</c:v>
                </c:pt>
                <c:pt idx="152">
                  <c:v>82.004999999999995</c:v>
                </c:pt>
                <c:pt idx="153">
                  <c:v>67.68416666666667</c:v>
                </c:pt>
                <c:pt idx="154">
                  <c:v>207.9385</c:v>
                </c:pt>
                <c:pt idx="155">
                  <c:v>345.24333333333334</c:v>
                </c:pt>
                <c:pt idx="156">
                  <c:v>292.68416666666667</c:v>
                </c:pt>
                <c:pt idx="157">
                  <c:v>185.90833333333333</c:v>
                </c:pt>
                <c:pt idx="158">
                  <c:v>31.368333333333336</c:v>
                </c:pt>
                <c:pt idx="159">
                  <c:v>50.18833333333334</c:v>
                </c:pt>
                <c:pt idx="160">
                  <c:v>218.47633333333334</c:v>
                </c:pt>
                <c:pt idx="161">
                  <c:v>168.30833333333334</c:v>
                </c:pt>
                <c:pt idx="162">
                  <c:v>751.32500000000005</c:v>
                </c:pt>
                <c:pt idx="163">
                  <c:v>305.36833333333334</c:v>
                </c:pt>
                <c:pt idx="164">
                  <c:v>342.76833333333332</c:v>
                </c:pt>
                <c:pt idx="165">
                  <c:v>321.39999999999998</c:v>
                </c:pt>
                <c:pt idx="166">
                  <c:v>349.86566666666664</c:v>
                </c:pt>
                <c:pt idx="167">
                  <c:v>158.741625</c:v>
                </c:pt>
                <c:pt idx="168">
                  <c:v>273.8416666666667</c:v>
                </c:pt>
                <c:pt idx="169">
                  <c:v>264.0654761904762</c:v>
                </c:pt>
                <c:pt idx="170">
                  <c:v>506.0832916666667</c:v>
                </c:pt>
                <c:pt idx="171">
                  <c:v>500.3416666666667</c:v>
                </c:pt>
                <c:pt idx="172">
                  <c:v>508</c:v>
                </c:pt>
                <c:pt idx="173">
                  <c:v>312.70710119047618</c:v>
                </c:pt>
                <c:pt idx="174">
                  <c:v>199.63276785714285</c:v>
                </c:pt>
                <c:pt idx="175">
                  <c:v>236.3154761904762</c:v>
                </c:pt>
                <c:pt idx="176">
                  <c:v>112.82166666666666</c:v>
                </c:pt>
                <c:pt idx="177">
                  <c:v>169.50000000000003</c:v>
                </c:pt>
                <c:pt idx="178">
                  <c:v>607.8654761904761</c:v>
                </c:pt>
                <c:pt idx="179">
                  <c:v>293.90000000000003</c:v>
                </c:pt>
                <c:pt idx="180">
                  <c:v>241.64166666666668</c:v>
                </c:pt>
                <c:pt idx="181">
                  <c:v>34.091666666666669</c:v>
                </c:pt>
                <c:pt idx="182">
                  <c:v>241.87491666666668</c:v>
                </c:pt>
                <c:pt idx="183">
                  <c:v>245.88329166666668</c:v>
                </c:pt>
                <c:pt idx="184">
                  <c:v>27.741666666666667</c:v>
                </c:pt>
                <c:pt idx="185">
                  <c:v>22.141666666666666</c:v>
                </c:pt>
                <c:pt idx="186">
                  <c:v>314.5</c:v>
                </c:pt>
                <c:pt idx="187">
                  <c:v>399.6</c:v>
                </c:pt>
                <c:pt idx="188">
                  <c:v>174.92933333333335</c:v>
                </c:pt>
                <c:pt idx="189">
                  <c:v>460.83195833333332</c:v>
                </c:pt>
                <c:pt idx="190">
                  <c:v>444.06567261904763</c:v>
                </c:pt>
                <c:pt idx="191">
                  <c:v>520.71967261904763</c:v>
                </c:pt>
                <c:pt idx="192">
                  <c:v>530.5</c:v>
                </c:pt>
                <c:pt idx="193">
                  <c:v>368.85833333333335</c:v>
                </c:pt>
                <c:pt idx="194">
                  <c:v>43.677339285714282</c:v>
                </c:pt>
                <c:pt idx="195">
                  <c:v>206.99804761904761</c:v>
                </c:pt>
                <c:pt idx="196">
                  <c:v>421.48571428571432</c:v>
                </c:pt>
                <c:pt idx="197">
                  <c:v>291.75833333333333</c:v>
                </c:pt>
                <c:pt idx="198">
                  <c:v>285.67142857142858</c:v>
                </c:pt>
                <c:pt idx="199">
                  <c:v>269.09162500000002</c:v>
                </c:pt>
                <c:pt idx="200">
                  <c:v>381.09162500000002</c:v>
                </c:pt>
                <c:pt idx="201">
                  <c:v>615.0428571428572</c:v>
                </c:pt>
                <c:pt idx="202">
                  <c:v>319.56662499999999</c:v>
                </c:pt>
                <c:pt idx="203">
                  <c:v>512.46662500000002</c:v>
                </c:pt>
                <c:pt idx="204">
                  <c:v>573.4</c:v>
                </c:pt>
                <c:pt idx="205">
                  <c:v>615.70000000000005</c:v>
                </c:pt>
                <c:pt idx="206">
                  <c:v>18.666333333333334</c:v>
                </c:pt>
                <c:pt idx="207">
                  <c:v>295.52633333333335</c:v>
                </c:pt>
                <c:pt idx="208">
                  <c:v>352.98033333333336</c:v>
                </c:pt>
                <c:pt idx="209">
                  <c:v>326.79666666666668</c:v>
                </c:pt>
                <c:pt idx="210">
                  <c:v>224.61833333333334</c:v>
                </c:pt>
                <c:pt idx="211">
                  <c:v>239.28876055938798</c:v>
                </c:pt>
                <c:pt idx="212">
                  <c:v>239.28876055938798</c:v>
                </c:pt>
                <c:pt idx="213">
                  <c:v>239.28876055938798</c:v>
                </c:pt>
                <c:pt idx="214">
                  <c:v>239.28876055938798</c:v>
                </c:pt>
                <c:pt idx="215">
                  <c:v>239.28876055938798</c:v>
                </c:pt>
                <c:pt idx="216">
                  <c:v>239.28876055938798</c:v>
                </c:pt>
                <c:pt idx="217">
                  <c:v>239.28876055938798</c:v>
                </c:pt>
                <c:pt idx="218">
                  <c:v>407.61666666666667</c:v>
                </c:pt>
                <c:pt idx="219">
                  <c:v>297.3</c:v>
                </c:pt>
                <c:pt idx="220">
                  <c:v>150.4</c:v>
                </c:pt>
                <c:pt idx="221">
                  <c:v>208.4</c:v>
                </c:pt>
                <c:pt idx="222">
                  <c:v>228.15166666666667</c:v>
                </c:pt>
                <c:pt idx="223">
                  <c:v>128.01566666666668</c:v>
                </c:pt>
                <c:pt idx="224">
                  <c:v>302.9496666666667</c:v>
                </c:pt>
                <c:pt idx="225">
                  <c:v>481.8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7-4F74-8780-5FC0C692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65455"/>
        <c:axId val="2123676975"/>
      </c:scatterChart>
      <c:valAx>
        <c:axId val="2123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6975"/>
        <c:crosses val="autoZero"/>
        <c:crossBetween val="midCat"/>
      </c:valAx>
      <c:valAx>
        <c:axId val="2123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Servings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513998250218716E-2"/>
                  <c:y val="-0.14027559055118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Log'!$X$2:$X$227</c:f>
              <c:numCache>
                <c:formatCode>0.00</c:formatCode>
                <c:ptCount val="226"/>
                <c:pt idx="0">
                  <c:v>17</c:v>
                </c:pt>
                <c:pt idx="1">
                  <c:v>72.5</c:v>
                </c:pt>
                <c:pt idx="2">
                  <c:v>16.350000000000001</c:v>
                </c:pt>
                <c:pt idx="3">
                  <c:v>6</c:v>
                </c:pt>
                <c:pt idx="4">
                  <c:v>19.3</c:v>
                </c:pt>
                <c:pt idx="5">
                  <c:v>20.9</c:v>
                </c:pt>
                <c:pt idx="6">
                  <c:v>17.5</c:v>
                </c:pt>
                <c:pt idx="7">
                  <c:v>12</c:v>
                </c:pt>
                <c:pt idx="8">
                  <c:v>35</c:v>
                </c:pt>
                <c:pt idx="9">
                  <c:v>21.5</c:v>
                </c:pt>
                <c:pt idx="10">
                  <c:v>7.5</c:v>
                </c:pt>
                <c:pt idx="11">
                  <c:v>8.25</c:v>
                </c:pt>
                <c:pt idx="12">
                  <c:v>16</c:v>
                </c:pt>
                <c:pt idx="13">
                  <c:v>10.25</c:v>
                </c:pt>
                <c:pt idx="14">
                  <c:v>6</c:v>
                </c:pt>
                <c:pt idx="15">
                  <c:v>20.84</c:v>
                </c:pt>
                <c:pt idx="16">
                  <c:v>16</c:v>
                </c:pt>
                <c:pt idx="17">
                  <c:v>17</c:v>
                </c:pt>
                <c:pt idx="18">
                  <c:v>15.899999999999999</c:v>
                </c:pt>
                <c:pt idx="19">
                  <c:v>17.899999999999999</c:v>
                </c:pt>
                <c:pt idx="20">
                  <c:v>17</c:v>
                </c:pt>
                <c:pt idx="21">
                  <c:v>6</c:v>
                </c:pt>
                <c:pt idx="22">
                  <c:v>5.2</c:v>
                </c:pt>
                <c:pt idx="23">
                  <c:v>16.700000000000003</c:v>
                </c:pt>
                <c:pt idx="24">
                  <c:v>20.05</c:v>
                </c:pt>
                <c:pt idx="25">
                  <c:v>17.600000000000001</c:v>
                </c:pt>
                <c:pt idx="26">
                  <c:v>24</c:v>
                </c:pt>
                <c:pt idx="27">
                  <c:v>18.399999999999999</c:v>
                </c:pt>
                <c:pt idx="28">
                  <c:v>15.4</c:v>
                </c:pt>
                <c:pt idx="29">
                  <c:v>7</c:v>
                </c:pt>
                <c:pt idx="30">
                  <c:v>11</c:v>
                </c:pt>
                <c:pt idx="31">
                  <c:v>8</c:v>
                </c:pt>
                <c:pt idx="32">
                  <c:v>15.3</c:v>
                </c:pt>
                <c:pt idx="33">
                  <c:v>20.5</c:v>
                </c:pt>
                <c:pt idx="34">
                  <c:v>7</c:v>
                </c:pt>
                <c:pt idx="35">
                  <c:v>14</c:v>
                </c:pt>
                <c:pt idx="36">
                  <c:v>12.4</c:v>
                </c:pt>
                <c:pt idx="37">
                  <c:v>166.5</c:v>
                </c:pt>
                <c:pt idx="38">
                  <c:v>76.5</c:v>
                </c:pt>
                <c:pt idx="39">
                  <c:v>78</c:v>
                </c:pt>
                <c:pt idx="40">
                  <c:v>84.5</c:v>
                </c:pt>
                <c:pt idx="41">
                  <c:v>80</c:v>
                </c:pt>
                <c:pt idx="42">
                  <c:v>11</c:v>
                </c:pt>
                <c:pt idx="43">
                  <c:v>74</c:v>
                </c:pt>
                <c:pt idx="44">
                  <c:v>83.75</c:v>
                </c:pt>
                <c:pt idx="45">
                  <c:v>98</c:v>
                </c:pt>
                <c:pt idx="46">
                  <c:v>54.5</c:v>
                </c:pt>
                <c:pt idx="47">
                  <c:v>11</c:v>
                </c:pt>
                <c:pt idx="48">
                  <c:v>17</c:v>
                </c:pt>
                <c:pt idx="49">
                  <c:v>10</c:v>
                </c:pt>
                <c:pt idx="50">
                  <c:v>12</c:v>
                </c:pt>
                <c:pt idx="51">
                  <c:v>84.59</c:v>
                </c:pt>
                <c:pt idx="52">
                  <c:v>12</c:v>
                </c:pt>
                <c:pt idx="53">
                  <c:v>30.1</c:v>
                </c:pt>
                <c:pt idx="54">
                  <c:v>13</c:v>
                </c:pt>
                <c:pt idx="55">
                  <c:v>24.1</c:v>
                </c:pt>
                <c:pt idx="56">
                  <c:v>15</c:v>
                </c:pt>
                <c:pt idx="57">
                  <c:v>11.5</c:v>
                </c:pt>
                <c:pt idx="58">
                  <c:v>12.5</c:v>
                </c:pt>
                <c:pt idx="59">
                  <c:v>10</c:v>
                </c:pt>
                <c:pt idx="60">
                  <c:v>14</c:v>
                </c:pt>
                <c:pt idx="61">
                  <c:v>10</c:v>
                </c:pt>
                <c:pt idx="62">
                  <c:v>14</c:v>
                </c:pt>
                <c:pt idx="63">
                  <c:v>9</c:v>
                </c:pt>
                <c:pt idx="64">
                  <c:v>55.1</c:v>
                </c:pt>
                <c:pt idx="65">
                  <c:v>4.9000000000000004</c:v>
                </c:pt>
                <c:pt idx="66">
                  <c:v>21</c:v>
                </c:pt>
                <c:pt idx="67">
                  <c:v>81</c:v>
                </c:pt>
                <c:pt idx="68">
                  <c:v>15.5</c:v>
                </c:pt>
                <c:pt idx="69">
                  <c:v>14</c:v>
                </c:pt>
                <c:pt idx="70">
                  <c:v>18</c:v>
                </c:pt>
                <c:pt idx="71">
                  <c:v>103.4</c:v>
                </c:pt>
                <c:pt idx="72">
                  <c:v>7</c:v>
                </c:pt>
                <c:pt idx="73">
                  <c:v>114</c:v>
                </c:pt>
                <c:pt idx="74">
                  <c:v>12</c:v>
                </c:pt>
                <c:pt idx="75">
                  <c:v>16</c:v>
                </c:pt>
                <c:pt idx="76">
                  <c:v>18</c:v>
                </c:pt>
                <c:pt idx="77">
                  <c:v>15</c:v>
                </c:pt>
                <c:pt idx="78">
                  <c:v>138.5</c:v>
                </c:pt>
                <c:pt idx="79">
                  <c:v>20.5</c:v>
                </c:pt>
                <c:pt idx="80">
                  <c:v>65</c:v>
                </c:pt>
                <c:pt idx="81">
                  <c:v>60.45</c:v>
                </c:pt>
                <c:pt idx="82">
                  <c:v>65.55</c:v>
                </c:pt>
                <c:pt idx="83">
                  <c:v>73.900000000000006</c:v>
                </c:pt>
                <c:pt idx="84">
                  <c:v>78.75</c:v>
                </c:pt>
                <c:pt idx="85">
                  <c:v>103</c:v>
                </c:pt>
                <c:pt idx="86">
                  <c:v>154</c:v>
                </c:pt>
                <c:pt idx="87">
                  <c:v>63</c:v>
                </c:pt>
                <c:pt idx="88">
                  <c:v>25.55</c:v>
                </c:pt>
                <c:pt idx="89">
                  <c:v>29.75</c:v>
                </c:pt>
                <c:pt idx="90">
                  <c:v>75</c:v>
                </c:pt>
                <c:pt idx="91">
                  <c:v>98.666666666666671</c:v>
                </c:pt>
                <c:pt idx="92">
                  <c:v>126.7</c:v>
                </c:pt>
                <c:pt idx="93">
                  <c:v>15</c:v>
                </c:pt>
                <c:pt idx="94">
                  <c:v>20.73</c:v>
                </c:pt>
                <c:pt idx="95">
                  <c:v>25</c:v>
                </c:pt>
                <c:pt idx="96">
                  <c:v>23.54</c:v>
                </c:pt>
                <c:pt idx="97">
                  <c:v>21</c:v>
                </c:pt>
                <c:pt idx="98">
                  <c:v>124.39</c:v>
                </c:pt>
                <c:pt idx="99">
                  <c:v>128.52000000000001</c:v>
                </c:pt>
                <c:pt idx="100">
                  <c:v>115</c:v>
                </c:pt>
                <c:pt idx="101">
                  <c:v>155</c:v>
                </c:pt>
                <c:pt idx="102">
                  <c:v>63.34</c:v>
                </c:pt>
                <c:pt idx="103">
                  <c:v>31.23</c:v>
                </c:pt>
                <c:pt idx="104">
                  <c:v>31.23</c:v>
                </c:pt>
                <c:pt idx="105">
                  <c:v>25.540000000000003</c:v>
                </c:pt>
                <c:pt idx="106">
                  <c:v>19</c:v>
                </c:pt>
                <c:pt idx="107">
                  <c:v>26.41</c:v>
                </c:pt>
                <c:pt idx="108">
                  <c:v>21.549999999999997</c:v>
                </c:pt>
                <c:pt idx="109">
                  <c:v>54</c:v>
                </c:pt>
                <c:pt idx="110">
                  <c:v>72.78</c:v>
                </c:pt>
                <c:pt idx="111">
                  <c:v>69</c:v>
                </c:pt>
                <c:pt idx="112">
                  <c:v>62.09</c:v>
                </c:pt>
                <c:pt idx="113">
                  <c:v>65.490000000000009</c:v>
                </c:pt>
                <c:pt idx="114">
                  <c:v>15</c:v>
                </c:pt>
                <c:pt idx="115">
                  <c:v>63.65</c:v>
                </c:pt>
                <c:pt idx="116">
                  <c:v>55.5</c:v>
                </c:pt>
                <c:pt idx="117">
                  <c:v>57.2</c:v>
                </c:pt>
                <c:pt idx="118">
                  <c:v>58.25</c:v>
                </c:pt>
                <c:pt idx="119">
                  <c:v>59.25</c:v>
                </c:pt>
                <c:pt idx="120">
                  <c:v>46.75</c:v>
                </c:pt>
                <c:pt idx="121">
                  <c:v>168.5</c:v>
                </c:pt>
                <c:pt idx="122">
                  <c:v>141.6</c:v>
                </c:pt>
                <c:pt idx="123">
                  <c:v>23.63</c:v>
                </c:pt>
                <c:pt idx="124">
                  <c:v>40</c:v>
                </c:pt>
                <c:pt idx="125">
                  <c:v>79.77</c:v>
                </c:pt>
                <c:pt idx="126">
                  <c:v>107</c:v>
                </c:pt>
                <c:pt idx="127">
                  <c:v>140.6</c:v>
                </c:pt>
                <c:pt idx="128">
                  <c:v>90</c:v>
                </c:pt>
                <c:pt idx="129">
                  <c:v>67</c:v>
                </c:pt>
                <c:pt idx="130">
                  <c:v>78.22999999999999</c:v>
                </c:pt>
                <c:pt idx="131">
                  <c:v>3</c:v>
                </c:pt>
                <c:pt idx="132">
                  <c:v>129</c:v>
                </c:pt>
                <c:pt idx="133">
                  <c:v>98.4</c:v>
                </c:pt>
                <c:pt idx="134">
                  <c:v>70.400000000000006</c:v>
                </c:pt>
                <c:pt idx="135">
                  <c:v>115.8</c:v>
                </c:pt>
                <c:pt idx="136">
                  <c:v>66.430000000000007</c:v>
                </c:pt>
                <c:pt idx="137">
                  <c:v>97</c:v>
                </c:pt>
                <c:pt idx="138">
                  <c:v>6</c:v>
                </c:pt>
                <c:pt idx="139">
                  <c:v>123.63</c:v>
                </c:pt>
                <c:pt idx="140">
                  <c:v>163.86</c:v>
                </c:pt>
                <c:pt idx="141">
                  <c:v>108.56</c:v>
                </c:pt>
                <c:pt idx="142">
                  <c:v>73.7</c:v>
                </c:pt>
                <c:pt idx="143">
                  <c:v>133.69999999999999</c:v>
                </c:pt>
                <c:pt idx="144">
                  <c:v>114</c:v>
                </c:pt>
                <c:pt idx="145">
                  <c:v>1</c:v>
                </c:pt>
                <c:pt idx="146">
                  <c:v>102</c:v>
                </c:pt>
                <c:pt idx="147">
                  <c:v>70</c:v>
                </c:pt>
                <c:pt idx="148">
                  <c:v>56</c:v>
                </c:pt>
                <c:pt idx="149">
                  <c:v>69</c:v>
                </c:pt>
                <c:pt idx="150">
                  <c:v>56</c:v>
                </c:pt>
                <c:pt idx="151">
                  <c:v>129.17000000000002</c:v>
                </c:pt>
                <c:pt idx="152">
                  <c:v>15.33</c:v>
                </c:pt>
                <c:pt idx="153">
                  <c:v>5</c:v>
                </c:pt>
                <c:pt idx="154">
                  <c:v>73.42</c:v>
                </c:pt>
                <c:pt idx="155">
                  <c:v>106</c:v>
                </c:pt>
                <c:pt idx="156">
                  <c:v>101</c:v>
                </c:pt>
                <c:pt idx="157">
                  <c:v>44</c:v>
                </c:pt>
                <c:pt idx="158">
                  <c:v>21</c:v>
                </c:pt>
                <c:pt idx="159">
                  <c:v>38.5</c:v>
                </c:pt>
                <c:pt idx="160">
                  <c:v>64.39</c:v>
                </c:pt>
                <c:pt idx="161">
                  <c:v>65</c:v>
                </c:pt>
                <c:pt idx="162">
                  <c:v>147</c:v>
                </c:pt>
                <c:pt idx="163">
                  <c:v>68</c:v>
                </c:pt>
                <c:pt idx="164">
                  <c:v>59</c:v>
                </c:pt>
                <c:pt idx="165">
                  <c:v>75</c:v>
                </c:pt>
                <c:pt idx="166">
                  <c:v>102.94</c:v>
                </c:pt>
                <c:pt idx="167">
                  <c:v>17</c:v>
                </c:pt>
                <c:pt idx="168">
                  <c:v>76.5</c:v>
                </c:pt>
                <c:pt idx="169">
                  <c:v>66.5</c:v>
                </c:pt>
                <c:pt idx="170">
                  <c:v>126</c:v>
                </c:pt>
                <c:pt idx="171">
                  <c:v>125</c:v>
                </c:pt>
                <c:pt idx="172">
                  <c:v>84.75</c:v>
                </c:pt>
                <c:pt idx="173">
                  <c:v>55</c:v>
                </c:pt>
                <c:pt idx="174">
                  <c:v>77.11</c:v>
                </c:pt>
                <c:pt idx="175">
                  <c:v>77</c:v>
                </c:pt>
                <c:pt idx="176">
                  <c:v>37.299999999999997</c:v>
                </c:pt>
                <c:pt idx="177">
                  <c:v>65</c:v>
                </c:pt>
                <c:pt idx="178">
                  <c:v>82.75</c:v>
                </c:pt>
                <c:pt idx="179">
                  <c:v>83</c:v>
                </c:pt>
                <c:pt idx="180">
                  <c:v>79</c:v>
                </c:pt>
                <c:pt idx="181">
                  <c:v>25</c:v>
                </c:pt>
                <c:pt idx="182">
                  <c:v>81</c:v>
                </c:pt>
                <c:pt idx="183">
                  <c:v>82</c:v>
                </c:pt>
                <c:pt idx="184">
                  <c:v>26</c:v>
                </c:pt>
                <c:pt idx="185">
                  <c:v>19</c:v>
                </c:pt>
                <c:pt idx="186">
                  <c:v>51</c:v>
                </c:pt>
                <c:pt idx="187">
                  <c:v>117</c:v>
                </c:pt>
                <c:pt idx="188">
                  <c:v>61.230000000000004</c:v>
                </c:pt>
                <c:pt idx="189">
                  <c:v>129.47</c:v>
                </c:pt>
                <c:pt idx="190">
                  <c:v>81.849999999999994</c:v>
                </c:pt>
                <c:pt idx="191">
                  <c:v>134.33000000000001</c:v>
                </c:pt>
                <c:pt idx="192">
                  <c:v>65.8</c:v>
                </c:pt>
                <c:pt idx="193">
                  <c:v>139.5</c:v>
                </c:pt>
                <c:pt idx="194">
                  <c:v>19.5</c:v>
                </c:pt>
                <c:pt idx="195">
                  <c:v>81.28</c:v>
                </c:pt>
                <c:pt idx="196">
                  <c:v>105.5</c:v>
                </c:pt>
                <c:pt idx="197">
                  <c:v>62</c:v>
                </c:pt>
                <c:pt idx="198">
                  <c:v>72</c:v>
                </c:pt>
                <c:pt idx="199">
                  <c:v>76</c:v>
                </c:pt>
                <c:pt idx="200">
                  <c:v>69</c:v>
                </c:pt>
                <c:pt idx="201">
                  <c:v>42</c:v>
                </c:pt>
                <c:pt idx="202">
                  <c:v>75</c:v>
                </c:pt>
                <c:pt idx="203">
                  <c:v>97.3</c:v>
                </c:pt>
                <c:pt idx="204">
                  <c:v>54</c:v>
                </c:pt>
                <c:pt idx="205">
                  <c:v>140</c:v>
                </c:pt>
                <c:pt idx="206">
                  <c:v>15.469999999999999</c:v>
                </c:pt>
                <c:pt idx="207">
                  <c:v>23.729999999999997</c:v>
                </c:pt>
                <c:pt idx="208">
                  <c:v>82.686666666666667</c:v>
                </c:pt>
                <c:pt idx="209">
                  <c:v>94.9</c:v>
                </c:pt>
                <c:pt idx="210">
                  <c:v>65.89</c:v>
                </c:pt>
                <c:pt idx="211">
                  <c:v>56.434764079147634</c:v>
                </c:pt>
                <c:pt idx="212">
                  <c:v>56.434764079147634</c:v>
                </c:pt>
                <c:pt idx="213">
                  <c:v>56.434764079147634</c:v>
                </c:pt>
                <c:pt idx="214">
                  <c:v>56.434764079147634</c:v>
                </c:pt>
                <c:pt idx="215">
                  <c:v>56.434764079147634</c:v>
                </c:pt>
                <c:pt idx="216">
                  <c:v>56.434764079147634</c:v>
                </c:pt>
                <c:pt idx="217">
                  <c:v>56.434764079147634</c:v>
                </c:pt>
                <c:pt idx="218">
                  <c:v>80</c:v>
                </c:pt>
                <c:pt idx="219">
                  <c:v>82.7</c:v>
                </c:pt>
                <c:pt idx="220">
                  <c:v>52</c:v>
                </c:pt>
                <c:pt idx="221">
                  <c:v>22.5</c:v>
                </c:pt>
                <c:pt idx="222">
                  <c:v>66.2</c:v>
                </c:pt>
                <c:pt idx="223">
                  <c:v>32.44</c:v>
                </c:pt>
                <c:pt idx="224">
                  <c:v>84.53</c:v>
                </c:pt>
                <c:pt idx="225">
                  <c:v>64.5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739-913D-355E48C5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3329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3295"/>
        <c:crosses val="autoZero"/>
        <c:crossBetween val="midCat"/>
      </c:valAx>
      <c:valAx>
        <c:axId val="2123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87073490813648E-2"/>
                  <c:y val="-7.4955161854768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Log'!$Y$2:$Y$227</c:f>
              <c:numCache>
                <c:formatCode>0.00</c:formatCode>
                <c:ptCount val="226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2.25</c:v>
                </c:pt>
                <c:pt idx="55">
                  <c:v>2</c:v>
                </c:pt>
                <c:pt idx="56">
                  <c:v>2.5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2.5</c:v>
                </c:pt>
                <c:pt idx="61">
                  <c:v>2.5</c:v>
                </c:pt>
                <c:pt idx="62">
                  <c:v>3.5</c:v>
                </c:pt>
                <c:pt idx="63">
                  <c:v>2.5</c:v>
                </c:pt>
                <c:pt idx="64">
                  <c:v>0.5</c:v>
                </c:pt>
                <c:pt idx="65">
                  <c:v>1.5</c:v>
                </c:pt>
                <c:pt idx="66">
                  <c:v>1.25</c:v>
                </c:pt>
                <c:pt idx="67">
                  <c:v>1.5</c:v>
                </c:pt>
                <c:pt idx="68">
                  <c:v>2</c:v>
                </c:pt>
                <c:pt idx="69">
                  <c:v>3.5</c:v>
                </c:pt>
                <c:pt idx="70">
                  <c:v>2.5</c:v>
                </c:pt>
                <c:pt idx="71">
                  <c:v>1.5</c:v>
                </c:pt>
                <c:pt idx="72">
                  <c:v>0.5</c:v>
                </c:pt>
                <c:pt idx="73">
                  <c:v>0.5</c:v>
                </c:pt>
                <c:pt idx="74">
                  <c:v>1.5</c:v>
                </c:pt>
                <c:pt idx="75">
                  <c:v>2.5</c:v>
                </c:pt>
                <c:pt idx="76">
                  <c:v>2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</c:v>
                </c:pt>
                <c:pt idx="94">
                  <c:v>3</c:v>
                </c:pt>
                <c:pt idx="95">
                  <c:v>4</c:v>
                </c:pt>
                <c:pt idx="96">
                  <c:v>2.5</c:v>
                </c:pt>
                <c:pt idx="97">
                  <c:v>2</c:v>
                </c:pt>
                <c:pt idx="98">
                  <c:v>1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0.5</c:v>
                </c:pt>
                <c:pt idx="111">
                  <c:v>0</c:v>
                </c:pt>
                <c:pt idx="112">
                  <c:v>0.25</c:v>
                </c:pt>
                <c:pt idx="113">
                  <c:v>3</c:v>
                </c:pt>
                <c:pt idx="114">
                  <c:v>2.5</c:v>
                </c:pt>
                <c:pt idx="115">
                  <c:v>2</c:v>
                </c:pt>
                <c:pt idx="116">
                  <c:v>3.2</c:v>
                </c:pt>
                <c:pt idx="117">
                  <c:v>1.5</c:v>
                </c:pt>
                <c:pt idx="118">
                  <c:v>0.5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0.25</c:v>
                </c:pt>
                <c:pt idx="123">
                  <c:v>0.25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0.5</c:v>
                </c:pt>
                <c:pt idx="133">
                  <c:v>0.5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0.5</c:v>
                </c:pt>
                <c:pt idx="138">
                  <c:v>0</c:v>
                </c:pt>
                <c:pt idx="139">
                  <c:v>0.25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1.5</c:v>
                </c:pt>
                <c:pt idx="144">
                  <c:v>0.5</c:v>
                </c:pt>
                <c:pt idx="145">
                  <c:v>0.25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0.5</c:v>
                </c:pt>
                <c:pt idx="154">
                  <c:v>0.5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0.75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1.5</c:v>
                </c:pt>
                <c:pt idx="184">
                  <c:v>2.5</c:v>
                </c:pt>
                <c:pt idx="185">
                  <c:v>1.5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1.5</c:v>
                </c:pt>
                <c:pt idx="190">
                  <c:v>1.5</c:v>
                </c:pt>
                <c:pt idx="191">
                  <c:v>0.5</c:v>
                </c:pt>
                <c:pt idx="192">
                  <c:v>0</c:v>
                </c:pt>
                <c:pt idx="193">
                  <c:v>0.5</c:v>
                </c:pt>
                <c:pt idx="194">
                  <c:v>1.5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1.5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1.5</c:v>
                </c:pt>
                <c:pt idx="209">
                  <c:v>2</c:v>
                </c:pt>
                <c:pt idx="210">
                  <c:v>2</c:v>
                </c:pt>
                <c:pt idx="211">
                  <c:v>1.1025114155251141</c:v>
                </c:pt>
                <c:pt idx="212">
                  <c:v>1.1025114155251141</c:v>
                </c:pt>
                <c:pt idx="213">
                  <c:v>1.1025114155251141</c:v>
                </c:pt>
                <c:pt idx="214">
                  <c:v>1.1025114155251141</c:v>
                </c:pt>
                <c:pt idx="215">
                  <c:v>1.1025114155251141</c:v>
                </c:pt>
                <c:pt idx="216">
                  <c:v>1.1025114155251141</c:v>
                </c:pt>
                <c:pt idx="217">
                  <c:v>1.1025114155251141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1.5</c:v>
                </c:pt>
                <c:pt idx="225">
                  <c:v>1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1-4D09-A2AC-AD47C1C3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3215"/>
        <c:axId val="2123733615"/>
      </c:scatterChart>
      <c:valAx>
        <c:axId val="2123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3615"/>
        <c:crosses val="autoZero"/>
        <c:crossBetween val="midCat"/>
      </c:valAx>
      <c:valAx>
        <c:axId val="21237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Fat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51268591426072"/>
                  <c:y val="-7.300415573053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Log'!$Z$2:$Z$227</c:f>
              <c:numCache>
                <c:formatCode>0.00</c:formatCode>
                <c:ptCount val="226"/>
                <c:pt idx="0">
                  <c:v>454.5</c:v>
                </c:pt>
                <c:pt idx="1">
                  <c:v>765</c:v>
                </c:pt>
                <c:pt idx="2">
                  <c:v>351.6825</c:v>
                </c:pt>
                <c:pt idx="3">
                  <c:v>108</c:v>
                </c:pt>
                <c:pt idx="4">
                  <c:v>540.88499999999999</c:v>
                </c:pt>
                <c:pt idx="5">
                  <c:v>313.755</c:v>
                </c:pt>
                <c:pt idx="6">
                  <c:v>637.21499999999992</c:v>
                </c:pt>
                <c:pt idx="7">
                  <c:v>2061</c:v>
                </c:pt>
                <c:pt idx="8">
                  <c:v>1083.9749999999999</c:v>
                </c:pt>
                <c:pt idx="9">
                  <c:v>741.97499999999991</c:v>
                </c:pt>
                <c:pt idx="10">
                  <c:v>689.43</c:v>
                </c:pt>
                <c:pt idx="11">
                  <c:v>498.41249999999997</c:v>
                </c:pt>
                <c:pt idx="12">
                  <c:v>1144.8</c:v>
                </c:pt>
                <c:pt idx="13">
                  <c:v>747.58124999999995</c:v>
                </c:pt>
                <c:pt idx="14">
                  <c:v>512.12249999999995</c:v>
                </c:pt>
                <c:pt idx="15">
                  <c:v>738.23249999999996</c:v>
                </c:pt>
                <c:pt idx="16">
                  <c:v>312.82499999999999</c:v>
                </c:pt>
                <c:pt idx="17">
                  <c:v>339.82499999999999</c:v>
                </c:pt>
                <c:pt idx="18">
                  <c:v>312.37499999999994</c:v>
                </c:pt>
                <c:pt idx="19">
                  <c:v>537.39750000000004</c:v>
                </c:pt>
                <c:pt idx="20">
                  <c:v>395.77500000000003</c:v>
                </c:pt>
                <c:pt idx="21">
                  <c:v>405.02249999999998</c:v>
                </c:pt>
                <c:pt idx="22">
                  <c:v>331.9896</c:v>
                </c:pt>
                <c:pt idx="23">
                  <c:v>267.82800000000003</c:v>
                </c:pt>
                <c:pt idx="24">
                  <c:v>503.53800000000007</c:v>
                </c:pt>
                <c:pt idx="25">
                  <c:v>313.81800000000004</c:v>
                </c:pt>
                <c:pt idx="26">
                  <c:v>583.99800000000005</c:v>
                </c:pt>
                <c:pt idx="27">
                  <c:v>511.27800000000008</c:v>
                </c:pt>
                <c:pt idx="28">
                  <c:v>286.27800000000008</c:v>
                </c:pt>
                <c:pt idx="29">
                  <c:v>403.46999999999997</c:v>
                </c:pt>
                <c:pt idx="30">
                  <c:v>318.11100000000005</c:v>
                </c:pt>
                <c:pt idx="31">
                  <c:v>585.68100000000004</c:v>
                </c:pt>
                <c:pt idx="32">
                  <c:v>384.71100000000007</c:v>
                </c:pt>
                <c:pt idx="33">
                  <c:v>806.32200000000012</c:v>
                </c:pt>
                <c:pt idx="34">
                  <c:v>468.68100000000004</c:v>
                </c:pt>
                <c:pt idx="35">
                  <c:v>841.5</c:v>
                </c:pt>
                <c:pt idx="36">
                  <c:v>268.79100000000005</c:v>
                </c:pt>
                <c:pt idx="37">
                  <c:v>2483.5499999999997</c:v>
                </c:pt>
                <c:pt idx="38">
                  <c:v>626</c:v>
                </c:pt>
                <c:pt idx="39">
                  <c:v>1485</c:v>
                </c:pt>
                <c:pt idx="40">
                  <c:v>893.25</c:v>
                </c:pt>
                <c:pt idx="41">
                  <c:v>1076.4000000000001</c:v>
                </c:pt>
                <c:pt idx="42">
                  <c:v>1215</c:v>
                </c:pt>
                <c:pt idx="43">
                  <c:v>1782</c:v>
                </c:pt>
                <c:pt idx="44">
                  <c:v>1046.6315999999999</c:v>
                </c:pt>
                <c:pt idx="45">
                  <c:v>1708.6206857142856</c:v>
                </c:pt>
                <c:pt idx="46">
                  <c:v>445.25625000000002</c:v>
                </c:pt>
                <c:pt idx="47">
                  <c:v>681.18285953177258</c:v>
                </c:pt>
                <c:pt idx="48">
                  <c:v>692.59500000000003</c:v>
                </c:pt>
                <c:pt idx="49">
                  <c:v>593.88285953177251</c:v>
                </c:pt>
                <c:pt idx="50">
                  <c:v>670.38285953177251</c:v>
                </c:pt>
                <c:pt idx="51">
                  <c:v>1030.7759999999998</c:v>
                </c:pt>
                <c:pt idx="52">
                  <c:v>620.88285953177274</c:v>
                </c:pt>
                <c:pt idx="53">
                  <c:v>859.7399999999999</c:v>
                </c:pt>
                <c:pt idx="54">
                  <c:v>652.38285953177251</c:v>
                </c:pt>
                <c:pt idx="55">
                  <c:v>776.05785953177258</c:v>
                </c:pt>
                <c:pt idx="56">
                  <c:v>715.29642857142858</c:v>
                </c:pt>
                <c:pt idx="57">
                  <c:v>514.8964285714286</c:v>
                </c:pt>
                <c:pt idx="58">
                  <c:v>825.90000000000009</c:v>
                </c:pt>
                <c:pt idx="59">
                  <c:v>487.89642857142866</c:v>
                </c:pt>
                <c:pt idx="60">
                  <c:v>971.7</c:v>
                </c:pt>
                <c:pt idx="61">
                  <c:v>688.59642857142865</c:v>
                </c:pt>
                <c:pt idx="62">
                  <c:v>845.79642857142858</c:v>
                </c:pt>
                <c:pt idx="63">
                  <c:v>346.20000000000005</c:v>
                </c:pt>
                <c:pt idx="64">
                  <c:v>2264.4</c:v>
                </c:pt>
                <c:pt idx="65">
                  <c:v>179.10000000000002</c:v>
                </c:pt>
                <c:pt idx="66">
                  <c:v>553.59642857142865</c:v>
                </c:pt>
                <c:pt idx="67">
                  <c:v>2794.2000000000003</c:v>
                </c:pt>
                <c:pt idx="68">
                  <c:v>764.77500000000009</c:v>
                </c:pt>
                <c:pt idx="69">
                  <c:v>798.83571428571429</c:v>
                </c:pt>
                <c:pt idx="70">
                  <c:v>436.05000000000007</c:v>
                </c:pt>
                <c:pt idx="71">
                  <c:v>2185.2857142857147</c:v>
                </c:pt>
                <c:pt idx="72">
                  <c:v>640.79999999999995</c:v>
                </c:pt>
                <c:pt idx="73">
                  <c:v>1881</c:v>
                </c:pt>
                <c:pt idx="74">
                  <c:v>423.4500000000001</c:v>
                </c:pt>
                <c:pt idx="75">
                  <c:v>610.28571428571422</c:v>
                </c:pt>
                <c:pt idx="76">
                  <c:v>918.90000000000009</c:v>
                </c:pt>
                <c:pt idx="77">
                  <c:v>565.28571428571422</c:v>
                </c:pt>
                <c:pt idx="78">
                  <c:v>2161.8857142857146</c:v>
                </c:pt>
                <c:pt idx="79">
                  <c:v>1147.5</c:v>
                </c:pt>
                <c:pt idx="80">
                  <c:v>490.05000000000007</c:v>
                </c:pt>
                <c:pt idx="81">
                  <c:v>662.62071428571426</c:v>
                </c:pt>
                <c:pt idx="82">
                  <c:v>568.03499999999997</c:v>
                </c:pt>
                <c:pt idx="83">
                  <c:v>348.48</c:v>
                </c:pt>
                <c:pt idx="84">
                  <c:v>658.57500000000005</c:v>
                </c:pt>
                <c:pt idx="85">
                  <c:v>1208.0362500000001</c:v>
                </c:pt>
                <c:pt idx="86">
                  <c:v>2398.0612499999997</c:v>
                </c:pt>
                <c:pt idx="87">
                  <c:v>584.12249999999995</c:v>
                </c:pt>
                <c:pt idx="88">
                  <c:v>781.7962500000001</c:v>
                </c:pt>
                <c:pt idx="89">
                  <c:v>1156.05</c:v>
                </c:pt>
                <c:pt idx="90">
                  <c:v>1127.25</c:v>
                </c:pt>
                <c:pt idx="91">
                  <c:v>2947.2750000000001</c:v>
                </c:pt>
                <c:pt idx="92">
                  <c:v>1759.5</c:v>
                </c:pt>
                <c:pt idx="93">
                  <c:v>690.3</c:v>
                </c:pt>
                <c:pt idx="94">
                  <c:v>573.56399999999996</c:v>
                </c:pt>
                <c:pt idx="95">
                  <c:v>1379.16</c:v>
                </c:pt>
                <c:pt idx="96">
                  <c:v>538.46399999999994</c:v>
                </c:pt>
                <c:pt idx="97">
                  <c:v>1276.155</c:v>
                </c:pt>
                <c:pt idx="98">
                  <c:v>1019.0550000000001</c:v>
                </c:pt>
                <c:pt idx="99">
                  <c:v>1252.5509999999999</c:v>
                </c:pt>
                <c:pt idx="100">
                  <c:v>2338.1550000000002</c:v>
                </c:pt>
                <c:pt idx="101">
                  <c:v>2296.8000000000002</c:v>
                </c:pt>
                <c:pt idx="102">
                  <c:v>384.91500000000002</c:v>
                </c:pt>
                <c:pt idx="103">
                  <c:v>687.54</c:v>
                </c:pt>
                <c:pt idx="104">
                  <c:v>687.54</c:v>
                </c:pt>
                <c:pt idx="105">
                  <c:v>818.37450000000013</c:v>
                </c:pt>
                <c:pt idx="106">
                  <c:v>882.33749999999998</c:v>
                </c:pt>
                <c:pt idx="107">
                  <c:v>593.89650000000006</c:v>
                </c:pt>
                <c:pt idx="108">
                  <c:v>376.911</c:v>
                </c:pt>
                <c:pt idx="109">
                  <c:v>691.875</c:v>
                </c:pt>
                <c:pt idx="110">
                  <c:v>586.45799999999997</c:v>
                </c:pt>
                <c:pt idx="111">
                  <c:v>787.5</c:v>
                </c:pt>
                <c:pt idx="112">
                  <c:v>522.47699999999998</c:v>
                </c:pt>
                <c:pt idx="113">
                  <c:v>333.59400000000005</c:v>
                </c:pt>
                <c:pt idx="114">
                  <c:v>583.875</c:v>
                </c:pt>
                <c:pt idx="115">
                  <c:v>325.548</c:v>
                </c:pt>
                <c:pt idx="116">
                  <c:v>472.83750000000003</c:v>
                </c:pt>
                <c:pt idx="117">
                  <c:v>230.4</c:v>
                </c:pt>
                <c:pt idx="118">
                  <c:v>187.2</c:v>
                </c:pt>
                <c:pt idx="119">
                  <c:v>85.5</c:v>
                </c:pt>
                <c:pt idx="120">
                  <c:v>99</c:v>
                </c:pt>
                <c:pt idx="121">
                  <c:v>2592</c:v>
                </c:pt>
                <c:pt idx="122">
                  <c:v>849.28499999999997</c:v>
                </c:pt>
                <c:pt idx="123">
                  <c:v>1831.05</c:v>
                </c:pt>
                <c:pt idx="124">
                  <c:v>0</c:v>
                </c:pt>
                <c:pt idx="125">
                  <c:v>1249.866</c:v>
                </c:pt>
                <c:pt idx="126">
                  <c:v>1613.1455357142856</c:v>
                </c:pt>
                <c:pt idx="127">
                  <c:v>2220.9460714285715</c:v>
                </c:pt>
                <c:pt idx="128">
                  <c:v>2277.3716517857147</c:v>
                </c:pt>
                <c:pt idx="129">
                  <c:v>2008.2977678571428</c:v>
                </c:pt>
                <c:pt idx="130">
                  <c:v>1839.5315357142856</c:v>
                </c:pt>
                <c:pt idx="131">
                  <c:v>0</c:v>
                </c:pt>
                <c:pt idx="132">
                  <c:v>1932.3</c:v>
                </c:pt>
                <c:pt idx="133">
                  <c:v>1655.595</c:v>
                </c:pt>
                <c:pt idx="134">
                  <c:v>2253.1950000000002</c:v>
                </c:pt>
                <c:pt idx="135">
                  <c:v>1360.42875</c:v>
                </c:pt>
                <c:pt idx="136">
                  <c:v>671.17387499999995</c:v>
                </c:pt>
                <c:pt idx="137">
                  <c:v>746.34243749999996</c:v>
                </c:pt>
                <c:pt idx="138">
                  <c:v>153</c:v>
                </c:pt>
                <c:pt idx="139">
                  <c:v>892.71899999999994</c:v>
                </c:pt>
                <c:pt idx="140">
                  <c:v>1339.6505625</c:v>
                </c:pt>
                <c:pt idx="141">
                  <c:v>845.69456249999996</c:v>
                </c:pt>
                <c:pt idx="142">
                  <c:v>1003.0674375</c:v>
                </c:pt>
                <c:pt idx="143">
                  <c:v>947.02499999999998</c:v>
                </c:pt>
                <c:pt idx="144">
                  <c:v>472.34756250000004</c:v>
                </c:pt>
                <c:pt idx="145">
                  <c:v>0</c:v>
                </c:pt>
                <c:pt idx="146">
                  <c:v>427.34756250000004</c:v>
                </c:pt>
                <c:pt idx="147">
                  <c:v>2380.5</c:v>
                </c:pt>
                <c:pt idx="148">
                  <c:v>742.5</c:v>
                </c:pt>
                <c:pt idx="149">
                  <c:v>892.8</c:v>
                </c:pt>
                <c:pt idx="150">
                  <c:v>423</c:v>
                </c:pt>
                <c:pt idx="151">
                  <c:v>1950.9275</c:v>
                </c:pt>
                <c:pt idx="152">
                  <c:v>506.47499999999997</c:v>
                </c:pt>
                <c:pt idx="153">
                  <c:v>490.04500000000002</c:v>
                </c:pt>
                <c:pt idx="154">
                  <c:v>520.17699999999991</c:v>
                </c:pt>
                <c:pt idx="155">
                  <c:v>666.44</c:v>
                </c:pt>
                <c:pt idx="156">
                  <c:v>2497.0450000000001</c:v>
                </c:pt>
                <c:pt idx="157">
                  <c:v>499.72500000000002</c:v>
                </c:pt>
                <c:pt idx="158">
                  <c:v>1215.8900000000001</c:v>
                </c:pt>
                <c:pt idx="159">
                  <c:v>1564.6949999999999</c:v>
                </c:pt>
                <c:pt idx="160">
                  <c:v>1551.528</c:v>
                </c:pt>
                <c:pt idx="161">
                  <c:v>668.92499999999995</c:v>
                </c:pt>
                <c:pt idx="162">
                  <c:v>359.77499999999998</c:v>
                </c:pt>
                <c:pt idx="163">
                  <c:v>800.09</c:v>
                </c:pt>
                <c:pt idx="164">
                  <c:v>1899.89</c:v>
                </c:pt>
                <c:pt idx="165">
                  <c:v>1282.5</c:v>
                </c:pt>
                <c:pt idx="166">
                  <c:v>243.387</c:v>
                </c:pt>
                <c:pt idx="167">
                  <c:v>236.955375</c:v>
                </c:pt>
                <c:pt idx="168">
                  <c:v>405.67500000000001</c:v>
                </c:pt>
                <c:pt idx="169">
                  <c:v>543.23571428571427</c:v>
                </c:pt>
                <c:pt idx="170">
                  <c:v>600.330375</c:v>
                </c:pt>
                <c:pt idx="171">
                  <c:v>457.875</c:v>
                </c:pt>
                <c:pt idx="172">
                  <c:v>2017.8</c:v>
                </c:pt>
                <c:pt idx="173">
                  <c:v>987.19108928571427</c:v>
                </c:pt>
                <c:pt idx="174">
                  <c:v>943.45108928571426</c:v>
                </c:pt>
                <c:pt idx="175">
                  <c:v>877.58571428571429</c:v>
                </c:pt>
                <c:pt idx="176">
                  <c:v>874.17</c:v>
                </c:pt>
                <c:pt idx="177">
                  <c:v>272.7</c:v>
                </c:pt>
                <c:pt idx="178">
                  <c:v>1310.9357142857143</c:v>
                </c:pt>
                <c:pt idx="179">
                  <c:v>585.12857142857138</c:v>
                </c:pt>
                <c:pt idx="180">
                  <c:v>945.67499999999995</c:v>
                </c:pt>
                <c:pt idx="181">
                  <c:v>785.47500000000002</c:v>
                </c:pt>
                <c:pt idx="182">
                  <c:v>1472.3000357142857</c:v>
                </c:pt>
                <c:pt idx="183">
                  <c:v>935.13037499999996</c:v>
                </c:pt>
                <c:pt idx="184">
                  <c:v>826.875</c:v>
                </c:pt>
                <c:pt idx="185">
                  <c:v>315.67500000000001</c:v>
                </c:pt>
                <c:pt idx="186">
                  <c:v>642.21428571428567</c:v>
                </c:pt>
                <c:pt idx="187">
                  <c:v>1102.6285714285714</c:v>
                </c:pt>
                <c:pt idx="188">
                  <c:v>648.80399999999997</c:v>
                </c:pt>
                <c:pt idx="189">
                  <c:v>2116.2663750000002</c:v>
                </c:pt>
                <c:pt idx="190">
                  <c:v>1292.7946607142858</c:v>
                </c:pt>
                <c:pt idx="191">
                  <c:v>977.22766071428578</c:v>
                </c:pt>
                <c:pt idx="192">
                  <c:v>2241</c:v>
                </c:pt>
                <c:pt idx="193">
                  <c:v>1803.675</c:v>
                </c:pt>
                <c:pt idx="194">
                  <c:v>920.65966071428568</c:v>
                </c:pt>
                <c:pt idx="195">
                  <c:v>903.3522857142857</c:v>
                </c:pt>
                <c:pt idx="196">
                  <c:v>727.35428571428565</c:v>
                </c:pt>
                <c:pt idx="197">
                  <c:v>806.47500000000002</c:v>
                </c:pt>
                <c:pt idx="198">
                  <c:v>746.40857142857135</c:v>
                </c:pt>
                <c:pt idx="199">
                  <c:v>1843.905375</c:v>
                </c:pt>
                <c:pt idx="200">
                  <c:v>2052.7053750000005</c:v>
                </c:pt>
                <c:pt idx="201">
                  <c:v>1545.7114285714285</c:v>
                </c:pt>
                <c:pt idx="202">
                  <c:v>1803.067875</c:v>
                </c:pt>
                <c:pt idx="203">
                  <c:v>2149.1178749999999</c:v>
                </c:pt>
                <c:pt idx="204">
                  <c:v>1801.8</c:v>
                </c:pt>
                <c:pt idx="205">
                  <c:v>1943.6999999999998</c:v>
                </c:pt>
                <c:pt idx="206">
                  <c:v>438.48</c:v>
                </c:pt>
                <c:pt idx="207">
                  <c:v>746.97899999999981</c:v>
                </c:pt>
                <c:pt idx="208">
                  <c:v>1056.5159999999998</c:v>
                </c:pt>
                <c:pt idx="209">
                  <c:v>1363.68</c:v>
                </c:pt>
                <c:pt idx="210">
                  <c:v>304.32599999999996</c:v>
                </c:pt>
                <c:pt idx="211">
                  <c:v>942.01611325038107</c:v>
                </c:pt>
                <c:pt idx="212">
                  <c:v>942.01611325038107</c:v>
                </c:pt>
                <c:pt idx="213">
                  <c:v>942.01611325038107</c:v>
                </c:pt>
                <c:pt idx="214">
                  <c:v>942.01611325038107</c:v>
                </c:pt>
                <c:pt idx="215">
                  <c:v>942.01611325038107</c:v>
                </c:pt>
                <c:pt idx="216">
                  <c:v>942.01611325038107</c:v>
                </c:pt>
                <c:pt idx="217">
                  <c:v>942.01611325038107</c:v>
                </c:pt>
                <c:pt idx="218">
                  <c:v>560.25</c:v>
                </c:pt>
                <c:pt idx="219">
                  <c:v>821.25</c:v>
                </c:pt>
                <c:pt idx="220">
                  <c:v>468</c:v>
                </c:pt>
                <c:pt idx="221">
                  <c:v>1804.5</c:v>
                </c:pt>
                <c:pt idx="222">
                  <c:v>446.89499999999998</c:v>
                </c:pt>
                <c:pt idx="223">
                  <c:v>399.98700000000002</c:v>
                </c:pt>
                <c:pt idx="224">
                  <c:v>528.399</c:v>
                </c:pt>
                <c:pt idx="225">
                  <c:v>2540.6999999999998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F-46CC-B6A3-D342DDF2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7935"/>
        <c:axId val="2123669775"/>
      </c:scatterChart>
      <c:valAx>
        <c:axId val="21236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 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9775"/>
        <c:crosses val="autoZero"/>
        <c:crossBetween val="midCat"/>
      </c:valAx>
      <c:valAx>
        <c:axId val="21236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3-40BB-8AF4-C1D3B30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9168"/>
        <c:axId val="672867328"/>
      </c:scatterChart>
      <c:valAx>
        <c:axId val="6728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7328"/>
        <c:crosses val="autoZero"/>
        <c:crossBetween val="midCat"/>
      </c:valAx>
      <c:valAx>
        <c:axId val="67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Log'!$D$2:$D$227</c:f>
              <c:numCache>
                <c:formatCode>0.00</c:formatCode>
                <c:ptCount val="22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16.5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16.5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16.5</c:v>
                </c:pt>
                <c:pt idx="201">
                  <c:v>16.5</c:v>
                </c:pt>
                <c:pt idx="202">
                  <c:v>16.5</c:v>
                </c:pt>
                <c:pt idx="203">
                  <c:v>16.5</c:v>
                </c:pt>
                <c:pt idx="204">
                  <c:v>16.5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</c:v>
                </c:pt>
                <c:pt idx="210">
                  <c:v>16.5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16.5</c:v>
                </c:pt>
                <c:pt idx="220">
                  <c:v>16.5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1-4019-9CA5-62C6C745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891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8911"/>
        <c:crosses val="autoZero"/>
        <c:crossBetween val="midCat"/>
      </c:valAx>
      <c:valAx>
        <c:axId val="2117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7734179060950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Log'!$E$2:$E$227</c:f>
              <c:numCache>
                <c:formatCode>0.00</c:formatCode>
                <c:ptCount val="226"/>
                <c:pt idx="0">
                  <c:v>95.7</c:v>
                </c:pt>
                <c:pt idx="1">
                  <c:v>96.2</c:v>
                </c:pt>
                <c:pt idx="2">
                  <c:v>96.7</c:v>
                </c:pt>
                <c:pt idx="3">
                  <c:v>97.5</c:v>
                </c:pt>
                <c:pt idx="4">
                  <c:v>97.7</c:v>
                </c:pt>
                <c:pt idx="5">
                  <c:v>96.1</c:v>
                </c:pt>
                <c:pt idx="6">
                  <c:v>96.4</c:v>
                </c:pt>
                <c:pt idx="7">
                  <c:v>96.4</c:v>
                </c:pt>
                <c:pt idx="8">
                  <c:v>97.7</c:v>
                </c:pt>
                <c:pt idx="9">
                  <c:v>96.7</c:v>
                </c:pt>
                <c:pt idx="10">
                  <c:v>97</c:v>
                </c:pt>
                <c:pt idx="11">
                  <c:v>96.2</c:v>
                </c:pt>
                <c:pt idx="12">
                  <c:v>96.6</c:v>
                </c:pt>
                <c:pt idx="13">
                  <c:v>96.3</c:v>
                </c:pt>
                <c:pt idx="14">
                  <c:v>96.4</c:v>
                </c:pt>
                <c:pt idx="15">
                  <c:v>95.5</c:v>
                </c:pt>
                <c:pt idx="16">
                  <c:v>96.7</c:v>
                </c:pt>
                <c:pt idx="17">
                  <c:v>96.6</c:v>
                </c:pt>
                <c:pt idx="18">
                  <c:v>96.5</c:v>
                </c:pt>
                <c:pt idx="19">
                  <c:v>96.9</c:v>
                </c:pt>
                <c:pt idx="20">
                  <c:v>96.5</c:v>
                </c:pt>
                <c:pt idx="21">
                  <c:v>96.1</c:v>
                </c:pt>
                <c:pt idx="22">
                  <c:v>97</c:v>
                </c:pt>
                <c:pt idx="23">
                  <c:v>96.4</c:v>
                </c:pt>
                <c:pt idx="24">
                  <c:v>95.7</c:v>
                </c:pt>
                <c:pt idx="25">
                  <c:v>96.2</c:v>
                </c:pt>
                <c:pt idx="26">
                  <c:v>97.1</c:v>
                </c:pt>
                <c:pt idx="27">
                  <c:v>96.5</c:v>
                </c:pt>
                <c:pt idx="28">
                  <c:v>96.3</c:v>
                </c:pt>
                <c:pt idx="29">
                  <c:v>96.1</c:v>
                </c:pt>
                <c:pt idx="30">
                  <c:v>96.8</c:v>
                </c:pt>
                <c:pt idx="31">
                  <c:v>96.4</c:v>
                </c:pt>
                <c:pt idx="32">
                  <c:v>96.7</c:v>
                </c:pt>
                <c:pt idx="33">
                  <c:v>97.1</c:v>
                </c:pt>
                <c:pt idx="34">
                  <c:v>96.2</c:v>
                </c:pt>
                <c:pt idx="35">
                  <c:v>96.2</c:v>
                </c:pt>
                <c:pt idx="36">
                  <c:v>96.1</c:v>
                </c:pt>
                <c:pt idx="37">
                  <c:v>96.3</c:v>
                </c:pt>
                <c:pt idx="38">
                  <c:v>97.1</c:v>
                </c:pt>
                <c:pt idx="39">
                  <c:v>97</c:v>
                </c:pt>
                <c:pt idx="40">
                  <c:v>96.7</c:v>
                </c:pt>
                <c:pt idx="41">
                  <c:v>96.4</c:v>
                </c:pt>
                <c:pt idx="42">
                  <c:v>97.6</c:v>
                </c:pt>
                <c:pt idx="43">
                  <c:v>96</c:v>
                </c:pt>
                <c:pt idx="44">
                  <c:v>95.9</c:v>
                </c:pt>
                <c:pt idx="45">
                  <c:v>96.7</c:v>
                </c:pt>
                <c:pt idx="46">
                  <c:v>97</c:v>
                </c:pt>
                <c:pt idx="47">
                  <c:v>96.5</c:v>
                </c:pt>
                <c:pt idx="48">
                  <c:v>96.4</c:v>
                </c:pt>
                <c:pt idx="49">
                  <c:v>96.1</c:v>
                </c:pt>
                <c:pt idx="50">
                  <c:v>96</c:v>
                </c:pt>
                <c:pt idx="51">
                  <c:v>95.9</c:v>
                </c:pt>
                <c:pt idx="52">
                  <c:v>96.9</c:v>
                </c:pt>
                <c:pt idx="53">
                  <c:v>96</c:v>
                </c:pt>
                <c:pt idx="54">
                  <c:v>97.6</c:v>
                </c:pt>
                <c:pt idx="55">
                  <c:v>96.7</c:v>
                </c:pt>
                <c:pt idx="56">
                  <c:v>97</c:v>
                </c:pt>
                <c:pt idx="57">
                  <c:v>96.3</c:v>
                </c:pt>
                <c:pt idx="58">
                  <c:v>96.9</c:v>
                </c:pt>
                <c:pt idx="59">
                  <c:v>96</c:v>
                </c:pt>
                <c:pt idx="60">
                  <c:v>97.3</c:v>
                </c:pt>
                <c:pt idx="61">
                  <c:v>96</c:v>
                </c:pt>
                <c:pt idx="62">
                  <c:v>95.2</c:v>
                </c:pt>
                <c:pt idx="63">
                  <c:v>96.3</c:v>
                </c:pt>
                <c:pt idx="64">
                  <c:v>96.1</c:v>
                </c:pt>
                <c:pt idx="65">
                  <c:v>95.7</c:v>
                </c:pt>
                <c:pt idx="66">
                  <c:v>95.7</c:v>
                </c:pt>
                <c:pt idx="67">
                  <c:v>94.9</c:v>
                </c:pt>
                <c:pt idx="68">
                  <c:v>96.1</c:v>
                </c:pt>
                <c:pt idx="69">
                  <c:v>96.4</c:v>
                </c:pt>
                <c:pt idx="70">
                  <c:v>96.8</c:v>
                </c:pt>
                <c:pt idx="71">
                  <c:v>96.2</c:v>
                </c:pt>
                <c:pt idx="72">
                  <c:v>96.5</c:v>
                </c:pt>
                <c:pt idx="73">
                  <c:v>96.5</c:v>
                </c:pt>
                <c:pt idx="74">
                  <c:v>96.9</c:v>
                </c:pt>
                <c:pt idx="75">
                  <c:v>96.4</c:v>
                </c:pt>
                <c:pt idx="76">
                  <c:v>95.7</c:v>
                </c:pt>
                <c:pt idx="77">
                  <c:v>95.5</c:v>
                </c:pt>
                <c:pt idx="78">
                  <c:v>96.7</c:v>
                </c:pt>
                <c:pt idx="79">
                  <c:v>96</c:v>
                </c:pt>
                <c:pt idx="80">
                  <c:v>97.5</c:v>
                </c:pt>
                <c:pt idx="81">
                  <c:v>96.2</c:v>
                </c:pt>
                <c:pt idx="82">
                  <c:v>96.3</c:v>
                </c:pt>
                <c:pt idx="83">
                  <c:v>96.8</c:v>
                </c:pt>
                <c:pt idx="84">
                  <c:v>96.9</c:v>
                </c:pt>
                <c:pt idx="85">
                  <c:v>96.8</c:v>
                </c:pt>
                <c:pt idx="86">
                  <c:v>96.5</c:v>
                </c:pt>
                <c:pt idx="87">
                  <c:v>96.2</c:v>
                </c:pt>
                <c:pt idx="88">
                  <c:v>96.8</c:v>
                </c:pt>
                <c:pt idx="89">
                  <c:v>95.8</c:v>
                </c:pt>
                <c:pt idx="90">
                  <c:v>95.9</c:v>
                </c:pt>
                <c:pt idx="91">
                  <c:v>95.9</c:v>
                </c:pt>
                <c:pt idx="92">
                  <c:v>98</c:v>
                </c:pt>
                <c:pt idx="93">
                  <c:v>96.4</c:v>
                </c:pt>
                <c:pt idx="94">
                  <c:v>96.8</c:v>
                </c:pt>
                <c:pt idx="95">
                  <c:v>95.7</c:v>
                </c:pt>
                <c:pt idx="96">
                  <c:v>97</c:v>
                </c:pt>
                <c:pt idx="97">
                  <c:v>96.7</c:v>
                </c:pt>
                <c:pt idx="98">
                  <c:v>96</c:v>
                </c:pt>
                <c:pt idx="99">
                  <c:v>96.4</c:v>
                </c:pt>
                <c:pt idx="100">
                  <c:v>96.3</c:v>
                </c:pt>
                <c:pt idx="101">
                  <c:v>96.2</c:v>
                </c:pt>
                <c:pt idx="102">
                  <c:v>96.5</c:v>
                </c:pt>
                <c:pt idx="103">
                  <c:v>97.8</c:v>
                </c:pt>
                <c:pt idx="104">
                  <c:v>96.5</c:v>
                </c:pt>
                <c:pt idx="105">
                  <c:v>96.9</c:v>
                </c:pt>
                <c:pt idx="106">
                  <c:v>96</c:v>
                </c:pt>
                <c:pt idx="107">
                  <c:v>97.8</c:v>
                </c:pt>
                <c:pt idx="108">
                  <c:v>96.7</c:v>
                </c:pt>
                <c:pt idx="109">
                  <c:v>95.7</c:v>
                </c:pt>
                <c:pt idx="110">
                  <c:v>96.4</c:v>
                </c:pt>
                <c:pt idx="111">
                  <c:v>96.4</c:v>
                </c:pt>
                <c:pt idx="112">
                  <c:v>96.1</c:v>
                </c:pt>
                <c:pt idx="113">
                  <c:v>96.6</c:v>
                </c:pt>
                <c:pt idx="114">
                  <c:v>96.4</c:v>
                </c:pt>
                <c:pt idx="115">
                  <c:v>96.8</c:v>
                </c:pt>
                <c:pt idx="116">
                  <c:v>95.7</c:v>
                </c:pt>
                <c:pt idx="117">
                  <c:v>96.1</c:v>
                </c:pt>
                <c:pt idx="118">
                  <c:v>95.7</c:v>
                </c:pt>
                <c:pt idx="119">
                  <c:v>96.6</c:v>
                </c:pt>
                <c:pt idx="120">
                  <c:v>95.8</c:v>
                </c:pt>
                <c:pt idx="121">
                  <c:v>97</c:v>
                </c:pt>
                <c:pt idx="122">
                  <c:v>97.3</c:v>
                </c:pt>
                <c:pt idx="123">
                  <c:v>96.9</c:v>
                </c:pt>
                <c:pt idx="124">
                  <c:v>96.8</c:v>
                </c:pt>
                <c:pt idx="125">
                  <c:v>96.7</c:v>
                </c:pt>
                <c:pt idx="126">
                  <c:v>98.1</c:v>
                </c:pt>
                <c:pt idx="127">
                  <c:v>98.3</c:v>
                </c:pt>
                <c:pt idx="128">
                  <c:v>96.3</c:v>
                </c:pt>
                <c:pt idx="129">
                  <c:v>96.3</c:v>
                </c:pt>
                <c:pt idx="130">
                  <c:v>96.8</c:v>
                </c:pt>
                <c:pt idx="131">
                  <c:v>96.4</c:v>
                </c:pt>
                <c:pt idx="132">
                  <c:v>97.4</c:v>
                </c:pt>
                <c:pt idx="133">
                  <c:v>95.7</c:v>
                </c:pt>
                <c:pt idx="134">
                  <c:v>96.8</c:v>
                </c:pt>
                <c:pt idx="135">
                  <c:v>96.6</c:v>
                </c:pt>
                <c:pt idx="136">
                  <c:v>95.3</c:v>
                </c:pt>
                <c:pt idx="137">
                  <c:v>95.2</c:v>
                </c:pt>
                <c:pt idx="138">
                  <c:v>95.3</c:v>
                </c:pt>
                <c:pt idx="139">
                  <c:v>96.9</c:v>
                </c:pt>
                <c:pt idx="140">
                  <c:v>97.1</c:v>
                </c:pt>
                <c:pt idx="141">
                  <c:v>96.4</c:v>
                </c:pt>
                <c:pt idx="142">
                  <c:v>96.6</c:v>
                </c:pt>
                <c:pt idx="143">
                  <c:v>97</c:v>
                </c:pt>
                <c:pt idx="144">
                  <c:v>96.2</c:v>
                </c:pt>
                <c:pt idx="145">
                  <c:v>96.4</c:v>
                </c:pt>
                <c:pt idx="146">
                  <c:v>96.9</c:v>
                </c:pt>
                <c:pt idx="147">
                  <c:v>96.5</c:v>
                </c:pt>
                <c:pt idx="148">
                  <c:v>96</c:v>
                </c:pt>
                <c:pt idx="149">
                  <c:v>96.9</c:v>
                </c:pt>
                <c:pt idx="150">
                  <c:v>96.5</c:v>
                </c:pt>
                <c:pt idx="151">
                  <c:v>94.2</c:v>
                </c:pt>
                <c:pt idx="152">
                  <c:v>96.7</c:v>
                </c:pt>
                <c:pt idx="153">
                  <c:v>95.3</c:v>
                </c:pt>
                <c:pt idx="154">
                  <c:v>95.8</c:v>
                </c:pt>
                <c:pt idx="155">
                  <c:v>96.9</c:v>
                </c:pt>
                <c:pt idx="156">
                  <c:v>97</c:v>
                </c:pt>
                <c:pt idx="157">
                  <c:v>97.2</c:v>
                </c:pt>
                <c:pt idx="158">
                  <c:v>96.8</c:v>
                </c:pt>
                <c:pt idx="159">
                  <c:v>96.7</c:v>
                </c:pt>
                <c:pt idx="160">
                  <c:v>96.4</c:v>
                </c:pt>
                <c:pt idx="161">
                  <c:v>97.2</c:v>
                </c:pt>
                <c:pt idx="162">
                  <c:v>97.3</c:v>
                </c:pt>
                <c:pt idx="163">
                  <c:v>95.9</c:v>
                </c:pt>
                <c:pt idx="164">
                  <c:v>97.3</c:v>
                </c:pt>
                <c:pt idx="165">
                  <c:v>97.6</c:v>
                </c:pt>
                <c:pt idx="166">
                  <c:v>96.5</c:v>
                </c:pt>
                <c:pt idx="167">
                  <c:v>96</c:v>
                </c:pt>
                <c:pt idx="168">
                  <c:v>100.1</c:v>
                </c:pt>
                <c:pt idx="169">
                  <c:v>97.1</c:v>
                </c:pt>
                <c:pt idx="170">
                  <c:v>96.8</c:v>
                </c:pt>
                <c:pt idx="171">
                  <c:v>97.3</c:v>
                </c:pt>
                <c:pt idx="172">
                  <c:v>96.6</c:v>
                </c:pt>
                <c:pt idx="173">
                  <c:v>97.1</c:v>
                </c:pt>
                <c:pt idx="174">
                  <c:v>96.5</c:v>
                </c:pt>
                <c:pt idx="175">
                  <c:v>97.6</c:v>
                </c:pt>
                <c:pt idx="176">
                  <c:v>96.9</c:v>
                </c:pt>
                <c:pt idx="177">
                  <c:v>96.4</c:v>
                </c:pt>
                <c:pt idx="178">
                  <c:v>96.9</c:v>
                </c:pt>
                <c:pt idx="179">
                  <c:v>96.5</c:v>
                </c:pt>
                <c:pt idx="180">
                  <c:v>97</c:v>
                </c:pt>
                <c:pt idx="181">
                  <c:v>98</c:v>
                </c:pt>
                <c:pt idx="182">
                  <c:v>98.5</c:v>
                </c:pt>
                <c:pt idx="183">
                  <c:v>98</c:v>
                </c:pt>
                <c:pt idx="184">
                  <c:v>97.1</c:v>
                </c:pt>
                <c:pt idx="185">
                  <c:v>96.6</c:v>
                </c:pt>
                <c:pt idx="186">
                  <c:v>96.9</c:v>
                </c:pt>
                <c:pt idx="187">
                  <c:v>97.3</c:v>
                </c:pt>
                <c:pt idx="188">
                  <c:v>96</c:v>
                </c:pt>
                <c:pt idx="189">
                  <c:v>96.3</c:v>
                </c:pt>
                <c:pt idx="190">
                  <c:v>97.2</c:v>
                </c:pt>
                <c:pt idx="191">
                  <c:v>97.1</c:v>
                </c:pt>
                <c:pt idx="192">
                  <c:v>95.8</c:v>
                </c:pt>
                <c:pt idx="193">
                  <c:v>96.7</c:v>
                </c:pt>
                <c:pt idx="194">
                  <c:v>96.6</c:v>
                </c:pt>
                <c:pt idx="195">
                  <c:v>96.3</c:v>
                </c:pt>
                <c:pt idx="196">
                  <c:v>96.3</c:v>
                </c:pt>
                <c:pt idx="197">
                  <c:v>95.4</c:v>
                </c:pt>
                <c:pt idx="198">
                  <c:v>98.1</c:v>
                </c:pt>
                <c:pt idx="199">
                  <c:v>99.3</c:v>
                </c:pt>
                <c:pt idx="200">
                  <c:v>96</c:v>
                </c:pt>
                <c:pt idx="201">
                  <c:v>96.3</c:v>
                </c:pt>
                <c:pt idx="202">
                  <c:v>97.9</c:v>
                </c:pt>
                <c:pt idx="203">
                  <c:v>96.7</c:v>
                </c:pt>
                <c:pt idx="204">
                  <c:v>97.4</c:v>
                </c:pt>
                <c:pt idx="205">
                  <c:v>97.6</c:v>
                </c:pt>
                <c:pt idx="206">
                  <c:v>96.8</c:v>
                </c:pt>
                <c:pt idx="207">
                  <c:v>96.9</c:v>
                </c:pt>
                <c:pt idx="208">
                  <c:v>95.9</c:v>
                </c:pt>
                <c:pt idx="209">
                  <c:v>96</c:v>
                </c:pt>
                <c:pt idx="210">
                  <c:v>96</c:v>
                </c:pt>
                <c:pt idx="211">
                  <c:v>96.2</c:v>
                </c:pt>
                <c:pt idx="212">
                  <c:v>97.8</c:v>
                </c:pt>
                <c:pt idx="213">
                  <c:v>97</c:v>
                </c:pt>
                <c:pt idx="214">
                  <c:v>96.4</c:v>
                </c:pt>
                <c:pt idx="215">
                  <c:v>96.2</c:v>
                </c:pt>
                <c:pt idx="216">
                  <c:v>96.6</c:v>
                </c:pt>
                <c:pt idx="217">
                  <c:v>96.6</c:v>
                </c:pt>
                <c:pt idx="218">
                  <c:v>96.6</c:v>
                </c:pt>
                <c:pt idx="219">
                  <c:v>95.6</c:v>
                </c:pt>
                <c:pt idx="220">
                  <c:v>97.01</c:v>
                </c:pt>
                <c:pt idx="221">
                  <c:v>96.4</c:v>
                </c:pt>
                <c:pt idx="222">
                  <c:v>97.5</c:v>
                </c:pt>
                <c:pt idx="223">
                  <c:v>96.1</c:v>
                </c:pt>
                <c:pt idx="224">
                  <c:v>95.8</c:v>
                </c:pt>
                <c:pt idx="225">
                  <c:v>95.1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3-4095-8210-98C991B3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2751"/>
        <c:axId val="2117250351"/>
      </c:scatterChart>
      <c:valAx>
        <c:axId val="21172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0351"/>
        <c:crosses val="autoZero"/>
        <c:crossBetween val="midCat"/>
      </c:valAx>
      <c:valAx>
        <c:axId val="21172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734179060950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Log'!$F$2:$F$227</c:f>
              <c:numCache>
                <c:formatCode>0.00</c:formatCode>
                <c:ptCount val="226"/>
                <c:pt idx="0">
                  <c:v>113</c:v>
                </c:pt>
                <c:pt idx="1">
                  <c:v>114</c:v>
                </c:pt>
                <c:pt idx="2">
                  <c:v>136</c:v>
                </c:pt>
                <c:pt idx="3">
                  <c:v>131</c:v>
                </c:pt>
                <c:pt idx="4">
                  <c:v>123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120</c:v>
                </c:pt>
                <c:pt idx="9">
                  <c:v>119</c:v>
                </c:pt>
                <c:pt idx="10">
                  <c:v>136</c:v>
                </c:pt>
                <c:pt idx="11">
                  <c:v>128</c:v>
                </c:pt>
                <c:pt idx="12">
                  <c:v>127</c:v>
                </c:pt>
                <c:pt idx="13">
                  <c:v>115</c:v>
                </c:pt>
                <c:pt idx="14">
                  <c:v>127</c:v>
                </c:pt>
                <c:pt idx="15">
                  <c:v>131</c:v>
                </c:pt>
                <c:pt idx="16">
                  <c:v>134</c:v>
                </c:pt>
                <c:pt idx="17">
                  <c:v>121</c:v>
                </c:pt>
                <c:pt idx="18">
                  <c:v>132</c:v>
                </c:pt>
                <c:pt idx="19">
                  <c:v>136</c:v>
                </c:pt>
                <c:pt idx="20">
                  <c:v>128</c:v>
                </c:pt>
                <c:pt idx="21">
                  <c:v>136</c:v>
                </c:pt>
                <c:pt idx="22">
                  <c:v>137</c:v>
                </c:pt>
                <c:pt idx="23">
                  <c:v>136</c:v>
                </c:pt>
                <c:pt idx="24">
                  <c:v>113</c:v>
                </c:pt>
                <c:pt idx="25">
                  <c:v>113</c:v>
                </c:pt>
                <c:pt idx="26">
                  <c:v>148</c:v>
                </c:pt>
                <c:pt idx="27">
                  <c:v>138</c:v>
                </c:pt>
                <c:pt idx="28">
                  <c:v>112</c:v>
                </c:pt>
                <c:pt idx="29">
                  <c:v>134</c:v>
                </c:pt>
                <c:pt idx="30">
                  <c:v>128</c:v>
                </c:pt>
                <c:pt idx="31">
                  <c:v>120</c:v>
                </c:pt>
                <c:pt idx="32">
                  <c:v>128</c:v>
                </c:pt>
                <c:pt idx="33">
                  <c:v>124</c:v>
                </c:pt>
                <c:pt idx="34">
                  <c:v>137</c:v>
                </c:pt>
                <c:pt idx="35">
                  <c:v>141</c:v>
                </c:pt>
                <c:pt idx="36">
                  <c:v>128</c:v>
                </c:pt>
                <c:pt idx="37">
                  <c:v>126</c:v>
                </c:pt>
                <c:pt idx="38">
                  <c:v>140</c:v>
                </c:pt>
                <c:pt idx="39">
                  <c:v>149</c:v>
                </c:pt>
                <c:pt idx="40">
                  <c:v>143</c:v>
                </c:pt>
                <c:pt idx="41">
                  <c:v>133</c:v>
                </c:pt>
                <c:pt idx="42">
                  <c:v>141</c:v>
                </c:pt>
                <c:pt idx="43">
                  <c:v>143</c:v>
                </c:pt>
                <c:pt idx="44">
                  <c:v>141</c:v>
                </c:pt>
                <c:pt idx="45">
                  <c:v>134</c:v>
                </c:pt>
                <c:pt idx="46">
                  <c:v>111</c:v>
                </c:pt>
                <c:pt idx="47">
                  <c:v>132</c:v>
                </c:pt>
                <c:pt idx="48">
                  <c:v>133</c:v>
                </c:pt>
                <c:pt idx="49">
                  <c:v>138</c:v>
                </c:pt>
                <c:pt idx="50">
                  <c:v>138</c:v>
                </c:pt>
                <c:pt idx="51">
                  <c:v>136</c:v>
                </c:pt>
                <c:pt idx="52">
                  <c:v>108</c:v>
                </c:pt>
                <c:pt idx="53">
                  <c:v>142</c:v>
                </c:pt>
                <c:pt idx="54">
                  <c:v>128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146</c:v>
                </c:pt>
                <c:pt idx="59">
                  <c:v>131</c:v>
                </c:pt>
                <c:pt idx="60">
                  <c:v>144</c:v>
                </c:pt>
                <c:pt idx="61">
                  <c:v>147</c:v>
                </c:pt>
                <c:pt idx="62">
                  <c:v>140</c:v>
                </c:pt>
                <c:pt idx="63">
                  <c:v>134</c:v>
                </c:pt>
                <c:pt idx="64">
                  <c:v>128</c:v>
                </c:pt>
                <c:pt idx="65">
                  <c:v>146</c:v>
                </c:pt>
                <c:pt idx="66">
                  <c:v>124</c:v>
                </c:pt>
                <c:pt idx="67">
                  <c:v>128</c:v>
                </c:pt>
                <c:pt idx="68">
                  <c:v>123</c:v>
                </c:pt>
                <c:pt idx="69">
                  <c:v>141</c:v>
                </c:pt>
                <c:pt idx="70">
                  <c:v>143</c:v>
                </c:pt>
                <c:pt idx="71">
                  <c:v>128</c:v>
                </c:pt>
                <c:pt idx="72">
                  <c:v>131</c:v>
                </c:pt>
                <c:pt idx="73">
                  <c:v>132</c:v>
                </c:pt>
                <c:pt idx="74">
                  <c:v>137</c:v>
                </c:pt>
                <c:pt idx="75">
                  <c:v>133</c:v>
                </c:pt>
                <c:pt idx="76">
                  <c:v>133</c:v>
                </c:pt>
                <c:pt idx="77">
                  <c:v>128</c:v>
                </c:pt>
                <c:pt idx="78">
                  <c:v>142</c:v>
                </c:pt>
                <c:pt idx="79">
                  <c:v>112</c:v>
                </c:pt>
                <c:pt idx="80">
                  <c:v>127</c:v>
                </c:pt>
                <c:pt idx="81">
                  <c:v>141</c:v>
                </c:pt>
                <c:pt idx="82">
                  <c:v>124</c:v>
                </c:pt>
                <c:pt idx="83">
                  <c:v>136</c:v>
                </c:pt>
                <c:pt idx="84">
                  <c:v>131</c:v>
                </c:pt>
                <c:pt idx="85">
                  <c:v>136</c:v>
                </c:pt>
                <c:pt idx="86">
                  <c:v>131</c:v>
                </c:pt>
                <c:pt idx="87">
                  <c:v>130</c:v>
                </c:pt>
                <c:pt idx="88">
                  <c:v>132</c:v>
                </c:pt>
                <c:pt idx="89">
                  <c:v>141</c:v>
                </c:pt>
                <c:pt idx="90">
                  <c:v>140</c:v>
                </c:pt>
                <c:pt idx="91">
                  <c:v>135</c:v>
                </c:pt>
                <c:pt idx="92">
                  <c:v>159</c:v>
                </c:pt>
                <c:pt idx="93">
                  <c:v>132</c:v>
                </c:pt>
                <c:pt idx="94">
                  <c:v>114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141</c:v>
                </c:pt>
                <c:pt idx="99">
                  <c:v>145</c:v>
                </c:pt>
                <c:pt idx="100">
                  <c:v>111</c:v>
                </c:pt>
                <c:pt idx="101">
                  <c:v>128</c:v>
                </c:pt>
                <c:pt idx="102">
                  <c:v>132</c:v>
                </c:pt>
                <c:pt idx="103">
                  <c:v>140</c:v>
                </c:pt>
                <c:pt idx="104">
                  <c:v>132</c:v>
                </c:pt>
                <c:pt idx="105">
                  <c:v>136</c:v>
                </c:pt>
                <c:pt idx="106">
                  <c:v>121</c:v>
                </c:pt>
                <c:pt idx="107">
                  <c:v>135</c:v>
                </c:pt>
                <c:pt idx="108">
                  <c:v>135</c:v>
                </c:pt>
                <c:pt idx="109">
                  <c:v>138</c:v>
                </c:pt>
                <c:pt idx="110">
                  <c:v>142</c:v>
                </c:pt>
                <c:pt idx="111">
                  <c:v>116</c:v>
                </c:pt>
                <c:pt idx="112">
                  <c:v>128</c:v>
                </c:pt>
                <c:pt idx="113">
                  <c:v>140</c:v>
                </c:pt>
                <c:pt idx="114">
                  <c:v>133</c:v>
                </c:pt>
                <c:pt idx="115">
                  <c:v>116</c:v>
                </c:pt>
                <c:pt idx="116">
                  <c:v>128</c:v>
                </c:pt>
                <c:pt idx="117">
                  <c:v>128</c:v>
                </c:pt>
                <c:pt idx="118">
                  <c:v>121</c:v>
                </c:pt>
                <c:pt idx="119">
                  <c:v>131</c:v>
                </c:pt>
                <c:pt idx="120">
                  <c:v>116</c:v>
                </c:pt>
                <c:pt idx="121">
                  <c:v>136</c:v>
                </c:pt>
                <c:pt idx="122">
                  <c:v>145</c:v>
                </c:pt>
                <c:pt idx="123">
                  <c:v>112</c:v>
                </c:pt>
                <c:pt idx="124">
                  <c:v>134</c:v>
                </c:pt>
                <c:pt idx="125">
                  <c:v>142</c:v>
                </c:pt>
                <c:pt idx="126">
                  <c:v>133</c:v>
                </c:pt>
                <c:pt idx="127">
                  <c:v>160</c:v>
                </c:pt>
                <c:pt idx="128">
                  <c:v>123</c:v>
                </c:pt>
                <c:pt idx="129">
                  <c:v>130</c:v>
                </c:pt>
                <c:pt idx="130">
                  <c:v>137</c:v>
                </c:pt>
                <c:pt idx="131">
                  <c:v>136</c:v>
                </c:pt>
                <c:pt idx="132">
                  <c:v>124</c:v>
                </c:pt>
                <c:pt idx="133">
                  <c:v>122</c:v>
                </c:pt>
                <c:pt idx="134">
                  <c:v>124</c:v>
                </c:pt>
                <c:pt idx="135">
                  <c:v>139</c:v>
                </c:pt>
                <c:pt idx="136">
                  <c:v>123</c:v>
                </c:pt>
                <c:pt idx="137">
                  <c:v>127</c:v>
                </c:pt>
                <c:pt idx="138">
                  <c:v>132</c:v>
                </c:pt>
                <c:pt idx="139">
                  <c:v>140</c:v>
                </c:pt>
                <c:pt idx="140">
                  <c:v>123</c:v>
                </c:pt>
                <c:pt idx="141">
                  <c:v>129</c:v>
                </c:pt>
                <c:pt idx="142">
                  <c:v>133</c:v>
                </c:pt>
                <c:pt idx="143">
                  <c:v>116</c:v>
                </c:pt>
                <c:pt idx="144">
                  <c:v>128</c:v>
                </c:pt>
                <c:pt idx="145">
                  <c:v>140</c:v>
                </c:pt>
                <c:pt idx="146">
                  <c:v>138</c:v>
                </c:pt>
                <c:pt idx="147">
                  <c:v>126</c:v>
                </c:pt>
                <c:pt idx="148">
                  <c:v>119</c:v>
                </c:pt>
                <c:pt idx="149">
                  <c:v>132</c:v>
                </c:pt>
                <c:pt idx="150">
                  <c:v>138</c:v>
                </c:pt>
                <c:pt idx="151">
                  <c:v>124</c:v>
                </c:pt>
                <c:pt idx="152">
                  <c:v>124</c:v>
                </c:pt>
                <c:pt idx="153">
                  <c:v>122</c:v>
                </c:pt>
                <c:pt idx="154">
                  <c:v>123</c:v>
                </c:pt>
                <c:pt idx="155">
                  <c:v>124</c:v>
                </c:pt>
                <c:pt idx="156">
                  <c:v>140</c:v>
                </c:pt>
                <c:pt idx="157">
                  <c:v>140</c:v>
                </c:pt>
                <c:pt idx="158">
                  <c:v>129</c:v>
                </c:pt>
                <c:pt idx="159">
                  <c:v>124</c:v>
                </c:pt>
                <c:pt idx="160">
                  <c:v>123</c:v>
                </c:pt>
                <c:pt idx="161">
                  <c:v>144</c:v>
                </c:pt>
                <c:pt idx="162">
                  <c:v>133</c:v>
                </c:pt>
                <c:pt idx="163">
                  <c:v>127</c:v>
                </c:pt>
                <c:pt idx="164">
                  <c:v>134</c:v>
                </c:pt>
                <c:pt idx="165">
                  <c:v>124</c:v>
                </c:pt>
                <c:pt idx="166">
                  <c:v>131</c:v>
                </c:pt>
                <c:pt idx="167">
                  <c:v>140</c:v>
                </c:pt>
                <c:pt idx="168">
                  <c:v>142</c:v>
                </c:pt>
                <c:pt idx="169">
                  <c:v>127</c:v>
                </c:pt>
                <c:pt idx="170">
                  <c:v>140</c:v>
                </c:pt>
                <c:pt idx="171">
                  <c:v>136</c:v>
                </c:pt>
                <c:pt idx="172">
                  <c:v>128</c:v>
                </c:pt>
                <c:pt idx="173">
                  <c:v>133</c:v>
                </c:pt>
                <c:pt idx="174">
                  <c:v>132</c:v>
                </c:pt>
                <c:pt idx="175">
                  <c:v>148</c:v>
                </c:pt>
                <c:pt idx="176">
                  <c:v>136</c:v>
                </c:pt>
                <c:pt idx="177">
                  <c:v>117</c:v>
                </c:pt>
                <c:pt idx="178">
                  <c:v>141</c:v>
                </c:pt>
                <c:pt idx="179">
                  <c:v>142</c:v>
                </c:pt>
                <c:pt idx="180">
                  <c:v>129</c:v>
                </c:pt>
                <c:pt idx="181">
                  <c:v>125</c:v>
                </c:pt>
                <c:pt idx="182">
                  <c:v>134</c:v>
                </c:pt>
                <c:pt idx="183">
                  <c:v>119</c:v>
                </c:pt>
                <c:pt idx="184">
                  <c:v>135</c:v>
                </c:pt>
                <c:pt idx="185">
                  <c:v>144</c:v>
                </c:pt>
                <c:pt idx="186">
                  <c:v>140</c:v>
                </c:pt>
                <c:pt idx="187">
                  <c:v>132</c:v>
                </c:pt>
                <c:pt idx="188">
                  <c:v>117</c:v>
                </c:pt>
                <c:pt idx="189">
                  <c:v>117</c:v>
                </c:pt>
                <c:pt idx="190">
                  <c:v>136</c:v>
                </c:pt>
                <c:pt idx="191">
                  <c:v>122</c:v>
                </c:pt>
                <c:pt idx="192">
                  <c:v>133</c:v>
                </c:pt>
                <c:pt idx="193">
                  <c:v>106</c:v>
                </c:pt>
                <c:pt idx="194">
                  <c:v>141</c:v>
                </c:pt>
                <c:pt idx="195">
                  <c:v>130</c:v>
                </c:pt>
                <c:pt idx="196">
                  <c:v>128</c:v>
                </c:pt>
                <c:pt idx="197">
                  <c:v>128</c:v>
                </c:pt>
                <c:pt idx="198">
                  <c:v>139</c:v>
                </c:pt>
                <c:pt idx="199">
                  <c:v>140</c:v>
                </c:pt>
                <c:pt idx="200">
                  <c:v>127</c:v>
                </c:pt>
                <c:pt idx="201">
                  <c:v>141</c:v>
                </c:pt>
                <c:pt idx="202">
                  <c:v>134</c:v>
                </c:pt>
                <c:pt idx="203">
                  <c:v>133</c:v>
                </c:pt>
                <c:pt idx="204">
                  <c:v>127</c:v>
                </c:pt>
                <c:pt idx="205">
                  <c:v>131</c:v>
                </c:pt>
                <c:pt idx="206">
                  <c:v>153</c:v>
                </c:pt>
                <c:pt idx="207">
                  <c:v>140</c:v>
                </c:pt>
                <c:pt idx="208">
                  <c:v>136</c:v>
                </c:pt>
                <c:pt idx="209">
                  <c:v>136</c:v>
                </c:pt>
                <c:pt idx="210">
                  <c:v>131</c:v>
                </c:pt>
                <c:pt idx="211">
                  <c:v>144</c:v>
                </c:pt>
                <c:pt idx="212">
                  <c:v>129</c:v>
                </c:pt>
                <c:pt idx="213">
                  <c:v>136</c:v>
                </c:pt>
                <c:pt idx="214">
                  <c:v>146</c:v>
                </c:pt>
                <c:pt idx="215">
                  <c:v>119</c:v>
                </c:pt>
                <c:pt idx="216">
                  <c:v>134</c:v>
                </c:pt>
                <c:pt idx="217">
                  <c:v>132</c:v>
                </c:pt>
                <c:pt idx="218">
                  <c:v>137</c:v>
                </c:pt>
                <c:pt idx="219">
                  <c:v>134</c:v>
                </c:pt>
                <c:pt idx="220">
                  <c:v>124</c:v>
                </c:pt>
                <c:pt idx="221">
                  <c:v>137</c:v>
                </c:pt>
                <c:pt idx="222">
                  <c:v>140</c:v>
                </c:pt>
                <c:pt idx="223">
                  <c:v>130</c:v>
                </c:pt>
                <c:pt idx="224">
                  <c:v>136</c:v>
                </c:pt>
                <c:pt idx="225">
                  <c:v>127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8-4E33-B965-DFD34BF1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655"/>
        <c:axId val="2123648175"/>
      </c:scatterChart>
      <c:valAx>
        <c:axId val="21236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8175"/>
        <c:crosses val="autoZero"/>
        <c:crossBetween val="midCat"/>
      </c:valAx>
      <c:valAx>
        <c:axId val="2123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Log'!$G$2:$G$227</c:f>
              <c:numCache>
                <c:formatCode>0.00</c:formatCode>
                <c:ptCount val="226"/>
                <c:pt idx="0">
                  <c:v>73</c:v>
                </c:pt>
                <c:pt idx="1">
                  <c:v>75</c:v>
                </c:pt>
                <c:pt idx="2">
                  <c:v>76</c:v>
                </c:pt>
                <c:pt idx="3">
                  <c:v>85</c:v>
                </c:pt>
                <c:pt idx="4">
                  <c:v>79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8">
                  <c:v>77</c:v>
                </c:pt>
                <c:pt idx="9">
                  <c:v>75</c:v>
                </c:pt>
                <c:pt idx="10">
                  <c:v>68</c:v>
                </c:pt>
                <c:pt idx="11">
                  <c:v>74</c:v>
                </c:pt>
                <c:pt idx="12">
                  <c:v>75</c:v>
                </c:pt>
                <c:pt idx="13">
                  <c:v>78</c:v>
                </c:pt>
                <c:pt idx="14">
                  <c:v>78</c:v>
                </c:pt>
                <c:pt idx="15">
                  <c:v>77</c:v>
                </c:pt>
                <c:pt idx="16">
                  <c:v>75</c:v>
                </c:pt>
                <c:pt idx="17">
                  <c:v>73</c:v>
                </c:pt>
                <c:pt idx="18">
                  <c:v>74</c:v>
                </c:pt>
                <c:pt idx="19">
                  <c:v>69</c:v>
                </c:pt>
                <c:pt idx="20">
                  <c:v>76</c:v>
                </c:pt>
                <c:pt idx="21">
                  <c:v>83</c:v>
                </c:pt>
                <c:pt idx="22">
                  <c:v>77</c:v>
                </c:pt>
                <c:pt idx="23">
                  <c:v>76</c:v>
                </c:pt>
                <c:pt idx="24">
                  <c:v>74</c:v>
                </c:pt>
                <c:pt idx="25">
                  <c:v>76</c:v>
                </c:pt>
                <c:pt idx="26">
                  <c:v>79</c:v>
                </c:pt>
                <c:pt idx="27">
                  <c:v>74</c:v>
                </c:pt>
                <c:pt idx="28">
                  <c:v>68</c:v>
                </c:pt>
                <c:pt idx="29">
                  <c:v>76</c:v>
                </c:pt>
                <c:pt idx="30">
                  <c:v>70</c:v>
                </c:pt>
                <c:pt idx="31">
                  <c:v>71</c:v>
                </c:pt>
                <c:pt idx="32">
                  <c:v>79</c:v>
                </c:pt>
                <c:pt idx="33">
                  <c:v>74</c:v>
                </c:pt>
                <c:pt idx="34">
                  <c:v>75</c:v>
                </c:pt>
                <c:pt idx="35">
                  <c:v>72</c:v>
                </c:pt>
                <c:pt idx="36">
                  <c:v>72</c:v>
                </c:pt>
                <c:pt idx="37">
                  <c:v>68</c:v>
                </c:pt>
                <c:pt idx="38">
                  <c:v>81</c:v>
                </c:pt>
                <c:pt idx="39">
                  <c:v>89</c:v>
                </c:pt>
                <c:pt idx="40">
                  <c:v>78</c:v>
                </c:pt>
                <c:pt idx="41">
                  <c:v>86</c:v>
                </c:pt>
                <c:pt idx="42">
                  <c:v>83</c:v>
                </c:pt>
                <c:pt idx="43">
                  <c:v>92</c:v>
                </c:pt>
                <c:pt idx="44">
                  <c:v>87</c:v>
                </c:pt>
                <c:pt idx="45">
                  <c:v>77</c:v>
                </c:pt>
                <c:pt idx="46">
                  <c:v>85</c:v>
                </c:pt>
                <c:pt idx="47">
                  <c:v>84</c:v>
                </c:pt>
                <c:pt idx="48">
                  <c:v>76</c:v>
                </c:pt>
                <c:pt idx="49">
                  <c:v>82</c:v>
                </c:pt>
                <c:pt idx="50">
                  <c:v>73</c:v>
                </c:pt>
                <c:pt idx="51">
                  <c:v>75</c:v>
                </c:pt>
                <c:pt idx="52">
                  <c:v>81</c:v>
                </c:pt>
                <c:pt idx="53">
                  <c:v>76</c:v>
                </c:pt>
                <c:pt idx="54">
                  <c:v>72</c:v>
                </c:pt>
                <c:pt idx="55">
                  <c:v>78</c:v>
                </c:pt>
                <c:pt idx="56">
                  <c:v>84</c:v>
                </c:pt>
                <c:pt idx="57">
                  <c:v>76</c:v>
                </c:pt>
                <c:pt idx="58">
                  <c:v>82</c:v>
                </c:pt>
                <c:pt idx="59">
                  <c:v>76</c:v>
                </c:pt>
                <c:pt idx="60">
                  <c:v>71</c:v>
                </c:pt>
                <c:pt idx="61">
                  <c:v>78</c:v>
                </c:pt>
                <c:pt idx="62">
                  <c:v>76</c:v>
                </c:pt>
                <c:pt idx="63">
                  <c:v>71</c:v>
                </c:pt>
                <c:pt idx="64">
                  <c:v>75</c:v>
                </c:pt>
                <c:pt idx="65">
                  <c:v>78</c:v>
                </c:pt>
                <c:pt idx="66">
                  <c:v>67</c:v>
                </c:pt>
                <c:pt idx="67">
                  <c:v>73</c:v>
                </c:pt>
                <c:pt idx="68">
                  <c:v>79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76</c:v>
                </c:pt>
                <c:pt idx="73">
                  <c:v>77</c:v>
                </c:pt>
                <c:pt idx="74">
                  <c:v>75</c:v>
                </c:pt>
                <c:pt idx="75">
                  <c:v>78</c:v>
                </c:pt>
                <c:pt idx="76">
                  <c:v>74</c:v>
                </c:pt>
                <c:pt idx="77">
                  <c:v>72</c:v>
                </c:pt>
                <c:pt idx="78">
                  <c:v>71</c:v>
                </c:pt>
                <c:pt idx="79">
                  <c:v>76</c:v>
                </c:pt>
                <c:pt idx="80">
                  <c:v>70</c:v>
                </c:pt>
                <c:pt idx="81">
                  <c:v>80</c:v>
                </c:pt>
                <c:pt idx="82">
                  <c:v>67</c:v>
                </c:pt>
                <c:pt idx="83">
                  <c:v>76</c:v>
                </c:pt>
                <c:pt idx="84">
                  <c:v>74</c:v>
                </c:pt>
                <c:pt idx="85">
                  <c:v>77</c:v>
                </c:pt>
                <c:pt idx="86">
                  <c:v>76</c:v>
                </c:pt>
                <c:pt idx="87">
                  <c:v>78</c:v>
                </c:pt>
                <c:pt idx="88">
                  <c:v>72</c:v>
                </c:pt>
                <c:pt idx="89">
                  <c:v>77</c:v>
                </c:pt>
                <c:pt idx="90">
                  <c:v>74</c:v>
                </c:pt>
                <c:pt idx="91">
                  <c:v>76</c:v>
                </c:pt>
                <c:pt idx="92">
                  <c:v>83</c:v>
                </c:pt>
                <c:pt idx="93">
                  <c:v>81</c:v>
                </c:pt>
                <c:pt idx="94">
                  <c:v>67</c:v>
                </c:pt>
                <c:pt idx="95">
                  <c:v>61</c:v>
                </c:pt>
                <c:pt idx="96">
                  <c:v>82</c:v>
                </c:pt>
                <c:pt idx="97">
                  <c:v>73</c:v>
                </c:pt>
                <c:pt idx="98">
                  <c:v>77</c:v>
                </c:pt>
                <c:pt idx="99">
                  <c:v>77</c:v>
                </c:pt>
                <c:pt idx="100">
                  <c:v>80</c:v>
                </c:pt>
                <c:pt idx="101">
                  <c:v>90</c:v>
                </c:pt>
                <c:pt idx="102">
                  <c:v>76</c:v>
                </c:pt>
                <c:pt idx="103">
                  <c:v>75</c:v>
                </c:pt>
                <c:pt idx="104">
                  <c:v>76</c:v>
                </c:pt>
                <c:pt idx="105">
                  <c:v>84</c:v>
                </c:pt>
                <c:pt idx="106">
                  <c:v>91</c:v>
                </c:pt>
                <c:pt idx="107">
                  <c:v>74</c:v>
                </c:pt>
                <c:pt idx="108">
                  <c:v>76</c:v>
                </c:pt>
                <c:pt idx="109">
                  <c:v>88</c:v>
                </c:pt>
                <c:pt idx="110">
                  <c:v>85</c:v>
                </c:pt>
                <c:pt idx="111">
                  <c:v>71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68</c:v>
                </c:pt>
                <c:pt idx="116">
                  <c:v>85</c:v>
                </c:pt>
                <c:pt idx="117">
                  <c:v>75</c:v>
                </c:pt>
                <c:pt idx="118">
                  <c:v>75</c:v>
                </c:pt>
                <c:pt idx="119">
                  <c:v>79</c:v>
                </c:pt>
                <c:pt idx="120">
                  <c:v>71</c:v>
                </c:pt>
                <c:pt idx="121">
                  <c:v>73</c:v>
                </c:pt>
                <c:pt idx="122">
                  <c:v>87</c:v>
                </c:pt>
                <c:pt idx="123">
                  <c:v>73</c:v>
                </c:pt>
                <c:pt idx="124">
                  <c:v>75</c:v>
                </c:pt>
                <c:pt idx="125">
                  <c:v>76</c:v>
                </c:pt>
                <c:pt idx="126">
                  <c:v>76</c:v>
                </c:pt>
                <c:pt idx="127">
                  <c:v>85</c:v>
                </c:pt>
                <c:pt idx="128">
                  <c:v>84</c:v>
                </c:pt>
                <c:pt idx="129">
                  <c:v>75</c:v>
                </c:pt>
                <c:pt idx="130">
                  <c:v>81</c:v>
                </c:pt>
                <c:pt idx="131">
                  <c:v>74</c:v>
                </c:pt>
                <c:pt idx="132">
                  <c:v>78</c:v>
                </c:pt>
                <c:pt idx="133">
                  <c:v>73</c:v>
                </c:pt>
                <c:pt idx="134">
                  <c:v>88</c:v>
                </c:pt>
                <c:pt idx="135">
                  <c:v>77</c:v>
                </c:pt>
                <c:pt idx="136">
                  <c:v>77</c:v>
                </c:pt>
                <c:pt idx="137">
                  <c:v>80</c:v>
                </c:pt>
                <c:pt idx="138">
                  <c:v>75</c:v>
                </c:pt>
                <c:pt idx="139">
                  <c:v>85</c:v>
                </c:pt>
                <c:pt idx="140">
                  <c:v>70</c:v>
                </c:pt>
                <c:pt idx="141">
                  <c:v>72</c:v>
                </c:pt>
                <c:pt idx="142">
                  <c:v>73</c:v>
                </c:pt>
                <c:pt idx="143">
                  <c:v>71</c:v>
                </c:pt>
                <c:pt idx="144">
                  <c:v>70</c:v>
                </c:pt>
                <c:pt idx="145">
                  <c:v>77</c:v>
                </c:pt>
                <c:pt idx="146">
                  <c:v>78</c:v>
                </c:pt>
                <c:pt idx="147">
                  <c:v>69</c:v>
                </c:pt>
                <c:pt idx="148">
                  <c:v>79</c:v>
                </c:pt>
                <c:pt idx="149">
                  <c:v>81</c:v>
                </c:pt>
                <c:pt idx="150">
                  <c:v>80</c:v>
                </c:pt>
                <c:pt idx="151">
                  <c:v>75</c:v>
                </c:pt>
                <c:pt idx="152">
                  <c:v>74</c:v>
                </c:pt>
                <c:pt idx="153">
                  <c:v>72</c:v>
                </c:pt>
                <c:pt idx="154">
                  <c:v>77</c:v>
                </c:pt>
                <c:pt idx="155">
                  <c:v>78</c:v>
                </c:pt>
                <c:pt idx="156">
                  <c:v>87</c:v>
                </c:pt>
                <c:pt idx="157">
                  <c:v>80</c:v>
                </c:pt>
                <c:pt idx="158">
                  <c:v>87</c:v>
                </c:pt>
                <c:pt idx="159">
                  <c:v>69</c:v>
                </c:pt>
                <c:pt idx="160">
                  <c:v>74</c:v>
                </c:pt>
                <c:pt idx="161">
                  <c:v>83</c:v>
                </c:pt>
                <c:pt idx="162">
                  <c:v>83</c:v>
                </c:pt>
                <c:pt idx="163">
                  <c:v>65</c:v>
                </c:pt>
                <c:pt idx="164">
                  <c:v>79</c:v>
                </c:pt>
                <c:pt idx="165">
                  <c:v>70</c:v>
                </c:pt>
                <c:pt idx="166">
                  <c:v>76</c:v>
                </c:pt>
                <c:pt idx="167">
                  <c:v>83</c:v>
                </c:pt>
                <c:pt idx="168">
                  <c:v>82</c:v>
                </c:pt>
                <c:pt idx="169">
                  <c:v>71</c:v>
                </c:pt>
                <c:pt idx="170">
                  <c:v>86</c:v>
                </c:pt>
                <c:pt idx="171">
                  <c:v>82</c:v>
                </c:pt>
                <c:pt idx="172">
                  <c:v>74</c:v>
                </c:pt>
                <c:pt idx="173">
                  <c:v>78</c:v>
                </c:pt>
                <c:pt idx="174">
                  <c:v>80</c:v>
                </c:pt>
                <c:pt idx="175">
                  <c:v>83</c:v>
                </c:pt>
                <c:pt idx="176">
                  <c:v>74</c:v>
                </c:pt>
                <c:pt idx="177">
                  <c:v>68</c:v>
                </c:pt>
                <c:pt idx="178">
                  <c:v>80</c:v>
                </c:pt>
                <c:pt idx="179">
                  <c:v>81</c:v>
                </c:pt>
                <c:pt idx="180">
                  <c:v>76</c:v>
                </c:pt>
                <c:pt idx="181">
                  <c:v>79</c:v>
                </c:pt>
                <c:pt idx="182">
                  <c:v>81</c:v>
                </c:pt>
                <c:pt idx="183">
                  <c:v>74</c:v>
                </c:pt>
                <c:pt idx="184">
                  <c:v>78</c:v>
                </c:pt>
                <c:pt idx="185">
                  <c:v>79</c:v>
                </c:pt>
                <c:pt idx="186">
                  <c:v>81</c:v>
                </c:pt>
                <c:pt idx="187">
                  <c:v>78</c:v>
                </c:pt>
                <c:pt idx="188">
                  <c:v>78</c:v>
                </c:pt>
                <c:pt idx="189">
                  <c:v>81</c:v>
                </c:pt>
                <c:pt idx="190">
                  <c:v>72</c:v>
                </c:pt>
                <c:pt idx="191">
                  <c:v>71</c:v>
                </c:pt>
                <c:pt idx="192">
                  <c:v>80</c:v>
                </c:pt>
                <c:pt idx="193">
                  <c:v>42</c:v>
                </c:pt>
                <c:pt idx="194">
                  <c:v>83</c:v>
                </c:pt>
                <c:pt idx="195">
                  <c:v>78</c:v>
                </c:pt>
                <c:pt idx="196">
                  <c:v>74</c:v>
                </c:pt>
                <c:pt idx="197">
                  <c:v>79</c:v>
                </c:pt>
                <c:pt idx="198">
                  <c:v>66</c:v>
                </c:pt>
                <c:pt idx="199">
                  <c:v>87</c:v>
                </c:pt>
                <c:pt idx="200">
                  <c:v>76</c:v>
                </c:pt>
                <c:pt idx="201">
                  <c:v>99</c:v>
                </c:pt>
                <c:pt idx="202">
                  <c:v>78</c:v>
                </c:pt>
                <c:pt idx="203">
                  <c:v>82</c:v>
                </c:pt>
                <c:pt idx="204">
                  <c:v>84</c:v>
                </c:pt>
                <c:pt idx="205">
                  <c:v>91</c:v>
                </c:pt>
                <c:pt idx="206">
                  <c:v>84</c:v>
                </c:pt>
                <c:pt idx="207">
                  <c:v>82</c:v>
                </c:pt>
                <c:pt idx="208">
                  <c:v>77</c:v>
                </c:pt>
                <c:pt idx="209">
                  <c:v>85</c:v>
                </c:pt>
                <c:pt idx="210">
                  <c:v>83</c:v>
                </c:pt>
                <c:pt idx="211">
                  <c:v>82</c:v>
                </c:pt>
                <c:pt idx="212">
                  <c:v>82</c:v>
                </c:pt>
                <c:pt idx="213">
                  <c:v>81</c:v>
                </c:pt>
                <c:pt idx="214">
                  <c:v>80</c:v>
                </c:pt>
                <c:pt idx="215">
                  <c:v>80</c:v>
                </c:pt>
                <c:pt idx="216">
                  <c:v>73</c:v>
                </c:pt>
                <c:pt idx="217">
                  <c:v>83</c:v>
                </c:pt>
                <c:pt idx="218">
                  <c:v>81</c:v>
                </c:pt>
                <c:pt idx="219">
                  <c:v>76</c:v>
                </c:pt>
                <c:pt idx="220">
                  <c:v>73</c:v>
                </c:pt>
                <c:pt idx="221">
                  <c:v>84</c:v>
                </c:pt>
                <c:pt idx="222">
                  <c:v>86</c:v>
                </c:pt>
                <c:pt idx="223">
                  <c:v>80</c:v>
                </c:pt>
                <c:pt idx="224">
                  <c:v>75</c:v>
                </c:pt>
                <c:pt idx="225">
                  <c:v>70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3-47EA-B6F9-3EF0A401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3455"/>
        <c:axId val="2123654895"/>
      </c:scatterChart>
      <c:valAx>
        <c:axId val="21236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4895"/>
        <c:crosses val="autoZero"/>
        <c:crossBetween val="midCat"/>
      </c:valAx>
      <c:valAx>
        <c:axId val="21236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Log'!$E$2:$E$227</c:f>
              <c:numCache>
                <c:formatCode>0.00</c:formatCode>
                <c:ptCount val="226"/>
                <c:pt idx="0">
                  <c:v>95.7</c:v>
                </c:pt>
                <c:pt idx="1">
                  <c:v>96.2</c:v>
                </c:pt>
                <c:pt idx="2">
                  <c:v>96.7</c:v>
                </c:pt>
                <c:pt idx="3">
                  <c:v>97.5</c:v>
                </c:pt>
                <c:pt idx="4">
                  <c:v>97.7</c:v>
                </c:pt>
                <c:pt idx="5">
                  <c:v>96.1</c:v>
                </c:pt>
                <c:pt idx="6">
                  <c:v>96.4</c:v>
                </c:pt>
                <c:pt idx="7">
                  <c:v>96.4</c:v>
                </c:pt>
                <c:pt idx="8">
                  <c:v>97.7</c:v>
                </c:pt>
                <c:pt idx="9">
                  <c:v>96.7</c:v>
                </c:pt>
                <c:pt idx="10">
                  <c:v>97</c:v>
                </c:pt>
                <c:pt idx="11">
                  <c:v>96.2</c:v>
                </c:pt>
                <c:pt idx="12">
                  <c:v>96.6</c:v>
                </c:pt>
                <c:pt idx="13">
                  <c:v>96.3</c:v>
                </c:pt>
                <c:pt idx="14">
                  <c:v>96.4</c:v>
                </c:pt>
                <c:pt idx="15">
                  <c:v>95.5</c:v>
                </c:pt>
                <c:pt idx="16">
                  <c:v>96.7</c:v>
                </c:pt>
                <c:pt idx="17">
                  <c:v>96.6</c:v>
                </c:pt>
                <c:pt idx="18">
                  <c:v>96.5</c:v>
                </c:pt>
                <c:pt idx="19">
                  <c:v>96.9</c:v>
                </c:pt>
                <c:pt idx="20">
                  <c:v>96.5</c:v>
                </c:pt>
                <c:pt idx="21">
                  <c:v>96.1</c:v>
                </c:pt>
                <c:pt idx="22">
                  <c:v>97</c:v>
                </c:pt>
                <c:pt idx="23">
                  <c:v>96.4</c:v>
                </c:pt>
                <c:pt idx="24">
                  <c:v>95.7</c:v>
                </c:pt>
                <c:pt idx="25">
                  <c:v>96.2</c:v>
                </c:pt>
                <c:pt idx="26">
                  <c:v>97.1</c:v>
                </c:pt>
                <c:pt idx="27">
                  <c:v>96.5</c:v>
                </c:pt>
                <c:pt idx="28">
                  <c:v>96.3</c:v>
                </c:pt>
                <c:pt idx="29">
                  <c:v>96.1</c:v>
                </c:pt>
                <c:pt idx="30">
                  <c:v>96.8</c:v>
                </c:pt>
                <c:pt idx="31">
                  <c:v>96.4</c:v>
                </c:pt>
                <c:pt idx="32">
                  <c:v>96.7</c:v>
                </c:pt>
                <c:pt idx="33">
                  <c:v>97.1</c:v>
                </c:pt>
                <c:pt idx="34">
                  <c:v>96.2</c:v>
                </c:pt>
                <c:pt idx="35">
                  <c:v>96.2</c:v>
                </c:pt>
                <c:pt idx="36">
                  <c:v>96.1</c:v>
                </c:pt>
                <c:pt idx="37">
                  <c:v>96.3</c:v>
                </c:pt>
                <c:pt idx="38">
                  <c:v>97.1</c:v>
                </c:pt>
                <c:pt idx="39">
                  <c:v>97</c:v>
                </c:pt>
                <c:pt idx="40">
                  <c:v>96.7</c:v>
                </c:pt>
                <c:pt idx="41">
                  <c:v>96.4</c:v>
                </c:pt>
                <c:pt idx="42">
                  <c:v>97.6</c:v>
                </c:pt>
                <c:pt idx="43">
                  <c:v>96</c:v>
                </c:pt>
                <c:pt idx="44">
                  <c:v>95.9</c:v>
                </c:pt>
                <c:pt idx="45">
                  <c:v>96.7</c:v>
                </c:pt>
                <c:pt idx="46">
                  <c:v>97</c:v>
                </c:pt>
                <c:pt idx="47">
                  <c:v>96.5</c:v>
                </c:pt>
                <c:pt idx="48">
                  <c:v>96.4</c:v>
                </c:pt>
                <c:pt idx="49">
                  <c:v>96.1</c:v>
                </c:pt>
                <c:pt idx="50">
                  <c:v>96</c:v>
                </c:pt>
                <c:pt idx="51">
                  <c:v>95.9</c:v>
                </c:pt>
                <c:pt idx="52">
                  <c:v>96.9</c:v>
                </c:pt>
                <c:pt idx="53">
                  <c:v>96</c:v>
                </c:pt>
                <c:pt idx="54">
                  <c:v>97.6</c:v>
                </c:pt>
                <c:pt idx="55">
                  <c:v>96.7</c:v>
                </c:pt>
                <c:pt idx="56">
                  <c:v>97</c:v>
                </c:pt>
                <c:pt idx="57">
                  <c:v>96.3</c:v>
                </c:pt>
                <c:pt idx="58">
                  <c:v>96.9</c:v>
                </c:pt>
                <c:pt idx="59">
                  <c:v>96</c:v>
                </c:pt>
                <c:pt idx="60">
                  <c:v>97.3</c:v>
                </c:pt>
                <c:pt idx="61">
                  <c:v>96</c:v>
                </c:pt>
                <c:pt idx="62">
                  <c:v>95.2</c:v>
                </c:pt>
                <c:pt idx="63">
                  <c:v>96.3</c:v>
                </c:pt>
                <c:pt idx="64">
                  <c:v>96.1</c:v>
                </c:pt>
                <c:pt idx="65">
                  <c:v>95.7</c:v>
                </c:pt>
                <c:pt idx="66">
                  <c:v>95.7</c:v>
                </c:pt>
                <c:pt idx="67">
                  <c:v>94.9</c:v>
                </c:pt>
                <c:pt idx="68">
                  <c:v>96.1</c:v>
                </c:pt>
                <c:pt idx="69">
                  <c:v>96.4</c:v>
                </c:pt>
                <c:pt idx="70">
                  <c:v>96.8</c:v>
                </c:pt>
                <c:pt idx="71">
                  <c:v>96.2</c:v>
                </c:pt>
                <c:pt idx="72">
                  <c:v>96.5</c:v>
                </c:pt>
                <c:pt idx="73">
                  <c:v>96.5</c:v>
                </c:pt>
                <c:pt idx="74">
                  <c:v>96.9</c:v>
                </c:pt>
                <c:pt idx="75">
                  <c:v>96.4</c:v>
                </c:pt>
                <c:pt idx="76">
                  <c:v>95.7</c:v>
                </c:pt>
                <c:pt idx="77">
                  <c:v>95.5</c:v>
                </c:pt>
                <c:pt idx="78">
                  <c:v>96.7</c:v>
                </c:pt>
                <c:pt idx="79">
                  <c:v>96</c:v>
                </c:pt>
                <c:pt idx="80">
                  <c:v>97.5</c:v>
                </c:pt>
                <c:pt idx="81">
                  <c:v>96.2</c:v>
                </c:pt>
                <c:pt idx="82">
                  <c:v>96.3</c:v>
                </c:pt>
                <c:pt idx="83">
                  <c:v>96.8</c:v>
                </c:pt>
                <c:pt idx="84">
                  <c:v>96.9</c:v>
                </c:pt>
                <c:pt idx="85">
                  <c:v>96.8</c:v>
                </c:pt>
                <c:pt idx="86">
                  <c:v>96.5</c:v>
                </c:pt>
                <c:pt idx="87">
                  <c:v>96.2</c:v>
                </c:pt>
                <c:pt idx="88">
                  <c:v>96.8</c:v>
                </c:pt>
                <c:pt idx="89">
                  <c:v>95.8</c:v>
                </c:pt>
                <c:pt idx="90">
                  <c:v>95.9</c:v>
                </c:pt>
                <c:pt idx="91">
                  <c:v>95.9</c:v>
                </c:pt>
                <c:pt idx="92">
                  <c:v>98</c:v>
                </c:pt>
                <c:pt idx="93">
                  <c:v>96.4</c:v>
                </c:pt>
                <c:pt idx="94">
                  <c:v>96.8</c:v>
                </c:pt>
                <c:pt idx="95">
                  <c:v>95.7</c:v>
                </c:pt>
                <c:pt idx="96">
                  <c:v>97</c:v>
                </c:pt>
                <c:pt idx="97">
                  <c:v>96.7</c:v>
                </c:pt>
                <c:pt idx="98">
                  <c:v>96</c:v>
                </c:pt>
                <c:pt idx="99">
                  <c:v>96.4</c:v>
                </c:pt>
                <c:pt idx="100">
                  <c:v>96.3</c:v>
                </c:pt>
                <c:pt idx="101">
                  <c:v>96.2</c:v>
                </c:pt>
                <c:pt idx="102">
                  <c:v>96.5</c:v>
                </c:pt>
                <c:pt idx="103">
                  <c:v>97.8</c:v>
                </c:pt>
                <c:pt idx="104">
                  <c:v>96.5</c:v>
                </c:pt>
                <c:pt idx="105">
                  <c:v>96.9</c:v>
                </c:pt>
                <c:pt idx="106">
                  <c:v>96</c:v>
                </c:pt>
                <c:pt idx="107">
                  <c:v>97.8</c:v>
                </c:pt>
                <c:pt idx="108">
                  <c:v>96.7</c:v>
                </c:pt>
                <c:pt idx="109">
                  <c:v>95.7</c:v>
                </c:pt>
                <c:pt idx="110">
                  <c:v>96.4</c:v>
                </c:pt>
                <c:pt idx="111">
                  <c:v>96.4</c:v>
                </c:pt>
                <c:pt idx="112">
                  <c:v>96.1</c:v>
                </c:pt>
                <c:pt idx="113">
                  <c:v>96.6</c:v>
                </c:pt>
                <c:pt idx="114">
                  <c:v>96.4</c:v>
                </c:pt>
                <c:pt idx="115">
                  <c:v>96.8</c:v>
                </c:pt>
                <c:pt idx="116">
                  <c:v>95.7</c:v>
                </c:pt>
                <c:pt idx="117">
                  <c:v>96.1</c:v>
                </c:pt>
                <c:pt idx="118">
                  <c:v>95.7</c:v>
                </c:pt>
                <c:pt idx="119">
                  <c:v>96.6</c:v>
                </c:pt>
                <c:pt idx="120">
                  <c:v>95.8</c:v>
                </c:pt>
                <c:pt idx="121">
                  <c:v>97</c:v>
                </c:pt>
                <c:pt idx="122">
                  <c:v>97.3</c:v>
                </c:pt>
                <c:pt idx="123">
                  <c:v>96.9</c:v>
                </c:pt>
                <c:pt idx="124">
                  <c:v>96.8</c:v>
                </c:pt>
                <c:pt idx="125">
                  <c:v>96.7</c:v>
                </c:pt>
                <c:pt idx="126">
                  <c:v>98.1</c:v>
                </c:pt>
                <c:pt idx="127">
                  <c:v>98.3</c:v>
                </c:pt>
                <c:pt idx="128">
                  <c:v>96.3</c:v>
                </c:pt>
                <c:pt idx="129">
                  <c:v>96.3</c:v>
                </c:pt>
                <c:pt idx="130">
                  <c:v>96.8</c:v>
                </c:pt>
                <c:pt idx="131">
                  <c:v>96.4</c:v>
                </c:pt>
                <c:pt idx="132">
                  <c:v>97.4</c:v>
                </c:pt>
                <c:pt idx="133">
                  <c:v>95.7</c:v>
                </c:pt>
                <c:pt idx="134">
                  <c:v>96.8</c:v>
                </c:pt>
                <c:pt idx="135">
                  <c:v>96.6</c:v>
                </c:pt>
                <c:pt idx="136">
                  <c:v>95.3</c:v>
                </c:pt>
                <c:pt idx="137">
                  <c:v>95.2</c:v>
                </c:pt>
                <c:pt idx="138">
                  <c:v>95.3</c:v>
                </c:pt>
                <c:pt idx="139">
                  <c:v>96.9</c:v>
                </c:pt>
                <c:pt idx="140">
                  <c:v>97.1</c:v>
                </c:pt>
                <c:pt idx="141">
                  <c:v>96.4</c:v>
                </c:pt>
                <c:pt idx="142">
                  <c:v>96.6</c:v>
                </c:pt>
                <c:pt idx="143">
                  <c:v>97</c:v>
                </c:pt>
                <c:pt idx="144">
                  <c:v>96.2</c:v>
                </c:pt>
                <c:pt idx="145">
                  <c:v>96.4</c:v>
                </c:pt>
                <c:pt idx="146">
                  <c:v>96.9</c:v>
                </c:pt>
                <c:pt idx="147">
                  <c:v>96.5</c:v>
                </c:pt>
                <c:pt idx="148">
                  <c:v>96</c:v>
                </c:pt>
                <c:pt idx="149">
                  <c:v>96.9</c:v>
                </c:pt>
                <c:pt idx="150">
                  <c:v>96.5</c:v>
                </c:pt>
                <c:pt idx="151">
                  <c:v>94.2</c:v>
                </c:pt>
                <c:pt idx="152">
                  <c:v>96.7</c:v>
                </c:pt>
                <c:pt idx="153">
                  <c:v>95.3</c:v>
                </c:pt>
                <c:pt idx="154">
                  <c:v>95.8</c:v>
                </c:pt>
                <c:pt idx="155">
                  <c:v>96.9</c:v>
                </c:pt>
                <c:pt idx="156">
                  <c:v>97</c:v>
                </c:pt>
                <c:pt idx="157">
                  <c:v>97.2</c:v>
                </c:pt>
                <c:pt idx="158">
                  <c:v>96.8</c:v>
                </c:pt>
                <c:pt idx="159">
                  <c:v>96.7</c:v>
                </c:pt>
                <c:pt idx="160">
                  <c:v>96.4</c:v>
                </c:pt>
                <c:pt idx="161">
                  <c:v>97.2</c:v>
                </c:pt>
                <c:pt idx="162">
                  <c:v>97.3</c:v>
                </c:pt>
                <c:pt idx="163">
                  <c:v>95.9</c:v>
                </c:pt>
                <c:pt idx="164">
                  <c:v>97.3</c:v>
                </c:pt>
                <c:pt idx="165">
                  <c:v>97.6</c:v>
                </c:pt>
                <c:pt idx="166">
                  <c:v>96.5</c:v>
                </c:pt>
                <c:pt idx="167">
                  <c:v>96</c:v>
                </c:pt>
                <c:pt idx="168">
                  <c:v>100.1</c:v>
                </c:pt>
                <c:pt idx="169">
                  <c:v>97.1</c:v>
                </c:pt>
                <c:pt idx="170">
                  <c:v>96.8</c:v>
                </c:pt>
                <c:pt idx="171">
                  <c:v>97.3</c:v>
                </c:pt>
                <c:pt idx="172">
                  <c:v>96.6</c:v>
                </c:pt>
                <c:pt idx="173">
                  <c:v>97.1</c:v>
                </c:pt>
                <c:pt idx="174">
                  <c:v>96.5</c:v>
                </c:pt>
                <c:pt idx="175">
                  <c:v>97.6</c:v>
                </c:pt>
                <c:pt idx="176">
                  <c:v>96.9</c:v>
                </c:pt>
                <c:pt idx="177">
                  <c:v>96.4</c:v>
                </c:pt>
                <c:pt idx="178">
                  <c:v>96.9</c:v>
                </c:pt>
                <c:pt idx="179">
                  <c:v>96.5</c:v>
                </c:pt>
                <c:pt idx="180">
                  <c:v>97</c:v>
                </c:pt>
                <c:pt idx="181">
                  <c:v>98</c:v>
                </c:pt>
                <c:pt idx="182">
                  <c:v>98.5</c:v>
                </c:pt>
                <c:pt idx="183">
                  <c:v>98</c:v>
                </c:pt>
                <c:pt idx="184">
                  <c:v>97.1</c:v>
                </c:pt>
                <c:pt idx="185">
                  <c:v>96.6</c:v>
                </c:pt>
                <c:pt idx="186">
                  <c:v>96.9</c:v>
                </c:pt>
                <c:pt idx="187">
                  <c:v>97.3</c:v>
                </c:pt>
                <c:pt idx="188">
                  <c:v>96</c:v>
                </c:pt>
                <c:pt idx="189">
                  <c:v>96.3</c:v>
                </c:pt>
                <c:pt idx="190">
                  <c:v>97.2</c:v>
                </c:pt>
                <c:pt idx="191">
                  <c:v>97.1</c:v>
                </c:pt>
                <c:pt idx="192">
                  <c:v>95.8</c:v>
                </c:pt>
                <c:pt idx="193">
                  <c:v>96.7</c:v>
                </c:pt>
                <c:pt idx="194">
                  <c:v>96.6</c:v>
                </c:pt>
                <c:pt idx="195">
                  <c:v>96.3</c:v>
                </c:pt>
                <c:pt idx="196">
                  <c:v>96.3</c:v>
                </c:pt>
                <c:pt idx="197">
                  <c:v>95.4</c:v>
                </c:pt>
                <c:pt idx="198">
                  <c:v>98.1</c:v>
                </c:pt>
                <c:pt idx="199">
                  <c:v>99.3</c:v>
                </c:pt>
                <c:pt idx="200">
                  <c:v>96</c:v>
                </c:pt>
                <c:pt idx="201">
                  <c:v>96.3</c:v>
                </c:pt>
                <c:pt idx="202">
                  <c:v>97.9</c:v>
                </c:pt>
                <c:pt idx="203">
                  <c:v>96.7</c:v>
                </c:pt>
                <c:pt idx="204">
                  <c:v>97.4</c:v>
                </c:pt>
                <c:pt idx="205">
                  <c:v>97.6</c:v>
                </c:pt>
                <c:pt idx="206">
                  <c:v>96.8</c:v>
                </c:pt>
                <c:pt idx="207">
                  <c:v>96.9</c:v>
                </c:pt>
                <c:pt idx="208">
                  <c:v>95.9</c:v>
                </c:pt>
                <c:pt idx="209">
                  <c:v>96</c:v>
                </c:pt>
                <c:pt idx="210">
                  <c:v>96</c:v>
                </c:pt>
                <c:pt idx="211">
                  <c:v>96.2</c:v>
                </c:pt>
                <c:pt idx="212">
                  <c:v>97.8</c:v>
                </c:pt>
                <c:pt idx="213">
                  <c:v>97</c:v>
                </c:pt>
                <c:pt idx="214">
                  <c:v>96.4</c:v>
                </c:pt>
                <c:pt idx="215">
                  <c:v>96.2</c:v>
                </c:pt>
                <c:pt idx="216">
                  <c:v>96.6</c:v>
                </c:pt>
                <c:pt idx="217">
                  <c:v>96.6</c:v>
                </c:pt>
                <c:pt idx="218">
                  <c:v>96.6</c:v>
                </c:pt>
                <c:pt idx="219">
                  <c:v>95.6</c:v>
                </c:pt>
                <c:pt idx="220">
                  <c:v>97.01</c:v>
                </c:pt>
                <c:pt idx="221">
                  <c:v>96.4</c:v>
                </c:pt>
                <c:pt idx="222">
                  <c:v>97.5</c:v>
                </c:pt>
                <c:pt idx="223">
                  <c:v>96.1</c:v>
                </c:pt>
                <c:pt idx="224">
                  <c:v>95.8</c:v>
                </c:pt>
                <c:pt idx="225">
                  <c:v>95.1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7-4243-AA70-E4D1EBCC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2751"/>
        <c:axId val="2117250351"/>
      </c:scatterChart>
      <c:valAx>
        <c:axId val="21172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0351"/>
        <c:crosses val="autoZero"/>
        <c:crossBetween val="midCat"/>
      </c:valAx>
      <c:valAx>
        <c:axId val="21172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Log'!$H$2:$H$227</c:f>
              <c:numCache>
                <c:formatCode>0.00</c:formatCode>
                <c:ptCount val="226"/>
                <c:pt idx="0">
                  <c:v>74</c:v>
                </c:pt>
                <c:pt idx="1">
                  <c:v>67</c:v>
                </c:pt>
                <c:pt idx="2">
                  <c:v>71</c:v>
                </c:pt>
                <c:pt idx="3">
                  <c:v>76</c:v>
                </c:pt>
                <c:pt idx="4">
                  <c:v>84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76</c:v>
                </c:pt>
                <c:pt idx="9">
                  <c:v>71</c:v>
                </c:pt>
                <c:pt idx="10">
                  <c:v>67</c:v>
                </c:pt>
                <c:pt idx="11">
                  <c:v>60</c:v>
                </c:pt>
                <c:pt idx="12">
                  <c:v>67</c:v>
                </c:pt>
                <c:pt idx="13">
                  <c:v>62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67</c:v>
                </c:pt>
                <c:pt idx="18">
                  <c:v>67</c:v>
                </c:pt>
                <c:pt idx="19">
                  <c:v>60</c:v>
                </c:pt>
                <c:pt idx="20">
                  <c:v>74</c:v>
                </c:pt>
                <c:pt idx="21">
                  <c:v>61</c:v>
                </c:pt>
                <c:pt idx="22">
                  <c:v>69</c:v>
                </c:pt>
                <c:pt idx="23">
                  <c:v>58</c:v>
                </c:pt>
                <c:pt idx="24">
                  <c:v>59</c:v>
                </c:pt>
                <c:pt idx="25">
                  <c:v>62</c:v>
                </c:pt>
                <c:pt idx="26">
                  <c:v>65</c:v>
                </c:pt>
                <c:pt idx="27">
                  <c:v>73</c:v>
                </c:pt>
                <c:pt idx="28">
                  <c:v>61</c:v>
                </c:pt>
                <c:pt idx="29">
                  <c:v>72</c:v>
                </c:pt>
                <c:pt idx="30">
                  <c:v>70</c:v>
                </c:pt>
                <c:pt idx="31">
                  <c:v>70</c:v>
                </c:pt>
                <c:pt idx="32">
                  <c:v>64</c:v>
                </c:pt>
                <c:pt idx="33">
                  <c:v>55</c:v>
                </c:pt>
                <c:pt idx="34">
                  <c:v>60</c:v>
                </c:pt>
                <c:pt idx="35">
                  <c:v>64</c:v>
                </c:pt>
                <c:pt idx="36">
                  <c:v>68</c:v>
                </c:pt>
                <c:pt idx="37">
                  <c:v>73</c:v>
                </c:pt>
                <c:pt idx="38">
                  <c:v>69</c:v>
                </c:pt>
                <c:pt idx="39">
                  <c:v>76</c:v>
                </c:pt>
                <c:pt idx="40">
                  <c:v>83</c:v>
                </c:pt>
                <c:pt idx="41">
                  <c:v>81</c:v>
                </c:pt>
                <c:pt idx="42">
                  <c:v>73</c:v>
                </c:pt>
                <c:pt idx="43">
                  <c:v>72</c:v>
                </c:pt>
                <c:pt idx="44">
                  <c:v>76</c:v>
                </c:pt>
                <c:pt idx="45">
                  <c:v>74</c:v>
                </c:pt>
                <c:pt idx="46">
                  <c:v>86</c:v>
                </c:pt>
                <c:pt idx="47">
                  <c:v>70</c:v>
                </c:pt>
                <c:pt idx="48">
                  <c:v>68</c:v>
                </c:pt>
                <c:pt idx="49">
                  <c:v>67</c:v>
                </c:pt>
                <c:pt idx="50">
                  <c:v>65</c:v>
                </c:pt>
                <c:pt idx="51">
                  <c:v>71</c:v>
                </c:pt>
                <c:pt idx="52">
                  <c:v>69</c:v>
                </c:pt>
                <c:pt idx="53">
                  <c:v>64</c:v>
                </c:pt>
                <c:pt idx="54">
                  <c:v>78</c:v>
                </c:pt>
                <c:pt idx="55">
                  <c:v>64</c:v>
                </c:pt>
                <c:pt idx="56">
                  <c:v>78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65</c:v>
                </c:pt>
                <c:pt idx="61">
                  <c:v>62</c:v>
                </c:pt>
                <c:pt idx="62">
                  <c:v>64</c:v>
                </c:pt>
                <c:pt idx="63">
                  <c:v>66</c:v>
                </c:pt>
                <c:pt idx="64">
                  <c:v>65</c:v>
                </c:pt>
                <c:pt idx="65">
                  <c:v>80</c:v>
                </c:pt>
                <c:pt idx="66">
                  <c:v>79</c:v>
                </c:pt>
                <c:pt idx="67">
                  <c:v>61</c:v>
                </c:pt>
                <c:pt idx="68">
                  <c:v>70</c:v>
                </c:pt>
                <c:pt idx="69">
                  <c:v>71</c:v>
                </c:pt>
                <c:pt idx="70">
                  <c:v>69</c:v>
                </c:pt>
                <c:pt idx="71">
                  <c:v>63</c:v>
                </c:pt>
                <c:pt idx="72">
                  <c:v>68</c:v>
                </c:pt>
                <c:pt idx="73">
                  <c:v>69</c:v>
                </c:pt>
                <c:pt idx="74">
                  <c:v>63</c:v>
                </c:pt>
                <c:pt idx="75">
                  <c:v>68</c:v>
                </c:pt>
                <c:pt idx="76">
                  <c:v>61</c:v>
                </c:pt>
                <c:pt idx="77">
                  <c:v>61</c:v>
                </c:pt>
                <c:pt idx="78">
                  <c:v>70</c:v>
                </c:pt>
                <c:pt idx="79">
                  <c:v>60</c:v>
                </c:pt>
                <c:pt idx="80">
                  <c:v>86</c:v>
                </c:pt>
                <c:pt idx="81">
                  <c:v>66</c:v>
                </c:pt>
                <c:pt idx="82">
                  <c:v>65</c:v>
                </c:pt>
                <c:pt idx="83">
                  <c:v>75</c:v>
                </c:pt>
                <c:pt idx="84">
                  <c:v>66</c:v>
                </c:pt>
                <c:pt idx="85">
                  <c:v>76</c:v>
                </c:pt>
                <c:pt idx="86">
                  <c:v>68</c:v>
                </c:pt>
                <c:pt idx="87">
                  <c:v>72</c:v>
                </c:pt>
                <c:pt idx="88">
                  <c:v>64</c:v>
                </c:pt>
                <c:pt idx="89">
                  <c:v>68</c:v>
                </c:pt>
                <c:pt idx="90">
                  <c:v>72</c:v>
                </c:pt>
                <c:pt idx="91">
                  <c:v>74</c:v>
                </c:pt>
                <c:pt idx="92">
                  <c:v>87</c:v>
                </c:pt>
                <c:pt idx="93">
                  <c:v>62</c:v>
                </c:pt>
                <c:pt idx="94">
                  <c:v>62</c:v>
                </c:pt>
                <c:pt idx="95">
                  <c:v>69</c:v>
                </c:pt>
                <c:pt idx="96">
                  <c:v>76</c:v>
                </c:pt>
                <c:pt idx="97">
                  <c:v>58</c:v>
                </c:pt>
                <c:pt idx="98">
                  <c:v>61</c:v>
                </c:pt>
                <c:pt idx="99">
                  <c:v>72</c:v>
                </c:pt>
                <c:pt idx="100">
                  <c:v>65</c:v>
                </c:pt>
                <c:pt idx="101">
                  <c:v>75</c:v>
                </c:pt>
                <c:pt idx="102">
                  <c:v>68</c:v>
                </c:pt>
                <c:pt idx="103">
                  <c:v>76</c:v>
                </c:pt>
                <c:pt idx="104">
                  <c:v>68</c:v>
                </c:pt>
                <c:pt idx="105">
                  <c:v>77</c:v>
                </c:pt>
                <c:pt idx="106">
                  <c:v>69</c:v>
                </c:pt>
                <c:pt idx="107">
                  <c:v>68</c:v>
                </c:pt>
                <c:pt idx="108">
                  <c:v>67</c:v>
                </c:pt>
                <c:pt idx="109">
                  <c:v>72</c:v>
                </c:pt>
                <c:pt idx="110">
                  <c:v>78</c:v>
                </c:pt>
                <c:pt idx="111">
                  <c:v>66</c:v>
                </c:pt>
                <c:pt idx="112">
                  <c:v>76</c:v>
                </c:pt>
                <c:pt idx="113">
                  <c:v>71</c:v>
                </c:pt>
                <c:pt idx="114">
                  <c:v>66</c:v>
                </c:pt>
                <c:pt idx="115">
                  <c:v>63</c:v>
                </c:pt>
                <c:pt idx="116">
                  <c:v>68</c:v>
                </c:pt>
                <c:pt idx="117">
                  <c:v>66</c:v>
                </c:pt>
                <c:pt idx="118">
                  <c:v>65</c:v>
                </c:pt>
                <c:pt idx="119">
                  <c:v>73</c:v>
                </c:pt>
                <c:pt idx="120">
                  <c:v>71</c:v>
                </c:pt>
                <c:pt idx="121">
                  <c:v>64</c:v>
                </c:pt>
                <c:pt idx="122">
                  <c:v>96</c:v>
                </c:pt>
                <c:pt idx="123">
                  <c:v>70</c:v>
                </c:pt>
                <c:pt idx="124">
                  <c:v>76</c:v>
                </c:pt>
                <c:pt idx="125">
                  <c:v>75</c:v>
                </c:pt>
                <c:pt idx="126">
                  <c:v>63</c:v>
                </c:pt>
                <c:pt idx="127">
                  <c:v>99</c:v>
                </c:pt>
                <c:pt idx="128">
                  <c:v>67</c:v>
                </c:pt>
                <c:pt idx="129">
                  <c:v>77</c:v>
                </c:pt>
                <c:pt idx="130">
                  <c:v>73</c:v>
                </c:pt>
                <c:pt idx="131">
                  <c:v>74</c:v>
                </c:pt>
                <c:pt idx="132">
                  <c:v>86</c:v>
                </c:pt>
                <c:pt idx="133">
                  <c:v>69</c:v>
                </c:pt>
                <c:pt idx="134">
                  <c:v>74</c:v>
                </c:pt>
                <c:pt idx="135">
                  <c:v>66</c:v>
                </c:pt>
                <c:pt idx="136">
                  <c:v>69</c:v>
                </c:pt>
                <c:pt idx="137">
                  <c:v>74</c:v>
                </c:pt>
                <c:pt idx="138">
                  <c:v>71</c:v>
                </c:pt>
                <c:pt idx="139">
                  <c:v>86</c:v>
                </c:pt>
                <c:pt idx="140">
                  <c:v>74</c:v>
                </c:pt>
                <c:pt idx="141">
                  <c:v>68</c:v>
                </c:pt>
                <c:pt idx="142">
                  <c:v>72</c:v>
                </c:pt>
                <c:pt idx="143">
                  <c:v>78</c:v>
                </c:pt>
                <c:pt idx="144">
                  <c:v>63</c:v>
                </c:pt>
                <c:pt idx="145">
                  <c:v>74</c:v>
                </c:pt>
                <c:pt idx="146">
                  <c:v>75</c:v>
                </c:pt>
                <c:pt idx="147">
                  <c:v>68</c:v>
                </c:pt>
                <c:pt idx="148">
                  <c:v>75</c:v>
                </c:pt>
                <c:pt idx="149">
                  <c:v>65</c:v>
                </c:pt>
                <c:pt idx="150">
                  <c:v>76</c:v>
                </c:pt>
                <c:pt idx="151">
                  <c:v>82</c:v>
                </c:pt>
                <c:pt idx="152">
                  <c:v>75</c:v>
                </c:pt>
                <c:pt idx="153">
                  <c:v>66</c:v>
                </c:pt>
                <c:pt idx="154">
                  <c:v>85</c:v>
                </c:pt>
                <c:pt idx="155">
                  <c:v>77</c:v>
                </c:pt>
                <c:pt idx="156">
                  <c:v>78</c:v>
                </c:pt>
                <c:pt idx="157">
                  <c:v>86</c:v>
                </c:pt>
                <c:pt idx="158">
                  <c:v>70</c:v>
                </c:pt>
                <c:pt idx="159">
                  <c:v>66</c:v>
                </c:pt>
                <c:pt idx="160">
                  <c:v>69</c:v>
                </c:pt>
                <c:pt idx="161">
                  <c:v>99</c:v>
                </c:pt>
                <c:pt idx="162">
                  <c:v>76</c:v>
                </c:pt>
                <c:pt idx="163">
                  <c:v>85</c:v>
                </c:pt>
                <c:pt idx="164">
                  <c:v>74</c:v>
                </c:pt>
                <c:pt idx="165">
                  <c:v>68</c:v>
                </c:pt>
                <c:pt idx="166">
                  <c:v>56</c:v>
                </c:pt>
                <c:pt idx="167">
                  <c:v>98</c:v>
                </c:pt>
                <c:pt idx="168">
                  <c:v>99</c:v>
                </c:pt>
                <c:pt idx="169">
                  <c:v>75</c:v>
                </c:pt>
                <c:pt idx="170">
                  <c:v>83</c:v>
                </c:pt>
                <c:pt idx="171">
                  <c:v>73</c:v>
                </c:pt>
                <c:pt idx="172">
                  <c:v>73</c:v>
                </c:pt>
                <c:pt idx="173">
                  <c:v>78</c:v>
                </c:pt>
                <c:pt idx="174">
                  <c:v>64</c:v>
                </c:pt>
                <c:pt idx="175">
                  <c:v>72</c:v>
                </c:pt>
                <c:pt idx="176">
                  <c:v>69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76</c:v>
                </c:pt>
                <c:pt idx="182">
                  <c:v>83</c:v>
                </c:pt>
                <c:pt idx="183">
                  <c:v>75</c:v>
                </c:pt>
                <c:pt idx="184">
                  <c:v>69</c:v>
                </c:pt>
                <c:pt idx="185">
                  <c:v>73</c:v>
                </c:pt>
                <c:pt idx="186">
                  <c:v>74</c:v>
                </c:pt>
                <c:pt idx="187">
                  <c:v>73</c:v>
                </c:pt>
                <c:pt idx="188">
                  <c:v>78</c:v>
                </c:pt>
                <c:pt idx="189">
                  <c:v>70</c:v>
                </c:pt>
                <c:pt idx="190">
                  <c:v>57</c:v>
                </c:pt>
                <c:pt idx="191">
                  <c:v>70</c:v>
                </c:pt>
                <c:pt idx="192">
                  <c:v>82</c:v>
                </c:pt>
                <c:pt idx="193">
                  <c:v>79</c:v>
                </c:pt>
                <c:pt idx="194">
                  <c:v>75</c:v>
                </c:pt>
                <c:pt idx="195">
                  <c:v>64</c:v>
                </c:pt>
                <c:pt idx="196">
                  <c:v>83</c:v>
                </c:pt>
                <c:pt idx="197">
                  <c:v>64</c:v>
                </c:pt>
                <c:pt idx="198">
                  <c:v>91</c:v>
                </c:pt>
                <c:pt idx="199">
                  <c:v>90</c:v>
                </c:pt>
                <c:pt idx="200">
                  <c:v>80</c:v>
                </c:pt>
                <c:pt idx="201">
                  <c:v>70</c:v>
                </c:pt>
                <c:pt idx="202">
                  <c:v>79</c:v>
                </c:pt>
                <c:pt idx="203">
                  <c:v>70</c:v>
                </c:pt>
                <c:pt idx="204">
                  <c:v>76</c:v>
                </c:pt>
                <c:pt idx="205">
                  <c:v>81</c:v>
                </c:pt>
                <c:pt idx="206">
                  <c:v>80</c:v>
                </c:pt>
                <c:pt idx="207">
                  <c:v>67</c:v>
                </c:pt>
                <c:pt idx="208">
                  <c:v>74</c:v>
                </c:pt>
                <c:pt idx="209">
                  <c:v>75</c:v>
                </c:pt>
                <c:pt idx="210">
                  <c:v>75</c:v>
                </c:pt>
                <c:pt idx="211">
                  <c:v>78</c:v>
                </c:pt>
                <c:pt idx="212">
                  <c:v>71</c:v>
                </c:pt>
                <c:pt idx="213">
                  <c:v>77</c:v>
                </c:pt>
                <c:pt idx="214">
                  <c:v>82</c:v>
                </c:pt>
                <c:pt idx="215">
                  <c:v>61</c:v>
                </c:pt>
                <c:pt idx="216">
                  <c:v>79</c:v>
                </c:pt>
                <c:pt idx="217">
                  <c:v>66</c:v>
                </c:pt>
                <c:pt idx="218">
                  <c:v>83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78</c:v>
                </c:pt>
                <c:pt idx="223">
                  <c:v>60</c:v>
                </c:pt>
                <c:pt idx="224">
                  <c:v>60</c:v>
                </c:pt>
                <c:pt idx="225">
                  <c:v>63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7-4642-AA25-DDDB0D67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8735"/>
        <c:axId val="2123659215"/>
      </c:scatterChart>
      <c:valAx>
        <c:axId val="2123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9215"/>
        <c:crosses val="autoZero"/>
        <c:crossBetween val="midCat"/>
      </c:valAx>
      <c:valAx>
        <c:axId val="2123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Log'!$I$2:$I$227</c:f>
              <c:numCache>
                <c:formatCode>0.00</c:formatCode>
                <c:ptCount val="226"/>
                <c:pt idx="0">
                  <c:v>97.4</c:v>
                </c:pt>
                <c:pt idx="1">
                  <c:v>97.8</c:v>
                </c:pt>
                <c:pt idx="2">
                  <c:v>96.1</c:v>
                </c:pt>
                <c:pt idx="3">
                  <c:v>97.1</c:v>
                </c:pt>
                <c:pt idx="4">
                  <c:v>98.6</c:v>
                </c:pt>
                <c:pt idx="5">
                  <c:v>96.5</c:v>
                </c:pt>
                <c:pt idx="6">
                  <c:v>97.3</c:v>
                </c:pt>
                <c:pt idx="7">
                  <c:v>97.3</c:v>
                </c:pt>
                <c:pt idx="8">
                  <c:v>96.5</c:v>
                </c:pt>
                <c:pt idx="9">
                  <c:v>96.4</c:v>
                </c:pt>
                <c:pt idx="10">
                  <c:v>96.7</c:v>
                </c:pt>
                <c:pt idx="11">
                  <c:v>97.5</c:v>
                </c:pt>
                <c:pt idx="12">
                  <c:v>97.3</c:v>
                </c:pt>
                <c:pt idx="13">
                  <c:v>97.2</c:v>
                </c:pt>
                <c:pt idx="14">
                  <c:v>96.9</c:v>
                </c:pt>
                <c:pt idx="15">
                  <c:v>97.7</c:v>
                </c:pt>
                <c:pt idx="16">
                  <c:v>97</c:v>
                </c:pt>
                <c:pt idx="17">
                  <c:v>97</c:v>
                </c:pt>
                <c:pt idx="18">
                  <c:v>97.8</c:v>
                </c:pt>
                <c:pt idx="19">
                  <c:v>96.8</c:v>
                </c:pt>
                <c:pt idx="20">
                  <c:v>97.1</c:v>
                </c:pt>
                <c:pt idx="21">
                  <c:v>95.5</c:v>
                </c:pt>
                <c:pt idx="22">
                  <c:v>97.6</c:v>
                </c:pt>
                <c:pt idx="23">
                  <c:v>95.7</c:v>
                </c:pt>
                <c:pt idx="24">
                  <c:v>96.3</c:v>
                </c:pt>
                <c:pt idx="25">
                  <c:v>97.2</c:v>
                </c:pt>
                <c:pt idx="26">
                  <c:v>97.3</c:v>
                </c:pt>
                <c:pt idx="27">
                  <c:v>97.1</c:v>
                </c:pt>
                <c:pt idx="28">
                  <c:v>96.2</c:v>
                </c:pt>
                <c:pt idx="29">
                  <c:v>97.2</c:v>
                </c:pt>
                <c:pt idx="30">
                  <c:v>98</c:v>
                </c:pt>
                <c:pt idx="31">
                  <c:v>96.5</c:v>
                </c:pt>
                <c:pt idx="32">
                  <c:v>96.5</c:v>
                </c:pt>
                <c:pt idx="33">
                  <c:v>96.1</c:v>
                </c:pt>
                <c:pt idx="34">
                  <c:v>98</c:v>
                </c:pt>
                <c:pt idx="35">
                  <c:v>97.5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99.2</c:v>
                </c:pt>
                <c:pt idx="41">
                  <c:v>97.6</c:v>
                </c:pt>
                <c:pt idx="42">
                  <c:v>97.3</c:v>
                </c:pt>
                <c:pt idx="43">
                  <c:v>97.2</c:v>
                </c:pt>
                <c:pt idx="44">
                  <c:v>97.6</c:v>
                </c:pt>
                <c:pt idx="45">
                  <c:v>97.3</c:v>
                </c:pt>
                <c:pt idx="46">
                  <c:v>97.6</c:v>
                </c:pt>
                <c:pt idx="47">
                  <c:v>97.2</c:v>
                </c:pt>
                <c:pt idx="48">
                  <c:v>97</c:v>
                </c:pt>
                <c:pt idx="49">
                  <c:v>97.5</c:v>
                </c:pt>
                <c:pt idx="50">
                  <c:v>98.4</c:v>
                </c:pt>
                <c:pt idx="51">
                  <c:v>96.1</c:v>
                </c:pt>
                <c:pt idx="52">
                  <c:v>96.9</c:v>
                </c:pt>
                <c:pt idx="53">
                  <c:v>95.8</c:v>
                </c:pt>
                <c:pt idx="54">
                  <c:v>96.5</c:v>
                </c:pt>
                <c:pt idx="55">
                  <c:v>97.5</c:v>
                </c:pt>
                <c:pt idx="56">
                  <c:v>97.2</c:v>
                </c:pt>
                <c:pt idx="57">
                  <c:v>96.9</c:v>
                </c:pt>
                <c:pt idx="58">
                  <c:v>96.8</c:v>
                </c:pt>
                <c:pt idx="59">
                  <c:v>97.4</c:v>
                </c:pt>
                <c:pt idx="60">
                  <c:v>97.5</c:v>
                </c:pt>
                <c:pt idx="61">
                  <c:v>97.1</c:v>
                </c:pt>
                <c:pt idx="62">
                  <c:v>96.7</c:v>
                </c:pt>
                <c:pt idx="63">
                  <c:v>96.3</c:v>
                </c:pt>
                <c:pt idx="64">
                  <c:v>98.6</c:v>
                </c:pt>
                <c:pt idx="65">
                  <c:v>97</c:v>
                </c:pt>
                <c:pt idx="66">
                  <c:v>97.6</c:v>
                </c:pt>
                <c:pt idx="67">
                  <c:v>97</c:v>
                </c:pt>
                <c:pt idx="68">
                  <c:v>96.4</c:v>
                </c:pt>
                <c:pt idx="69">
                  <c:v>97</c:v>
                </c:pt>
                <c:pt idx="70">
                  <c:v>96.9</c:v>
                </c:pt>
                <c:pt idx="71">
                  <c:v>98.3</c:v>
                </c:pt>
                <c:pt idx="72">
                  <c:v>97.2</c:v>
                </c:pt>
                <c:pt idx="73">
                  <c:v>97.3</c:v>
                </c:pt>
                <c:pt idx="74">
                  <c:v>96.7</c:v>
                </c:pt>
                <c:pt idx="75">
                  <c:v>96.8</c:v>
                </c:pt>
                <c:pt idx="76">
                  <c:v>97.4</c:v>
                </c:pt>
                <c:pt idx="77">
                  <c:v>97.5</c:v>
                </c:pt>
                <c:pt idx="78">
                  <c:v>97.2</c:v>
                </c:pt>
                <c:pt idx="79">
                  <c:v>97.2</c:v>
                </c:pt>
                <c:pt idx="80">
                  <c:v>97.5</c:v>
                </c:pt>
                <c:pt idx="81">
                  <c:v>97.3</c:v>
                </c:pt>
                <c:pt idx="82">
                  <c:v>97.1</c:v>
                </c:pt>
                <c:pt idx="83">
                  <c:v>97.2</c:v>
                </c:pt>
                <c:pt idx="84">
                  <c:v>97.3</c:v>
                </c:pt>
                <c:pt idx="85">
                  <c:v>97.3</c:v>
                </c:pt>
                <c:pt idx="86">
                  <c:v>97.2</c:v>
                </c:pt>
                <c:pt idx="87">
                  <c:v>97.6</c:v>
                </c:pt>
                <c:pt idx="88">
                  <c:v>96.2</c:v>
                </c:pt>
                <c:pt idx="89">
                  <c:v>97.3</c:v>
                </c:pt>
                <c:pt idx="90">
                  <c:v>97.2</c:v>
                </c:pt>
                <c:pt idx="91">
                  <c:v>96.2</c:v>
                </c:pt>
                <c:pt idx="92">
                  <c:v>96.9</c:v>
                </c:pt>
                <c:pt idx="93">
                  <c:v>96.9</c:v>
                </c:pt>
                <c:pt idx="94">
                  <c:v>96.3</c:v>
                </c:pt>
                <c:pt idx="95">
                  <c:v>96.8</c:v>
                </c:pt>
                <c:pt idx="96">
                  <c:v>96.4</c:v>
                </c:pt>
                <c:pt idx="97">
                  <c:v>96.3</c:v>
                </c:pt>
                <c:pt idx="98">
                  <c:v>96.6</c:v>
                </c:pt>
                <c:pt idx="99">
                  <c:v>97.6</c:v>
                </c:pt>
                <c:pt idx="100">
                  <c:v>97.1</c:v>
                </c:pt>
                <c:pt idx="101">
                  <c:v>97.2</c:v>
                </c:pt>
                <c:pt idx="102">
                  <c:v>97.9</c:v>
                </c:pt>
                <c:pt idx="103">
                  <c:v>97.8</c:v>
                </c:pt>
                <c:pt idx="104">
                  <c:v>97.1</c:v>
                </c:pt>
                <c:pt idx="105">
                  <c:v>96.1</c:v>
                </c:pt>
                <c:pt idx="106">
                  <c:v>95.7</c:v>
                </c:pt>
                <c:pt idx="107">
                  <c:v>96.9</c:v>
                </c:pt>
                <c:pt idx="108">
                  <c:v>96.6</c:v>
                </c:pt>
                <c:pt idx="109">
                  <c:v>96.4</c:v>
                </c:pt>
                <c:pt idx="110">
                  <c:v>97</c:v>
                </c:pt>
                <c:pt idx="111">
                  <c:v>97.1</c:v>
                </c:pt>
                <c:pt idx="112">
                  <c:v>96.7</c:v>
                </c:pt>
                <c:pt idx="113">
                  <c:v>96.5</c:v>
                </c:pt>
                <c:pt idx="114">
                  <c:v>96.1</c:v>
                </c:pt>
                <c:pt idx="115">
                  <c:v>96.3</c:v>
                </c:pt>
                <c:pt idx="116">
                  <c:v>95.4</c:v>
                </c:pt>
                <c:pt idx="117">
                  <c:v>96.7</c:v>
                </c:pt>
                <c:pt idx="118">
                  <c:v>95.9</c:v>
                </c:pt>
                <c:pt idx="119">
                  <c:v>97</c:v>
                </c:pt>
                <c:pt idx="120">
                  <c:v>95.7</c:v>
                </c:pt>
                <c:pt idx="121">
                  <c:v>97</c:v>
                </c:pt>
                <c:pt idx="122">
                  <c:v>96.4</c:v>
                </c:pt>
                <c:pt idx="123">
                  <c:v>97.5</c:v>
                </c:pt>
                <c:pt idx="124">
                  <c:v>98.6</c:v>
                </c:pt>
                <c:pt idx="125">
                  <c:v>98.6</c:v>
                </c:pt>
                <c:pt idx="126">
                  <c:v>98.8</c:v>
                </c:pt>
                <c:pt idx="127">
                  <c:v>97.4</c:v>
                </c:pt>
                <c:pt idx="128">
                  <c:v>97.4</c:v>
                </c:pt>
                <c:pt idx="129">
                  <c:v>96.9</c:v>
                </c:pt>
                <c:pt idx="130">
                  <c:v>97.4</c:v>
                </c:pt>
                <c:pt idx="131">
                  <c:v>97.2</c:v>
                </c:pt>
                <c:pt idx="132">
                  <c:v>96.6</c:v>
                </c:pt>
                <c:pt idx="133">
                  <c:v>97.8</c:v>
                </c:pt>
                <c:pt idx="134">
                  <c:v>97.2</c:v>
                </c:pt>
                <c:pt idx="135">
                  <c:v>98</c:v>
                </c:pt>
                <c:pt idx="136">
                  <c:v>97.1</c:v>
                </c:pt>
                <c:pt idx="137">
                  <c:v>97.4</c:v>
                </c:pt>
                <c:pt idx="138">
                  <c:v>98.3</c:v>
                </c:pt>
                <c:pt idx="139">
                  <c:v>98.2</c:v>
                </c:pt>
                <c:pt idx="140">
                  <c:v>97</c:v>
                </c:pt>
                <c:pt idx="141">
                  <c:v>97</c:v>
                </c:pt>
                <c:pt idx="142">
                  <c:v>96.8</c:v>
                </c:pt>
                <c:pt idx="143">
                  <c:v>96.8</c:v>
                </c:pt>
                <c:pt idx="144">
                  <c:v>96.4</c:v>
                </c:pt>
                <c:pt idx="145">
                  <c:v>98.2</c:v>
                </c:pt>
                <c:pt idx="146">
                  <c:v>98.4</c:v>
                </c:pt>
                <c:pt idx="147">
                  <c:v>98.6</c:v>
                </c:pt>
                <c:pt idx="148">
                  <c:v>98.2</c:v>
                </c:pt>
                <c:pt idx="149">
                  <c:v>98.3</c:v>
                </c:pt>
                <c:pt idx="150">
                  <c:v>98.5</c:v>
                </c:pt>
                <c:pt idx="151">
                  <c:v>98.1</c:v>
                </c:pt>
                <c:pt idx="152">
                  <c:v>98</c:v>
                </c:pt>
                <c:pt idx="153">
                  <c:v>97.6</c:v>
                </c:pt>
                <c:pt idx="154">
                  <c:v>97.1</c:v>
                </c:pt>
                <c:pt idx="155">
                  <c:v>96.9</c:v>
                </c:pt>
                <c:pt idx="156">
                  <c:v>97.1</c:v>
                </c:pt>
                <c:pt idx="157">
                  <c:v>97</c:v>
                </c:pt>
                <c:pt idx="158">
                  <c:v>97.6</c:v>
                </c:pt>
                <c:pt idx="159">
                  <c:v>96.9</c:v>
                </c:pt>
                <c:pt idx="160">
                  <c:v>96.9</c:v>
                </c:pt>
                <c:pt idx="161">
                  <c:v>96.8</c:v>
                </c:pt>
                <c:pt idx="162">
                  <c:v>97.8</c:v>
                </c:pt>
                <c:pt idx="163">
                  <c:v>97.3</c:v>
                </c:pt>
                <c:pt idx="164">
                  <c:v>97.7</c:v>
                </c:pt>
                <c:pt idx="165">
                  <c:v>96.9</c:v>
                </c:pt>
                <c:pt idx="166">
                  <c:v>98.6</c:v>
                </c:pt>
                <c:pt idx="167">
                  <c:v>97.1</c:v>
                </c:pt>
                <c:pt idx="168">
                  <c:v>98.1</c:v>
                </c:pt>
                <c:pt idx="169">
                  <c:v>97.1</c:v>
                </c:pt>
                <c:pt idx="170">
                  <c:v>97.2</c:v>
                </c:pt>
                <c:pt idx="171">
                  <c:v>96.9</c:v>
                </c:pt>
                <c:pt idx="172">
                  <c:v>97.7</c:v>
                </c:pt>
                <c:pt idx="173">
                  <c:v>96.9</c:v>
                </c:pt>
                <c:pt idx="174">
                  <c:v>97.8</c:v>
                </c:pt>
                <c:pt idx="175">
                  <c:v>96.2</c:v>
                </c:pt>
                <c:pt idx="176">
                  <c:v>97</c:v>
                </c:pt>
                <c:pt idx="177">
                  <c:v>96.9</c:v>
                </c:pt>
                <c:pt idx="178">
                  <c:v>98.3</c:v>
                </c:pt>
                <c:pt idx="179">
                  <c:v>97.3</c:v>
                </c:pt>
                <c:pt idx="180">
                  <c:v>97.9</c:v>
                </c:pt>
                <c:pt idx="181">
                  <c:v>97.6</c:v>
                </c:pt>
                <c:pt idx="182">
                  <c:v>97.4</c:v>
                </c:pt>
                <c:pt idx="183">
                  <c:v>97.6</c:v>
                </c:pt>
                <c:pt idx="184">
                  <c:v>96.6</c:v>
                </c:pt>
                <c:pt idx="185">
                  <c:v>97.6</c:v>
                </c:pt>
                <c:pt idx="186">
                  <c:v>97.6</c:v>
                </c:pt>
                <c:pt idx="187">
                  <c:v>97.2</c:v>
                </c:pt>
                <c:pt idx="188">
                  <c:v>97.1</c:v>
                </c:pt>
                <c:pt idx="189">
                  <c:v>96.7</c:v>
                </c:pt>
                <c:pt idx="190">
                  <c:v>96.5</c:v>
                </c:pt>
                <c:pt idx="191">
                  <c:v>96.2</c:v>
                </c:pt>
                <c:pt idx="192">
                  <c:v>98.3</c:v>
                </c:pt>
                <c:pt idx="193">
                  <c:v>97.7</c:v>
                </c:pt>
                <c:pt idx="194">
                  <c:v>98</c:v>
                </c:pt>
                <c:pt idx="195">
                  <c:v>97.5</c:v>
                </c:pt>
                <c:pt idx="196">
                  <c:v>97.7</c:v>
                </c:pt>
                <c:pt idx="197">
                  <c:v>97.8</c:v>
                </c:pt>
                <c:pt idx="198">
                  <c:v>97.5</c:v>
                </c:pt>
                <c:pt idx="199">
                  <c:v>97.9</c:v>
                </c:pt>
                <c:pt idx="200">
                  <c:v>97.5</c:v>
                </c:pt>
                <c:pt idx="201">
                  <c:v>97.2</c:v>
                </c:pt>
                <c:pt idx="202">
                  <c:v>97.8</c:v>
                </c:pt>
                <c:pt idx="203">
                  <c:v>98.2</c:v>
                </c:pt>
                <c:pt idx="204">
                  <c:v>98.3</c:v>
                </c:pt>
                <c:pt idx="205">
                  <c:v>97.8</c:v>
                </c:pt>
                <c:pt idx="206">
                  <c:v>98.1</c:v>
                </c:pt>
                <c:pt idx="207">
                  <c:v>97.2</c:v>
                </c:pt>
                <c:pt idx="208">
                  <c:v>97.7</c:v>
                </c:pt>
                <c:pt idx="209">
                  <c:v>98.2</c:v>
                </c:pt>
                <c:pt idx="210">
                  <c:v>97.9</c:v>
                </c:pt>
                <c:pt idx="211">
                  <c:v>98.2</c:v>
                </c:pt>
                <c:pt idx="212">
                  <c:v>97.9</c:v>
                </c:pt>
                <c:pt idx="213">
                  <c:v>97</c:v>
                </c:pt>
                <c:pt idx="214">
                  <c:v>97.1</c:v>
                </c:pt>
                <c:pt idx="215">
                  <c:v>96.8</c:v>
                </c:pt>
                <c:pt idx="216">
                  <c:v>97.2</c:v>
                </c:pt>
                <c:pt idx="217">
                  <c:v>98.3</c:v>
                </c:pt>
                <c:pt idx="218">
                  <c:v>97.4</c:v>
                </c:pt>
                <c:pt idx="219">
                  <c:v>98.3</c:v>
                </c:pt>
                <c:pt idx="220">
                  <c:v>97.9</c:v>
                </c:pt>
                <c:pt idx="221">
                  <c:v>98.3</c:v>
                </c:pt>
                <c:pt idx="222">
                  <c:v>97.7</c:v>
                </c:pt>
                <c:pt idx="223">
                  <c:v>96.8</c:v>
                </c:pt>
                <c:pt idx="224">
                  <c:v>98.1</c:v>
                </c:pt>
                <c:pt idx="225">
                  <c:v>97.1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B-4F97-BC02-FD0D2F30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8351"/>
        <c:axId val="2117177871"/>
      </c:scatterChart>
      <c:valAx>
        <c:axId val="21171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7871"/>
        <c:crosses val="autoZero"/>
        <c:crossBetween val="midCat"/>
      </c:valAx>
      <c:valAx>
        <c:axId val="21171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Log'!$J$2:$J$227</c:f>
              <c:numCache>
                <c:formatCode>0.00</c:formatCode>
                <c:ptCount val="226"/>
                <c:pt idx="0">
                  <c:v>128</c:v>
                </c:pt>
                <c:pt idx="1">
                  <c:v>108</c:v>
                </c:pt>
                <c:pt idx="2">
                  <c:v>112</c:v>
                </c:pt>
                <c:pt idx="3">
                  <c:v>158</c:v>
                </c:pt>
                <c:pt idx="4">
                  <c:v>120</c:v>
                </c:pt>
                <c:pt idx="5">
                  <c:v>156</c:v>
                </c:pt>
                <c:pt idx="6">
                  <c:v>113</c:v>
                </c:pt>
                <c:pt idx="7">
                  <c:v>113</c:v>
                </c:pt>
                <c:pt idx="8">
                  <c:v>124</c:v>
                </c:pt>
                <c:pt idx="9">
                  <c:v>116</c:v>
                </c:pt>
                <c:pt idx="10">
                  <c:v>127</c:v>
                </c:pt>
                <c:pt idx="11">
                  <c:v>108</c:v>
                </c:pt>
                <c:pt idx="12">
                  <c:v>144</c:v>
                </c:pt>
                <c:pt idx="13">
                  <c:v>104</c:v>
                </c:pt>
                <c:pt idx="14">
                  <c:v>125</c:v>
                </c:pt>
                <c:pt idx="15">
                  <c:v>107</c:v>
                </c:pt>
                <c:pt idx="16">
                  <c:v>126</c:v>
                </c:pt>
                <c:pt idx="17">
                  <c:v>124</c:v>
                </c:pt>
                <c:pt idx="18">
                  <c:v>148</c:v>
                </c:pt>
                <c:pt idx="19">
                  <c:v>137</c:v>
                </c:pt>
                <c:pt idx="20">
                  <c:v>134</c:v>
                </c:pt>
                <c:pt idx="21">
                  <c:v>136</c:v>
                </c:pt>
                <c:pt idx="22">
                  <c:v>132</c:v>
                </c:pt>
                <c:pt idx="23">
                  <c:v>139</c:v>
                </c:pt>
                <c:pt idx="24">
                  <c:v>128</c:v>
                </c:pt>
                <c:pt idx="25">
                  <c:v>135</c:v>
                </c:pt>
                <c:pt idx="26">
                  <c:v>136</c:v>
                </c:pt>
                <c:pt idx="27">
                  <c:v>138</c:v>
                </c:pt>
                <c:pt idx="28">
                  <c:v>132</c:v>
                </c:pt>
                <c:pt idx="29">
                  <c:v>134</c:v>
                </c:pt>
                <c:pt idx="30">
                  <c:v>125</c:v>
                </c:pt>
                <c:pt idx="31">
                  <c:v>122</c:v>
                </c:pt>
                <c:pt idx="32">
                  <c:v>127</c:v>
                </c:pt>
                <c:pt idx="33">
                  <c:v>128</c:v>
                </c:pt>
                <c:pt idx="34">
                  <c:v>132</c:v>
                </c:pt>
                <c:pt idx="35">
                  <c:v>127</c:v>
                </c:pt>
                <c:pt idx="36">
                  <c:v>140</c:v>
                </c:pt>
                <c:pt idx="37">
                  <c:v>159</c:v>
                </c:pt>
                <c:pt idx="38">
                  <c:v>118</c:v>
                </c:pt>
                <c:pt idx="39">
                  <c:v>140</c:v>
                </c:pt>
                <c:pt idx="40">
                  <c:v>138</c:v>
                </c:pt>
                <c:pt idx="41">
                  <c:v>152</c:v>
                </c:pt>
                <c:pt idx="42">
                  <c:v>138</c:v>
                </c:pt>
                <c:pt idx="43">
                  <c:v>152</c:v>
                </c:pt>
                <c:pt idx="44">
                  <c:v>155</c:v>
                </c:pt>
                <c:pt idx="45">
                  <c:v>144</c:v>
                </c:pt>
                <c:pt idx="46">
                  <c:v>140</c:v>
                </c:pt>
                <c:pt idx="47">
                  <c:v>159</c:v>
                </c:pt>
                <c:pt idx="48">
                  <c:v>153</c:v>
                </c:pt>
                <c:pt idx="49">
                  <c:v>159</c:v>
                </c:pt>
                <c:pt idx="50">
                  <c:v>149</c:v>
                </c:pt>
                <c:pt idx="51">
                  <c:v>136</c:v>
                </c:pt>
                <c:pt idx="52">
                  <c:v>140</c:v>
                </c:pt>
                <c:pt idx="53">
                  <c:v>133</c:v>
                </c:pt>
                <c:pt idx="54">
                  <c:v>142</c:v>
                </c:pt>
                <c:pt idx="55">
                  <c:v>134</c:v>
                </c:pt>
                <c:pt idx="56">
                  <c:v>126</c:v>
                </c:pt>
                <c:pt idx="57">
                  <c:v>156</c:v>
                </c:pt>
                <c:pt idx="58">
                  <c:v>153</c:v>
                </c:pt>
                <c:pt idx="59">
                  <c:v>148</c:v>
                </c:pt>
                <c:pt idx="60">
                  <c:v>130</c:v>
                </c:pt>
                <c:pt idx="61">
                  <c:v>143</c:v>
                </c:pt>
                <c:pt idx="62">
                  <c:v>136</c:v>
                </c:pt>
                <c:pt idx="63">
                  <c:v>144</c:v>
                </c:pt>
                <c:pt idx="64">
                  <c:v>137</c:v>
                </c:pt>
                <c:pt idx="65">
                  <c:v>149</c:v>
                </c:pt>
                <c:pt idx="66">
                  <c:v>135</c:v>
                </c:pt>
                <c:pt idx="67">
                  <c:v>129</c:v>
                </c:pt>
                <c:pt idx="68">
                  <c:v>144</c:v>
                </c:pt>
                <c:pt idx="69">
                  <c:v>132</c:v>
                </c:pt>
                <c:pt idx="70">
                  <c:v>137</c:v>
                </c:pt>
                <c:pt idx="71">
                  <c:v>160</c:v>
                </c:pt>
                <c:pt idx="72">
                  <c:v>135</c:v>
                </c:pt>
                <c:pt idx="73">
                  <c:v>136</c:v>
                </c:pt>
                <c:pt idx="74">
                  <c:v>132</c:v>
                </c:pt>
                <c:pt idx="75">
                  <c:v>132</c:v>
                </c:pt>
                <c:pt idx="76">
                  <c:v>126</c:v>
                </c:pt>
                <c:pt idx="77">
                  <c:v>133</c:v>
                </c:pt>
                <c:pt idx="78">
                  <c:v>133</c:v>
                </c:pt>
                <c:pt idx="79">
                  <c:v>135</c:v>
                </c:pt>
                <c:pt idx="80">
                  <c:v>134</c:v>
                </c:pt>
                <c:pt idx="81">
                  <c:v>138</c:v>
                </c:pt>
                <c:pt idx="82">
                  <c:v>132</c:v>
                </c:pt>
                <c:pt idx="83">
                  <c:v>135</c:v>
                </c:pt>
                <c:pt idx="84">
                  <c:v>136</c:v>
                </c:pt>
                <c:pt idx="85">
                  <c:v>135</c:v>
                </c:pt>
                <c:pt idx="86">
                  <c:v>136</c:v>
                </c:pt>
                <c:pt idx="87">
                  <c:v>130</c:v>
                </c:pt>
                <c:pt idx="88">
                  <c:v>119</c:v>
                </c:pt>
                <c:pt idx="89">
                  <c:v>128</c:v>
                </c:pt>
                <c:pt idx="90">
                  <c:v>120</c:v>
                </c:pt>
                <c:pt idx="91">
                  <c:v>148</c:v>
                </c:pt>
                <c:pt idx="92">
                  <c:v>148</c:v>
                </c:pt>
                <c:pt idx="93">
                  <c:v>120</c:v>
                </c:pt>
                <c:pt idx="94">
                  <c:v>139</c:v>
                </c:pt>
                <c:pt idx="95">
                  <c:v>120</c:v>
                </c:pt>
                <c:pt idx="96">
                  <c:v>122</c:v>
                </c:pt>
                <c:pt idx="97">
                  <c:v>126</c:v>
                </c:pt>
                <c:pt idx="98">
                  <c:v>123</c:v>
                </c:pt>
                <c:pt idx="99">
                  <c:v>136</c:v>
                </c:pt>
                <c:pt idx="100">
                  <c:v>135</c:v>
                </c:pt>
                <c:pt idx="101">
                  <c:v>134</c:v>
                </c:pt>
                <c:pt idx="102">
                  <c:v>145</c:v>
                </c:pt>
                <c:pt idx="103">
                  <c:v>111</c:v>
                </c:pt>
                <c:pt idx="104">
                  <c:v>134</c:v>
                </c:pt>
                <c:pt idx="105">
                  <c:v>127</c:v>
                </c:pt>
                <c:pt idx="106">
                  <c:v>130</c:v>
                </c:pt>
                <c:pt idx="107">
                  <c:v>141</c:v>
                </c:pt>
                <c:pt idx="108">
                  <c:v>145</c:v>
                </c:pt>
                <c:pt idx="109">
                  <c:v>133</c:v>
                </c:pt>
                <c:pt idx="110">
                  <c:v>139</c:v>
                </c:pt>
                <c:pt idx="111">
                  <c:v>143</c:v>
                </c:pt>
                <c:pt idx="112">
                  <c:v>123</c:v>
                </c:pt>
                <c:pt idx="113">
                  <c:v>132</c:v>
                </c:pt>
                <c:pt idx="114">
                  <c:v>145</c:v>
                </c:pt>
                <c:pt idx="115">
                  <c:v>129</c:v>
                </c:pt>
                <c:pt idx="116">
                  <c:v>132</c:v>
                </c:pt>
                <c:pt idx="117">
                  <c:v>137</c:v>
                </c:pt>
                <c:pt idx="118">
                  <c:v>127</c:v>
                </c:pt>
                <c:pt idx="119">
                  <c:v>140</c:v>
                </c:pt>
                <c:pt idx="120">
                  <c:v>123</c:v>
                </c:pt>
                <c:pt idx="121">
                  <c:v>134</c:v>
                </c:pt>
                <c:pt idx="122">
                  <c:v>132</c:v>
                </c:pt>
                <c:pt idx="123">
                  <c:v>115</c:v>
                </c:pt>
                <c:pt idx="124">
                  <c:v>136</c:v>
                </c:pt>
                <c:pt idx="125">
                  <c:v>146</c:v>
                </c:pt>
                <c:pt idx="126">
                  <c:v>135</c:v>
                </c:pt>
                <c:pt idx="127">
                  <c:v>140</c:v>
                </c:pt>
                <c:pt idx="128">
                  <c:v>133</c:v>
                </c:pt>
                <c:pt idx="129">
                  <c:v>146</c:v>
                </c:pt>
                <c:pt idx="130">
                  <c:v>143</c:v>
                </c:pt>
                <c:pt idx="131">
                  <c:v>127</c:v>
                </c:pt>
                <c:pt idx="132">
                  <c:v>141</c:v>
                </c:pt>
                <c:pt idx="133">
                  <c:v>162</c:v>
                </c:pt>
                <c:pt idx="134">
                  <c:v>127</c:v>
                </c:pt>
                <c:pt idx="135">
                  <c:v>131</c:v>
                </c:pt>
                <c:pt idx="136">
                  <c:v>142</c:v>
                </c:pt>
                <c:pt idx="137">
                  <c:v>137</c:v>
                </c:pt>
                <c:pt idx="138">
                  <c:v>144</c:v>
                </c:pt>
                <c:pt idx="139">
                  <c:v>134</c:v>
                </c:pt>
                <c:pt idx="140">
                  <c:v>147</c:v>
                </c:pt>
                <c:pt idx="141">
                  <c:v>147</c:v>
                </c:pt>
                <c:pt idx="142">
                  <c:v>140</c:v>
                </c:pt>
                <c:pt idx="143">
                  <c:v>124</c:v>
                </c:pt>
                <c:pt idx="144">
                  <c:v>121</c:v>
                </c:pt>
                <c:pt idx="145">
                  <c:v>139</c:v>
                </c:pt>
                <c:pt idx="146">
                  <c:v>125</c:v>
                </c:pt>
                <c:pt idx="147">
                  <c:v>129</c:v>
                </c:pt>
                <c:pt idx="148">
                  <c:v>141</c:v>
                </c:pt>
                <c:pt idx="149">
                  <c:v>136</c:v>
                </c:pt>
                <c:pt idx="150">
                  <c:v>136</c:v>
                </c:pt>
                <c:pt idx="151">
                  <c:v>131</c:v>
                </c:pt>
                <c:pt idx="152">
                  <c:v>135</c:v>
                </c:pt>
                <c:pt idx="153">
                  <c:v>133</c:v>
                </c:pt>
                <c:pt idx="154">
                  <c:v>117</c:v>
                </c:pt>
                <c:pt idx="155">
                  <c:v>116</c:v>
                </c:pt>
                <c:pt idx="156">
                  <c:v>118</c:v>
                </c:pt>
                <c:pt idx="157">
                  <c:v>137</c:v>
                </c:pt>
                <c:pt idx="158">
                  <c:v>135</c:v>
                </c:pt>
                <c:pt idx="159">
                  <c:v>134</c:v>
                </c:pt>
                <c:pt idx="160">
                  <c:v>135</c:v>
                </c:pt>
                <c:pt idx="161">
                  <c:v>124</c:v>
                </c:pt>
                <c:pt idx="162">
                  <c:v>134</c:v>
                </c:pt>
                <c:pt idx="163">
                  <c:v>129</c:v>
                </c:pt>
                <c:pt idx="164">
                  <c:v>139</c:v>
                </c:pt>
                <c:pt idx="165">
                  <c:v>112</c:v>
                </c:pt>
                <c:pt idx="166">
                  <c:v>144</c:v>
                </c:pt>
                <c:pt idx="167">
                  <c:v>148</c:v>
                </c:pt>
                <c:pt idx="168">
                  <c:v>148</c:v>
                </c:pt>
                <c:pt idx="169">
                  <c:v>134</c:v>
                </c:pt>
                <c:pt idx="170">
                  <c:v>135</c:v>
                </c:pt>
                <c:pt idx="171">
                  <c:v>129</c:v>
                </c:pt>
                <c:pt idx="172">
                  <c:v>140</c:v>
                </c:pt>
                <c:pt idx="173">
                  <c:v>124</c:v>
                </c:pt>
                <c:pt idx="174">
                  <c:v>153</c:v>
                </c:pt>
                <c:pt idx="175">
                  <c:v>123</c:v>
                </c:pt>
                <c:pt idx="176">
                  <c:v>124</c:v>
                </c:pt>
                <c:pt idx="177">
                  <c:v>116</c:v>
                </c:pt>
                <c:pt idx="178">
                  <c:v>138</c:v>
                </c:pt>
                <c:pt idx="179">
                  <c:v>135</c:v>
                </c:pt>
                <c:pt idx="180">
                  <c:v>123</c:v>
                </c:pt>
                <c:pt idx="181">
                  <c:v>129</c:v>
                </c:pt>
                <c:pt idx="182">
                  <c:v>120</c:v>
                </c:pt>
                <c:pt idx="183">
                  <c:v>125</c:v>
                </c:pt>
                <c:pt idx="184">
                  <c:v>114</c:v>
                </c:pt>
                <c:pt idx="185">
                  <c:v>146</c:v>
                </c:pt>
                <c:pt idx="186">
                  <c:v>129</c:v>
                </c:pt>
                <c:pt idx="187">
                  <c:v>145</c:v>
                </c:pt>
                <c:pt idx="188">
                  <c:v>140</c:v>
                </c:pt>
                <c:pt idx="189">
                  <c:v>132</c:v>
                </c:pt>
                <c:pt idx="190">
                  <c:v>128</c:v>
                </c:pt>
                <c:pt idx="191">
                  <c:v>118</c:v>
                </c:pt>
                <c:pt idx="192">
                  <c:v>153</c:v>
                </c:pt>
                <c:pt idx="193">
                  <c:v>124</c:v>
                </c:pt>
                <c:pt idx="194">
                  <c:v>156</c:v>
                </c:pt>
                <c:pt idx="195">
                  <c:v>148</c:v>
                </c:pt>
                <c:pt idx="196">
                  <c:v>156</c:v>
                </c:pt>
                <c:pt idx="197">
                  <c:v>150</c:v>
                </c:pt>
                <c:pt idx="198">
                  <c:v>132</c:v>
                </c:pt>
                <c:pt idx="199">
                  <c:v>139</c:v>
                </c:pt>
                <c:pt idx="200">
                  <c:v>147</c:v>
                </c:pt>
                <c:pt idx="201">
                  <c:v>133</c:v>
                </c:pt>
                <c:pt idx="202">
                  <c:v>138</c:v>
                </c:pt>
                <c:pt idx="203">
                  <c:v>152</c:v>
                </c:pt>
                <c:pt idx="204">
                  <c:v>151</c:v>
                </c:pt>
                <c:pt idx="205">
                  <c:v>140</c:v>
                </c:pt>
                <c:pt idx="206">
                  <c:v>136</c:v>
                </c:pt>
                <c:pt idx="207">
                  <c:v>152</c:v>
                </c:pt>
                <c:pt idx="208">
                  <c:v>142</c:v>
                </c:pt>
                <c:pt idx="209">
                  <c:v>118</c:v>
                </c:pt>
                <c:pt idx="210">
                  <c:v>128</c:v>
                </c:pt>
                <c:pt idx="211">
                  <c:v>126</c:v>
                </c:pt>
                <c:pt idx="212">
                  <c:v>130</c:v>
                </c:pt>
                <c:pt idx="213">
                  <c:v>130</c:v>
                </c:pt>
                <c:pt idx="214">
                  <c:v>124</c:v>
                </c:pt>
                <c:pt idx="215">
                  <c:v>144</c:v>
                </c:pt>
                <c:pt idx="216">
                  <c:v>135</c:v>
                </c:pt>
                <c:pt idx="217">
                  <c:v>125</c:v>
                </c:pt>
                <c:pt idx="218">
                  <c:v>151</c:v>
                </c:pt>
                <c:pt idx="219">
                  <c:v>114</c:v>
                </c:pt>
                <c:pt idx="220">
                  <c:v>117</c:v>
                </c:pt>
                <c:pt idx="221">
                  <c:v>109</c:v>
                </c:pt>
                <c:pt idx="222">
                  <c:v>148</c:v>
                </c:pt>
                <c:pt idx="223">
                  <c:v>132</c:v>
                </c:pt>
                <c:pt idx="224">
                  <c:v>132</c:v>
                </c:pt>
                <c:pt idx="225">
                  <c:v>124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0-4895-A16B-0437E038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9151"/>
        <c:axId val="2117207151"/>
      </c:scatterChart>
      <c:valAx>
        <c:axId val="21172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7151"/>
        <c:crosses val="autoZero"/>
        <c:crossBetween val="midCat"/>
      </c:valAx>
      <c:valAx>
        <c:axId val="21172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Log'!$K$2:$K$227</c:f>
              <c:numCache>
                <c:formatCode>0.00</c:formatCode>
                <c:ptCount val="226"/>
                <c:pt idx="0">
                  <c:v>79</c:v>
                </c:pt>
                <c:pt idx="1">
                  <c:v>75</c:v>
                </c:pt>
                <c:pt idx="2">
                  <c:v>63</c:v>
                </c:pt>
                <c:pt idx="3">
                  <c:v>88</c:v>
                </c:pt>
                <c:pt idx="4">
                  <c:v>71</c:v>
                </c:pt>
                <c:pt idx="5">
                  <c:v>83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68</c:v>
                </c:pt>
                <c:pt idx="12">
                  <c:v>72</c:v>
                </c:pt>
                <c:pt idx="13">
                  <c:v>58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64</c:v>
                </c:pt>
                <c:pt idx="18">
                  <c:v>71</c:v>
                </c:pt>
                <c:pt idx="19">
                  <c:v>72</c:v>
                </c:pt>
                <c:pt idx="20">
                  <c:v>80</c:v>
                </c:pt>
                <c:pt idx="21">
                  <c:v>73</c:v>
                </c:pt>
                <c:pt idx="22">
                  <c:v>74</c:v>
                </c:pt>
                <c:pt idx="23">
                  <c:v>77</c:v>
                </c:pt>
                <c:pt idx="24">
                  <c:v>72</c:v>
                </c:pt>
                <c:pt idx="25">
                  <c:v>69</c:v>
                </c:pt>
                <c:pt idx="26">
                  <c:v>67</c:v>
                </c:pt>
                <c:pt idx="27">
                  <c:v>73</c:v>
                </c:pt>
                <c:pt idx="28">
                  <c:v>73</c:v>
                </c:pt>
                <c:pt idx="29">
                  <c:v>71</c:v>
                </c:pt>
                <c:pt idx="30">
                  <c:v>69</c:v>
                </c:pt>
                <c:pt idx="31">
                  <c:v>77</c:v>
                </c:pt>
                <c:pt idx="32">
                  <c:v>76</c:v>
                </c:pt>
                <c:pt idx="33">
                  <c:v>76</c:v>
                </c:pt>
                <c:pt idx="34">
                  <c:v>72</c:v>
                </c:pt>
                <c:pt idx="35">
                  <c:v>67</c:v>
                </c:pt>
                <c:pt idx="36">
                  <c:v>79</c:v>
                </c:pt>
                <c:pt idx="37">
                  <c:v>70</c:v>
                </c:pt>
                <c:pt idx="38">
                  <c:v>83</c:v>
                </c:pt>
                <c:pt idx="39">
                  <c:v>83</c:v>
                </c:pt>
                <c:pt idx="40">
                  <c:v>93</c:v>
                </c:pt>
                <c:pt idx="41">
                  <c:v>89</c:v>
                </c:pt>
                <c:pt idx="42">
                  <c:v>87</c:v>
                </c:pt>
                <c:pt idx="43">
                  <c:v>92</c:v>
                </c:pt>
                <c:pt idx="44">
                  <c:v>87</c:v>
                </c:pt>
                <c:pt idx="45">
                  <c:v>76</c:v>
                </c:pt>
                <c:pt idx="46">
                  <c:v>75</c:v>
                </c:pt>
                <c:pt idx="47">
                  <c:v>89</c:v>
                </c:pt>
                <c:pt idx="48">
                  <c:v>91</c:v>
                </c:pt>
                <c:pt idx="49">
                  <c:v>86</c:v>
                </c:pt>
                <c:pt idx="50">
                  <c:v>78</c:v>
                </c:pt>
                <c:pt idx="51">
                  <c:v>81</c:v>
                </c:pt>
                <c:pt idx="52">
                  <c:v>83</c:v>
                </c:pt>
                <c:pt idx="53">
                  <c:v>81</c:v>
                </c:pt>
                <c:pt idx="54">
                  <c:v>82</c:v>
                </c:pt>
                <c:pt idx="55">
                  <c:v>74</c:v>
                </c:pt>
                <c:pt idx="56">
                  <c:v>71</c:v>
                </c:pt>
                <c:pt idx="57">
                  <c:v>76</c:v>
                </c:pt>
                <c:pt idx="58">
                  <c:v>78</c:v>
                </c:pt>
                <c:pt idx="59">
                  <c:v>73</c:v>
                </c:pt>
                <c:pt idx="60">
                  <c:v>74</c:v>
                </c:pt>
                <c:pt idx="61">
                  <c:v>79</c:v>
                </c:pt>
                <c:pt idx="62">
                  <c:v>69</c:v>
                </c:pt>
                <c:pt idx="63">
                  <c:v>76</c:v>
                </c:pt>
                <c:pt idx="64">
                  <c:v>76</c:v>
                </c:pt>
                <c:pt idx="65">
                  <c:v>84</c:v>
                </c:pt>
                <c:pt idx="66">
                  <c:v>77</c:v>
                </c:pt>
                <c:pt idx="67">
                  <c:v>82</c:v>
                </c:pt>
                <c:pt idx="68">
                  <c:v>77</c:v>
                </c:pt>
                <c:pt idx="69">
                  <c:v>72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83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73</c:v>
                </c:pt>
                <c:pt idx="79">
                  <c:v>76</c:v>
                </c:pt>
                <c:pt idx="80">
                  <c:v>74</c:v>
                </c:pt>
                <c:pt idx="81">
                  <c:v>81</c:v>
                </c:pt>
                <c:pt idx="82">
                  <c:v>82</c:v>
                </c:pt>
                <c:pt idx="83">
                  <c:v>76</c:v>
                </c:pt>
                <c:pt idx="84">
                  <c:v>77</c:v>
                </c:pt>
                <c:pt idx="85">
                  <c:v>76</c:v>
                </c:pt>
                <c:pt idx="86">
                  <c:v>77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78</c:v>
                </c:pt>
                <c:pt idx="91">
                  <c:v>80</c:v>
                </c:pt>
                <c:pt idx="92">
                  <c:v>81</c:v>
                </c:pt>
                <c:pt idx="93">
                  <c:v>66</c:v>
                </c:pt>
                <c:pt idx="94">
                  <c:v>74</c:v>
                </c:pt>
                <c:pt idx="95">
                  <c:v>79</c:v>
                </c:pt>
                <c:pt idx="96">
                  <c:v>73</c:v>
                </c:pt>
                <c:pt idx="97">
                  <c:v>77</c:v>
                </c:pt>
                <c:pt idx="98">
                  <c:v>84</c:v>
                </c:pt>
                <c:pt idx="99">
                  <c:v>72</c:v>
                </c:pt>
                <c:pt idx="100">
                  <c:v>76</c:v>
                </c:pt>
                <c:pt idx="101">
                  <c:v>77</c:v>
                </c:pt>
                <c:pt idx="102">
                  <c:v>109</c:v>
                </c:pt>
                <c:pt idx="103">
                  <c:v>73</c:v>
                </c:pt>
                <c:pt idx="104">
                  <c:v>76</c:v>
                </c:pt>
                <c:pt idx="105">
                  <c:v>78</c:v>
                </c:pt>
                <c:pt idx="106">
                  <c:v>74</c:v>
                </c:pt>
                <c:pt idx="107">
                  <c:v>82</c:v>
                </c:pt>
                <c:pt idx="108">
                  <c:v>77</c:v>
                </c:pt>
                <c:pt idx="109">
                  <c:v>87</c:v>
                </c:pt>
                <c:pt idx="110">
                  <c:v>68</c:v>
                </c:pt>
                <c:pt idx="111">
                  <c:v>105</c:v>
                </c:pt>
                <c:pt idx="112">
                  <c:v>74</c:v>
                </c:pt>
                <c:pt idx="113">
                  <c:v>76</c:v>
                </c:pt>
                <c:pt idx="114">
                  <c:v>75</c:v>
                </c:pt>
                <c:pt idx="115">
                  <c:v>72</c:v>
                </c:pt>
                <c:pt idx="116">
                  <c:v>80</c:v>
                </c:pt>
                <c:pt idx="117">
                  <c:v>73</c:v>
                </c:pt>
                <c:pt idx="118">
                  <c:v>89</c:v>
                </c:pt>
                <c:pt idx="119">
                  <c:v>65</c:v>
                </c:pt>
                <c:pt idx="120">
                  <c:v>71</c:v>
                </c:pt>
                <c:pt idx="121">
                  <c:v>77</c:v>
                </c:pt>
                <c:pt idx="122">
                  <c:v>76</c:v>
                </c:pt>
                <c:pt idx="123">
                  <c:v>73</c:v>
                </c:pt>
                <c:pt idx="124">
                  <c:v>78</c:v>
                </c:pt>
                <c:pt idx="125">
                  <c:v>79</c:v>
                </c:pt>
                <c:pt idx="126">
                  <c:v>78</c:v>
                </c:pt>
                <c:pt idx="127">
                  <c:v>74</c:v>
                </c:pt>
                <c:pt idx="128">
                  <c:v>74</c:v>
                </c:pt>
                <c:pt idx="129">
                  <c:v>77</c:v>
                </c:pt>
                <c:pt idx="130">
                  <c:v>77</c:v>
                </c:pt>
                <c:pt idx="131">
                  <c:v>75</c:v>
                </c:pt>
                <c:pt idx="132">
                  <c:v>74</c:v>
                </c:pt>
                <c:pt idx="133">
                  <c:v>79</c:v>
                </c:pt>
                <c:pt idx="134">
                  <c:v>74</c:v>
                </c:pt>
                <c:pt idx="135">
                  <c:v>78</c:v>
                </c:pt>
                <c:pt idx="136">
                  <c:v>84</c:v>
                </c:pt>
                <c:pt idx="137">
                  <c:v>83</c:v>
                </c:pt>
                <c:pt idx="138">
                  <c:v>82</c:v>
                </c:pt>
                <c:pt idx="139">
                  <c:v>75</c:v>
                </c:pt>
                <c:pt idx="140">
                  <c:v>85</c:v>
                </c:pt>
                <c:pt idx="141">
                  <c:v>85</c:v>
                </c:pt>
                <c:pt idx="142">
                  <c:v>91</c:v>
                </c:pt>
                <c:pt idx="143">
                  <c:v>67</c:v>
                </c:pt>
                <c:pt idx="144">
                  <c:v>75</c:v>
                </c:pt>
                <c:pt idx="145">
                  <c:v>72</c:v>
                </c:pt>
                <c:pt idx="146">
                  <c:v>75</c:v>
                </c:pt>
                <c:pt idx="147">
                  <c:v>77</c:v>
                </c:pt>
                <c:pt idx="148">
                  <c:v>86</c:v>
                </c:pt>
                <c:pt idx="149">
                  <c:v>82</c:v>
                </c:pt>
                <c:pt idx="150">
                  <c:v>80</c:v>
                </c:pt>
                <c:pt idx="151">
                  <c:v>77</c:v>
                </c:pt>
                <c:pt idx="152">
                  <c:v>79</c:v>
                </c:pt>
                <c:pt idx="153">
                  <c:v>77</c:v>
                </c:pt>
                <c:pt idx="154">
                  <c:v>68</c:v>
                </c:pt>
                <c:pt idx="155">
                  <c:v>68</c:v>
                </c:pt>
                <c:pt idx="156">
                  <c:v>67</c:v>
                </c:pt>
                <c:pt idx="157">
                  <c:v>67</c:v>
                </c:pt>
                <c:pt idx="158">
                  <c:v>69</c:v>
                </c:pt>
                <c:pt idx="159">
                  <c:v>75</c:v>
                </c:pt>
                <c:pt idx="160">
                  <c:v>69</c:v>
                </c:pt>
                <c:pt idx="161">
                  <c:v>72</c:v>
                </c:pt>
                <c:pt idx="162">
                  <c:v>77</c:v>
                </c:pt>
                <c:pt idx="163">
                  <c:v>76</c:v>
                </c:pt>
                <c:pt idx="164">
                  <c:v>75</c:v>
                </c:pt>
                <c:pt idx="165">
                  <c:v>66</c:v>
                </c:pt>
                <c:pt idx="166">
                  <c:v>80</c:v>
                </c:pt>
                <c:pt idx="167">
                  <c:v>74</c:v>
                </c:pt>
                <c:pt idx="168">
                  <c:v>79</c:v>
                </c:pt>
                <c:pt idx="169">
                  <c:v>73</c:v>
                </c:pt>
                <c:pt idx="170">
                  <c:v>79</c:v>
                </c:pt>
                <c:pt idx="171">
                  <c:v>71</c:v>
                </c:pt>
                <c:pt idx="172">
                  <c:v>78</c:v>
                </c:pt>
                <c:pt idx="173">
                  <c:v>74</c:v>
                </c:pt>
                <c:pt idx="174">
                  <c:v>85</c:v>
                </c:pt>
                <c:pt idx="175">
                  <c:v>69</c:v>
                </c:pt>
                <c:pt idx="176">
                  <c:v>66</c:v>
                </c:pt>
                <c:pt idx="177">
                  <c:v>75</c:v>
                </c:pt>
                <c:pt idx="178">
                  <c:v>75</c:v>
                </c:pt>
                <c:pt idx="179">
                  <c:v>83</c:v>
                </c:pt>
                <c:pt idx="180">
                  <c:v>73</c:v>
                </c:pt>
                <c:pt idx="181">
                  <c:v>71</c:v>
                </c:pt>
                <c:pt idx="182">
                  <c:v>65</c:v>
                </c:pt>
                <c:pt idx="183">
                  <c:v>73</c:v>
                </c:pt>
                <c:pt idx="184">
                  <c:v>70</c:v>
                </c:pt>
                <c:pt idx="185">
                  <c:v>78</c:v>
                </c:pt>
                <c:pt idx="186">
                  <c:v>72</c:v>
                </c:pt>
                <c:pt idx="187">
                  <c:v>73</c:v>
                </c:pt>
                <c:pt idx="188">
                  <c:v>63</c:v>
                </c:pt>
                <c:pt idx="189">
                  <c:v>78</c:v>
                </c:pt>
                <c:pt idx="190">
                  <c:v>70</c:v>
                </c:pt>
                <c:pt idx="191">
                  <c:v>68</c:v>
                </c:pt>
                <c:pt idx="192">
                  <c:v>84</c:v>
                </c:pt>
                <c:pt idx="193">
                  <c:v>77</c:v>
                </c:pt>
                <c:pt idx="194">
                  <c:v>89</c:v>
                </c:pt>
                <c:pt idx="195">
                  <c:v>72</c:v>
                </c:pt>
                <c:pt idx="196">
                  <c:v>82</c:v>
                </c:pt>
                <c:pt idx="197">
                  <c:v>82</c:v>
                </c:pt>
                <c:pt idx="198">
                  <c:v>78</c:v>
                </c:pt>
                <c:pt idx="199">
                  <c:v>75</c:v>
                </c:pt>
                <c:pt idx="200">
                  <c:v>83</c:v>
                </c:pt>
                <c:pt idx="201">
                  <c:v>75</c:v>
                </c:pt>
                <c:pt idx="202">
                  <c:v>82</c:v>
                </c:pt>
                <c:pt idx="203">
                  <c:v>88</c:v>
                </c:pt>
                <c:pt idx="204">
                  <c:v>87</c:v>
                </c:pt>
                <c:pt idx="205">
                  <c:v>84</c:v>
                </c:pt>
                <c:pt idx="206">
                  <c:v>80</c:v>
                </c:pt>
                <c:pt idx="207">
                  <c:v>82</c:v>
                </c:pt>
                <c:pt idx="208">
                  <c:v>69</c:v>
                </c:pt>
                <c:pt idx="209">
                  <c:v>72</c:v>
                </c:pt>
                <c:pt idx="210">
                  <c:v>74</c:v>
                </c:pt>
                <c:pt idx="211">
                  <c:v>85</c:v>
                </c:pt>
                <c:pt idx="212">
                  <c:v>80</c:v>
                </c:pt>
                <c:pt idx="213">
                  <c:v>79</c:v>
                </c:pt>
                <c:pt idx="214">
                  <c:v>81</c:v>
                </c:pt>
                <c:pt idx="215">
                  <c:v>83</c:v>
                </c:pt>
                <c:pt idx="216">
                  <c:v>81</c:v>
                </c:pt>
                <c:pt idx="217">
                  <c:v>69</c:v>
                </c:pt>
                <c:pt idx="218">
                  <c:v>79</c:v>
                </c:pt>
                <c:pt idx="219">
                  <c:v>71</c:v>
                </c:pt>
                <c:pt idx="220">
                  <c:v>72</c:v>
                </c:pt>
                <c:pt idx="221">
                  <c:v>69</c:v>
                </c:pt>
                <c:pt idx="222">
                  <c:v>72</c:v>
                </c:pt>
                <c:pt idx="223">
                  <c:v>79</c:v>
                </c:pt>
                <c:pt idx="224">
                  <c:v>76</c:v>
                </c:pt>
                <c:pt idx="225">
                  <c:v>71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9-4688-99BC-79E5EA55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191"/>
        <c:axId val="2117219631"/>
      </c:scatterChart>
      <c:valAx>
        <c:axId val="2117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631"/>
        <c:crosses val="autoZero"/>
        <c:crossBetween val="midCat"/>
      </c:valAx>
      <c:valAx>
        <c:axId val="2117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586030912802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Log'!$L$2:$L$227</c:f>
              <c:numCache>
                <c:formatCode>0.00</c:formatCode>
                <c:ptCount val="226"/>
                <c:pt idx="0">
                  <c:v>73</c:v>
                </c:pt>
                <c:pt idx="1">
                  <c:v>82</c:v>
                </c:pt>
                <c:pt idx="2">
                  <c:v>70</c:v>
                </c:pt>
                <c:pt idx="3">
                  <c:v>86</c:v>
                </c:pt>
                <c:pt idx="4">
                  <c:v>81</c:v>
                </c:pt>
                <c:pt idx="5">
                  <c:v>73</c:v>
                </c:pt>
                <c:pt idx="6">
                  <c:v>89</c:v>
                </c:pt>
                <c:pt idx="7">
                  <c:v>89</c:v>
                </c:pt>
                <c:pt idx="8">
                  <c:v>66</c:v>
                </c:pt>
                <c:pt idx="9">
                  <c:v>68</c:v>
                </c:pt>
                <c:pt idx="10">
                  <c:v>65</c:v>
                </c:pt>
                <c:pt idx="11">
                  <c:v>74</c:v>
                </c:pt>
                <c:pt idx="12">
                  <c:v>78</c:v>
                </c:pt>
                <c:pt idx="13">
                  <c:v>60</c:v>
                </c:pt>
                <c:pt idx="14">
                  <c:v>66</c:v>
                </c:pt>
                <c:pt idx="15">
                  <c:v>71</c:v>
                </c:pt>
                <c:pt idx="16">
                  <c:v>58</c:v>
                </c:pt>
                <c:pt idx="17">
                  <c:v>63</c:v>
                </c:pt>
                <c:pt idx="18">
                  <c:v>74</c:v>
                </c:pt>
                <c:pt idx="19">
                  <c:v>73</c:v>
                </c:pt>
                <c:pt idx="20">
                  <c:v>59</c:v>
                </c:pt>
                <c:pt idx="21">
                  <c:v>70</c:v>
                </c:pt>
                <c:pt idx="22">
                  <c:v>73</c:v>
                </c:pt>
                <c:pt idx="23">
                  <c:v>73</c:v>
                </c:pt>
                <c:pt idx="24">
                  <c:v>69</c:v>
                </c:pt>
                <c:pt idx="25">
                  <c:v>59</c:v>
                </c:pt>
                <c:pt idx="26">
                  <c:v>73</c:v>
                </c:pt>
                <c:pt idx="27">
                  <c:v>61</c:v>
                </c:pt>
                <c:pt idx="28">
                  <c:v>62</c:v>
                </c:pt>
                <c:pt idx="29">
                  <c:v>71</c:v>
                </c:pt>
                <c:pt idx="30">
                  <c:v>69</c:v>
                </c:pt>
                <c:pt idx="31">
                  <c:v>69</c:v>
                </c:pt>
                <c:pt idx="32">
                  <c:v>71</c:v>
                </c:pt>
                <c:pt idx="33">
                  <c:v>53</c:v>
                </c:pt>
                <c:pt idx="34">
                  <c:v>65</c:v>
                </c:pt>
                <c:pt idx="35">
                  <c:v>70</c:v>
                </c:pt>
                <c:pt idx="36">
                  <c:v>87</c:v>
                </c:pt>
                <c:pt idx="37">
                  <c:v>97</c:v>
                </c:pt>
                <c:pt idx="38">
                  <c:v>71</c:v>
                </c:pt>
                <c:pt idx="39">
                  <c:v>82</c:v>
                </c:pt>
                <c:pt idx="40">
                  <c:v>96</c:v>
                </c:pt>
                <c:pt idx="41">
                  <c:v>81</c:v>
                </c:pt>
                <c:pt idx="42">
                  <c:v>74</c:v>
                </c:pt>
                <c:pt idx="43">
                  <c:v>82</c:v>
                </c:pt>
                <c:pt idx="44">
                  <c:v>81</c:v>
                </c:pt>
                <c:pt idx="45">
                  <c:v>86</c:v>
                </c:pt>
                <c:pt idx="46">
                  <c:v>77</c:v>
                </c:pt>
                <c:pt idx="47">
                  <c:v>67</c:v>
                </c:pt>
                <c:pt idx="48">
                  <c:v>76</c:v>
                </c:pt>
                <c:pt idx="49">
                  <c:v>70</c:v>
                </c:pt>
                <c:pt idx="50">
                  <c:v>77</c:v>
                </c:pt>
                <c:pt idx="51">
                  <c:v>63</c:v>
                </c:pt>
                <c:pt idx="52">
                  <c:v>65</c:v>
                </c:pt>
                <c:pt idx="53">
                  <c:v>63</c:v>
                </c:pt>
                <c:pt idx="54">
                  <c:v>54</c:v>
                </c:pt>
                <c:pt idx="55">
                  <c:v>80</c:v>
                </c:pt>
                <c:pt idx="56">
                  <c:v>70</c:v>
                </c:pt>
                <c:pt idx="57">
                  <c:v>60</c:v>
                </c:pt>
                <c:pt idx="58">
                  <c:v>65</c:v>
                </c:pt>
                <c:pt idx="59">
                  <c:v>66</c:v>
                </c:pt>
                <c:pt idx="60">
                  <c:v>73</c:v>
                </c:pt>
                <c:pt idx="61">
                  <c:v>71</c:v>
                </c:pt>
                <c:pt idx="62">
                  <c:v>75</c:v>
                </c:pt>
                <c:pt idx="63">
                  <c:v>70</c:v>
                </c:pt>
                <c:pt idx="64">
                  <c:v>99</c:v>
                </c:pt>
                <c:pt idx="65">
                  <c:v>73</c:v>
                </c:pt>
                <c:pt idx="66">
                  <c:v>70</c:v>
                </c:pt>
                <c:pt idx="67">
                  <c:v>70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94</c:v>
                </c:pt>
                <c:pt idx="72">
                  <c:v>72</c:v>
                </c:pt>
                <c:pt idx="73">
                  <c:v>73</c:v>
                </c:pt>
                <c:pt idx="74">
                  <c:v>66</c:v>
                </c:pt>
                <c:pt idx="75">
                  <c:v>67</c:v>
                </c:pt>
                <c:pt idx="76">
                  <c:v>67</c:v>
                </c:pt>
                <c:pt idx="77">
                  <c:v>69</c:v>
                </c:pt>
                <c:pt idx="78">
                  <c:v>62</c:v>
                </c:pt>
                <c:pt idx="79">
                  <c:v>72</c:v>
                </c:pt>
                <c:pt idx="80">
                  <c:v>70</c:v>
                </c:pt>
                <c:pt idx="81">
                  <c:v>78</c:v>
                </c:pt>
                <c:pt idx="82">
                  <c:v>69</c:v>
                </c:pt>
                <c:pt idx="83">
                  <c:v>72</c:v>
                </c:pt>
                <c:pt idx="84">
                  <c:v>73</c:v>
                </c:pt>
                <c:pt idx="85">
                  <c:v>72</c:v>
                </c:pt>
                <c:pt idx="86">
                  <c:v>73</c:v>
                </c:pt>
                <c:pt idx="87">
                  <c:v>69</c:v>
                </c:pt>
                <c:pt idx="88">
                  <c:v>63</c:v>
                </c:pt>
                <c:pt idx="89">
                  <c:v>77</c:v>
                </c:pt>
                <c:pt idx="90">
                  <c:v>72</c:v>
                </c:pt>
                <c:pt idx="91">
                  <c:v>77</c:v>
                </c:pt>
                <c:pt idx="92">
                  <c:v>82</c:v>
                </c:pt>
                <c:pt idx="93">
                  <c:v>67</c:v>
                </c:pt>
                <c:pt idx="94">
                  <c:v>62</c:v>
                </c:pt>
                <c:pt idx="95">
                  <c:v>66</c:v>
                </c:pt>
                <c:pt idx="96">
                  <c:v>61</c:v>
                </c:pt>
                <c:pt idx="97">
                  <c:v>62</c:v>
                </c:pt>
                <c:pt idx="98">
                  <c:v>66</c:v>
                </c:pt>
                <c:pt idx="99">
                  <c:v>73</c:v>
                </c:pt>
                <c:pt idx="100">
                  <c:v>71</c:v>
                </c:pt>
                <c:pt idx="101">
                  <c:v>72</c:v>
                </c:pt>
                <c:pt idx="102">
                  <c:v>76</c:v>
                </c:pt>
                <c:pt idx="103">
                  <c:v>79</c:v>
                </c:pt>
                <c:pt idx="104">
                  <c:v>72</c:v>
                </c:pt>
                <c:pt idx="105">
                  <c:v>74</c:v>
                </c:pt>
                <c:pt idx="106">
                  <c:v>59</c:v>
                </c:pt>
                <c:pt idx="107">
                  <c:v>67</c:v>
                </c:pt>
                <c:pt idx="108">
                  <c:v>68</c:v>
                </c:pt>
                <c:pt idx="109">
                  <c:v>88</c:v>
                </c:pt>
                <c:pt idx="110">
                  <c:v>74</c:v>
                </c:pt>
                <c:pt idx="111">
                  <c:v>70</c:v>
                </c:pt>
                <c:pt idx="112">
                  <c:v>59</c:v>
                </c:pt>
                <c:pt idx="113">
                  <c:v>55</c:v>
                </c:pt>
                <c:pt idx="114">
                  <c:v>58</c:v>
                </c:pt>
                <c:pt idx="115">
                  <c:v>53</c:v>
                </c:pt>
                <c:pt idx="116">
                  <c:v>64</c:v>
                </c:pt>
                <c:pt idx="117">
                  <c:v>65</c:v>
                </c:pt>
                <c:pt idx="118">
                  <c:v>89</c:v>
                </c:pt>
                <c:pt idx="119">
                  <c:v>64</c:v>
                </c:pt>
                <c:pt idx="120">
                  <c:v>88</c:v>
                </c:pt>
                <c:pt idx="121">
                  <c:v>71</c:v>
                </c:pt>
                <c:pt idx="122">
                  <c:v>71</c:v>
                </c:pt>
                <c:pt idx="123">
                  <c:v>63</c:v>
                </c:pt>
                <c:pt idx="124">
                  <c:v>94</c:v>
                </c:pt>
                <c:pt idx="125">
                  <c:v>94</c:v>
                </c:pt>
                <c:pt idx="126">
                  <c:v>87</c:v>
                </c:pt>
                <c:pt idx="127">
                  <c:v>88</c:v>
                </c:pt>
                <c:pt idx="128">
                  <c:v>72</c:v>
                </c:pt>
                <c:pt idx="129">
                  <c:v>76</c:v>
                </c:pt>
                <c:pt idx="130">
                  <c:v>77</c:v>
                </c:pt>
                <c:pt idx="131">
                  <c:v>73</c:v>
                </c:pt>
                <c:pt idx="132">
                  <c:v>80</c:v>
                </c:pt>
                <c:pt idx="133">
                  <c:v>77</c:v>
                </c:pt>
                <c:pt idx="134">
                  <c:v>77</c:v>
                </c:pt>
                <c:pt idx="135">
                  <c:v>85</c:v>
                </c:pt>
                <c:pt idx="136">
                  <c:v>80</c:v>
                </c:pt>
                <c:pt idx="137">
                  <c:v>81</c:v>
                </c:pt>
                <c:pt idx="138">
                  <c:v>83</c:v>
                </c:pt>
                <c:pt idx="139">
                  <c:v>88</c:v>
                </c:pt>
                <c:pt idx="140">
                  <c:v>78</c:v>
                </c:pt>
                <c:pt idx="141">
                  <c:v>74</c:v>
                </c:pt>
                <c:pt idx="142">
                  <c:v>81</c:v>
                </c:pt>
                <c:pt idx="143">
                  <c:v>64</c:v>
                </c:pt>
                <c:pt idx="144">
                  <c:v>66</c:v>
                </c:pt>
                <c:pt idx="145">
                  <c:v>89</c:v>
                </c:pt>
                <c:pt idx="146">
                  <c:v>90</c:v>
                </c:pt>
                <c:pt idx="147">
                  <c:v>91</c:v>
                </c:pt>
                <c:pt idx="148">
                  <c:v>91</c:v>
                </c:pt>
                <c:pt idx="149">
                  <c:v>89</c:v>
                </c:pt>
                <c:pt idx="150">
                  <c:v>90</c:v>
                </c:pt>
                <c:pt idx="151">
                  <c:v>87</c:v>
                </c:pt>
                <c:pt idx="152">
                  <c:v>90</c:v>
                </c:pt>
                <c:pt idx="153">
                  <c:v>86</c:v>
                </c:pt>
                <c:pt idx="154">
                  <c:v>66</c:v>
                </c:pt>
                <c:pt idx="155">
                  <c:v>66</c:v>
                </c:pt>
                <c:pt idx="156">
                  <c:v>67</c:v>
                </c:pt>
                <c:pt idx="157">
                  <c:v>65</c:v>
                </c:pt>
                <c:pt idx="158">
                  <c:v>67</c:v>
                </c:pt>
                <c:pt idx="159">
                  <c:v>72</c:v>
                </c:pt>
                <c:pt idx="160">
                  <c:v>71</c:v>
                </c:pt>
                <c:pt idx="161">
                  <c:v>74</c:v>
                </c:pt>
                <c:pt idx="162">
                  <c:v>77</c:v>
                </c:pt>
                <c:pt idx="163">
                  <c:v>74</c:v>
                </c:pt>
                <c:pt idx="164">
                  <c:v>77</c:v>
                </c:pt>
                <c:pt idx="165">
                  <c:v>70</c:v>
                </c:pt>
                <c:pt idx="166">
                  <c:v>77</c:v>
                </c:pt>
                <c:pt idx="167">
                  <c:v>71</c:v>
                </c:pt>
                <c:pt idx="168">
                  <c:v>74</c:v>
                </c:pt>
                <c:pt idx="169">
                  <c:v>73</c:v>
                </c:pt>
                <c:pt idx="170">
                  <c:v>75</c:v>
                </c:pt>
                <c:pt idx="171">
                  <c:v>71</c:v>
                </c:pt>
                <c:pt idx="172">
                  <c:v>68</c:v>
                </c:pt>
                <c:pt idx="173">
                  <c:v>73</c:v>
                </c:pt>
                <c:pt idx="174">
                  <c:v>76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84</c:v>
                </c:pt>
                <c:pt idx="179">
                  <c:v>76</c:v>
                </c:pt>
                <c:pt idx="180">
                  <c:v>78</c:v>
                </c:pt>
                <c:pt idx="181">
                  <c:v>72</c:v>
                </c:pt>
                <c:pt idx="182">
                  <c:v>72</c:v>
                </c:pt>
                <c:pt idx="183">
                  <c:v>71</c:v>
                </c:pt>
                <c:pt idx="184">
                  <c:v>59</c:v>
                </c:pt>
                <c:pt idx="185">
                  <c:v>73</c:v>
                </c:pt>
                <c:pt idx="186">
                  <c:v>74</c:v>
                </c:pt>
                <c:pt idx="187">
                  <c:v>76</c:v>
                </c:pt>
                <c:pt idx="188">
                  <c:v>68</c:v>
                </c:pt>
                <c:pt idx="189">
                  <c:v>64</c:v>
                </c:pt>
                <c:pt idx="190">
                  <c:v>60</c:v>
                </c:pt>
                <c:pt idx="191">
                  <c:v>63</c:v>
                </c:pt>
                <c:pt idx="192">
                  <c:v>73</c:v>
                </c:pt>
                <c:pt idx="193">
                  <c:v>75</c:v>
                </c:pt>
                <c:pt idx="194">
                  <c:v>76</c:v>
                </c:pt>
                <c:pt idx="195">
                  <c:v>68</c:v>
                </c:pt>
                <c:pt idx="196">
                  <c:v>80</c:v>
                </c:pt>
                <c:pt idx="197">
                  <c:v>86</c:v>
                </c:pt>
                <c:pt idx="198">
                  <c:v>70</c:v>
                </c:pt>
                <c:pt idx="199">
                  <c:v>71</c:v>
                </c:pt>
                <c:pt idx="200">
                  <c:v>73</c:v>
                </c:pt>
                <c:pt idx="201">
                  <c:v>69</c:v>
                </c:pt>
                <c:pt idx="202">
                  <c:v>79</c:v>
                </c:pt>
                <c:pt idx="203">
                  <c:v>75</c:v>
                </c:pt>
                <c:pt idx="204">
                  <c:v>68</c:v>
                </c:pt>
                <c:pt idx="205">
                  <c:v>80</c:v>
                </c:pt>
                <c:pt idx="206">
                  <c:v>72</c:v>
                </c:pt>
                <c:pt idx="207">
                  <c:v>75</c:v>
                </c:pt>
                <c:pt idx="208">
                  <c:v>74</c:v>
                </c:pt>
                <c:pt idx="209">
                  <c:v>70</c:v>
                </c:pt>
                <c:pt idx="210">
                  <c:v>67</c:v>
                </c:pt>
                <c:pt idx="211">
                  <c:v>66</c:v>
                </c:pt>
                <c:pt idx="212">
                  <c:v>68</c:v>
                </c:pt>
                <c:pt idx="213">
                  <c:v>68</c:v>
                </c:pt>
                <c:pt idx="214">
                  <c:v>63</c:v>
                </c:pt>
                <c:pt idx="215">
                  <c:v>62</c:v>
                </c:pt>
                <c:pt idx="216">
                  <c:v>67</c:v>
                </c:pt>
                <c:pt idx="217">
                  <c:v>88</c:v>
                </c:pt>
                <c:pt idx="218">
                  <c:v>71</c:v>
                </c:pt>
                <c:pt idx="219">
                  <c:v>95</c:v>
                </c:pt>
                <c:pt idx="220">
                  <c:v>87</c:v>
                </c:pt>
                <c:pt idx="221">
                  <c:v>86</c:v>
                </c:pt>
                <c:pt idx="222">
                  <c:v>68</c:v>
                </c:pt>
                <c:pt idx="223">
                  <c:v>65</c:v>
                </c:pt>
                <c:pt idx="224">
                  <c:v>91</c:v>
                </c:pt>
                <c:pt idx="225">
                  <c:v>95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EBB-B994-DBF051D1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0751"/>
        <c:axId val="2117242191"/>
      </c:scatterChart>
      <c:valAx>
        <c:axId val="21172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2191"/>
        <c:crosses val="autoZero"/>
        <c:crossBetween val="midCat"/>
      </c:valAx>
      <c:valAx>
        <c:axId val="211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Log'!$M$2:$M$227</c:f>
              <c:numCache>
                <c:formatCode>0.00</c:formatCode>
                <c:ptCount val="226"/>
                <c:pt idx="0">
                  <c:v>11.5</c:v>
                </c:pt>
                <c:pt idx="1">
                  <c:v>5.5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16.5</c:v>
                </c:pt>
                <c:pt idx="9">
                  <c:v>10</c:v>
                </c:pt>
                <c:pt idx="10">
                  <c:v>8.5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7.5</c:v>
                </c:pt>
                <c:pt idx="16">
                  <c:v>11</c:v>
                </c:pt>
                <c:pt idx="17">
                  <c:v>7</c:v>
                </c:pt>
                <c:pt idx="18">
                  <c:v>10.5</c:v>
                </c:pt>
                <c:pt idx="19">
                  <c:v>2</c:v>
                </c:pt>
                <c:pt idx="20">
                  <c:v>13</c:v>
                </c:pt>
                <c:pt idx="21">
                  <c:v>7.5</c:v>
                </c:pt>
                <c:pt idx="22">
                  <c:v>11.5</c:v>
                </c:pt>
                <c:pt idx="23">
                  <c:v>10</c:v>
                </c:pt>
                <c:pt idx="24">
                  <c:v>5</c:v>
                </c:pt>
                <c:pt idx="25">
                  <c:v>12</c:v>
                </c:pt>
                <c:pt idx="26">
                  <c:v>0</c:v>
                </c:pt>
                <c:pt idx="27">
                  <c:v>8</c:v>
                </c:pt>
                <c:pt idx="28">
                  <c:v>5</c:v>
                </c:pt>
                <c:pt idx="29">
                  <c:v>10</c:v>
                </c:pt>
                <c:pt idx="30">
                  <c:v>10</c:v>
                </c:pt>
                <c:pt idx="31">
                  <c:v>7.5</c:v>
                </c:pt>
                <c:pt idx="32">
                  <c:v>9</c:v>
                </c:pt>
                <c:pt idx="33">
                  <c:v>9.5</c:v>
                </c:pt>
                <c:pt idx="34">
                  <c:v>6.5</c:v>
                </c:pt>
                <c:pt idx="35">
                  <c:v>1</c:v>
                </c:pt>
                <c:pt idx="36">
                  <c:v>9.5</c:v>
                </c:pt>
                <c:pt idx="37">
                  <c:v>2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10</c:v>
                </c:pt>
                <c:pt idx="42">
                  <c:v>6</c:v>
                </c:pt>
                <c:pt idx="43">
                  <c:v>8</c:v>
                </c:pt>
                <c:pt idx="44">
                  <c:v>12</c:v>
                </c:pt>
                <c:pt idx="45">
                  <c:v>11</c:v>
                </c:pt>
                <c:pt idx="46">
                  <c:v>8.5</c:v>
                </c:pt>
                <c:pt idx="47">
                  <c:v>5</c:v>
                </c:pt>
                <c:pt idx="48">
                  <c:v>10</c:v>
                </c:pt>
                <c:pt idx="49">
                  <c:v>11</c:v>
                </c:pt>
                <c:pt idx="50">
                  <c:v>7</c:v>
                </c:pt>
                <c:pt idx="51">
                  <c:v>7</c:v>
                </c:pt>
                <c:pt idx="52">
                  <c:v>13</c:v>
                </c:pt>
                <c:pt idx="53">
                  <c:v>3.5</c:v>
                </c:pt>
                <c:pt idx="54">
                  <c:v>12</c:v>
                </c:pt>
                <c:pt idx="55">
                  <c:v>7</c:v>
                </c:pt>
                <c:pt idx="56">
                  <c:v>9.5</c:v>
                </c:pt>
                <c:pt idx="57">
                  <c:v>7</c:v>
                </c:pt>
                <c:pt idx="58">
                  <c:v>8</c:v>
                </c:pt>
                <c:pt idx="59">
                  <c:v>8.5</c:v>
                </c:pt>
                <c:pt idx="60">
                  <c:v>0</c:v>
                </c:pt>
                <c:pt idx="61">
                  <c:v>5.5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11</c:v>
                </c:pt>
                <c:pt idx="66">
                  <c:v>1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11</c:v>
                </c:pt>
                <c:pt idx="75">
                  <c:v>9.5</c:v>
                </c:pt>
                <c:pt idx="76">
                  <c:v>3</c:v>
                </c:pt>
                <c:pt idx="77">
                  <c:v>2</c:v>
                </c:pt>
                <c:pt idx="78">
                  <c:v>0.5</c:v>
                </c:pt>
                <c:pt idx="79">
                  <c:v>3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2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7</c:v>
                </c:pt>
                <c:pt idx="94">
                  <c:v>6.5</c:v>
                </c:pt>
                <c:pt idx="95">
                  <c:v>5</c:v>
                </c:pt>
                <c:pt idx="96">
                  <c:v>2</c:v>
                </c:pt>
                <c:pt idx="97">
                  <c:v>10</c:v>
                </c:pt>
                <c:pt idx="98">
                  <c:v>8</c:v>
                </c:pt>
                <c:pt idx="99">
                  <c:v>7.5</c:v>
                </c:pt>
                <c:pt idx="100">
                  <c:v>10</c:v>
                </c:pt>
                <c:pt idx="101">
                  <c:v>12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4.5</c:v>
                </c:pt>
                <c:pt idx="106">
                  <c:v>6</c:v>
                </c:pt>
                <c:pt idx="107">
                  <c:v>12</c:v>
                </c:pt>
                <c:pt idx="108">
                  <c:v>6</c:v>
                </c:pt>
                <c:pt idx="109">
                  <c:v>4</c:v>
                </c:pt>
                <c:pt idx="110">
                  <c:v>12</c:v>
                </c:pt>
                <c:pt idx="111">
                  <c:v>4</c:v>
                </c:pt>
                <c:pt idx="112">
                  <c:v>4</c:v>
                </c:pt>
                <c:pt idx="113">
                  <c:v>13.5</c:v>
                </c:pt>
                <c:pt idx="114">
                  <c:v>7.5</c:v>
                </c:pt>
                <c:pt idx="115">
                  <c:v>10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2</c:v>
                </c:pt>
                <c:pt idx="122">
                  <c:v>19</c:v>
                </c:pt>
                <c:pt idx="123">
                  <c:v>8</c:v>
                </c:pt>
                <c:pt idx="124">
                  <c:v>2</c:v>
                </c:pt>
                <c:pt idx="125">
                  <c:v>8</c:v>
                </c:pt>
                <c:pt idx="126">
                  <c:v>9</c:v>
                </c:pt>
                <c:pt idx="127">
                  <c:v>10</c:v>
                </c:pt>
                <c:pt idx="128">
                  <c:v>14</c:v>
                </c:pt>
                <c:pt idx="129">
                  <c:v>10</c:v>
                </c:pt>
                <c:pt idx="130">
                  <c:v>1</c:v>
                </c:pt>
                <c:pt idx="131">
                  <c:v>5</c:v>
                </c:pt>
                <c:pt idx="132">
                  <c:v>10</c:v>
                </c:pt>
                <c:pt idx="133">
                  <c:v>10</c:v>
                </c:pt>
                <c:pt idx="134">
                  <c:v>6</c:v>
                </c:pt>
                <c:pt idx="135">
                  <c:v>9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9</c:v>
                </c:pt>
                <c:pt idx="140">
                  <c:v>16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3</c:v>
                </c:pt>
                <c:pt idx="149">
                  <c:v>9</c:v>
                </c:pt>
                <c:pt idx="150">
                  <c:v>12</c:v>
                </c:pt>
                <c:pt idx="151">
                  <c:v>8</c:v>
                </c:pt>
                <c:pt idx="152">
                  <c:v>6</c:v>
                </c:pt>
                <c:pt idx="153">
                  <c:v>12</c:v>
                </c:pt>
                <c:pt idx="154">
                  <c:v>14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12</c:v>
                </c:pt>
                <c:pt idx="159">
                  <c:v>8</c:v>
                </c:pt>
                <c:pt idx="160">
                  <c:v>8</c:v>
                </c:pt>
                <c:pt idx="161">
                  <c:v>6</c:v>
                </c:pt>
                <c:pt idx="162">
                  <c:v>6</c:v>
                </c:pt>
                <c:pt idx="163">
                  <c:v>19</c:v>
                </c:pt>
                <c:pt idx="164">
                  <c:v>6</c:v>
                </c:pt>
                <c:pt idx="165">
                  <c:v>8</c:v>
                </c:pt>
                <c:pt idx="166">
                  <c:v>8.5</c:v>
                </c:pt>
                <c:pt idx="167">
                  <c:v>0</c:v>
                </c:pt>
                <c:pt idx="168">
                  <c:v>16</c:v>
                </c:pt>
                <c:pt idx="169">
                  <c:v>10</c:v>
                </c:pt>
                <c:pt idx="170">
                  <c:v>8</c:v>
                </c:pt>
                <c:pt idx="171">
                  <c:v>10</c:v>
                </c:pt>
                <c:pt idx="172">
                  <c:v>8</c:v>
                </c:pt>
                <c:pt idx="173">
                  <c:v>4</c:v>
                </c:pt>
                <c:pt idx="174">
                  <c:v>12</c:v>
                </c:pt>
                <c:pt idx="175">
                  <c:v>8</c:v>
                </c:pt>
                <c:pt idx="176">
                  <c:v>8</c:v>
                </c:pt>
                <c:pt idx="177">
                  <c:v>6.5</c:v>
                </c:pt>
                <c:pt idx="178">
                  <c:v>9</c:v>
                </c:pt>
                <c:pt idx="179">
                  <c:v>7.5</c:v>
                </c:pt>
                <c:pt idx="180">
                  <c:v>10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7.5</c:v>
                </c:pt>
                <c:pt idx="185">
                  <c:v>8</c:v>
                </c:pt>
                <c:pt idx="186">
                  <c:v>0</c:v>
                </c:pt>
                <c:pt idx="187">
                  <c:v>7.5</c:v>
                </c:pt>
                <c:pt idx="188">
                  <c:v>7</c:v>
                </c:pt>
                <c:pt idx="189">
                  <c:v>8</c:v>
                </c:pt>
                <c:pt idx="190">
                  <c:v>13</c:v>
                </c:pt>
                <c:pt idx="191">
                  <c:v>7.5</c:v>
                </c:pt>
                <c:pt idx="192">
                  <c:v>6.5</c:v>
                </c:pt>
                <c:pt idx="193">
                  <c:v>14.5</c:v>
                </c:pt>
                <c:pt idx="194">
                  <c:v>8</c:v>
                </c:pt>
                <c:pt idx="195">
                  <c:v>13</c:v>
                </c:pt>
                <c:pt idx="196">
                  <c:v>0.5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14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7</c:v>
                </c:pt>
                <c:pt idx="206">
                  <c:v>9</c:v>
                </c:pt>
                <c:pt idx="207">
                  <c:v>3</c:v>
                </c:pt>
                <c:pt idx="208">
                  <c:v>13.5</c:v>
                </c:pt>
                <c:pt idx="209">
                  <c:v>6</c:v>
                </c:pt>
                <c:pt idx="210">
                  <c:v>11</c:v>
                </c:pt>
                <c:pt idx="211">
                  <c:v>8</c:v>
                </c:pt>
                <c:pt idx="212">
                  <c:v>7</c:v>
                </c:pt>
                <c:pt idx="213">
                  <c:v>12</c:v>
                </c:pt>
                <c:pt idx="214">
                  <c:v>17</c:v>
                </c:pt>
                <c:pt idx="215">
                  <c:v>1</c:v>
                </c:pt>
                <c:pt idx="216">
                  <c:v>3</c:v>
                </c:pt>
                <c:pt idx="217">
                  <c:v>9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12</c:v>
                </c:pt>
                <c:pt idx="222">
                  <c:v>12</c:v>
                </c:pt>
                <c:pt idx="223">
                  <c:v>3.5</c:v>
                </c:pt>
                <c:pt idx="224">
                  <c:v>4.5</c:v>
                </c:pt>
                <c:pt idx="225">
                  <c:v>4.5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E81-B031-F318D8B2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1951"/>
        <c:axId val="2117217231"/>
      </c:scatterChart>
      <c:valAx>
        <c:axId val="2117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7231"/>
        <c:crosses val="autoZero"/>
        <c:crossBetween val="midCat"/>
      </c:valAx>
      <c:valAx>
        <c:axId val="2117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Body Mass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Log'!$N$2:$N$227</c:f>
              <c:numCache>
                <c:formatCode>0.00</c:formatCode>
                <c:ptCount val="226"/>
                <c:pt idx="0">
                  <c:v>39.540163265306127</c:v>
                </c:pt>
                <c:pt idx="1">
                  <c:v>38.994979591836739</c:v>
                </c:pt>
                <c:pt idx="2">
                  <c:v>38.994979591836739</c:v>
                </c:pt>
                <c:pt idx="3">
                  <c:v>39.138448979591836</c:v>
                </c:pt>
                <c:pt idx="4">
                  <c:v>38.679346938775517</c:v>
                </c:pt>
                <c:pt idx="5">
                  <c:v>38.535877551020413</c:v>
                </c:pt>
                <c:pt idx="6">
                  <c:v>38.564571428571433</c:v>
                </c:pt>
                <c:pt idx="7">
                  <c:v>38.564571428571433</c:v>
                </c:pt>
                <c:pt idx="8">
                  <c:v>38.650653061224489</c:v>
                </c:pt>
                <c:pt idx="9">
                  <c:v>39.109755102040822</c:v>
                </c:pt>
                <c:pt idx="10">
                  <c:v>38.851510204081634</c:v>
                </c:pt>
                <c:pt idx="11">
                  <c:v>38.507183673469385</c:v>
                </c:pt>
                <c:pt idx="12">
                  <c:v>38.248938775510204</c:v>
                </c:pt>
                <c:pt idx="13">
                  <c:v>38.679346938775517</c:v>
                </c:pt>
                <c:pt idx="14">
                  <c:v>38.392408163265308</c:v>
                </c:pt>
                <c:pt idx="15">
                  <c:v>38.392408163265308</c:v>
                </c:pt>
                <c:pt idx="16">
                  <c:v>37.990693877551024</c:v>
                </c:pt>
                <c:pt idx="17">
                  <c:v>37.962000000000003</c:v>
                </c:pt>
                <c:pt idx="18">
                  <c:v>37.761142857142858</c:v>
                </c:pt>
                <c:pt idx="19">
                  <c:v>37.732448979591837</c:v>
                </c:pt>
                <c:pt idx="20">
                  <c:v>37.560285714285712</c:v>
                </c:pt>
                <c:pt idx="21">
                  <c:v>37.560285714285712</c:v>
                </c:pt>
                <c:pt idx="22">
                  <c:v>37.273346938775511</c:v>
                </c:pt>
                <c:pt idx="23">
                  <c:v>37.330734693877552</c:v>
                </c:pt>
                <c:pt idx="24">
                  <c:v>37.158571428571427</c:v>
                </c:pt>
                <c:pt idx="25">
                  <c:v>36.871632653061219</c:v>
                </c:pt>
                <c:pt idx="26">
                  <c:v>37.273346938775511</c:v>
                </c:pt>
                <c:pt idx="27">
                  <c:v>37.273346938775511</c:v>
                </c:pt>
                <c:pt idx="28">
                  <c:v>37.158571428571427</c:v>
                </c:pt>
                <c:pt idx="29">
                  <c:v>37.043795918367344</c:v>
                </c:pt>
                <c:pt idx="30">
                  <c:v>37.015102040816323</c:v>
                </c:pt>
                <c:pt idx="31">
                  <c:v>36.728163265306122</c:v>
                </c:pt>
                <c:pt idx="32">
                  <c:v>36.728163265306122</c:v>
                </c:pt>
                <c:pt idx="33">
                  <c:v>36.584693877551018</c:v>
                </c:pt>
                <c:pt idx="34">
                  <c:v>36.670775510204081</c:v>
                </c:pt>
                <c:pt idx="35">
                  <c:v>36.670775510204081</c:v>
                </c:pt>
                <c:pt idx="36">
                  <c:v>36.269061224489796</c:v>
                </c:pt>
                <c:pt idx="37">
                  <c:v>36.269061224489796</c:v>
                </c:pt>
                <c:pt idx="38">
                  <c:v>36.871632653061219</c:v>
                </c:pt>
                <c:pt idx="39">
                  <c:v>37.474204081632649</c:v>
                </c:pt>
                <c:pt idx="40">
                  <c:v>37.445510204081636</c:v>
                </c:pt>
                <c:pt idx="41">
                  <c:v>37.101183673469393</c:v>
                </c:pt>
                <c:pt idx="42">
                  <c:v>37.015102040816323</c:v>
                </c:pt>
                <c:pt idx="43">
                  <c:v>37.302040816326532</c:v>
                </c:pt>
                <c:pt idx="44">
                  <c:v>37.187265306122448</c:v>
                </c:pt>
                <c:pt idx="45">
                  <c:v>37.416816326530615</c:v>
                </c:pt>
                <c:pt idx="46">
                  <c:v>37.560285714285712</c:v>
                </c:pt>
                <c:pt idx="47">
                  <c:v>36.98640816326531</c:v>
                </c:pt>
                <c:pt idx="48">
                  <c:v>36.699469387755101</c:v>
                </c:pt>
                <c:pt idx="49">
                  <c:v>36.441224489795914</c:v>
                </c:pt>
                <c:pt idx="50">
                  <c:v>36.297755102040817</c:v>
                </c:pt>
                <c:pt idx="51">
                  <c:v>36.240367346938775</c:v>
                </c:pt>
                <c:pt idx="52">
                  <c:v>36.498612244897963</c:v>
                </c:pt>
                <c:pt idx="53">
                  <c:v>36.269061224489796</c:v>
                </c:pt>
                <c:pt idx="54">
                  <c:v>36.326448979591831</c:v>
                </c:pt>
                <c:pt idx="55">
                  <c:v>36.096897959183678</c:v>
                </c:pt>
                <c:pt idx="56">
                  <c:v>36.068204081632651</c:v>
                </c:pt>
                <c:pt idx="57">
                  <c:v>35.867346938775512</c:v>
                </c:pt>
                <c:pt idx="58">
                  <c:v>35.80995918367347</c:v>
                </c:pt>
                <c:pt idx="59">
                  <c:v>35.752571428571429</c:v>
                </c:pt>
                <c:pt idx="60">
                  <c:v>35.637795918367345</c:v>
                </c:pt>
                <c:pt idx="61">
                  <c:v>35.523020408163262</c:v>
                </c:pt>
                <c:pt idx="62">
                  <c:v>35.379551020408158</c:v>
                </c:pt>
                <c:pt idx="63">
                  <c:v>35.379551020408158</c:v>
                </c:pt>
                <c:pt idx="64">
                  <c:v>35.436938775510207</c:v>
                </c:pt>
                <c:pt idx="65">
                  <c:v>35.982122448979595</c:v>
                </c:pt>
                <c:pt idx="66">
                  <c:v>35.723877551020408</c:v>
                </c:pt>
                <c:pt idx="67">
                  <c:v>35.695183673469387</c:v>
                </c:pt>
                <c:pt idx="68">
                  <c:v>36.211673469387755</c:v>
                </c:pt>
                <c:pt idx="69">
                  <c:v>35.80995918367347</c:v>
                </c:pt>
                <c:pt idx="70">
                  <c:v>35.494326530612248</c:v>
                </c:pt>
                <c:pt idx="71">
                  <c:v>35.264775510204082</c:v>
                </c:pt>
                <c:pt idx="72">
                  <c:v>36.154285714285713</c:v>
                </c:pt>
                <c:pt idx="73">
                  <c:v>36.154285714285713</c:v>
                </c:pt>
                <c:pt idx="74">
                  <c:v>36.355142857142859</c:v>
                </c:pt>
                <c:pt idx="75">
                  <c:v>35.80995918367347</c:v>
                </c:pt>
                <c:pt idx="76">
                  <c:v>35.695183673469387</c:v>
                </c:pt>
                <c:pt idx="77">
                  <c:v>35.580408163265311</c:v>
                </c:pt>
                <c:pt idx="78">
                  <c:v>35.379551020408158</c:v>
                </c:pt>
                <c:pt idx="79">
                  <c:v>35.982122448979595</c:v>
                </c:pt>
                <c:pt idx="80">
                  <c:v>36.125591836734699</c:v>
                </c:pt>
                <c:pt idx="81">
                  <c:v>36.240367346938775</c:v>
                </c:pt>
                <c:pt idx="82">
                  <c:v>35.752571428571429</c:v>
                </c:pt>
                <c:pt idx="83">
                  <c:v>35.666489795918366</c:v>
                </c:pt>
                <c:pt idx="84">
                  <c:v>35.867346938775512</c:v>
                </c:pt>
                <c:pt idx="85">
                  <c:v>36.010816326530609</c:v>
                </c:pt>
                <c:pt idx="86">
                  <c:v>36.556000000000004</c:v>
                </c:pt>
                <c:pt idx="87">
                  <c:v>37.015102040816323</c:v>
                </c:pt>
                <c:pt idx="88">
                  <c:v>36.498612244897963</c:v>
                </c:pt>
                <c:pt idx="89">
                  <c:v>36.297755102040817</c:v>
                </c:pt>
                <c:pt idx="90">
                  <c:v>36.498612244897963</c:v>
                </c:pt>
                <c:pt idx="91">
                  <c:v>36.211673469387755</c:v>
                </c:pt>
                <c:pt idx="92">
                  <c:v>36.699469387755101</c:v>
                </c:pt>
                <c:pt idx="93">
                  <c:v>36.670775510204081</c:v>
                </c:pt>
                <c:pt idx="94">
                  <c:v>36.355142857142859</c:v>
                </c:pt>
                <c:pt idx="95">
                  <c:v>36.355142857142859</c:v>
                </c:pt>
                <c:pt idx="96">
                  <c:v>36.355142857142859</c:v>
                </c:pt>
                <c:pt idx="97">
                  <c:v>35.924734693877546</c:v>
                </c:pt>
                <c:pt idx="98">
                  <c:v>35.867346938775512</c:v>
                </c:pt>
                <c:pt idx="99">
                  <c:v>36.068204081632651</c:v>
                </c:pt>
                <c:pt idx="100">
                  <c:v>35.982122448979595</c:v>
                </c:pt>
                <c:pt idx="101">
                  <c:v>36.182979591836734</c:v>
                </c:pt>
                <c:pt idx="102">
                  <c:v>36.98640816326531</c:v>
                </c:pt>
                <c:pt idx="103">
                  <c:v>37.043795918367344</c:v>
                </c:pt>
                <c:pt idx="104">
                  <c:v>36.814244897959192</c:v>
                </c:pt>
                <c:pt idx="105">
                  <c:v>36.670775510204081</c:v>
                </c:pt>
                <c:pt idx="106">
                  <c:v>36.642081632653067</c:v>
                </c:pt>
                <c:pt idx="107">
                  <c:v>36.068204081632651</c:v>
                </c:pt>
                <c:pt idx="108">
                  <c:v>35.924734693877546</c:v>
                </c:pt>
                <c:pt idx="109">
                  <c:v>35.982122448979595</c:v>
                </c:pt>
                <c:pt idx="110">
                  <c:v>35.752571428571429</c:v>
                </c:pt>
                <c:pt idx="111">
                  <c:v>35.924734693877546</c:v>
                </c:pt>
                <c:pt idx="112">
                  <c:v>36.125591836734699</c:v>
                </c:pt>
                <c:pt idx="113">
                  <c:v>35.580408163265311</c:v>
                </c:pt>
                <c:pt idx="114">
                  <c:v>35.637795918367345</c:v>
                </c:pt>
                <c:pt idx="115">
                  <c:v>35.436938775510207</c:v>
                </c:pt>
                <c:pt idx="116">
                  <c:v>35.408244897959186</c:v>
                </c:pt>
                <c:pt idx="117">
                  <c:v>35.121306122448978</c:v>
                </c:pt>
                <c:pt idx="118">
                  <c:v>35.063918367346943</c:v>
                </c:pt>
                <c:pt idx="119">
                  <c:v>35.035224489795915</c:v>
                </c:pt>
                <c:pt idx="120">
                  <c:v>35.15</c:v>
                </c:pt>
                <c:pt idx="121">
                  <c:v>35.436938775510207</c:v>
                </c:pt>
                <c:pt idx="122">
                  <c:v>35.80995918367347</c:v>
                </c:pt>
                <c:pt idx="123">
                  <c:v>35.924734693877546</c:v>
                </c:pt>
                <c:pt idx="124">
                  <c:v>36.211673469387755</c:v>
                </c:pt>
                <c:pt idx="125">
                  <c:v>35.953428571428574</c:v>
                </c:pt>
                <c:pt idx="126">
                  <c:v>36.240367346938775</c:v>
                </c:pt>
                <c:pt idx="127">
                  <c:v>36.38383673469388</c:v>
                </c:pt>
                <c:pt idx="128">
                  <c:v>36.297755102040817</c:v>
                </c:pt>
                <c:pt idx="129">
                  <c:v>36.900326530612247</c:v>
                </c:pt>
                <c:pt idx="130">
                  <c:v>36.527306122448977</c:v>
                </c:pt>
                <c:pt idx="131">
                  <c:v>36.613387755102039</c:v>
                </c:pt>
                <c:pt idx="132">
                  <c:v>36.556000000000004</c:v>
                </c:pt>
                <c:pt idx="133">
                  <c:v>36.699469387755101</c:v>
                </c:pt>
                <c:pt idx="134">
                  <c:v>36.900326530612247</c:v>
                </c:pt>
                <c:pt idx="135">
                  <c:v>37.015102040816323</c:v>
                </c:pt>
                <c:pt idx="136">
                  <c:v>36.125591836734699</c:v>
                </c:pt>
                <c:pt idx="137">
                  <c:v>35.924734693877546</c:v>
                </c:pt>
                <c:pt idx="138">
                  <c:v>36.010816326530609</c:v>
                </c:pt>
                <c:pt idx="139">
                  <c:v>35.752571428571429</c:v>
                </c:pt>
                <c:pt idx="140">
                  <c:v>35.580408163265311</c:v>
                </c:pt>
                <c:pt idx="141">
                  <c:v>35.896040816326526</c:v>
                </c:pt>
                <c:pt idx="142">
                  <c:v>36.297755102040817</c:v>
                </c:pt>
                <c:pt idx="143">
                  <c:v>35.982122448979595</c:v>
                </c:pt>
                <c:pt idx="144">
                  <c:v>36.269061224489796</c:v>
                </c:pt>
                <c:pt idx="145">
                  <c:v>36.010816326530609</c:v>
                </c:pt>
                <c:pt idx="146">
                  <c:v>35.781265306122449</c:v>
                </c:pt>
                <c:pt idx="147">
                  <c:v>36.38383673469388</c:v>
                </c:pt>
                <c:pt idx="148">
                  <c:v>36.527306122448977</c:v>
                </c:pt>
                <c:pt idx="149">
                  <c:v>36.297755102040817</c:v>
                </c:pt>
                <c:pt idx="150">
                  <c:v>36.441224489795914</c:v>
                </c:pt>
                <c:pt idx="151">
                  <c:v>36.297755102040817</c:v>
                </c:pt>
                <c:pt idx="152">
                  <c:v>36.125591836734699</c:v>
                </c:pt>
                <c:pt idx="153">
                  <c:v>36.068204081632651</c:v>
                </c:pt>
                <c:pt idx="154">
                  <c:v>35.752571428571429</c:v>
                </c:pt>
                <c:pt idx="155">
                  <c:v>36.269061224489796</c:v>
                </c:pt>
                <c:pt idx="156">
                  <c:v>36.297755102040817</c:v>
                </c:pt>
                <c:pt idx="157">
                  <c:v>37.158571428571427</c:v>
                </c:pt>
                <c:pt idx="158">
                  <c:v>36.556000000000004</c:v>
                </c:pt>
                <c:pt idx="159">
                  <c:v>36.269061224489796</c:v>
                </c:pt>
                <c:pt idx="160">
                  <c:v>36.125591836734699</c:v>
                </c:pt>
                <c:pt idx="161">
                  <c:v>36.556000000000004</c:v>
                </c:pt>
                <c:pt idx="162">
                  <c:v>36.584693877551018</c:v>
                </c:pt>
                <c:pt idx="163">
                  <c:v>36.556000000000004</c:v>
                </c:pt>
                <c:pt idx="164">
                  <c:v>36.125591836734699</c:v>
                </c:pt>
                <c:pt idx="165">
                  <c:v>36.929020408163261</c:v>
                </c:pt>
                <c:pt idx="166">
                  <c:v>36.699469387755101</c:v>
                </c:pt>
                <c:pt idx="167">
                  <c:v>36.125591836734699</c:v>
                </c:pt>
                <c:pt idx="168">
                  <c:v>35.523020408163262</c:v>
                </c:pt>
                <c:pt idx="169">
                  <c:v>35.695183673469387</c:v>
                </c:pt>
                <c:pt idx="170">
                  <c:v>35.838653061224491</c:v>
                </c:pt>
                <c:pt idx="171">
                  <c:v>35.953428571428574</c:v>
                </c:pt>
                <c:pt idx="172">
                  <c:v>36.154285714285713</c:v>
                </c:pt>
                <c:pt idx="173">
                  <c:v>36.670775510204081</c:v>
                </c:pt>
                <c:pt idx="174">
                  <c:v>36.240367346938775</c:v>
                </c:pt>
                <c:pt idx="175">
                  <c:v>36.211673469387755</c:v>
                </c:pt>
                <c:pt idx="176">
                  <c:v>36.010816326530609</c:v>
                </c:pt>
                <c:pt idx="177">
                  <c:v>36.03951020408163</c:v>
                </c:pt>
                <c:pt idx="178">
                  <c:v>36.211673469387755</c:v>
                </c:pt>
                <c:pt idx="179">
                  <c:v>36.441224489795914</c:v>
                </c:pt>
                <c:pt idx="180">
                  <c:v>36.4125306122449</c:v>
                </c:pt>
                <c:pt idx="181">
                  <c:v>36.556000000000004</c:v>
                </c:pt>
                <c:pt idx="182">
                  <c:v>36.4125306122449</c:v>
                </c:pt>
                <c:pt idx="183">
                  <c:v>36.297755102040817</c:v>
                </c:pt>
                <c:pt idx="184">
                  <c:v>36.211673469387755</c:v>
                </c:pt>
                <c:pt idx="185">
                  <c:v>36.441224489795914</c:v>
                </c:pt>
                <c:pt idx="186">
                  <c:v>36.211673469387755</c:v>
                </c:pt>
                <c:pt idx="187">
                  <c:v>36.154285714285713</c:v>
                </c:pt>
                <c:pt idx="188">
                  <c:v>36.297755102040817</c:v>
                </c:pt>
                <c:pt idx="189">
                  <c:v>36.211673469387755</c:v>
                </c:pt>
                <c:pt idx="190">
                  <c:v>36.182979591836734</c:v>
                </c:pt>
                <c:pt idx="191">
                  <c:v>36.240367346938775</c:v>
                </c:pt>
                <c:pt idx="192">
                  <c:v>36.441224489795914</c:v>
                </c:pt>
                <c:pt idx="193">
                  <c:v>36.584693877551018</c:v>
                </c:pt>
                <c:pt idx="194">
                  <c:v>37.043795918367344</c:v>
                </c:pt>
                <c:pt idx="195">
                  <c:v>36.642081632653067</c:v>
                </c:pt>
                <c:pt idx="196">
                  <c:v>36.154285714285713</c:v>
                </c:pt>
                <c:pt idx="197">
                  <c:v>36.441224489795914</c:v>
                </c:pt>
                <c:pt idx="198">
                  <c:v>36.584693877551018</c:v>
                </c:pt>
                <c:pt idx="199">
                  <c:v>36.441224489795914</c:v>
                </c:pt>
                <c:pt idx="200">
                  <c:v>36.98640816326531</c:v>
                </c:pt>
                <c:pt idx="201">
                  <c:v>36.756857142857143</c:v>
                </c:pt>
                <c:pt idx="202">
                  <c:v>37.302040816326532</c:v>
                </c:pt>
                <c:pt idx="203">
                  <c:v>37.560285714285712</c:v>
                </c:pt>
                <c:pt idx="204">
                  <c:v>37.302040816326532</c:v>
                </c:pt>
                <c:pt idx="205">
                  <c:v>37.646367346938767</c:v>
                </c:pt>
                <c:pt idx="206">
                  <c:v>38.048081632653059</c:v>
                </c:pt>
                <c:pt idx="207">
                  <c:v>37.531591836734698</c:v>
                </c:pt>
                <c:pt idx="208">
                  <c:v>36.900326530612247</c:v>
                </c:pt>
                <c:pt idx="209">
                  <c:v>36.957714285714289</c:v>
                </c:pt>
                <c:pt idx="210">
                  <c:v>37.416816326530615</c:v>
                </c:pt>
                <c:pt idx="211">
                  <c:v>37.474204081632649</c:v>
                </c:pt>
                <c:pt idx="212">
                  <c:v>37.531591836734698</c:v>
                </c:pt>
                <c:pt idx="213">
                  <c:v>37.789836734693871</c:v>
                </c:pt>
                <c:pt idx="214">
                  <c:v>36.756857142857143</c:v>
                </c:pt>
                <c:pt idx="215">
                  <c:v>36.842938775510206</c:v>
                </c:pt>
                <c:pt idx="216">
                  <c:v>37.015102040816323</c:v>
                </c:pt>
                <c:pt idx="217">
                  <c:v>37.129877551020407</c:v>
                </c:pt>
                <c:pt idx="218">
                  <c:v>37.129877551020407</c:v>
                </c:pt>
                <c:pt idx="219">
                  <c:v>37.445510204081636</c:v>
                </c:pt>
                <c:pt idx="220">
                  <c:v>37.474204081632649</c:v>
                </c:pt>
                <c:pt idx="221">
                  <c:v>37.445510204081636</c:v>
                </c:pt>
                <c:pt idx="222">
                  <c:v>37.158571428571427</c:v>
                </c:pt>
                <c:pt idx="223">
                  <c:v>37.101183673469393</c:v>
                </c:pt>
                <c:pt idx="224">
                  <c:v>36.699469387755101</c:v>
                </c:pt>
                <c:pt idx="225">
                  <c:v>36.584693877551018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0-4A36-8F6D-C743694C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80591"/>
        <c:axId val="2117272911"/>
      </c:scatterChart>
      <c:valAx>
        <c:axId val="21172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2911"/>
        <c:crosses val="autoZero"/>
        <c:crossBetween val="midCat"/>
      </c:valAx>
      <c:valAx>
        <c:axId val="21172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Gym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Log'!$P$2:$P$227</c:f>
              <c:numCache>
                <c:formatCode>General</c:formatCode>
                <c:ptCount val="22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253-841A-029B7C1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363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3631"/>
        <c:crosses val="autoZero"/>
        <c:crossBetween val="midCat"/>
      </c:valAx>
      <c:valAx>
        <c:axId val="2117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Log'!$O$2:$O$227</c:f>
              <c:numCache>
                <c:formatCode>0.00</c:formatCode>
                <c:ptCount val="226"/>
                <c:pt idx="0">
                  <c:v>35.192117361578489</c:v>
                </c:pt>
                <c:pt idx="1">
                  <c:v>34.574687297799606</c:v>
                </c:pt>
                <c:pt idx="2">
                  <c:v>34.574687297799606</c:v>
                </c:pt>
                <c:pt idx="3">
                  <c:v>34.574687297799606</c:v>
                </c:pt>
                <c:pt idx="4">
                  <c:v>33.946879773643239</c:v>
                </c:pt>
                <c:pt idx="5">
                  <c:v>34.574687297799606</c:v>
                </c:pt>
                <c:pt idx="6">
                  <c:v>33.946879773643239</c:v>
                </c:pt>
                <c:pt idx="7">
                  <c:v>33.946879773643239</c:v>
                </c:pt>
                <c:pt idx="8">
                  <c:v>34.574687297799606</c:v>
                </c:pt>
                <c:pt idx="9">
                  <c:v>34.574687297799606</c:v>
                </c:pt>
                <c:pt idx="10">
                  <c:v>33.946879773643239</c:v>
                </c:pt>
                <c:pt idx="11">
                  <c:v>33.308339978650658</c:v>
                </c:pt>
                <c:pt idx="12">
                  <c:v>33.946879773643239</c:v>
                </c:pt>
                <c:pt idx="13">
                  <c:v>33.308339978650658</c:v>
                </c:pt>
                <c:pt idx="14">
                  <c:v>33.308339978650658</c:v>
                </c:pt>
                <c:pt idx="15">
                  <c:v>33.308339978650658</c:v>
                </c:pt>
                <c:pt idx="16">
                  <c:v>33.308339978650658</c:v>
                </c:pt>
                <c:pt idx="17">
                  <c:v>33.308339978650658</c:v>
                </c:pt>
                <c:pt idx="18">
                  <c:v>33.308339978650658</c:v>
                </c:pt>
                <c:pt idx="19">
                  <c:v>33.308339978650658</c:v>
                </c:pt>
                <c:pt idx="20">
                  <c:v>33.308339978650658</c:v>
                </c:pt>
                <c:pt idx="21">
                  <c:v>32.6586945886934</c:v>
                </c:pt>
                <c:pt idx="22">
                  <c:v>32.6586945886934</c:v>
                </c:pt>
                <c:pt idx="23">
                  <c:v>31.997550455105717</c:v>
                </c:pt>
                <c:pt idx="24">
                  <c:v>32.6586945886934</c:v>
                </c:pt>
                <c:pt idx="25">
                  <c:v>31.997550455105717</c:v>
                </c:pt>
                <c:pt idx="26">
                  <c:v>33.308339978650658</c:v>
                </c:pt>
                <c:pt idx="27">
                  <c:v>31.997550455105717</c:v>
                </c:pt>
                <c:pt idx="28">
                  <c:v>31.997550455105717</c:v>
                </c:pt>
                <c:pt idx="29">
                  <c:v>31.997550455105717</c:v>
                </c:pt>
                <c:pt idx="30">
                  <c:v>31.997550455105717</c:v>
                </c:pt>
                <c:pt idx="31">
                  <c:v>31.997550455105717</c:v>
                </c:pt>
                <c:pt idx="32">
                  <c:v>31.324493175702337</c:v>
                </c:pt>
                <c:pt idx="33">
                  <c:v>31.324493175702337</c:v>
                </c:pt>
                <c:pt idx="34">
                  <c:v>31.324493175702337</c:v>
                </c:pt>
                <c:pt idx="35">
                  <c:v>31.324493175702337</c:v>
                </c:pt>
                <c:pt idx="36">
                  <c:v>31.324493175702337</c:v>
                </c:pt>
                <c:pt idx="37">
                  <c:v>31.324493175702337</c:v>
                </c:pt>
                <c:pt idx="38">
                  <c:v>31.997550455105717</c:v>
                </c:pt>
                <c:pt idx="39">
                  <c:v>31.997550455105717</c:v>
                </c:pt>
                <c:pt idx="40">
                  <c:v>30.639085534675949</c:v>
                </c:pt>
                <c:pt idx="41">
                  <c:v>31.324493175702337</c:v>
                </c:pt>
                <c:pt idx="42">
                  <c:v>31.324493175702337</c:v>
                </c:pt>
                <c:pt idx="43">
                  <c:v>31.324493175702337</c:v>
                </c:pt>
                <c:pt idx="44">
                  <c:v>31.324493175702337</c:v>
                </c:pt>
                <c:pt idx="45">
                  <c:v>31.997550455105717</c:v>
                </c:pt>
                <c:pt idx="46">
                  <c:v>31.997550455105717</c:v>
                </c:pt>
                <c:pt idx="47">
                  <c:v>31.324493175702337</c:v>
                </c:pt>
                <c:pt idx="48">
                  <c:v>31.324493175702337</c:v>
                </c:pt>
                <c:pt idx="49">
                  <c:v>31.324493175702337</c:v>
                </c:pt>
                <c:pt idx="50">
                  <c:v>31.324493175702337</c:v>
                </c:pt>
                <c:pt idx="51">
                  <c:v>31.324493175702337</c:v>
                </c:pt>
                <c:pt idx="52">
                  <c:v>31.324493175702337</c:v>
                </c:pt>
                <c:pt idx="53">
                  <c:v>31.324493175702337</c:v>
                </c:pt>
                <c:pt idx="54">
                  <c:v>30.639085534675949</c:v>
                </c:pt>
                <c:pt idx="55">
                  <c:v>30.639085534675949</c:v>
                </c:pt>
                <c:pt idx="56">
                  <c:v>30.639085534675949</c:v>
                </c:pt>
                <c:pt idx="57">
                  <c:v>30.639085534675949</c:v>
                </c:pt>
                <c:pt idx="58">
                  <c:v>30.639085534675949</c:v>
                </c:pt>
                <c:pt idx="59">
                  <c:v>29.940865796666294</c:v>
                </c:pt>
                <c:pt idx="60">
                  <c:v>29.940865796666294</c:v>
                </c:pt>
                <c:pt idx="61">
                  <c:v>30.639085534675949</c:v>
                </c:pt>
                <c:pt idx="62">
                  <c:v>31.324493175702337</c:v>
                </c:pt>
                <c:pt idx="63">
                  <c:v>30.639085534675949</c:v>
                </c:pt>
                <c:pt idx="64">
                  <c:v>30.639085534675949</c:v>
                </c:pt>
                <c:pt idx="65">
                  <c:v>30.639085534675949</c:v>
                </c:pt>
                <c:pt idx="66">
                  <c:v>30.639085534675949</c:v>
                </c:pt>
                <c:pt idx="67">
                  <c:v>30.639085534675949</c:v>
                </c:pt>
                <c:pt idx="68">
                  <c:v>31.324493175702337</c:v>
                </c:pt>
                <c:pt idx="69">
                  <c:v>30.639085534675949</c:v>
                </c:pt>
                <c:pt idx="70">
                  <c:v>30.639085534675949</c:v>
                </c:pt>
                <c:pt idx="71">
                  <c:v>29.940865796666294</c:v>
                </c:pt>
                <c:pt idx="72">
                  <c:v>29.940865796666294</c:v>
                </c:pt>
                <c:pt idx="73">
                  <c:v>29.940865796666294</c:v>
                </c:pt>
                <c:pt idx="74">
                  <c:v>31.324493175702337</c:v>
                </c:pt>
                <c:pt idx="75">
                  <c:v>30.639085534675949</c:v>
                </c:pt>
                <c:pt idx="76">
                  <c:v>29.940865796666294</c:v>
                </c:pt>
                <c:pt idx="77">
                  <c:v>30.639085534675949</c:v>
                </c:pt>
                <c:pt idx="78">
                  <c:v>30.639085534675949</c:v>
                </c:pt>
                <c:pt idx="79">
                  <c:v>30.639085534675949</c:v>
                </c:pt>
                <c:pt idx="80">
                  <c:v>30.639085534675949</c:v>
                </c:pt>
                <c:pt idx="81">
                  <c:v>29.940865796666294</c:v>
                </c:pt>
                <c:pt idx="82">
                  <c:v>30.639085534675949</c:v>
                </c:pt>
                <c:pt idx="83">
                  <c:v>30.639085534675949</c:v>
                </c:pt>
                <c:pt idx="84">
                  <c:v>30.639085534675949</c:v>
                </c:pt>
                <c:pt idx="85">
                  <c:v>30.639085534675949</c:v>
                </c:pt>
                <c:pt idx="86">
                  <c:v>30.639085534675949</c:v>
                </c:pt>
                <c:pt idx="87">
                  <c:v>30.639085534675949</c:v>
                </c:pt>
                <c:pt idx="88">
                  <c:v>30.639085534675949</c:v>
                </c:pt>
                <c:pt idx="89">
                  <c:v>31.324493175702337</c:v>
                </c:pt>
                <c:pt idx="90">
                  <c:v>30.639085534675949</c:v>
                </c:pt>
                <c:pt idx="91">
                  <c:v>30.639085534675949</c:v>
                </c:pt>
                <c:pt idx="92">
                  <c:v>31.324493175702337</c:v>
                </c:pt>
                <c:pt idx="93">
                  <c:v>31.997550455105717</c:v>
                </c:pt>
                <c:pt idx="94">
                  <c:v>31.997550455105717</c:v>
                </c:pt>
                <c:pt idx="95">
                  <c:v>31.324493175702337</c:v>
                </c:pt>
                <c:pt idx="96">
                  <c:v>31.324493175702337</c:v>
                </c:pt>
                <c:pt idx="97">
                  <c:v>31.324493175702337</c:v>
                </c:pt>
                <c:pt idx="98">
                  <c:v>30.639085534675949</c:v>
                </c:pt>
                <c:pt idx="99">
                  <c:v>29.940865796666294</c:v>
                </c:pt>
                <c:pt idx="100">
                  <c:v>30.639085534675949</c:v>
                </c:pt>
                <c:pt idx="101">
                  <c:v>29.940865796666294</c:v>
                </c:pt>
                <c:pt idx="102">
                  <c:v>31.324493175702337</c:v>
                </c:pt>
                <c:pt idx="103">
                  <c:v>31.997550455105717</c:v>
                </c:pt>
                <c:pt idx="104">
                  <c:v>31.997550455105717</c:v>
                </c:pt>
                <c:pt idx="105">
                  <c:v>31.997550455105717</c:v>
                </c:pt>
                <c:pt idx="106">
                  <c:v>31.324493175702337</c:v>
                </c:pt>
                <c:pt idx="107">
                  <c:v>31.324493175702337</c:v>
                </c:pt>
                <c:pt idx="108">
                  <c:v>30.639085534675949</c:v>
                </c:pt>
                <c:pt idx="109">
                  <c:v>30.639085534675949</c:v>
                </c:pt>
                <c:pt idx="110">
                  <c:v>30.639085534675949</c:v>
                </c:pt>
                <c:pt idx="111">
                  <c:v>31.324493175702337</c:v>
                </c:pt>
                <c:pt idx="112">
                  <c:v>30.639085534675949</c:v>
                </c:pt>
                <c:pt idx="113">
                  <c:v>30.639085534675949</c:v>
                </c:pt>
                <c:pt idx="114">
                  <c:v>30.639085534675949</c:v>
                </c:pt>
                <c:pt idx="115">
                  <c:v>30.639085534675949</c:v>
                </c:pt>
                <c:pt idx="116">
                  <c:v>30.639085534675949</c:v>
                </c:pt>
                <c:pt idx="117">
                  <c:v>29.940865796666294</c:v>
                </c:pt>
                <c:pt idx="118">
                  <c:v>29.940865796666294</c:v>
                </c:pt>
                <c:pt idx="119">
                  <c:v>29.940865796666294</c:v>
                </c:pt>
                <c:pt idx="120">
                  <c:v>29.940865796666294</c:v>
                </c:pt>
                <c:pt idx="121">
                  <c:v>30.639085534675949</c:v>
                </c:pt>
                <c:pt idx="122">
                  <c:v>30.639085534675949</c:v>
                </c:pt>
                <c:pt idx="123">
                  <c:v>30.639085534675949</c:v>
                </c:pt>
                <c:pt idx="124">
                  <c:v>30.639085534675949</c:v>
                </c:pt>
                <c:pt idx="125">
                  <c:v>30.639085534675949</c:v>
                </c:pt>
                <c:pt idx="126">
                  <c:v>30.639085534675949</c:v>
                </c:pt>
                <c:pt idx="127">
                  <c:v>30.639085534675949</c:v>
                </c:pt>
                <c:pt idx="128">
                  <c:v>30.639085534675949</c:v>
                </c:pt>
                <c:pt idx="129">
                  <c:v>31.324493175702337</c:v>
                </c:pt>
                <c:pt idx="130">
                  <c:v>31.324493175702337</c:v>
                </c:pt>
                <c:pt idx="131">
                  <c:v>31.324493175702337</c:v>
                </c:pt>
                <c:pt idx="132">
                  <c:v>31.324493175702337</c:v>
                </c:pt>
                <c:pt idx="133">
                  <c:v>31.324493175702337</c:v>
                </c:pt>
                <c:pt idx="134">
                  <c:v>31.997550455105717</c:v>
                </c:pt>
                <c:pt idx="135">
                  <c:v>31.997550455105717</c:v>
                </c:pt>
                <c:pt idx="136">
                  <c:v>31.997550455105717</c:v>
                </c:pt>
                <c:pt idx="137">
                  <c:v>31.997550455105717</c:v>
                </c:pt>
                <c:pt idx="138">
                  <c:v>31.997550455105717</c:v>
                </c:pt>
                <c:pt idx="139">
                  <c:v>31.324493175702337</c:v>
                </c:pt>
                <c:pt idx="140">
                  <c:v>31.324493175702337</c:v>
                </c:pt>
                <c:pt idx="141">
                  <c:v>31.324493175702337</c:v>
                </c:pt>
                <c:pt idx="142">
                  <c:v>31.324493175702337</c:v>
                </c:pt>
                <c:pt idx="143">
                  <c:v>31.324493175702337</c:v>
                </c:pt>
                <c:pt idx="144">
                  <c:v>31.324493175702337</c:v>
                </c:pt>
                <c:pt idx="145">
                  <c:v>31.324493175702337</c:v>
                </c:pt>
                <c:pt idx="146">
                  <c:v>31.324493175702337</c:v>
                </c:pt>
                <c:pt idx="147">
                  <c:v>31.324493175702337</c:v>
                </c:pt>
                <c:pt idx="148">
                  <c:v>31.324493175702337</c:v>
                </c:pt>
                <c:pt idx="149">
                  <c:v>31.324493175702337</c:v>
                </c:pt>
                <c:pt idx="150">
                  <c:v>31.324493175702337</c:v>
                </c:pt>
                <c:pt idx="151">
                  <c:v>31.324493175702337</c:v>
                </c:pt>
                <c:pt idx="152">
                  <c:v>31.324493175702337</c:v>
                </c:pt>
                <c:pt idx="153">
                  <c:v>31.324493175702337</c:v>
                </c:pt>
                <c:pt idx="154">
                  <c:v>31.324493175702337</c:v>
                </c:pt>
                <c:pt idx="155">
                  <c:v>31.324493175702337</c:v>
                </c:pt>
                <c:pt idx="156">
                  <c:v>31.324493175702337</c:v>
                </c:pt>
                <c:pt idx="157">
                  <c:v>31.997550455105717</c:v>
                </c:pt>
                <c:pt idx="158">
                  <c:v>31.997550455105717</c:v>
                </c:pt>
                <c:pt idx="159">
                  <c:v>31.997550455105717</c:v>
                </c:pt>
                <c:pt idx="160">
                  <c:v>31.997550455105717</c:v>
                </c:pt>
                <c:pt idx="161">
                  <c:v>31.997550455105717</c:v>
                </c:pt>
                <c:pt idx="162">
                  <c:v>31.997550455105717</c:v>
                </c:pt>
                <c:pt idx="163">
                  <c:v>31.997550455105717</c:v>
                </c:pt>
                <c:pt idx="164">
                  <c:v>31.997550455105717</c:v>
                </c:pt>
                <c:pt idx="165">
                  <c:v>32.6586945886934</c:v>
                </c:pt>
                <c:pt idx="166">
                  <c:v>32.6586945886934</c:v>
                </c:pt>
                <c:pt idx="167">
                  <c:v>31.997550455105717</c:v>
                </c:pt>
                <c:pt idx="168">
                  <c:v>31.997550455105717</c:v>
                </c:pt>
                <c:pt idx="169">
                  <c:v>31.997550455105717</c:v>
                </c:pt>
                <c:pt idx="170">
                  <c:v>31.997550455105717</c:v>
                </c:pt>
                <c:pt idx="171">
                  <c:v>31.997550455105717</c:v>
                </c:pt>
                <c:pt idx="172">
                  <c:v>31.997550455105717</c:v>
                </c:pt>
                <c:pt idx="173">
                  <c:v>31.997550455105717</c:v>
                </c:pt>
                <c:pt idx="174">
                  <c:v>31.997550455105717</c:v>
                </c:pt>
                <c:pt idx="175">
                  <c:v>31.997550455105717</c:v>
                </c:pt>
                <c:pt idx="176">
                  <c:v>31.324493175702337</c:v>
                </c:pt>
                <c:pt idx="177">
                  <c:v>31.324493175702337</c:v>
                </c:pt>
                <c:pt idx="178">
                  <c:v>31.324493175702337</c:v>
                </c:pt>
                <c:pt idx="179">
                  <c:v>31.997550455105717</c:v>
                </c:pt>
                <c:pt idx="180">
                  <c:v>31.997550455105717</c:v>
                </c:pt>
                <c:pt idx="181">
                  <c:v>32.6586945886934</c:v>
                </c:pt>
                <c:pt idx="182">
                  <c:v>32.6586945886934</c:v>
                </c:pt>
                <c:pt idx="183">
                  <c:v>32.6586945886934</c:v>
                </c:pt>
                <c:pt idx="184">
                  <c:v>32.6586945886934</c:v>
                </c:pt>
                <c:pt idx="185">
                  <c:v>31.997550455105717</c:v>
                </c:pt>
                <c:pt idx="186">
                  <c:v>31.997550455105717</c:v>
                </c:pt>
                <c:pt idx="187">
                  <c:v>31.997550455105717</c:v>
                </c:pt>
                <c:pt idx="188">
                  <c:v>31.997550455105717</c:v>
                </c:pt>
                <c:pt idx="189">
                  <c:v>31.997550455105717</c:v>
                </c:pt>
                <c:pt idx="190">
                  <c:v>32.6586945886934</c:v>
                </c:pt>
                <c:pt idx="191">
                  <c:v>32.6586945886934</c:v>
                </c:pt>
                <c:pt idx="192">
                  <c:v>31.997550455105717</c:v>
                </c:pt>
                <c:pt idx="193">
                  <c:v>31.997550455105717</c:v>
                </c:pt>
                <c:pt idx="194">
                  <c:v>31.997550455105717</c:v>
                </c:pt>
                <c:pt idx="195">
                  <c:v>31.997550455105717</c:v>
                </c:pt>
                <c:pt idx="196">
                  <c:v>31.997550455105717</c:v>
                </c:pt>
                <c:pt idx="197">
                  <c:v>31.997550455105717</c:v>
                </c:pt>
                <c:pt idx="198">
                  <c:v>32.6586945886934</c:v>
                </c:pt>
                <c:pt idx="199">
                  <c:v>32.6586945886934</c:v>
                </c:pt>
                <c:pt idx="200">
                  <c:v>32.6586945886934</c:v>
                </c:pt>
                <c:pt idx="201">
                  <c:v>32.6586945886934</c:v>
                </c:pt>
                <c:pt idx="202">
                  <c:v>32.6586945886934</c:v>
                </c:pt>
                <c:pt idx="203">
                  <c:v>33.308339978650658</c:v>
                </c:pt>
                <c:pt idx="204">
                  <c:v>32.6586945886934</c:v>
                </c:pt>
                <c:pt idx="205">
                  <c:v>33.308339978650658</c:v>
                </c:pt>
                <c:pt idx="206">
                  <c:v>33.946879773643239</c:v>
                </c:pt>
                <c:pt idx="207">
                  <c:v>33.308339978650658</c:v>
                </c:pt>
                <c:pt idx="208">
                  <c:v>32.6586945886934</c:v>
                </c:pt>
                <c:pt idx="209">
                  <c:v>33.308339978650658</c:v>
                </c:pt>
                <c:pt idx="210">
                  <c:v>32.6586945886934</c:v>
                </c:pt>
                <c:pt idx="211">
                  <c:v>33.308339978650658</c:v>
                </c:pt>
                <c:pt idx="212">
                  <c:v>33.308339978650658</c:v>
                </c:pt>
                <c:pt idx="213">
                  <c:v>32.6586945886934</c:v>
                </c:pt>
                <c:pt idx="214">
                  <c:v>31.997550455105717</c:v>
                </c:pt>
                <c:pt idx="215">
                  <c:v>31.997550455105717</c:v>
                </c:pt>
                <c:pt idx="216">
                  <c:v>32.6586945886934</c:v>
                </c:pt>
                <c:pt idx="217">
                  <c:v>31.997550455105717</c:v>
                </c:pt>
                <c:pt idx="218">
                  <c:v>31.997550455105717</c:v>
                </c:pt>
                <c:pt idx="219">
                  <c:v>32.6586945886934</c:v>
                </c:pt>
                <c:pt idx="220">
                  <c:v>32.6586945886934</c:v>
                </c:pt>
                <c:pt idx="221">
                  <c:v>31.997550455105717</c:v>
                </c:pt>
                <c:pt idx="222">
                  <c:v>33.308339978650658</c:v>
                </c:pt>
                <c:pt idx="223">
                  <c:v>32.6586945886934</c:v>
                </c:pt>
                <c:pt idx="224">
                  <c:v>32.6586945886934</c:v>
                </c:pt>
                <c:pt idx="225">
                  <c:v>32.6586945886934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3-4E5E-A60E-22095AFA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9375"/>
        <c:axId val="2123675535"/>
      </c:scatterChart>
      <c:valAx>
        <c:axId val="2123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5535"/>
        <c:crosses val="autoZero"/>
        <c:crossBetween val="midCat"/>
      </c:valAx>
      <c:valAx>
        <c:axId val="2123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Log'!$Q$2:$Q$227</c:f>
              <c:numCache>
                <c:formatCode>General</c:formatCode>
                <c:ptCount val="2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0-4C78-BE81-76EA5237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56175"/>
        <c:axId val="2123757135"/>
      </c:scatterChart>
      <c:valAx>
        <c:axId val="21237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7135"/>
        <c:crosses val="autoZero"/>
        <c:crossBetween val="midCat"/>
      </c:valAx>
      <c:valAx>
        <c:axId val="2123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Log'!$F$2:$F$227</c:f>
              <c:numCache>
                <c:formatCode>0.00</c:formatCode>
                <c:ptCount val="226"/>
                <c:pt idx="0">
                  <c:v>113</c:v>
                </c:pt>
                <c:pt idx="1">
                  <c:v>114</c:v>
                </c:pt>
                <c:pt idx="2">
                  <c:v>136</c:v>
                </c:pt>
                <c:pt idx="3">
                  <c:v>131</c:v>
                </c:pt>
                <c:pt idx="4">
                  <c:v>123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120</c:v>
                </c:pt>
                <c:pt idx="9">
                  <c:v>119</c:v>
                </c:pt>
                <c:pt idx="10">
                  <c:v>136</c:v>
                </c:pt>
                <c:pt idx="11">
                  <c:v>128</c:v>
                </c:pt>
                <c:pt idx="12">
                  <c:v>127</c:v>
                </c:pt>
                <c:pt idx="13">
                  <c:v>115</c:v>
                </c:pt>
                <c:pt idx="14">
                  <c:v>127</c:v>
                </c:pt>
                <c:pt idx="15">
                  <c:v>131</c:v>
                </c:pt>
                <c:pt idx="16">
                  <c:v>134</c:v>
                </c:pt>
                <c:pt idx="17">
                  <c:v>121</c:v>
                </c:pt>
                <c:pt idx="18">
                  <c:v>132</c:v>
                </c:pt>
                <c:pt idx="19">
                  <c:v>136</c:v>
                </c:pt>
                <c:pt idx="20">
                  <c:v>128</c:v>
                </c:pt>
                <c:pt idx="21">
                  <c:v>136</c:v>
                </c:pt>
                <c:pt idx="22">
                  <c:v>137</c:v>
                </c:pt>
                <c:pt idx="23">
                  <c:v>136</c:v>
                </c:pt>
                <c:pt idx="24">
                  <c:v>113</c:v>
                </c:pt>
                <c:pt idx="25">
                  <c:v>113</c:v>
                </c:pt>
                <c:pt idx="26">
                  <c:v>148</c:v>
                </c:pt>
                <c:pt idx="27">
                  <c:v>138</c:v>
                </c:pt>
                <c:pt idx="28">
                  <c:v>112</c:v>
                </c:pt>
                <c:pt idx="29">
                  <c:v>134</c:v>
                </c:pt>
                <c:pt idx="30">
                  <c:v>128</c:v>
                </c:pt>
                <c:pt idx="31">
                  <c:v>120</c:v>
                </c:pt>
                <c:pt idx="32">
                  <c:v>128</c:v>
                </c:pt>
                <c:pt idx="33">
                  <c:v>124</c:v>
                </c:pt>
                <c:pt idx="34">
                  <c:v>137</c:v>
                </c:pt>
                <c:pt idx="35">
                  <c:v>141</c:v>
                </c:pt>
                <c:pt idx="36">
                  <c:v>128</c:v>
                </c:pt>
                <c:pt idx="37">
                  <c:v>126</c:v>
                </c:pt>
                <c:pt idx="38">
                  <c:v>140</c:v>
                </c:pt>
                <c:pt idx="39">
                  <c:v>149</c:v>
                </c:pt>
                <c:pt idx="40">
                  <c:v>143</c:v>
                </c:pt>
                <c:pt idx="41">
                  <c:v>133</c:v>
                </c:pt>
                <c:pt idx="42">
                  <c:v>141</c:v>
                </c:pt>
                <c:pt idx="43">
                  <c:v>143</c:v>
                </c:pt>
                <c:pt idx="44">
                  <c:v>141</c:v>
                </c:pt>
                <c:pt idx="45">
                  <c:v>134</c:v>
                </c:pt>
                <c:pt idx="46">
                  <c:v>111</c:v>
                </c:pt>
                <c:pt idx="47">
                  <c:v>132</c:v>
                </c:pt>
                <c:pt idx="48">
                  <c:v>133</c:v>
                </c:pt>
                <c:pt idx="49">
                  <c:v>138</c:v>
                </c:pt>
                <c:pt idx="50">
                  <c:v>138</c:v>
                </c:pt>
                <c:pt idx="51">
                  <c:v>136</c:v>
                </c:pt>
                <c:pt idx="52">
                  <c:v>108</c:v>
                </c:pt>
                <c:pt idx="53">
                  <c:v>142</c:v>
                </c:pt>
                <c:pt idx="54">
                  <c:v>128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146</c:v>
                </c:pt>
                <c:pt idx="59">
                  <c:v>131</c:v>
                </c:pt>
                <c:pt idx="60">
                  <c:v>144</c:v>
                </c:pt>
                <c:pt idx="61">
                  <c:v>147</c:v>
                </c:pt>
                <c:pt idx="62">
                  <c:v>140</c:v>
                </c:pt>
                <c:pt idx="63">
                  <c:v>134</c:v>
                </c:pt>
                <c:pt idx="64">
                  <c:v>128</c:v>
                </c:pt>
                <c:pt idx="65">
                  <c:v>146</c:v>
                </c:pt>
                <c:pt idx="66">
                  <c:v>124</c:v>
                </c:pt>
                <c:pt idx="67">
                  <c:v>128</c:v>
                </c:pt>
                <c:pt idx="68">
                  <c:v>123</c:v>
                </c:pt>
                <c:pt idx="69">
                  <c:v>141</c:v>
                </c:pt>
                <c:pt idx="70">
                  <c:v>143</c:v>
                </c:pt>
                <c:pt idx="71">
                  <c:v>128</c:v>
                </c:pt>
                <c:pt idx="72">
                  <c:v>131</c:v>
                </c:pt>
                <c:pt idx="73">
                  <c:v>132</c:v>
                </c:pt>
                <c:pt idx="74">
                  <c:v>137</c:v>
                </c:pt>
                <c:pt idx="75">
                  <c:v>133</c:v>
                </c:pt>
                <c:pt idx="76">
                  <c:v>133</c:v>
                </c:pt>
                <c:pt idx="77">
                  <c:v>128</c:v>
                </c:pt>
                <c:pt idx="78">
                  <c:v>142</c:v>
                </c:pt>
                <c:pt idx="79">
                  <c:v>112</c:v>
                </c:pt>
                <c:pt idx="80">
                  <c:v>127</c:v>
                </c:pt>
                <c:pt idx="81">
                  <c:v>141</c:v>
                </c:pt>
                <c:pt idx="82">
                  <c:v>124</c:v>
                </c:pt>
                <c:pt idx="83">
                  <c:v>136</c:v>
                </c:pt>
                <c:pt idx="84">
                  <c:v>131</c:v>
                </c:pt>
                <c:pt idx="85">
                  <c:v>136</c:v>
                </c:pt>
                <c:pt idx="86">
                  <c:v>131</c:v>
                </c:pt>
                <c:pt idx="87">
                  <c:v>130</c:v>
                </c:pt>
                <c:pt idx="88">
                  <c:v>132</c:v>
                </c:pt>
                <c:pt idx="89">
                  <c:v>141</c:v>
                </c:pt>
                <c:pt idx="90">
                  <c:v>140</c:v>
                </c:pt>
                <c:pt idx="91">
                  <c:v>135</c:v>
                </c:pt>
                <c:pt idx="92">
                  <c:v>159</c:v>
                </c:pt>
                <c:pt idx="93">
                  <c:v>132</c:v>
                </c:pt>
                <c:pt idx="94">
                  <c:v>114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141</c:v>
                </c:pt>
                <c:pt idx="99">
                  <c:v>145</c:v>
                </c:pt>
                <c:pt idx="100">
                  <c:v>111</c:v>
                </c:pt>
                <c:pt idx="101">
                  <c:v>128</c:v>
                </c:pt>
                <c:pt idx="102">
                  <c:v>132</c:v>
                </c:pt>
                <c:pt idx="103">
                  <c:v>140</c:v>
                </c:pt>
                <c:pt idx="104">
                  <c:v>132</c:v>
                </c:pt>
                <c:pt idx="105">
                  <c:v>136</c:v>
                </c:pt>
                <c:pt idx="106">
                  <c:v>121</c:v>
                </c:pt>
                <c:pt idx="107">
                  <c:v>135</c:v>
                </c:pt>
                <c:pt idx="108">
                  <c:v>135</c:v>
                </c:pt>
                <c:pt idx="109">
                  <c:v>138</c:v>
                </c:pt>
                <c:pt idx="110">
                  <c:v>142</c:v>
                </c:pt>
                <c:pt idx="111">
                  <c:v>116</c:v>
                </c:pt>
                <c:pt idx="112">
                  <c:v>128</c:v>
                </c:pt>
                <c:pt idx="113">
                  <c:v>140</c:v>
                </c:pt>
                <c:pt idx="114">
                  <c:v>133</c:v>
                </c:pt>
                <c:pt idx="115">
                  <c:v>116</c:v>
                </c:pt>
                <c:pt idx="116">
                  <c:v>128</c:v>
                </c:pt>
                <c:pt idx="117">
                  <c:v>128</c:v>
                </c:pt>
                <c:pt idx="118">
                  <c:v>121</c:v>
                </c:pt>
                <c:pt idx="119">
                  <c:v>131</c:v>
                </c:pt>
                <c:pt idx="120">
                  <c:v>116</c:v>
                </c:pt>
                <c:pt idx="121">
                  <c:v>136</c:v>
                </c:pt>
                <c:pt idx="122">
                  <c:v>145</c:v>
                </c:pt>
                <c:pt idx="123">
                  <c:v>112</c:v>
                </c:pt>
                <c:pt idx="124">
                  <c:v>134</c:v>
                </c:pt>
                <c:pt idx="125">
                  <c:v>142</c:v>
                </c:pt>
                <c:pt idx="126">
                  <c:v>133</c:v>
                </c:pt>
                <c:pt idx="127">
                  <c:v>160</c:v>
                </c:pt>
                <c:pt idx="128">
                  <c:v>123</c:v>
                </c:pt>
                <c:pt idx="129">
                  <c:v>130</c:v>
                </c:pt>
                <c:pt idx="130">
                  <c:v>137</c:v>
                </c:pt>
                <c:pt idx="131">
                  <c:v>136</c:v>
                </c:pt>
                <c:pt idx="132">
                  <c:v>124</c:v>
                </c:pt>
                <c:pt idx="133">
                  <c:v>122</c:v>
                </c:pt>
                <c:pt idx="134">
                  <c:v>124</c:v>
                </c:pt>
                <c:pt idx="135">
                  <c:v>139</c:v>
                </c:pt>
                <c:pt idx="136">
                  <c:v>123</c:v>
                </c:pt>
                <c:pt idx="137">
                  <c:v>127</c:v>
                </c:pt>
                <c:pt idx="138">
                  <c:v>132</c:v>
                </c:pt>
                <c:pt idx="139">
                  <c:v>140</c:v>
                </c:pt>
                <c:pt idx="140">
                  <c:v>123</c:v>
                </c:pt>
                <c:pt idx="141">
                  <c:v>129</c:v>
                </c:pt>
                <c:pt idx="142">
                  <c:v>133</c:v>
                </c:pt>
                <c:pt idx="143">
                  <c:v>116</c:v>
                </c:pt>
                <c:pt idx="144">
                  <c:v>128</c:v>
                </c:pt>
                <c:pt idx="145">
                  <c:v>140</c:v>
                </c:pt>
                <c:pt idx="146">
                  <c:v>138</c:v>
                </c:pt>
                <c:pt idx="147">
                  <c:v>126</c:v>
                </c:pt>
                <c:pt idx="148">
                  <c:v>119</c:v>
                </c:pt>
                <c:pt idx="149">
                  <c:v>132</c:v>
                </c:pt>
                <c:pt idx="150">
                  <c:v>138</c:v>
                </c:pt>
                <c:pt idx="151">
                  <c:v>124</c:v>
                </c:pt>
                <c:pt idx="152">
                  <c:v>124</c:v>
                </c:pt>
                <c:pt idx="153">
                  <c:v>122</c:v>
                </c:pt>
                <c:pt idx="154">
                  <c:v>123</c:v>
                </c:pt>
                <c:pt idx="155">
                  <c:v>124</c:v>
                </c:pt>
                <c:pt idx="156">
                  <c:v>140</c:v>
                </c:pt>
                <c:pt idx="157">
                  <c:v>140</c:v>
                </c:pt>
                <c:pt idx="158">
                  <c:v>129</c:v>
                </c:pt>
                <c:pt idx="159">
                  <c:v>124</c:v>
                </c:pt>
                <c:pt idx="160">
                  <c:v>123</c:v>
                </c:pt>
                <c:pt idx="161">
                  <c:v>144</c:v>
                </c:pt>
                <c:pt idx="162">
                  <c:v>133</c:v>
                </c:pt>
                <c:pt idx="163">
                  <c:v>127</c:v>
                </c:pt>
                <c:pt idx="164">
                  <c:v>134</c:v>
                </c:pt>
                <c:pt idx="165">
                  <c:v>124</c:v>
                </c:pt>
                <c:pt idx="166">
                  <c:v>131</c:v>
                </c:pt>
                <c:pt idx="167">
                  <c:v>140</c:v>
                </c:pt>
                <c:pt idx="168">
                  <c:v>142</c:v>
                </c:pt>
                <c:pt idx="169">
                  <c:v>127</c:v>
                </c:pt>
                <c:pt idx="170">
                  <c:v>140</c:v>
                </c:pt>
                <c:pt idx="171">
                  <c:v>136</c:v>
                </c:pt>
                <c:pt idx="172">
                  <c:v>128</c:v>
                </c:pt>
                <c:pt idx="173">
                  <c:v>133</c:v>
                </c:pt>
                <c:pt idx="174">
                  <c:v>132</c:v>
                </c:pt>
                <c:pt idx="175">
                  <c:v>148</c:v>
                </c:pt>
                <c:pt idx="176">
                  <c:v>136</c:v>
                </c:pt>
                <c:pt idx="177">
                  <c:v>117</c:v>
                </c:pt>
                <c:pt idx="178">
                  <c:v>141</c:v>
                </c:pt>
                <c:pt idx="179">
                  <c:v>142</c:v>
                </c:pt>
                <c:pt idx="180">
                  <c:v>129</c:v>
                </c:pt>
                <c:pt idx="181">
                  <c:v>125</c:v>
                </c:pt>
                <c:pt idx="182">
                  <c:v>134</c:v>
                </c:pt>
                <c:pt idx="183">
                  <c:v>119</c:v>
                </c:pt>
                <c:pt idx="184">
                  <c:v>135</c:v>
                </c:pt>
                <c:pt idx="185">
                  <c:v>144</c:v>
                </c:pt>
                <c:pt idx="186">
                  <c:v>140</c:v>
                </c:pt>
                <c:pt idx="187">
                  <c:v>132</c:v>
                </c:pt>
                <c:pt idx="188">
                  <c:v>117</c:v>
                </c:pt>
                <c:pt idx="189">
                  <c:v>117</c:v>
                </c:pt>
                <c:pt idx="190">
                  <c:v>136</c:v>
                </c:pt>
                <c:pt idx="191">
                  <c:v>122</c:v>
                </c:pt>
                <c:pt idx="192">
                  <c:v>133</c:v>
                </c:pt>
                <c:pt idx="193">
                  <c:v>106</c:v>
                </c:pt>
                <c:pt idx="194">
                  <c:v>141</c:v>
                </c:pt>
                <c:pt idx="195">
                  <c:v>130</c:v>
                </c:pt>
                <c:pt idx="196">
                  <c:v>128</c:v>
                </c:pt>
                <c:pt idx="197">
                  <c:v>128</c:v>
                </c:pt>
                <c:pt idx="198">
                  <c:v>139</c:v>
                </c:pt>
                <c:pt idx="199">
                  <c:v>140</c:v>
                </c:pt>
                <c:pt idx="200">
                  <c:v>127</c:v>
                </c:pt>
                <c:pt idx="201">
                  <c:v>141</c:v>
                </c:pt>
                <c:pt idx="202">
                  <c:v>134</c:v>
                </c:pt>
                <c:pt idx="203">
                  <c:v>133</c:v>
                </c:pt>
                <c:pt idx="204">
                  <c:v>127</c:v>
                </c:pt>
                <c:pt idx="205">
                  <c:v>131</c:v>
                </c:pt>
                <c:pt idx="206">
                  <c:v>153</c:v>
                </c:pt>
                <c:pt idx="207">
                  <c:v>140</c:v>
                </c:pt>
                <c:pt idx="208">
                  <c:v>136</c:v>
                </c:pt>
                <c:pt idx="209">
                  <c:v>136</c:v>
                </c:pt>
                <c:pt idx="210">
                  <c:v>131</c:v>
                </c:pt>
                <c:pt idx="211">
                  <c:v>144</c:v>
                </c:pt>
                <c:pt idx="212">
                  <c:v>129</c:v>
                </c:pt>
                <c:pt idx="213">
                  <c:v>136</c:v>
                </c:pt>
                <c:pt idx="214">
                  <c:v>146</c:v>
                </c:pt>
                <c:pt idx="215">
                  <c:v>119</c:v>
                </c:pt>
                <c:pt idx="216">
                  <c:v>134</c:v>
                </c:pt>
                <c:pt idx="217">
                  <c:v>132</c:v>
                </c:pt>
                <c:pt idx="218">
                  <c:v>137</c:v>
                </c:pt>
                <c:pt idx="219">
                  <c:v>134</c:v>
                </c:pt>
                <c:pt idx="220">
                  <c:v>124</c:v>
                </c:pt>
                <c:pt idx="221">
                  <c:v>137</c:v>
                </c:pt>
                <c:pt idx="222">
                  <c:v>140</c:v>
                </c:pt>
                <c:pt idx="223">
                  <c:v>130</c:v>
                </c:pt>
                <c:pt idx="224">
                  <c:v>136</c:v>
                </c:pt>
                <c:pt idx="225">
                  <c:v>127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1-40D8-9BAD-FAA02044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655"/>
        <c:axId val="2123648175"/>
      </c:scatterChart>
      <c:valAx>
        <c:axId val="21236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8175"/>
        <c:crosses val="autoZero"/>
        <c:crossBetween val="midCat"/>
      </c:valAx>
      <c:valAx>
        <c:axId val="2123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Log'!$R$2:$R$227</c:f>
              <c:numCache>
                <c:formatCode>0.00</c:formatCode>
                <c:ptCount val="226"/>
                <c:pt idx="0">
                  <c:v>1465</c:v>
                </c:pt>
                <c:pt idx="1">
                  <c:v>2521</c:v>
                </c:pt>
                <c:pt idx="2">
                  <c:v>1385.1916666666666</c:v>
                </c:pt>
                <c:pt idx="3">
                  <c:v>570</c:v>
                </c:pt>
                <c:pt idx="4">
                  <c:v>1946.3333333333301</c:v>
                </c:pt>
                <c:pt idx="5">
                  <c:v>1265.2333333333333</c:v>
                </c:pt>
                <c:pt idx="6">
                  <c:v>2167.3333333333335</c:v>
                </c:pt>
                <c:pt idx="7">
                  <c:v>4080</c:v>
                </c:pt>
                <c:pt idx="8">
                  <c:v>2535.9333333333334</c:v>
                </c:pt>
                <c:pt idx="9">
                  <c:v>1635.9333333333334</c:v>
                </c:pt>
                <c:pt idx="10">
                  <c:v>1645.3333333333333</c:v>
                </c:pt>
                <c:pt idx="11">
                  <c:v>1216.2666666666669</c:v>
                </c:pt>
                <c:pt idx="12">
                  <c:v>2812.3583333333336</c:v>
                </c:pt>
                <c:pt idx="13">
                  <c:v>1805.45</c:v>
                </c:pt>
                <c:pt idx="14">
                  <c:v>1547.6925000000001</c:v>
                </c:pt>
                <c:pt idx="15">
                  <c:v>2194.1925000000001</c:v>
                </c:pt>
                <c:pt idx="16">
                  <c:v>954.40000000000009</c:v>
                </c:pt>
                <c:pt idx="17">
                  <c:v>1094.4000000000001</c:v>
                </c:pt>
                <c:pt idx="18">
                  <c:v>952.90000000000009</c:v>
                </c:pt>
                <c:pt idx="19">
                  <c:v>2076.0425</c:v>
                </c:pt>
                <c:pt idx="20">
                  <c:v>1171.1500000000001</c:v>
                </c:pt>
                <c:pt idx="21">
                  <c:v>1103.1424999999999</c:v>
                </c:pt>
                <c:pt idx="22">
                  <c:v>1099.3403333333333</c:v>
                </c:pt>
                <c:pt idx="23">
                  <c:v>929.57666666666671</c:v>
                </c:pt>
                <c:pt idx="24">
                  <c:v>1264.6766666666667</c:v>
                </c:pt>
                <c:pt idx="25">
                  <c:v>1016.4766666666667</c:v>
                </c:pt>
                <c:pt idx="26">
                  <c:v>1494.2766666666666</c:v>
                </c:pt>
                <c:pt idx="27">
                  <c:v>1373.0766666666666</c:v>
                </c:pt>
                <c:pt idx="28">
                  <c:v>1208.0766666666666</c:v>
                </c:pt>
                <c:pt idx="29">
                  <c:v>1084.4850000000001</c:v>
                </c:pt>
                <c:pt idx="30">
                  <c:v>838.5150000000001</c:v>
                </c:pt>
                <c:pt idx="31">
                  <c:v>1120.8966666666668</c:v>
                </c:pt>
                <c:pt idx="32">
                  <c:v>961.5150000000001</c:v>
                </c:pt>
                <c:pt idx="33">
                  <c:v>1679.0300000000002</c:v>
                </c:pt>
                <c:pt idx="34">
                  <c:v>910.89666666666676</c:v>
                </c:pt>
                <c:pt idx="35">
                  <c:v>1913</c:v>
                </c:pt>
                <c:pt idx="36">
                  <c:v>660.31500000000005</c:v>
                </c:pt>
                <c:pt idx="37">
                  <c:v>8729</c:v>
                </c:pt>
                <c:pt idx="38">
                  <c:v>5246</c:v>
                </c:pt>
                <c:pt idx="39">
                  <c:v>4250</c:v>
                </c:pt>
                <c:pt idx="40">
                  <c:v>3910</c:v>
                </c:pt>
                <c:pt idx="41">
                  <c:v>2672</c:v>
                </c:pt>
                <c:pt idx="42">
                  <c:v>2990</c:v>
                </c:pt>
                <c:pt idx="43">
                  <c:v>4480</c:v>
                </c:pt>
                <c:pt idx="44">
                  <c:v>4097.0910000000003</c:v>
                </c:pt>
                <c:pt idx="45">
                  <c:v>4807.8961428571429</c:v>
                </c:pt>
                <c:pt idx="46">
                  <c:v>1731.8363095238096</c:v>
                </c:pt>
                <c:pt idx="47">
                  <c:v>1426.5876015289059</c:v>
                </c:pt>
                <c:pt idx="48">
                  <c:v>1383.4785714285715</c:v>
                </c:pt>
                <c:pt idx="49">
                  <c:v>1320.5876015289059</c:v>
                </c:pt>
                <c:pt idx="50">
                  <c:v>1420.5876015289059</c:v>
                </c:pt>
                <c:pt idx="51">
                  <c:v>2715.5266666666666</c:v>
                </c:pt>
                <c:pt idx="52">
                  <c:v>1360.5876015289059</c:v>
                </c:pt>
                <c:pt idx="53">
                  <c:v>1806.7666666666669</c:v>
                </c:pt>
                <c:pt idx="54">
                  <c:v>1420.5876015289059</c:v>
                </c:pt>
                <c:pt idx="55">
                  <c:v>2139.6756967670008</c:v>
                </c:pt>
                <c:pt idx="56">
                  <c:v>1865.945238095238</c:v>
                </c:pt>
                <c:pt idx="57">
                  <c:v>950.84523809523807</c:v>
                </c:pt>
                <c:pt idx="58">
                  <c:v>1500.1</c:v>
                </c:pt>
                <c:pt idx="59">
                  <c:v>947.84523809523807</c:v>
                </c:pt>
                <c:pt idx="60">
                  <c:v>1579.1</c:v>
                </c:pt>
                <c:pt idx="61">
                  <c:v>1396.8452380952381</c:v>
                </c:pt>
                <c:pt idx="62">
                  <c:v>1535.945238095238</c:v>
                </c:pt>
                <c:pt idx="63">
                  <c:v>917.09999999999991</c:v>
                </c:pt>
                <c:pt idx="64">
                  <c:v>5571</c:v>
                </c:pt>
                <c:pt idx="65">
                  <c:v>563</c:v>
                </c:pt>
                <c:pt idx="66">
                  <c:v>1751.8452380952381</c:v>
                </c:pt>
                <c:pt idx="67">
                  <c:v>6805.1</c:v>
                </c:pt>
                <c:pt idx="68">
                  <c:v>1611.3416666666667</c:v>
                </c:pt>
                <c:pt idx="69">
                  <c:v>1531.4642857142858</c:v>
                </c:pt>
                <c:pt idx="70">
                  <c:v>1168.6833333333334</c:v>
                </c:pt>
                <c:pt idx="71">
                  <c:v>5765.9809523809527</c:v>
                </c:pt>
                <c:pt idx="72">
                  <c:v>1465</c:v>
                </c:pt>
                <c:pt idx="73">
                  <c:v>5250</c:v>
                </c:pt>
                <c:pt idx="74">
                  <c:v>1052.6833333333334</c:v>
                </c:pt>
                <c:pt idx="75">
                  <c:v>1256.7809523809524</c:v>
                </c:pt>
                <c:pt idx="76">
                  <c:v>1981.3666666666666</c:v>
                </c:pt>
                <c:pt idx="77">
                  <c:v>1446.7809523809524</c:v>
                </c:pt>
                <c:pt idx="78">
                  <c:v>6761.2809523809519</c:v>
                </c:pt>
                <c:pt idx="79">
                  <c:v>3475</c:v>
                </c:pt>
                <c:pt idx="80">
                  <c:v>1697.6833333333334</c:v>
                </c:pt>
                <c:pt idx="81">
                  <c:v>2614.1476190476192</c:v>
                </c:pt>
                <c:pt idx="82">
                  <c:v>2384.9333333333334</c:v>
                </c:pt>
                <c:pt idx="83">
                  <c:v>1826.8833333333332</c:v>
                </c:pt>
                <c:pt idx="84">
                  <c:v>3227.333333333333</c:v>
                </c:pt>
                <c:pt idx="85">
                  <c:v>5149.2775000000001</c:v>
                </c:pt>
                <c:pt idx="86">
                  <c:v>6937.7775000000001</c:v>
                </c:pt>
                <c:pt idx="87">
                  <c:v>1985.5549999999998</c:v>
                </c:pt>
                <c:pt idx="88">
                  <c:v>2473.7108333333331</c:v>
                </c:pt>
                <c:pt idx="89">
                  <c:v>3155.1333333333332</c:v>
                </c:pt>
                <c:pt idx="90">
                  <c:v>2717.6</c:v>
                </c:pt>
                <c:pt idx="91">
                  <c:v>7706.8</c:v>
                </c:pt>
                <c:pt idx="92">
                  <c:v>6005.7866666666669</c:v>
                </c:pt>
                <c:pt idx="93">
                  <c:v>1501.3583333333331</c:v>
                </c:pt>
                <c:pt idx="94">
                  <c:v>1293.1566666666668</c:v>
                </c:pt>
                <c:pt idx="95">
                  <c:v>2740.1949999999997</c:v>
                </c:pt>
                <c:pt idx="96">
                  <c:v>1731.3566666666666</c:v>
                </c:pt>
                <c:pt idx="97">
                  <c:v>2851.8975</c:v>
                </c:pt>
                <c:pt idx="98">
                  <c:v>3982.0666666666666</c:v>
                </c:pt>
                <c:pt idx="99">
                  <c:v>4340.2266666666665</c:v>
                </c:pt>
                <c:pt idx="100">
                  <c:v>6197.8975</c:v>
                </c:pt>
                <c:pt idx="101">
                  <c:v>7687</c:v>
                </c:pt>
                <c:pt idx="102">
                  <c:v>1855.9666666666667</c:v>
                </c:pt>
                <c:pt idx="103">
                  <c:v>1957.58</c:v>
                </c:pt>
                <c:pt idx="104">
                  <c:v>1957.58</c:v>
                </c:pt>
                <c:pt idx="105">
                  <c:v>2466.2033333333334</c:v>
                </c:pt>
                <c:pt idx="106">
                  <c:v>2987.55</c:v>
                </c:pt>
                <c:pt idx="107">
                  <c:v>1735.0233333333333</c:v>
                </c:pt>
                <c:pt idx="108">
                  <c:v>1204.9933333333333</c:v>
                </c:pt>
                <c:pt idx="109">
                  <c:v>2981.1</c:v>
                </c:pt>
                <c:pt idx="110">
                  <c:v>2506.7633333333333</c:v>
                </c:pt>
                <c:pt idx="111">
                  <c:v>3673.7</c:v>
                </c:pt>
                <c:pt idx="112">
                  <c:v>2366.0533333333333</c:v>
                </c:pt>
                <c:pt idx="113">
                  <c:v>1635.9233333333332</c:v>
                </c:pt>
                <c:pt idx="114">
                  <c:v>1498.1</c:v>
                </c:pt>
                <c:pt idx="115">
                  <c:v>1605.0633333333333</c:v>
                </c:pt>
                <c:pt idx="116">
                  <c:v>1748.55</c:v>
                </c:pt>
                <c:pt idx="117">
                  <c:v>1548.4</c:v>
                </c:pt>
                <c:pt idx="118">
                  <c:v>1562</c:v>
                </c:pt>
                <c:pt idx="119">
                  <c:v>1366</c:v>
                </c:pt>
                <c:pt idx="120">
                  <c:v>1257.0999999999999</c:v>
                </c:pt>
                <c:pt idx="121">
                  <c:v>8222</c:v>
                </c:pt>
                <c:pt idx="122">
                  <c:v>4515.8237499999996</c:v>
                </c:pt>
                <c:pt idx="123">
                  <c:v>5192.6812499999996</c:v>
                </c:pt>
                <c:pt idx="124">
                  <c:v>560</c:v>
                </c:pt>
                <c:pt idx="125">
                  <c:v>4345.1558333333342</c:v>
                </c:pt>
                <c:pt idx="126">
                  <c:v>5061.466071428571</c:v>
                </c:pt>
                <c:pt idx="127">
                  <c:v>7330.8238095238103</c:v>
                </c:pt>
                <c:pt idx="128">
                  <c:v>6810.4339285714286</c:v>
                </c:pt>
                <c:pt idx="129">
                  <c:v>5391.7351190476193</c:v>
                </c:pt>
                <c:pt idx="130">
                  <c:v>4849.4448214285712</c:v>
                </c:pt>
                <c:pt idx="131">
                  <c:v>500</c:v>
                </c:pt>
                <c:pt idx="132">
                  <c:v>5525</c:v>
                </c:pt>
                <c:pt idx="133">
                  <c:v>4857.2833333333328</c:v>
                </c:pt>
                <c:pt idx="134">
                  <c:v>4762.6833333333334</c:v>
                </c:pt>
                <c:pt idx="135">
                  <c:v>4631.3</c:v>
                </c:pt>
                <c:pt idx="136">
                  <c:v>3025.2295833333337</c:v>
                </c:pt>
                <c:pt idx="137">
                  <c:v>3309.7843750000002</c:v>
                </c:pt>
                <c:pt idx="138">
                  <c:v>692</c:v>
                </c:pt>
                <c:pt idx="139">
                  <c:v>3776.5233333333335</c:v>
                </c:pt>
                <c:pt idx="140">
                  <c:v>4886.0414583333331</c:v>
                </c:pt>
                <c:pt idx="141">
                  <c:v>3312.8814583333333</c:v>
                </c:pt>
                <c:pt idx="142">
                  <c:v>3113.3677083333332</c:v>
                </c:pt>
                <c:pt idx="143">
                  <c:v>4050.583333333333</c:v>
                </c:pt>
                <c:pt idx="144">
                  <c:v>2263.6781249999999</c:v>
                </c:pt>
                <c:pt idx="145">
                  <c:v>10</c:v>
                </c:pt>
                <c:pt idx="146">
                  <c:v>2235.6781249999999</c:v>
                </c:pt>
                <c:pt idx="147">
                  <c:v>6047</c:v>
                </c:pt>
                <c:pt idx="148">
                  <c:v>2667</c:v>
                </c:pt>
                <c:pt idx="149">
                  <c:v>2940</c:v>
                </c:pt>
                <c:pt idx="150">
                  <c:v>1592</c:v>
                </c:pt>
                <c:pt idx="151">
                  <c:v>5802.7849999999999</c:v>
                </c:pt>
                <c:pt idx="152">
                  <c:v>1316.9749999999999</c:v>
                </c:pt>
                <c:pt idx="153">
                  <c:v>1219.3699999999999</c:v>
                </c:pt>
                <c:pt idx="154">
                  <c:v>2270.0566666666668</c:v>
                </c:pt>
                <c:pt idx="155">
                  <c:v>2812.5150000000003</c:v>
                </c:pt>
                <c:pt idx="156">
                  <c:v>7104.37</c:v>
                </c:pt>
                <c:pt idx="157">
                  <c:v>1995.5166666666667</c:v>
                </c:pt>
                <c:pt idx="158">
                  <c:v>2392.7399999999998</c:v>
                </c:pt>
                <c:pt idx="159">
                  <c:v>1908.2166666666665</c:v>
                </c:pt>
                <c:pt idx="160">
                  <c:v>4115.6466666666665</c:v>
                </c:pt>
                <c:pt idx="161">
                  <c:v>2253.5166666666664</c:v>
                </c:pt>
                <c:pt idx="162">
                  <c:v>4339.55</c:v>
                </c:pt>
                <c:pt idx="163">
                  <c:v>2963.74</c:v>
                </c:pt>
                <c:pt idx="164">
                  <c:v>5194.74</c:v>
                </c:pt>
                <c:pt idx="165">
                  <c:v>2174</c:v>
                </c:pt>
                <c:pt idx="166">
                  <c:v>2046.3866666666668</c:v>
                </c:pt>
                <c:pt idx="167">
                  <c:v>1417.494375</c:v>
                </c:pt>
                <c:pt idx="168">
                  <c:v>2175.2666666666664</c:v>
                </c:pt>
                <c:pt idx="169">
                  <c:v>2027.547619047619</c:v>
                </c:pt>
                <c:pt idx="170">
                  <c:v>3443.7610416666666</c:v>
                </c:pt>
                <c:pt idx="171">
                  <c:v>3056.2666666666664</c:v>
                </c:pt>
                <c:pt idx="172">
                  <c:v>6201.5</c:v>
                </c:pt>
                <c:pt idx="173">
                  <c:v>3067.041994047619</c:v>
                </c:pt>
                <c:pt idx="174">
                  <c:v>2795.8586607142856</c:v>
                </c:pt>
                <c:pt idx="175">
                  <c:v>2490.5476190476193</c:v>
                </c:pt>
                <c:pt idx="176">
                  <c:v>2392.6666666666665</c:v>
                </c:pt>
                <c:pt idx="177">
                  <c:v>1220.4000000000001</c:v>
                </c:pt>
                <c:pt idx="178">
                  <c:v>4894.0476190476193</c:v>
                </c:pt>
                <c:pt idx="179">
                  <c:v>2821.5142857142855</c:v>
                </c:pt>
                <c:pt idx="180">
                  <c:v>2853.2666666666664</c:v>
                </c:pt>
                <c:pt idx="181">
                  <c:v>1625.2666666666667</c:v>
                </c:pt>
                <c:pt idx="182">
                  <c:v>3921.0125595238096</c:v>
                </c:pt>
                <c:pt idx="183">
                  <c:v>2820.7610416666666</c:v>
                </c:pt>
                <c:pt idx="184">
                  <c:v>1694.2666666666667</c:v>
                </c:pt>
                <c:pt idx="185">
                  <c:v>963.26666666666665</c:v>
                </c:pt>
                <c:pt idx="186">
                  <c:v>2564.7571428571428</c:v>
                </c:pt>
                <c:pt idx="187">
                  <c:v>3749.5142857142855</c:v>
                </c:pt>
                <c:pt idx="188">
                  <c:v>2080.6566666666668</c:v>
                </c:pt>
                <c:pt idx="189">
                  <c:v>6100.4210416666665</c:v>
                </c:pt>
                <c:pt idx="190">
                  <c:v>4590.5896130952387</c:v>
                </c:pt>
                <c:pt idx="191">
                  <c:v>4289.8196130952383</c:v>
                </c:pt>
                <c:pt idx="192">
                  <c:v>5915</c:v>
                </c:pt>
                <c:pt idx="193">
                  <c:v>5619.666666666667</c:v>
                </c:pt>
                <c:pt idx="194">
                  <c:v>2403.3229464285714</c:v>
                </c:pt>
                <c:pt idx="195">
                  <c:v>2964.7252380952382</c:v>
                </c:pt>
                <c:pt idx="196">
                  <c:v>3016.4285714285716</c:v>
                </c:pt>
                <c:pt idx="197">
                  <c:v>2835.166666666667</c:v>
                </c:pt>
                <c:pt idx="198">
                  <c:v>3105.8571428571431</c:v>
                </c:pt>
                <c:pt idx="199">
                  <c:v>4711.3943749999999</c:v>
                </c:pt>
                <c:pt idx="200">
                  <c:v>5535.3943749999999</c:v>
                </c:pt>
                <c:pt idx="201">
                  <c:v>6639</c:v>
                </c:pt>
                <c:pt idx="202">
                  <c:v>4938.1818750000002</c:v>
                </c:pt>
                <c:pt idx="203">
                  <c:v>6715.1818750000002</c:v>
                </c:pt>
                <c:pt idx="204">
                  <c:v>6197</c:v>
                </c:pt>
                <c:pt idx="205">
                  <c:v>5768.4333333333334</c:v>
                </c:pt>
                <c:pt idx="206">
                  <c:v>1053.2833333333333</c:v>
                </c:pt>
                <c:pt idx="207">
                  <c:v>3000.2233333333334</c:v>
                </c:pt>
                <c:pt idx="208">
                  <c:v>3526.6766666666667</c:v>
                </c:pt>
                <c:pt idx="209">
                  <c:v>4550.4666666666662</c:v>
                </c:pt>
                <c:pt idx="210">
                  <c:v>1650.7433333333333</c:v>
                </c:pt>
                <c:pt idx="211">
                  <c:v>2914.3553395667836</c:v>
                </c:pt>
                <c:pt idx="212">
                  <c:v>2914.3553395667836</c:v>
                </c:pt>
                <c:pt idx="213">
                  <c:v>2914.3553395667836</c:v>
                </c:pt>
                <c:pt idx="214">
                  <c:v>2914.3553395667836</c:v>
                </c:pt>
                <c:pt idx="215">
                  <c:v>2914.3553395667836</c:v>
                </c:pt>
                <c:pt idx="216">
                  <c:v>2914.3553395667836</c:v>
                </c:pt>
                <c:pt idx="217">
                  <c:v>2914.3553395667836</c:v>
                </c:pt>
                <c:pt idx="218">
                  <c:v>3404.6666666666665</c:v>
                </c:pt>
                <c:pt idx="219">
                  <c:v>3011</c:v>
                </c:pt>
                <c:pt idx="220">
                  <c:v>1508</c:v>
                </c:pt>
                <c:pt idx="221">
                  <c:v>4368</c:v>
                </c:pt>
                <c:pt idx="222">
                  <c:v>1983.9</c:v>
                </c:pt>
                <c:pt idx="223">
                  <c:v>1723.8200000000002</c:v>
                </c:pt>
                <c:pt idx="224">
                  <c:v>2553.94</c:v>
                </c:pt>
                <c:pt idx="225">
                  <c:v>8019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5-4EF5-A565-4866793C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6255"/>
        <c:axId val="2123707215"/>
      </c:scatterChart>
      <c:valAx>
        <c:axId val="212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7215"/>
        <c:crosses val="autoZero"/>
        <c:crossBetween val="midCat"/>
      </c:valAx>
      <c:valAx>
        <c:axId val="2123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190084572761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Log'!$S$2:$S$227</c:f>
              <c:numCache>
                <c:formatCode>0.00</c:formatCode>
                <c:ptCount val="226"/>
                <c:pt idx="0">
                  <c:v>189.5</c:v>
                </c:pt>
                <c:pt idx="1">
                  <c:v>499.95</c:v>
                </c:pt>
                <c:pt idx="2">
                  <c:v>172.41208333333333</c:v>
                </c:pt>
                <c:pt idx="3">
                  <c:v>108</c:v>
                </c:pt>
                <c:pt idx="4">
                  <c:v>259.04000000000002</c:v>
                </c:pt>
                <c:pt idx="5">
                  <c:v>195.20333333333332</c:v>
                </c:pt>
                <c:pt idx="6">
                  <c:v>309.47333333333336</c:v>
                </c:pt>
                <c:pt idx="7">
                  <c:v>349</c:v>
                </c:pt>
                <c:pt idx="8">
                  <c:v>235.18333333333331</c:v>
                </c:pt>
                <c:pt idx="9">
                  <c:v>139.18333333333331</c:v>
                </c:pt>
                <c:pt idx="10">
                  <c:v>119.54166666666666</c:v>
                </c:pt>
                <c:pt idx="11">
                  <c:v>111.93333333333332</c:v>
                </c:pt>
                <c:pt idx="12">
                  <c:v>287.93333333333334</c:v>
                </c:pt>
                <c:pt idx="13">
                  <c:v>206.88333333333333</c:v>
                </c:pt>
                <c:pt idx="14">
                  <c:v>204.06225000000001</c:v>
                </c:pt>
                <c:pt idx="15">
                  <c:v>280.62708333333336</c:v>
                </c:pt>
                <c:pt idx="16">
                  <c:v>116.63333333333333</c:v>
                </c:pt>
                <c:pt idx="17">
                  <c:v>142.63333333333333</c:v>
                </c:pt>
                <c:pt idx="18">
                  <c:v>116.42333333333333</c:v>
                </c:pt>
                <c:pt idx="19">
                  <c:v>293.27308333333337</c:v>
                </c:pt>
                <c:pt idx="20">
                  <c:v>124.89999999999998</c:v>
                </c:pt>
                <c:pt idx="21">
                  <c:v>126.84975</c:v>
                </c:pt>
                <c:pt idx="22">
                  <c:v>136.31986666666666</c:v>
                </c:pt>
                <c:pt idx="23">
                  <c:v>119.70183333333333</c:v>
                </c:pt>
                <c:pt idx="24">
                  <c:v>131.39683333333335</c:v>
                </c:pt>
                <c:pt idx="25">
                  <c:v>129.08183333333335</c:v>
                </c:pt>
                <c:pt idx="26">
                  <c:v>168.80183333333335</c:v>
                </c:pt>
                <c:pt idx="27">
                  <c:v>150.42183333333332</c:v>
                </c:pt>
                <c:pt idx="28">
                  <c:v>172.42183333333332</c:v>
                </c:pt>
                <c:pt idx="29">
                  <c:v>112.8995</c:v>
                </c:pt>
                <c:pt idx="30">
                  <c:v>90.527500000000003</c:v>
                </c:pt>
                <c:pt idx="31">
                  <c:v>68.50333333333333</c:v>
                </c:pt>
                <c:pt idx="32">
                  <c:v>99.227499999999992</c:v>
                </c:pt>
                <c:pt idx="33">
                  <c:v>119.35499999999999</c:v>
                </c:pt>
                <c:pt idx="34">
                  <c:v>43.003333333333337</c:v>
                </c:pt>
                <c:pt idx="35">
                  <c:v>146.79999999999998</c:v>
                </c:pt>
                <c:pt idx="36">
                  <c:v>48.047499999999999</c:v>
                </c:pt>
                <c:pt idx="37">
                  <c:v>908.85000000000014</c:v>
                </c:pt>
                <c:pt idx="38">
                  <c:v>622.20000000000005</c:v>
                </c:pt>
                <c:pt idx="39">
                  <c:v>572.5</c:v>
                </c:pt>
                <c:pt idx="40">
                  <c:v>655</c:v>
                </c:pt>
                <c:pt idx="41">
                  <c:v>340.8</c:v>
                </c:pt>
                <c:pt idx="42">
                  <c:v>364</c:v>
                </c:pt>
                <c:pt idx="43">
                  <c:v>575</c:v>
                </c:pt>
                <c:pt idx="44">
                  <c:v>628.79999999999995</c:v>
                </c:pt>
                <c:pt idx="45">
                  <c:v>631.78571428571422</c:v>
                </c:pt>
                <c:pt idx="46">
                  <c:v>303.92931547619042</c:v>
                </c:pt>
                <c:pt idx="47">
                  <c:v>66.84253132133567</c:v>
                </c:pt>
                <c:pt idx="48">
                  <c:v>63.817261904761914</c:v>
                </c:pt>
                <c:pt idx="49">
                  <c:v>70.942531321335665</c:v>
                </c:pt>
                <c:pt idx="50">
                  <c:v>71.442531321335665</c:v>
                </c:pt>
                <c:pt idx="51">
                  <c:v>346.685</c:v>
                </c:pt>
                <c:pt idx="52">
                  <c:v>71.442531321335665</c:v>
                </c:pt>
                <c:pt idx="53">
                  <c:v>151.16</c:v>
                </c:pt>
                <c:pt idx="54">
                  <c:v>72.442531321335665</c:v>
                </c:pt>
                <c:pt idx="55">
                  <c:v>215.71526941657376</c:v>
                </c:pt>
                <c:pt idx="56">
                  <c:v>178.92202380952378</c:v>
                </c:pt>
                <c:pt idx="57">
                  <c:v>44.072023809523806</c:v>
                </c:pt>
                <c:pt idx="58">
                  <c:v>73.849999999999994</c:v>
                </c:pt>
                <c:pt idx="59">
                  <c:v>47.87202380952381</c:v>
                </c:pt>
                <c:pt idx="60">
                  <c:v>51.45</c:v>
                </c:pt>
                <c:pt idx="61">
                  <c:v>103.9720238095238</c:v>
                </c:pt>
                <c:pt idx="62">
                  <c:v>50.922023809523814</c:v>
                </c:pt>
                <c:pt idx="63">
                  <c:v>86.149999999999991</c:v>
                </c:pt>
                <c:pt idx="64">
                  <c:v>731.84999999999991</c:v>
                </c:pt>
                <c:pt idx="65">
                  <c:v>80.800000000000011</c:v>
                </c:pt>
                <c:pt idx="66">
                  <c:v>236.07202380952378</c:v>
                </c:pt>
                <c:pt idx="67">
                  <c:v>837.35000000000014</c:v>
                </c:pt>
                <c:pt idx="68">
                  <c:v>114.51944444444445</c:v>
                </c:pt>
                <c:pt idx="69">
                  <c:v>61.185317460317457</c:v>
                </c:pt>
                <c:pt idx="70">
                  <c:v>116.63888888888889</c:v>
                </c:pt>
                <c:pt idx="71">
                  <c:v>818.50642857142861</c:v>
                </c:pt>
                <c:pt idx="72">
                  <c:v>148.1</c:v>
                </c:pt>
                <c:pt idx="73">
                  <c:v>756</c:v>
                </c:pt>
                <c:pt idx="74">
                  <c:v>92.538888888888891</c:v>
                </c:pt>
                <c:pt idx="75">
                  <c:v>66.046428571428578</c:v>
                </c:pt>
                <c:pt idx="76">
                  <c:v>122.57777777777777</c:v>
                </c:pt>
                <c:pt idx="77">
                  <c:v>140.54642857142855</c:v>
                </c:pt>
                <c:pt idx="78">
                  <c:v>936.84642857142853</c:v>
                </c:pt>
                <c:pt idx="79">
                  <c:v>342.6</c:v>
                </c:pt>
                <c:pt idx="80">
                  <c:v>241.83888888888887</c:v>
                </c:pt>
                <c:pt idx="81">
                  <c:v>412.20642857142855</c:v>
                </c:pt>
                <c:pt idx="82">
                  <c:v>390.66500000000002</c:v>
                </c:pt>
                <c:pt idx="83">
                  <c:v>321.42</c:v>
                </c:pt>
                <c:pt idx="84">
                  <c:v>466.72500000000002</c:v>
                </c:pt>
                <c:pt idx="85">
                  <c:v>797.06784722222221</c:v>
                </c:pt>
                <c:pt idx="86">
                  <c:v>989.93312500000002</c:v>
                </c:pt>
                <c:pt idx="87">
                  <c:v>303.86625000000004</c:v>
                </c:pt>
                <c:pt idx="88">
                  <c:v>310.198125</c:v>
                </c:pt>
                <c:pt idx="89">
                  <c:v>326.05972222222221</c:v>
                </c:pt>
                <c:pt idx="90">
                  <c:v>268.66944444444448</c:v>
                </c:pt>
                <c:pt idx="91">
                  <c:v>934.53472222222229</c:v>
                </c:pt>
                <c:pt idx="92">
                  <c:v>970.16666666666674</c:v>
                </c:pt>
                <c:pt idx="93">
                  <c:v>99.205555555555549</c:v>
                </c:pt>
                <c:pt idx="94">
                  <c:v>101.54700000000001</c:v>
                </c:pt>
                <c:pt idx="95">
                  <c:v>193.24499999999998</c:v>
                </c:pt>
                <c:pt idx="96">
                  <c:v>208.52799999999999</c:v>
                </c:pt>
                <c:pt idx="97">
                  <c:v>267.30999999999995</c:v>
                </c:pt>
                <c:pt idx="98">
                  <c:v>648.2940000000001</c:v>
                </c:pt>
                <c:pt idx="99">
                  <c:v>671.29300000000012</c:v>
                </c:pt>
                <c:pt idx="100">
                  <c:v>850.51</c:v>
                </c:pt>
                <c:pt idx="101">
                  <c:v>1192.5999999999999</c:v>
                </c:pt>
                <c:pt idx="102">
                  <c:v>290.07400000000001</c:v>
                </c:pt>
                <c:pt idx="103">
                  <c:v>233.24</c:v>
                </c:pt>
                <c:pt idx="104">
                  <c:v>233.24</c:v>
                </c:pt>
                <c:pt idx="105">
                  <c:v>299.18766666666664</c:v>
                </c:pt>
                <c:pt idx="106">
                  <c:v>461.82499999999999</c:v>
                </c:pt>
                <c:pt idx="107">
                  <c:v>171.67666666666665</c:v>
                </c:pt>
                <c:pt idx="108">
                  <c:v>131.89766666666668</c:v>
                </c:pt>
                <c:pt idx="109">
                  <c:v>485.65000000000003</c:v>
                </c:pt>
                <c:pt idx="110">
                  <c:v>408.57266666666663</c:v>
                </c:pt>
                <c:pt idx="111">
                  <c:v>676.7</c:v>
                </c:pt>
                <c:pt idx="112">
                  <c:v>410.00766666666669</c:v>
                </c:pt>
                <c:pt idx="113">
                  <c:v>268.26966666666664</c:v>
                </c:pt>
                <c:pt idx="114">
                  <c:v>139.85</c:v>
                </c:pt>
                <c:pt idx="115">
                  <c:v>267.9496666666667</c:v>
                </c:pt>
                <c:pt idx="116">
                  <c:v>287.77500000000003</c:v>
                </c:pt>
                <c:pt idx="117">
                  <c:v>284.02999999999997</c:v>
                </c:pt>
                <c:pt idx="118">
                  <c:v>304.09999999999997</c:v>
                </c:pt>
                <c:pt idx="119">
                  <c:v>278.7</c:v>
                </c:pt>
                <c:pt idx="120">
                  <c:v>281.8</c:v>
                </c:pt>
                <c:pt idx="121">
                  <c:v>1273.9000000000001</c:v>
                </c:pt>
                <c:pt idx="122">
                  <c:v>873.69037500000002</c:v>
                </c:pt>
                <c:pt idx="123">
                  <c:v>717.67062499999997</c:v>
                </c:pt>
                <c:pt idx="124">
                  <c:v>152</c:v>
                </c:pt>
                <c:pt idx="125">
                  <c:v>606.38508333333334</c:v>
                </c:pt>
                <c:pt idx="126">
                  <c:v>708.60833333333335</c:v>
                </c:pt>
                <c:pt idx="127">
                  <c:v>1146.0858333333333</c:v>
                </c:pt>
                <c:pt idx="128">
                  <c:v>947.95781250000005</c:v>
                </c:pt>
                <c:pt idx="129">
                  <c:v>746.953125</c:v>
                </c:pt>
                <c:pt idx="130">
                  <c:v>581.27920833333326</c:v>
                </c:pt>
                <c:pt idx="131">
                  <c:v>130</c:v>
                </c:pt>
                <c:pt idx="132">
                  <c:v>761.80000000000007</c:v>
                </c:pt>
                <c:pt idx="133">
                  <c:v>656.09333333333336</c:v>
                </c:pt>
                <c:pt idx="134">
                  <c:v>648.98333333333335</c:v>
                </c:pt>
                <c:pt idx="135">
                  <c:v>742.88333333333333</c:v>
                </c:pt>
                <c:pt idx="136">
                  <c:v>520.81616666666662</c:v>
                </c:pt>
                <c:pt idx="137">
                  <c:v>587.67520833333333</c:v>
                </c:pt>
                <c:pt idx="138">
                  <c:v>138.4</c:v>
                </c:pt>
                <c:pt idx="139">
                  <c:v>640.2836666666667</c:v>
                </c:pt>
                <c:pt idx="140">
                  <c:v>730.48337500000002</c:v>
                </c:pt>
                <c:pt idx="141">
                  <c:v>511.657375</c:v>
                </c:pt>
                <c:pt idx="142">
                  <c:v>361.111875</c:v>
                </c:pt>
                <c:pt idx="143">
                  <c:v>644.8366666666667</c:v>
                </c:pt>
                <c:pt idx="144">
                  <c:v>391.88270833333331</c:v>
                </c:pt>
                <c:pt idx="145">
                  <c:v>3</c:v>
                </c:pt>
                <c:pt idx="146">
                  <c:v>412.28270833333335</c:v>
                </c:pt>
                <c:pt idx="147">
                  <c:v>759.4</c:v>
                </c:pt>
                <c:pt idx="148">
                  <c:v>441.4</c:v>
                </c:pt>
                <c:pt idx="149">
                  <c:v>420.5</c:v>
                </c:pt>
                <c:pt idx="150">
                  <c:v>244.8</c:v>
                </c:pt>
                <c:pt idx="151">
                  <c:v>833.42620370370378</c:v>
                </c:pt>
                <c:pt idx="152">
                  <c:v>186.535</c:v>
                </c:pt>
                <c:pt idx="153">
                  <c:v>127.9124074074074</c:v>
                </c:pt>
                <c:pt idx="154">
                  <c:v>329.8830740740741</c:v>
                </c:pt>
                <c:pt idx="155">
                  <c:v>441.84981481481475</c:v>
                </c:pt>
                <c:pt idx="156">
                  <c:v>816.91240740740739</c:v>
                </c:pt>
                <c:pt idx="157">
                  <c:v>299.86666666666667</c:v>
                </c:pt>
                <c:pt idx="158">
                  <c:v>133.42481481481479</c:v>
                </c:pt>
                <c:pt idx="159">
                  <c:v>213.73666666666668</c:v>
                </c:pt>
                <c:pt idx="160">
                  <c:v>463.25366666666667</c:v>
                </c:pt>
                <c:pt idx="161">
                  <c:v>285.66666666666663</c:v>
                </c:pt>
                <c:pt idx="162">
                  <c:v>871.2</c:v>
                </c:pt>
                <c:pt idx="163">
                  <c:v>434.82481481481477</c:v>
                </c:pt>
                <c:pt idx="164">
                  <c:v>666.82481481481477</c:v>
                </c:pt>
                <c:pt idx="165">
                  <c:v>437.6</c:v>
                </c:pt>
                <c:pt idx="166">
                  <c:v>419.45266666666669</c:v>
                </c:pt>
                <c:pt idx="167">
                  <c:v>267.525125</c:v>
                </c:pt>
                <c:pt idx="168">
                  <c:v>376.66666666666669</c:v>
                </c:pt>
                <c:pt idx="169">
                  <c:v>304.3630952380953</c:v>
                </c:pt>
                <c:pt idx="170">
                  <c:v>644.09179166666672</c:v>
                </c:pt>
                <c:pt idx="171">
                  <c:v>601.56666666666661</c:v>
                </c:pt>
                <c:pt idx="172">
                  <c:v>872.35</c:v>
                </c:pt>
                <c:pt idx="173">
                  <c:v>431.28822023809528</c:v>
                </c:pt>
                <c:pt idx="174">
                  <c:v>317.82588690476189</c:v>
                </c:pt>
                <c:pt idx="175">
                  <c:v>300.51309523809522</c:v>
                </c:pt>
                <c:pt idx="176">
                  <c:v>267.20166666666665</c:v>
                </c:pt>
                <c:pt idx="177">
                  <c:v>224.97499999999999</c:v>
                </c:pt>
                <c:pt idx="178">
                  <c:v>812.71309523809532</c:v>
                </c:pt>
                <c:pt idx="179">
                  <c:v>486.04285714285714</c:v>
                </c:pt>
                <c:pt idx="180">
                  <c:v>408.86666666666667</c:v>
                </c:pt>
                <c:pt idx="181">
                  <c:v>146.31666666666666</c:v>
                </c:pt>
                <c:pt idx="182">
                  <c:v>470.13834523809527</c:v>
                </c:pt>
                <c:pt idx="183">
                  <c:v>399.39179166666668</c:v>
                </c:pt>
                <c:pt idx="184">
                  <c:v>165.76666666666668</c:v>
                </c:pt>
                <c:pt idx="185">
                  <c:v>112.86666666666666</c:v>
                </c:pt>
                <c:pt idx="186">
                  <c:v>445.17142857142858</c:v>
                </c:pt>
                <c:pt idx="187">
                  <c:v>587.79285714285709</c:v>
                </c:pt>
                <c:pt idx="188">
                  <c:v>303.20566666666673</c:v>
                </c:pt>
                <c:pt idx="189">
                  <c:v>816.2897916666667</c:v>
                </c:pt>
                <c:pt idx="190">
                  <c:v>709.21607738095236</c:v>
                </c:pt>
                <c:pt idx="191">
                  <c:v>730.96207738095245</c:v>
                </c:pt>
                <c:pt idx="192">
                  <c:v>935</c:v>
                </c:pt>
                <c:pt idx="193">
                  <c:v>794.51666666666665</c:v>
                </c:pt>
                <c:pt idx="194">
                  <c:v>256.10441071428568</c:v>
                </c:pt>
                <c:pt idx="195">
                  <c:v>386.71695238095236</c:v>
                </c:pt>
                <c:pt idx="196">
                  <c:v>546.00428571428574</c:v>
                </c:pt>
                <c:pt idx="197">
                  <c:v>456.7166666666667</c:v>
                </c:pt>
                <c:pt idx="198">
                  <c:v>472.20857142857142</c:v>
                </c:pt>
                <c:pt idx="199">
                  <c:v>600.400125</c:v>
                </c:pt>
                <c:pt idx="200">
                  <c:v>785.00012500000003</c:v>
                </c:pt>
                <c:pt idx="201">
                  <c:v>808.33285714285716</c:v>
                </c:pt>
                <c:pt idx="202">
                  <c:v>646.775125</c:v>
                </c:pt>
                <c:pt idx="203">
                  <c:v>871.47512499999993</c:v>
                </c:pt>
                <c:pt idx="204">
                  <c:v>882.4</c:v>
                </c:pt>
                <c:pt idx="205">
                  <c:v>865</c:v>
                </c:pt>
                <c:pt idx="206">
                  <c:v>99.310333333333318</c:v>
                </c:pt>
                <c:pt idx="207">
                  <c:v>477.03699999999998</c:v>
                </c:pt>
                <c:pt idx="208">
                  <c:v>522.94133333333332</c:v>
                </c:pt>
                <c:pt idx="209">
                  <c:v>650.78666666666675</c:v>
                </c:pt>
                <c:pt idx="210">
                  <c:v>302.88833333333332</c:v>
                </c:pt>
                <c:pt idx="211">
                  <c:v>397.84503909680592</c:v>
                </c:pt>
                <c:pt idx="212">
                  <c:v>397.84503909680592</c:v>
                </c:pt>
                <c:pt idx="213">
                  <c:v>397.84503909680592</c:v>
                </c:pt>
                <c:pt idx="214">
                  <c:v>397.84503909680592</c:v>
                </c:pt>
                <c:pt idx="215">
                  <c:v>397.84503909680592</c:v>
                </c:pt>
                <c:pt idx="216">
                  <c:v>397.84503909680592</c:v>
                </c:pt>
                <c:pt idx="217">
                  <c:v>397.84503909680592</c:v>
                </c:pt>
                <c:pt idx="218">
                  <c:v>638.76666666666665</c:v>
                </c:pt>
                <c:pt idx="219">
                  <c:v>478.1</c:v>
                </c:pt>
                <c:pt idx="220">
                  <c:v>238.3</c:v>
                </c:pt>
                <c:pt idx="221">
                  <c:v>526.29999999999995</c:v>
                </c:pt>
                <c:pt idx="222">
                  <c:v>341.87333333333328</c:v>
                </c:pt>
                <c:pt idx="223">
                  <c:v>269.86933333333332</c:v>
                </c:pt>
                <c:pt idx="224">
                  <c:v>452.02033333333333</c:v>
                </c:pt>
                <c:pt idx="225">
                  <c:v>976.6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3B4-AB42-DC58A50E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4385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3855"/>
        <c:crosses val="autoZero"/>
        <c:crossBetween val="midCat"/>
      </c:valAx>
      <c:valAx>
        <c:axId val="2123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4051195683872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Log'!$T$2:$T$227</c:f>
              <c:numCache>
                <c:formatCode>0.00</c:formatCode>
                <c:ptCount val="226"/>
                <c:pt idx="0">
                  <c:v>50.5</c:v>
                </c:pt>
                <c:pt idx="1">
                  <c:v>85</c:v>
                </c:pt>
                <c:pt idx="2">
                  <c:v>39.075833333333335</c:v>
                </c:pt>
                <c:pt idx="3">
                  <c:v>12</c:v>
                </c:pt>
                <c:pt idx="4">
                  <c:v>60.098333333333343</c:v>
                </c:pt>
                <c:pt idx="5">
                  <c:v>34.861666666666672</c:v>
                </c:pt>
                <c:pt idx="6">
                  <c:v>70.801666666666662</c:v>
                </c:pt>
                <c:pt idx="7">
                  <c:v>229</c:v>
                </c:pt>
                <c:pt idx="8">
                  <c:v>120.44166666666668</c:v>
                </c:pt>
                <c:pt idx="9">
                  <c:v>82.441666666666677</c:v>
                </c:pt>
                <c:pt idx="10">
                  <c:v>76.603333333333339</c:v>
                </c:pt>
                <c:pt idx="11">
                  <c:v>55.379166666666663</c:v>
                </c:pt>
                <c:pt idx="12">
                  <c:v>127.2</c:v>
                </c:pt>
                <c:pt idx="13">
                  <c:v>83.064583333333331</c:v>
                </c:pt>
                <c:pt idx="14">
                  <c:v>56.902499999999996</c:v>
                </c:pt>
                <c:pt idx="15">
                  <c:v>82.025833333333338</c:v>
                </c:pt>
                <c:pt idx="16">
                  <c:v>34.75833333333334</c:v>
                </c:pt>
                <c:pt idx="17">
                  <c:v>37.75833333333334</c:v>
                </c:pt>
                <c:pt idx="18">
                  <c:v>34.708333333333336</c:v>
                </c:pt>
                <c:pt idx="19">
                  <c:v>59.710833333333341</c:v>
                </c:pt>
                <c:pt idx="20">
                  <c:v>43.975000000000001</c:v>
                </c:pt>
                <c:pt idx="21">
                  <c:v>45.002499999999998</c:v>
                </c:pt>
                <c:pt idx="22">
                  <c:v>36.88773333333333</c:v>
                </c:pt>
                <c:pt idx="23">
                  <c:v>29.758666666666667</c:v>
                </c:pt>
                <c:pt idx="24">
                  <c:v>55.948666666666668</c:v>
                </c:pt>
                <c:pt idx="25">
                  <c:v>34.86866666666667</c:v>
                </c:pt>
                <c:pt idx="26">
                  <c:v>64.888666666666666</c:v>
                </c:pt>
                <c:pt idx="27">
                  <c:v>56.808666666666667</c:v>
                </c:pt>
                <c:pt idx="28">
                  <c:v>31.808666666666667</c:v>
                </c:pt>
                <c:pt idx="29">
                  <c:v>44.83</c:v>
                </c:pt>
                <c:pt idx="30">
                  <c:v>35.345666666666673</c:v>
                </c:pt>
                <c:pt idx="31">
                  <c:v>65.075666666666677</c:v>
                </c:pt>
                <c:pt idx="32">
                  <c:v>42.745666666666679</c:v>
                </c:pt>
                <c:pt idx="33">
                  <c:v>89.591333333333353</c:v>
                </c:pt>
                <c:pt idx="34">
                  <c:v>52.075666666666677</c:v>
                </c:pt>
                <c:pt idx="35">
                  <c:v>93.5</c:v>
                </c:pt>
                <c:pt idx="36">
                  <c:v>29.865666666666673</c:v>
                </c:pt>
                <c:pt idx="37">
                  <c:v>275.95</c:v>
                </c:pt>
                <c:pt idx="38">
                  <c:v>233.5</c:v>
                </c:pt>
                <c:pt idx="39">
                  <c:v>165</c:v>
                </c:pt>
                <c:pt idx="40">
                  <c:v>99.25</c:v>
                </c:pt>
                <c:pt idx="41">
                  <c:v>119.6</c:v>
                </c:pt>
                <c:pt idx="42">
                  <c:v>135</c:v>
                </c:pt>
                <c:pt idx="43">
                  <c:v>198</c:v>
                </c:pt>
                <c:pt idx="44">
                  <c:v>116.2924</c:v>
                </c:pt>
                <c:pt idx="45">
                  <c:v>189.84674285714286</c:v>
                </c:pt>
                <c:pt idx="46">
                  <c:v>49.472916666666663</c:v>
                </c:pt>
                <c:pt idx="47">
                  <c:v>75.686984392419191</c:v>
                </c:pt>
                <c:pt idx="48">
                  <c:v>76.954999999999998</c:v>
                </c:pt>
                <c:pt idx="49">
                  <c:v>65.986984392419188</c:v>
                </c:pt>
                <c:pt idx="50">
                  <c:v>74.486984392419188</c:v>
                </c:pt>
                <c:pt idx="51">
                  <c:v>114.53066666666666</c:v>
                </c:pt>
                <c:pt idx="52">
                  <c:v>68.986984392419188</c:v>
                </c:pt>
                <c:pt idx="53">
                  <c:v>95.526666666666657</c:v>
                </c:pt>
                <c:pt idx="54">
                  <c:v>72.486984392419188</c:v>
                </c:pt>
                <c:pt idx="55">
                  <c:v>86.228651059085863</c:v>
                </c:pt>
                <c:pt idx="56">
                  <c:v>79.477380952380969</c:v>
                </c:pt>
                <c:pt idx="57">
                  <c:v>57.210714285714296</c:v>
                </c:pt>
                <c:pt idx="58">
                  <c:v>91.766666666666666</c:v>
                </c:pt>
                <c:pt idx="59">
                  <c:v>54.210714285714296</c:v>
                </c:pt>
                <c:pt idx="60">
                  <c:v>107.96666666666667</c:v>
                </c:pt>
                <c:pt idx="61">
                  <c:v>76.5107142857143</c:v>
                </c:pt>
                <c:pt idx="62">
                  <c:v>93.977380952380969</c:v>
                </c:pt>
                <c:pt idx="63">
                  <c:v>38.466666666666669</c:v>
                </c:pt>
                <c:pt idx="64">
                  <c:v>251.6</c:v>
                </c:pt>
                <c:pt idx="65">
                  <c:v>19.900000000000002</c:v>
                </c:pt>
                <c:pt idx="66">
                  <c:v>61.510714285714293</c:v>
                </c:pt>
                <c:pt idx="67">
                  <c:v>310.46666666666664</c:v>
                </c:pt>
                <c:pt idx="68">
                  <c:v>84.974999999999994</c:v>
                </c:pt>
                <c:pt idx="69">
                  <c:v>88.759523809523827</c:v>
                </c:pt>
                <c:pt idx="70">
                  <c:v>48.45</c:v>
                </c:pt>
                <c:pt idx="71">
                  <c:v>242.8095238095238</c:v>
                </c:pt>
                <c:pt idx="72">
                  <c:v>71.2</c:v>
                </c:pt>
                <c:pt idx="73">
                  <c:v>209</c:v>
                </c:pt>
                <c:pt idx="74">
                  <c:v>47.050000000000004</c:v>
                </c:pt>
                <c:pt idx="75">
                  <c:v>67.80952380952381</c:v>
                </c:pt>
                <c:pt idx="76">
                  <c:v>102.10000000000001</c:v>
                </c:pt>
                <c:pt idx="77">
                  <c:v>62.80952380952381</c:v>
                </c:pt>
                <c:pt idx="78">
                  <c:v>240.2095238095238</c:v>
                </c:pt>
                <c:pt idx="79">
                  <c:v>127.5</c:v>
                </c:pt>
                <c:pt idx="80">
                  <c:v>54.45</c:v>
                </c:pt>
                <c:pt idx="81">
                  <c:v>73.624523809523808</c:v>
                </c:pt>
                <c:pt idx="82">
                  <c:v>63.115000000000002</c:v>
                </c:pt>
                <c:pt idx="83">
                  <c:v>38.720000000000006</c:v>
                </c:pt>
                <c:pt idx="84">
                  <c:v>73.174999999999997</c:v>
                </c:pt>
                <c:pt idx="85">
                  <c:v>134.22624999999999</c:v>
                </c:pt>
                <c:pt idx="86">
                  <c:v>266.45125000000002</c:v>
                </c:pt>
                <c:pt idx="87">
                  <c:v>64.902500000000003</c:v>
                </c:pt>
                <c:pt idx="88">
                  <c:v>86.866250000000008</c:v>
                </c:pt>
                <c:pt idx="89">
                  <c:v>128.44999999999999</c:v>
                </c:pt>
                <c:pt idx="90">
                  <c:v>125.25000000000001</c:v>
                </c:pt>
                <c:pt idx="91">
                  <c:v>327.47499999999997</c:v>
                </c:pt>
                <c:pt idx="92">
                  <c:v>195.5</c:v>
                </c:pt>
                <c:pt idx="93">
                  <c:v>76.7</c:v>
                </c:pt>
                <c:pt idx="94">
                  <c:v>63.729333333333336</c:v>
                </c:pt>
                <c:pt idx="95">
                  <c:v>153.24</c:v>
                </c:pt>
                <c:pt idx="96">
                  <c:v>59.829333333333338</c:v>
                </c:pt>
                <c:pt idx="97">
                  <c:v>141.79500000000002</c:v>
                </c:pt>
                <c:pt idx="98">
                  <c:v>113.22833333333335</c:v>
                </c:pt>
                <c:pt idx="99">
                  <c:v>139.17233333333334</c:v>
                </c:pt>
                <c:pt idx="100">
                  <c:v>259.79499999999996</c:v>
                </c:pt>
                <c:pt idx="101">
                  <c:v>255.2</c:v>
                </c:pt>
                <c:pt idx="102">
                  <c:v>42.768333333333331</c:v>
                </c:pt>
                <c:pt idx="103">
                  <c:v>77.650000000000006</c:v>
                </c:pt>
                <c:pt idx="104">
                  <c:v>77.650000000000006</c:v>
                </c:pt>
                <c:pt idx="105">
                  <c:v>90.930500000000009</c:v>
                </c:pt>
                <c:pt idx="106">
                  <c:v>98.037500000000009</c:v>
                </c:pt>
                <c:pt idx="107">
                  <c:v>65.988500000000002</c:v>
                </c:pt>
                <c:pt idx="108">
                  <c:v>41.879000000000005</c:v>
                </c:pt>
                <c:pt idx="109">
                  <c:v>76.875000000000014</c:v>
                </c:pt>
                <c:pt idx="110">
                  <c:v>65.162000000000006</c:v>
                </c:pt>
                <c:pt idx="111">
                  <c:v>87.5</c:v>
                </c:pt>
                <c:pt idx="112">
                  <c:v>58.052999999999997</c:v>
                </c:pt>
                <c:pt idx="113">
                  <c:v>37.066000000000003</c:v>
                </c:pt>
                <c:pt idx="114">
                  <c:v>64.875000000000014</c:v>
                </c:pt>
                <c:pt idx="115">
                  <c:v>36.171999999999997</c:v>
                </c:pt>
                <c:pt idx="116">
                  <c:v>52.537500000000009</c:v>
                </c:pt>
                <c:pt idx="117">
                  <c:v>25.599999999999998</c:v>
                </c:pt>
                <c:pt idx="118">
                  <c:v>20.8</c:v>
                </c:pt>
                <c:pt idx="119">
                  <c:v>9.5</c:v>
                </c:pt>
                <c:pt idx="120">
                  <c:v>11</c:v>
                </c:pt>
                <c:pt idx="121">
                  <c:v>288</c:v>
                </c:pt>
                <c:pt idx="122">
                  <c:v>94.364999999999995</c:v>
                </c:pt>
                <c:pt idx="123">
                  <c:v>203.45</c:v>
                </c:pt>
                <c:pt idx="124">
                  <c:v>0</c:v>
                </c:pt>
                <c:pt idx="125">
                  <c:v>138.87399999999997</c:v>
                </c:pt>
                <c:pt idx="126">
                  <c:v>179.23839285714286</c:v>
                </c:pt>
                <c:pt idx="127">
                  <c:v>246.7717857142857</c:v>
                </c:pt>
                <c:pt idx="128">
                  <c:v>253.04129464285711</c:v>
                </c:pt>
                <c:pt idx="129">
                  <c:v>223.14419642857143</c:v>
                </c:pt>
                <c:pt idx="130">
                  <c:v>204.39239285714285</c:v>
                </c:pt>
                <c:pt idx="131">
                  <c:v>0</c:v>
                </c:pt>
                <c:pt idx="132">
                  <c:v>214.7</c:v>
                </c:pt>
                <c:pt idx="133">
                  <c:v>183.95499999999998</c:v>
                </c:pt>
                <c:pt idx="134">
                  <c:v>250.35499999999999</c:v>
                </c:pt>
                <c:pt idx="135">
                  <c:v>151.15875</c:v>
                </c:pt>
                <c:pt idx="136">
                  <c:v>74.574875000000006</c:v>
                </c:pt>
                <c:pt idx="137">
                  <c:v>82.926937499999994</c:v>
                </c:pt>
                <c:pt idx="138">
                  <c:v>17</c:v>
                </c:pt>
                <c:pt idx="139">
                  <c:v>99.191000000000003</c:v>
                </c:pt>
                <c:pt idx="140">
                  <c:v>148.85006249999998</c:v>
                </c:pt>
                <c:pt idx="141">
                  <c:v>93.966062500000007</c:v>
                </c:pt>
                <c:pt idx="142">
                  <c:v>111.4519375</c:v>
                </c:pt>
                <c:pt idx="143">
                  <c:v>105.22500000000001</c:v>
                </c:pt>
                <c:pt idx="144">
                  <c:v>52.483062500000003</c:v>
                </c:pt>
                <c:pt idx="145">
                  <c:v>0</c:v>
                </c:pt>
                <c:pt idx="146">
                  <c:v>47.483062500000003</c:v>
                </c:pt>
                <c:pt idx="147">
                  <c:v>264.5</c:v>
                </c:pt>
                <c:pt idx="148">
                  <c:v>82.5</c:v>
                </c:pt>
                <c:pt idx="149">
                  <c:v>99.2</c:v>
                </c:pt>
                <c:pt idx="150">
                  <c:v>47</c:v>
                </c:pt>
                <c:pt idx="151">
                  <c:v>216.76972222222221</c:v>
                </c:pt>
                <c:pt idx="152">
                  <c:v>56.275000000000006</c:v>
                </c:pt>
                <c:pt idx="153">
                  <c:v>54.449444444444445</c:v>
                </c:pt>
                <c:pt idx="154">
                  <c:v>57.797444444444444</c:v>
                </c:pt>
                <c:pt idx="155">
                  <c:v>74.048888888888882</c:v>
                </c:pt>
                <c:pt idx="156">
                  <c:v>277.44944444444445</c:v>
                </c:pt>
                <c:pt idx="157">
                  <c:v>55.525000000000006</c:v>
                </c:pt>
                <c:pt idx="158">
                  <c:v>135.09888888888889</c:v>
                </c:pt>
                <c:pt idx="159">
                  <c:v>173.85499999999999</c:v>
                </c:pt>
                <c:pt idx="160">
                  <c:v>172.392</c:v>
                </c:pt>
                <c:pt idx="161">
                  <c:v>74.325000000000003</c:v>
                </c:pt>
                <c:pt idx="162">
                  <c:v>39.975000000000001</c:v>
                </c:pt>
                <c:pt idx="163">
                  <c:v>88.898888888888891</c:v>
                </c:pt>
                <c:pt idx="164">
                  <c:v>211.09888888888889</c:v>
                </c:pt>
                <c:pt idx="165">
                  <c:v>142.5</c:v>
                </c:pt>
                <c:pt idx="166">
                  <c:v>27.042999999999999</c:v>
                </c:pt>
                <c:pt idx="167">
                  <c:v>26.328375000000001</c:v>
                </c:pt>
                <c:pt idx="168">
                  <c:v>45.075000000000003</c:v>
                </c:pt>
                <c:pt idx="169">
                  <c:v>60.359523809523822</c:v>
                </c:pt>
                <c:pt idx="170">
                  <c:v>66.703374999999994</c:v>
                </c:pt>
                <c:pt idx="171">
                  <c:v>50.875</c:v>
                </c:pt>
                <c:pt idx="172">
                  <c:v>224.2</c:v>
                </c:pt>
                <c:pt idx="173">
                  <c:v>109.68789880952382</c:v>
                </c:pt>
                <c:pt idx="174">
                  <c:v>104.82789880952382</c:v>
                </c:pt>
                <c:pt idx="175">
                  <c:v>97.509523809523827</c:v>
                </c:pt>
                <c:pt idx="176">
                  <c:v>97.130000000000024</c:v>
                </c:pt>
                <c:pt idx="177">
                  <c:v>30.3</c:v>
                </c:pt>
                <c:pt idx="178">
                  <c:v>145.65952380952382</c:v>
                </c:pt>
                <c:pt idx="179">
                  <c:v>65.01428571428572</c:v>
                </c:pt>
                <c:pt idx="180">
                  <c:v>105.075</c:v>
                </c:pt>
                <c:pt idx="181">
                  <c:v>87.275000000000006</c:v>
                </c:pt>
                <c:pt idx="182">
                  <c:v>163.58889285714284</c:v>
                </c:pt>
                <c:pt idx="183">
                  <c:v>103.903375</c:v>
                </c:pt>
                <c:pt idx="184">
                  <c:v>91.875000000000014</c:v>
                </c:pt>
                <c:pt idx="185">
                  <c:v>35.075000000000003</c:v>
                </c:pt>
                <c:pt idx="186">
                  <c:v>71.357142857142861</c:v>
                </c:pt>
                <c:pt idx="187">
                  <c:v>122.51428571428572</c:v>
                </c:pt>
                <c:pt idx="188">
                  <c:v>72.089333333333329</c:v>
                </c:pt>
                <c:pt idx="189">
                  <c:v>235.14070833333332</c:v>
                </c:pt>
                <c:pt idx="190">
                  <c:v>143.6438511904762</c:v>
                </c:pt>
                <c:pt idx="191">
                  <c:v>108.5808511904762</c:v>
                </c:pt>
                <c:pt idx="192">
                  <c:v>249</c:v>
                </c:pt>
                <c:pt idx="193">
                  <c:v>200.4083333333333</c:v>
                </c:pt>
                <c:pt idx="194">
                  <c:v>102.29551785714285</c:v>
                </c:pt>
                <c:pt idx="195">
                  <c:v>100.37247619047619</c:v>
                </c:pt>
                <c:pt idx="196">
                  <c:v>80.817142857142869</c:v>
                </c:pt>
                <c:pt idx="197">
                  <c:v>89.608333333333334</c:v>
                </c:pt>
                <c:pt idx="198">
                  <c:v>82.934285714285721</c:v>
                </c:pt>
                <c:pt idx="199">
                  <c:v>204.87837500000001</c:v>
                </c:pt>
                <c:pt idx="200">
                  <c:v>228.07837499999999</c:v>
                </c:pt>
                <c:pt idx="201">
                  <c:v>171.74571428571429</c:v>
                </c:pt>
                <c:pt idx="202">
                  <c:v>200.34087500000001</c:v>
                </c:pt>
                <c:pt idx="203">
                  <c:v>238.79087499999997</c:v>
                </c:pt>
                <c:pt idx="204">
                  <c:v>200.2</c:v>
                </c:pt>
                <c:pt idx="205">
                  <c:v>215.96666666666667</c:v>
                </c:pt>
                <c:pt idx="206">
                  <c:v>48.72</c:v>
                </c:pt>
                <c:pt idx="207">
                  <c:v>82.99766666666666</c:v>
                </c:pt>
                <c:pt idx="208">
                  <c:v>117.39066666666668</c:v>
                </c:pt>
                <c:pt idx="209">
                  <c:v>151.51999999999998</c:v>
                </c:pt>
                <c:pt idx="210">
                  <c:v>33.814</c:v>
                </c:pt>
                <c:pt idx="211">
                  <c:v>105.42853820488766</c:v>
                </c:pt>
                <c:pt idx="212">
                  <c:v>105.42853820488766</c:v>
                </c:pt>
                <c:pt idx="213">
                  <c:v>105.42853820488766</c:v>
                </c:pt>
                <c:pt idx="214">
                  <c:v>105.42853820488766</c:v>
                </c:pt>
                <c:pt idx="215">
                  <c:v>105.42853820488766</c:v>
                </c:pt>
                <c:pt idx="216">
                  <c:v>105.42853820488766</c:v>
                </c:pt>
                <c:pt idx="217">
                  <c:v>105.42853820488766</c:v>
                </c:pt>
                <c:pt idx="218">
                  <c:v>62.25</c:v>
                </c:pt>
                <c:pt idx="219">
                  <c:v>91.25</c:v>
                </c:pt>
                <c:pt idx="220">
                  <c:v>52</c:v>
                </c:pt>
                <c:pt idx="221">
                  <c:v>200.5</c:v>
                </c:pt>
                <c:pt idx="222">
                  <c:v>49.655000000000001</c:v>
                </c:pt>
                <c:pt idx="223">
                  <c:v>44.442999999999998</c:v>
                </c:pt>
                <c:pt idx="224">
                  <c:v>58.711000000000006</c:v>
                </c:pt>
                <c:pt idx="225">
                  <c:v>282.3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B-472D-BF08-0BD48673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2415"/>
        <c:axId val="2123649615"/>
      </c:scatterChart>
      <c:valAx>
        <c:axId val="21236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9615"/>
        <c:crosses val="autoZero"/>
        <c:crossBetween val="midCat"/>
      </c:valAx>
      <c:valAx>
        <c:axId val="2123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Log'!$U$2:$U$227</c:f>
              <c:numCache>
                <c:formatCode>0.00</c:formatCode>
                <c:ptCount val="226"/>
                <c:pt idx="0">
                  <c:v>73</c:v>
                </c:pt>
                <c:pt idx="1">
                  <c:v>71.5</c:v>
                </c:pt>
                <c:pt idx="2">
                  <c:v>74.289583333333354</c:v>
                </c:pt>
                <c:pt idx="3">
                  <c:v>4</c:v>
                </c:pt>
                <c:pt idx="4">
                  <c:v>104.32666666666668</c:v>
                </c:pt>
                <c:pt idx="5">
                  <c:v>69.580000000000013</c:v>
                </c:pt>
                <c:pt idx="6">
                  <c:v>67.880000000000024</c:v>
                </c:pt>
                <c:pt idx="7">
                  <c:v>163</c:v>
                </c:pt>
                <c:pt idx="8">
                  <c:v>99.950000000000031</c:v>
                </c:pt>
                <c:pt idx="9">
                  <c:v>78.450000000000017</c:v>
                </c:pt>
                <c:pt idx="10">
                  <c:v>108.05500000000001</c:v>
                </c:pt>
                <c:pt idx="11">
                  <c:v>75.029166666666669</c:v>
                </c:pt>
                <c:pt idx="12">
                  <c:v>119.9875</c:v>
                </c:pt>
                <c:pt idx="13">
                  <c:v>56.15</c:v>
                </c:pt>
                <c:pt idx="14">
                  <c:v>50.186</c:v>
                </c:pt>
                <c:pt idx="15">
                  <c:v>99.683000000000007</c:v>
                </c:pt>
                <c:pt idx="16">
                  <c:v>62.6</c:v>
                </c:pt>
                <c:pt idx="17">
                  <c:v>63.6</c:v>
                </c:pt>
                <c:pt idx="18">
                  <c:v>62.42</c:v>
                </c:pt>
                <c:pt idx="19">
                  <c:v>85.606000000000009</c:v>
                </c:pt>
                <c:pt idx="20">
                  <c:v>63.933333333333337</c:v>
                </c:pt>
                <c:pt idx="21">
                  <c:v>45.186</c:v>
                </c:pt>
                <c:pt idx="22">
                  <c:v>50.2958</c:v>
                </c:pt>
                <c:pt idx="23">
                  <c:v>61.1265</c:v>
                </c:pt>
                <c:pt idx="24">
                  <c:v>74.95150000000001</c:v>
                </c:pt>
                <c:pt idx="25">
                  <c:v>62.576499999999996</c:v>
                </c:pt>
                <c:pt idx="26">
                  <c:v>75.656499999999994</c:v>
                </c:pt>
                <c:pt idx="27">
                  <c:v>58.336499999999994</c:v>
                </c:pt>
                <c:pt idx="28">
                  <c:v>53.336499999999994</c:v>
                </c:pt>
                <c:pt idx="29">
                  <c:v>55.384499999999996</c:v>
                </c:pt>
                <c:pt idx="30">
                  <c:v>56.428166666666677</c:v>
                </c:pt>
                <c:pt idx="31">
                  <c:v>67.36966666666666</c:v>
                </c:pt>
                <c:pt idx="32">
                  <c:v>58.128166666666672</c:v>
                </c:pt>
                <c:pt idx="33">
                  <c:v>122.55633333333336</c:v>
                </c:pt>
                <c:pt idx="34">
                  <c:v>70.36966666666666</c:v>
                </c:pt>
                <c:pt idx="35">
                  <c:v>60.4</c:v>
                </c:pt>
                <c:pt idx="36">
                  <c:v>45.608166666666669</c:v>
                </c:pt>
                <c:pt idx="37">
                  <c:v>182.9</c:v>
                </c:pt>
                <c:pt idx="38">
                  <c:v>172</c:v>
                </c:pt>
                <c:pt idx="39">
                  <c:v>133.5</c:v>
                </c:pt>
                <c:pt idx="40">
                  <c:v>117</c:v>
                </c:pt>
                <c:pt idx="41">
                  <c:v>93.2</c:v>
                </c:pt>
                <c:pt idx="42">
                  <c:v>57</c:v>
                </c:pt>
                <c:pt idx="43">
                  <c:v>120</c:v>
                </c:pt>
                <c:pt idx="44">
                  <c:v>166.13659999999999</c:v>
                </c:pt>
                <c:pt idx="45">
                  <c:v>158.75139999999999</c:v>
                </c:pt>
                <c:pt idx="46">
                  <c:v>23.972023809523812</c:v>
                </c:pt>
                <c:pt idx="47">
                  <c:v>121.90903540903541</c:v>
                </c:pt>
                <c:pt idx="48">
                  <c:v>108.60142857142858</c:v>
                </c:pt>
                <c:pt idx="49">
                  <c:v>114.00903540903542</c:v>
                </c:pt>
                <c:pt idx="50">
                  <c:v>121.00903540903542</c:v>
                </c:pt>
                <c:pt idx="51">
                  <c:v>131.61566666666667</c:v>
                </c:pt>
                <c:pt idx="52">
                  <c:v>118.00903540903542</c:v>
                </c:pt>
                <c:pt idx="53">
                  <c:v>125.10666666666668</c:v>
                </c:pt>
                <c:pt idx="54">
                  <c:v>118.50903540903542</c:v>
                </c:pt>
                <c:pt idx="55">
                  <c:v>124.3742735042735</c:v>
                </c:pt>
                <c:pt idx="56">
                  <c:v>118.11428571428573</c:v>
                </c:pt>
                <c:pt idx="57">
                  <c:v>61.680952380952384</c:v>
                </c:pt>
                <c:pt idx="58">
                  <c:v>98.933333333333337</c:v>
                </c:pt>
                <c:pt idx="59">
                  <c:v>68.180952380952391</c:v>
                </c:pt>
                <c:pt idx="60">
                  <c:v>110.33333333333334</c:v>
                </c:pt>
                <c:pt idx="61">
                  <c:v>72.280952380952385</c:v>
                </c:pt>
                <c:pt idx="62">
                  <c:v>124.61428571428573</c:v>
                </c:pt>
                <c:pt idx="63">
                  <c:v>62.333333333333336</c:v>
                </c:pt>
                <c:pt idx="64">
                  <c:v>95.1</c:v>
                </c:pt>
                <c:pt idx="65">
                  <c:v>14.4</c:v>
                </c:pt>
                <c:pt idx="66">
                  <c:v>65.180952380952391</c:v>
                </c:pt>
                <c:pt idx="67">
                  <c:v>226.33333333333334</c:v>
                </c:pt>
                <c:pt idx="68">
                  <c:v>80.822222222222223</c:v>
                </c:pt>
                <c:pt idx="69">
                  <c:v>138.28492063492064</c:v>
                </c:pt>
                <c:pt idx="70">
                  <c:v>80.64444444444446</c:v>
                </c:pt>
                <c:pt idx="71">
                  <c:v>182.32047619047617</c:v>
                </c:pt>
                <c:pt idx="72">
                  <c:v>62.4</c:v>
                </c:pt>
                <c:pt idx="73">
                  <c:v>123</c:v>
                </c:pt>
                <c:pt idx="74">
                  <c:v>74.544444444444451</c:v>
                </c:pt>
                <c:pt idx="75">
                  <c:v>102.74047619047619</c:v>
                </c:pt>
                <c:pt idx="76">
                  <c:v>155.48888888888891</c:v>
                </c:pt>
                <c:pt idx="77">
                  <c:v>77.740476190476187</c:v>
                </c:pt>
                <c:pt idx="78">
                  <c:v>210.04047619047617</c:v>
                </c:pt>
                <c:pt idx="79">
                  <c:v>92.100000000000009</c:v>
                </c:pt>
                <c:pt idx="80">
                  <c:v>74.044444444444451</c:v>
                </c:pt>
                <c:pt idx="81">
                  <c:v>102.20380952380953</c:v>
                </c:pt>
                <c:pt idx="82">
                  <c:v>73.701666666666682</c:v>
                </c:pt>
                <c:pt idx="83">
                  <c:v>74.12166666666667</c:v>
                </c:pt>
                <c:pt idx="84">
                  <c:v>90.541666666666671</c:v>
                </c:pt>
                <c:pt idx="85">
                  <c:v>136.32965277777777</c:v>
                </c:pt>
                <c:pt idx="86">
                  <c:v>192.764375</c:v>
                </c:pt>
                <c:pt idx="87">
                  <c:v>49.528750000000002</c:v>
                </c:pt>
                <c:pt idx="88">
                  <c:v>96.066041666666663</c:v>
                </c:pt>
                <c:pt idx="89">
                  <c:v>157.00694444444446</c:v>
                </c:pt>
                <c:pt idx="90">
                  <c:v>165.53055555555559</c:v>
                </c:pt>
                <c:pt idx="91">
                  <c:v>276.46527777777777</c:v>
                </c:pt>
                <c:pt idx="92">
                  <c:v>95.833333333333343</c:v>
                </c:pt>
                <c:pt idx="93">
                  <c:v>110.48611111111113</c:v>
                </c:pt>
                <c:pt idx="94">
                  <c:v>79.132000000000005</c:v>
                </c:pt>
                <c:pt idx="95">
                  <c:v>148.85499999999999</c:v>
                </c:pt>
                <c:pt idx="96">
                  <c:v>86.525000000000006</c:v>
                </c:pt>
                <c:pt idx="97">
                  <c:v>125.465</c:v>
                </c:pt>
                <c:pt idx="98">
                  <c:v>120.35200000000002</c:v>
                </c:pt>
                <c:pt idx="99">
                  <c:v>134.52300000000002</c:v>
                </c:pt>
                <c:pt idx="100">
                  <c:v>149.46500000000003</c:v>
                </c:pt>
                <c:pt idx="101">
                  <c:v>206.4</c:v>
                </c:pt>
                <c:pt idx="102">
                  <c:v>64.282000000000011</c:v>
                </c:pt>
                <c:pt idx="103">
                  <c:v>78.52</c:v>
                </c:pt>
                <c:pt idx="104">
                  <c:v>78.52</c:v>
                </c:pt>
                <c:pt idx="105">
                  <c:v>123.55766666666668</c:v>
                </c:pt>
                <c:pt idx="106">
                  <c:v>81.975000000000009</c:v>
                </c:pt>
                <c:pt idx="107">
                  <c:v>118.19266666666668</c:v>
                </c:pt>
                <c:pt idx="108">
                  <c:v>71.543666666666681</c:v>
                </c:pt>
                <c:pt idx="109">
                  <c:v>104.85000000000001</c:v>
                </c:pt>
                <c:pt idx="110">
                  <c:v>88.26166666666667</c:v>
                </c:pt>
                <c:pt idx="111">
                  <c:v>81</c:v>
                </c:pt>
                <c:pt idx="112">
                  <c:v>67.227666666666678</c:v>
                </c:pt>
                <c:pt idx="113">
                  <c:v>70.88666666666667</c:v>
                </c:pt>
                <c:pt idx="114">
                  <c:v>99.550000000000011</c:v>
                </c:pt>
                <c:pt idx="115">
                  <c:v>67.75266666666667</c:v>
                </c:pt>
                <c:pt idx="116">
                  <c:v>54.975000000000001</c:v>
                </c:pt>
                <c:pt idx="117">
                  <c:v>73.13</c:v>
                </c:pt>
                <c:pt idx="118">
                  <c:v>59.1</c:v>
                </c:pt>
                <c:pt idx="119">
                  <c:v>61.5</c:v>
                </c:pt>
                <c:pt idx="120">
                  <c:v>17.174999999999997</c:v>
                </c:pt>
                <c:pt idx="121">
                  <c:v>172</c:v>
                </c:pt>
                <c:pt idx="122">
                  <c:v>95.332875000000001</c:v>
                </c:pt>
                <c:pt idx="123">
                  <c:v>111.640625</c:v>
                </c:pt>
                <c:pt idx="124">
                  <c:v>0</c:v>
                </c:pt>
                <c:pt idx="125">
                  <c:v>206.44258333333335</c:v>
                </c:pt>
                <c:pt idx="126">
                  <c:v>192.45416666666668</c:v>
                </c:pt>
                <c:pt idx="127">
                  <c:v>150.10249999999999</c:v>
                </c:pt>
                <c:pt idx="128">
                  <c:v>209.50156250000001</c:v>
                </c:pt>
                <c:pt idx="129">
                  <c:v>129.65729166666665</c:v>
                </c:pt>
                <c:pt idx="130">
                  <c:v>168.54454166666667</c:v>
                </c:pt>
                <c:pt idx="131">
                  <c:v>0</c:v>
                </c:pt>
                <c:pt idx="132">
                  <c:v>136.4</c:v>
                </c:pt>
                <c:pt idx="133">
                  <c:v>140.09333333333336</c:v>
                </c:pt>
                <c:pt idx="134">
                  <c:v>136.54333333333335</c:v>
                </c:pt>
                <c:pt idx="135">
                  <c:v>119.62541666666667</c:v>
                </c:pt>
                <c:pt idx="136">
                  <c:v>90.387125000000012</c:v>
                </c:pt>
                <c:pt idx="137">
                  <c:v>85.182979166666684</c:v>
                </c:pt>
                <c:pt idx="138">
                  <c:v>2</c:v>
                </c:pt>
                <c:pt idx="139">
                  <c:v>93.937000000000012</c:v>
                </c:pt>
                <c:pt idx="140">
                  <c:v>154.92685416666669</c:v>
                </c:pt>
                <c:pt idx="141">
                  <c:v>123.98485416666668</c:v>
                </c:pt>
                <c:pt idx="142">
                  <c:v>135.84297916666665</c:v>
                </c:pt>
                <c:pt idx="143">
                  <c:v>89.060000000000016</c:v>
                </c:pt>
                <c:pt idx="144">
                  <c:v>66.492854166666675</c:v>
                </c:pt>
                <c:pt idx="145">
                  <c:v>0</c:v>
                </c:pt>
                <c:pt idx="146">
                  <c:v>63.492854166666667</c:v>
                </c:pt>
                <c:pt idx="147">
                  <c:v>123.5</c:v>
                </c:pt>
                <c:pt idx="148">
                  <c:v>41</c:v>
                </c:pt>
                <c:pt idx="149">
                  <c:v>98.4</c:v>
                </c:pt>
                <c:pt idx="150">
                  <c:v>46</c:v>
                </c:pt>
                <c:pt idx="151">
                  <c:v>143.81657407407408</c:v>
                </c:pt>
                <c:pt idx="152">
                  <c:v>27.375</c:v>
                </c:pt>
                <c:pt idx="153">
                  <c:v>60.013148148148147</c:v>
                </c:pt>
                <c:pt idx="154">
                  <c:v>108.97481481481483</c:v>
                </c:pt>
                <c:pt idx="155">
                  <c:v>109.3012962962963</c:v>
                </c:pt>
                <c:pt idx="156">
                  <c:v>221.01314814814816</c:v>
                </c:pt>
                <c:pt idx="157">
                  <c:v>83.666666666666686</c:v>
                </c:pt>
                <c:pt idx="158">
                  <c:v>182.4262962962963</c:v>
                </c:pt>
                <c:pt idx="159">
                  <c:v>97.006666666666675</c:v>
                </c:pt>
                <c:pt idx="160">
                  <c:v>144.58466666666666</c:v>
                </c:pt>
                <c:pt idx="161">
                  <c:v>94.26666666666668</c:v>
                </c:pt>
                <c:pt idx="162">
                  <c:v>122.00000000000001</c:v>
                </c:pt>
                <c:pt idx="163">
                  <c:v>107.02629629629629</c:v>
                </c:pt>
                <c:pt idx="164">
                  <c:v>157.4262962962963</c:v>
                </c:pt>
                <c:pt idx="165">
                  <c:v>47</c:v>
                </c:pt>
                <c:pt idx="166">
                  <c:v>61.13600000000001</c:v>
                </c:pt>
                <c:pt idx="167">
                  <c:v>33.312062499999996</c:v>
                </c:pt>
                <c:pt idx="168">
                  <c:v>74.750000000000014</c:v>
                </c:pt>
                <c:pt idx="169">
                  <c:v>76.157142857142873</c:v>
                </c:pt>
                <c:pt idx="170">
                  <c:v>93.162062500000019</c:v>
                </c:pt>
                <c:pt idx="171">
                  <c:v>76.850000000000009</c:v>
                </c:pt>
                <c:pt idx="172">
                  <c:v>190.4</c:v>
                </c:pt>
                <c:pt idx="173">
                  <c:v>97.969205357142869</c:v>
                </c:pt>
                <c:pt idx="174">
                  <c:v>149.84720535714285</c:v>
                </c:pt>
                <c:pt idx="175">
                  <c:v>109.70714285714286</c:v>
                </c:pt>
                <c:pt idx="176">
                  <c:v>125.02500000000002</c:v>
                </c:pt>
                <c:pt idx="177">
                  <c:v>27.274999999999999</c:v>
                </c:pt>
                <c:pt idx="178">
                  <c:v>118.25714285714287</c:v>
                </c:pt>
                <c:pt idx="179">
                  <c:v>95.200000000000017</c:v>
                </c:pt>
                <c:pt idx="180">
                  <c:v>106.25000000000001</c:v>
                </c:pt>
                <c:pt idx="181">
                  <c:v>87.6</c:v>
                </c:pt>
                <c:pt idx="182">
                  <c:v>169.024125</c:v>
                </c:pt>
                <c:pt idx="183">
                  <c:v>108.56206250000002</c:v>
                </c:pt>
                <c:pt idx="184">
                  <c:v>75.450000000000017</c:v>
                </c:pt>
                <c:pt idx="185">
                  <c:v>66.250000000000014</c:v>
                </c:pt>
                <c:pt idx="186">
                  <c:v>51.800000000000004</c:v>
                </c:pt>
                <c:pt idx="187">
                  <c:v>103.75000000000001</c:v>
                </c:pt>
                <c:pt idx="188">
                  <c:v>78.419666666666686</c:v>
                </c:pt>
                <c:pt idx="189">
                  <c:v>205.10672916666667</c:v>
                </c:pt>
                <c:pt idx="190">
                  <c:v>140.28872916666668</c:v>
                </c:pt>
                <c:pt idx="191">
                  <c:v>135.00372916666669</c:v>
                </c:pt>
                <c:pt idx="192">
                  <c:v>85</c:v>
                </c:pt>
                <c:pt idx="193">
                  <c:v>178.76666666666668</c:v>
                </c:pt>
                <c:pt idx="194">
                  <c:v>118.74706250000001</c:v>
                </c:pt>
                <c:pt idx="195">
                  <c:v>144.55166666666668</c:v>
                </c:pt>
                <c:pt idx="196">
                  <c:v>44.81</c:v>
                </c:pt>
                <c:pt idx="197">
                  <c:v>72.866666666666674</c:v>
                </c:pt>
                <c:pt idx="198">
                  <c:v>132.82</c:v>
                </c:pt>
                <c:pt idx="199">
                  <c:v>122.4370625</c:v>
                </c:pt>
                <c:pt idx="200">
                  <c:v>85.837062500000002</c:v>
                </c:pt>
                <c:pt idx="201">
                  <c:v>172.75285714285712</c:v>
                </c:pt>
                <c:pt idx="202">
                  <c:v>143.41206249999999</c:v>
                </c:pt>
                <c:pt idx="203">
                  <c:v>165.51206250000001</c:v>
                </c:pt>
                <c:pt idx="204">
                  <c:v>86.600000000000009</c:v>
                </c:pt>
                <c:pt idx="205">
                  <c:v>110.83333333333334</c:v>
                </c:pt>
                <c:pt idx="206">
                  <c:v>70.575999999999993</c:v>
                </c:pt>
                <c:pt idx="207">
                  <c:v>113.22366666666667</c:v>
                </c:pt>
                <c:pt idx="208">
                  <c:v>134.73633333333336</c:v>
                </c:pt>
                <c:pt idx="209">
                  <c:v>197.28</c:v>
                </c:pt>
                <c:pt idx="210">
                  <c:v>63.984000000000002</c:v>
                </c:pt>
                <c:pt idx="211">
                  <c:v>101.34424305957444</c:v>
                </c:pt>
                <c:pt idx="212">
                  <c:v>101.34424305957444</c:v>
                </c:pt>
                <c:pt idx="213">
                  <c:v>101.34424305957444</c:v>
                </c:pt>
                <c:pt idx="214">
                  <c:v>101.34424305957444</c:v>
                </c:pt>
                <c:pt idx="215">
                  <c:v>101.34424305957444</c:v>
                </c:pt>
                <c:pt idx="216">
                  <c:v>101.34424305957444</c:v>
                </c:pt>
                <c:pt idx="217">
                  <c:v>101.34424305957444</c:v>
                </c:pt>
                <c:pt idx="218">
                  <c:v>109.2</c:v>
                </c:pt>
                <c:pt idx="219">
                  <c:v>78.900000000000006</c:v>
                </c:pt>
                <c:pt idx="220">
                  <c:v>28.2</c:v>
                </c:pt>
                <c:pt idx="221">
                  <c:v>92.7</c:v>
                </c:pt>
                <c:pt idx="222">
                  <c:v>66.016666666666666</c:v>
                </c:pt>
                <c:pt idx="223">
                  <c:v>67.25266666666667</c:v>
                </c:pt>
                <c:pt idx="224">
                  <c:v>82.283666666666676</c:v>
                </c:pt>
                <c:pt idx="225">
                  <c:v>196.6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2-4F97-B005-16EB142C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775"/>
        <c:axId val="2123699535"/>
      </c:scatterChart>
      <c:valAx>
        <c:axId val="21237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535"/>
        <c:crosses val="autoZero"/>
        <c:crossBetween val="midCat"/>
      </c:valAx>
      <c:valAx>
        <c:axId val="21236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Log'!$V$2:$V$227</c:f>
              <c:numCache>
                <c:formatCode>0.00</c:formatCode>
                <c:ptCount val="226"/>
                <c:pt idx="0">
                  <c:v>19</c:v>
                </c:pt>
                <c:pt idx="1">
                  <c:v>34.5</c:v>
                </c:pt>
                <c:pt idx="2">
                  <c:v>41.209583333333342</c:v>
                </c:pt>
                <c:pt idx="3">
                  <c:v>8</c:v>
                </c:pt>
                <c:pt idx="4">
                  <c:v>47.730000000000004</c:v>
                </c:pt>
                <c:pt idx="5">
                  <c:v>42.556666666666672</c:v>
                </c:pt>
                <c:pt idx="6">
                  <c:v>19.906666666666666</c:v>
                </c:pt>
                <c:pt idx="7">
                  <c:v>15</c:v>
                </c:pt>
                <c:pt idx="8">
                  <c:v>25.366666666666667</c:v>
                </c:pt>
                <c:pt idx="9">
                  <c:v>21.866666666666667</c:v>
                </c:pt>
                <c:pt idx="10">
                  <c:v>8.2449999999999992</c:v>
                </c:pt>
                <c:pt idx="11">
                  <c:v>4.5958333333333332</c:v>
                </c:pt>
                <c:pt idx="12">
                  <c:v>9.2687499999999989</c:v>
                </c:pt>
                <c:pt idx="13">
                  <c:v>13.204166666666666</c:v>
                </c:pt>
                <c:pt idx="14">
                  <c:v>10.215249999999999</c:v>
                </c:pt>
                <c:pt idx="15">
                  <c:v>47.375416666666666</c:v>
                </c:pt>
                <c:pt idx="16">
                  <c:v>39.766666666666666</c:v>
                </c:pt>
                <c:pt idx="17">
                  <c:v>41.766666666666666</c:v>
                </c:pt>
                <c:pt idx="18">
                  <c:v>39.376666666666665</c:v>
                </c:pt>
                <c:pt idx="19">
                  <c:v>22.054416666666665</c:v>
                </c:pt>
                <c:pt idx="20">
                  <c:v>21.25</c:v>
                </c:pt>
                <c:pt idx="21">
                  <c:v>5.1777499999999996</c:v>
                </c:pt>
                <c:pt idx="22">
                  <c:v>6.9224333333333323</c:v>
                </c:pt>
                <c:pt idx="23">
                  <c:v>38.244666666666667</c:v>
                </c:pt>
                <c:pt idx="24">
                  <c:v>39.94466666666667</c:v>
                </c:pt>
                <c:pt idx="25">
                  <c:v>39.494666666666667</c:v>
                </c:pt>
                <c:pt idx="26">
                  <c:v>49.134666666666668</c:v>
                </c:pt>
                <c:pt idx="27">
                  <c:v>23.074666666666662</c:v>
                </c:pt>
                <c:pt idx="28">
                  <c:v>17.074666666666666</c:v>
                </c:pt>
                <c:pt idx="29">
                  <c:v>3.8554999999999993</c:v>
                </c:pt>
                <c:pt idx="30">
                  <c:v>29.824666666666666</c:v>
                </c:pt>
                <c:pt idx="31">
                  <c:v>11.389666666666667</c:v>
                </c:pt>
                <c:pt idx="32">
                  <c:v>27.424666666666667</c:v>
                </c:pt>
                <c:pt idx="33">
                  <c:v>44.24933333333334</c:v>
                </c:pt>
                <c:pt idx="34">
                  <c:v>7.3896666666666668</c:v>
                </c:pt>
                <c:pt idx="35">
                  <c:v>9</c:v>
                </c:pt>
                <c:pt idx="36">
                  <c:v>5.7646666666666668</c:v>
                </c:pt>
                <c:pt idx="37">
                  <c:v>35.450000000000003</c:v>
                </c:pt>
                <c:pt idx="38">
                  <c:v>23.75</c:v>
                </c:pt>
                <c:pt idx="39">
                  <c:v>64.5</c:v>
                </c:pt>
                <c:pt idx="40">
                  <c:v>67</c:v>
                </c:pt>
                <c:pt idx="41">
                  <c:v>15.6</c:v>
                </c:pt>
                <c:pt idx="42">
                  <c:v>26.5</c:v>
                </c:pt>
                <c:pt idx="43">
                  <c:v>32</c:v>
                </c:pt>
                <c:pt idx="44">
                  <c:v>30.093800000000002</c:v>
                </c:pt>
                <c:pt idx="45">
                  <c:v>20.440199999999997</c:v>
                </c:pt>
                <c:pt idx="46">
                  <c:v>7.8666666666666671</c:v>
                </c:pt>
                <c:pt idx="47">
                  <c:v>10.690542549238202</c:v>
                </c:pt>
                <c:pt idx="48">
                  <c:v>7.6433333333333335</c:v>
                </c:pt>
                <c:pt idx="49">
                  <c:v>9.4905425492382012</c:v>
                </c:pt>
                <c:pt idx="50">
                  <c:v>9.4905425492382012</c:v>
                </c:pt>
                <c:pt idx="51">
                  <c:v>68.535333333333341</c:v>
                </c:pt>
                <c:pt idx="52">
                  <c:v>9.4905425492382012</c:v>
                </c:pt>
                <c:pt idx="53">
                  <c:v>56.993333333333339</c:v>
                </c:pt>
                <c:pt idx="54">
                  <c:v>9.4905425492382012</c:v>
                </c:pt>
                <c:pt idx="55">
                  <c:v>34.770542549238208</c:v>
                </c:pt>
                <c:pt idx="56">
                  <c:v>7.0666666666666664</c:v>
                </c:pt>
                <c:pt idx="57">
                  <c:v>4.1666666666666661</c:v>
                </c:pt>
                <c:pt idx="58">
                  <c:v>7.4</c:v>
                </c:pt>
                <c:pt idx="59">
                  <c:v>5.666666666666667</c:v>
                </c:pt>
                <c:pt idx="60">
                  <c:v>6.6000000000000005</c:v>
                </c:pt>
                <c:pt idx="61">
                  <c:v>2.4666666666666663</c:v>
                </c:pt>
                <c:pt idx="62">
                  <c:v>7.0666666666666664</c:v>
                </c:pt>
                <c:pt idx="63">
                  <c:v>8.6</c:v>
                </c:pt>
                <c:pt idx="64">
                  <c:v>32.075000000000003</c:v>
                </c:pt>
                <c:pt idx="65">
                  <c:v>6.3</c:v>
                </c:pt>
                <c:pt idx="66">
                  <c:v>7.666666666666667</c:v>
                </c:pt>
                <c:pt idx="67">
                  <c:v>37.1</c:v>
                </c:pt>
                <c:pt idx="68">
                  <c:v>6.4027777777777768</c:v>
                </c:pt>
                <c:pt idx="69">
                  <c:v>10.27222222222222</c:v>
                </c:pt>
                <c:pt idx="70">
                  <c:v>21.005555555555553</c:v>
                </c:pt>
                <c:pt idx="71">
                  <c:v>30.466666666666665</c:v>
                </c:pt>
                <c:pt idx="72">
                  <c:v>13.7</c:v>
                </c:pt>
                <c:pt idx="73">
                  <c:v>43.5</c:v>
                </c:pt>
                <c:pt idx="74">
                  <c:v>15.005555555555553</c:v>
                </c:pt>
                <c:pt idx="75">
                  <c:v>6.4666666666666659</c:v>
                </c:pt>
                <c:pt idx="76">
                  <c:v>16.81111111111111</c:v>
                </c:pt>
                <c:pt idx="77">
                  <c:v>8.466666666666665</c:v>
                </c:pt>
                <c:pt idx="78">
                  <c:v>15.866666666666665</c:v>
                </c:pt>
                <c:pt idx="79">
                  <c:v>10.3</c:v>
                </c:pt>
                <c:pt idx="80">
                  <c:v>7.8055555555555545</c:v>
                </c:pt>
                <c:pt idx="81">
                  <c:v>5.8299999999999992</c:v>
                </c:pt>
                <c:pt idx="82">
                  <c:v>42.146666666666668</c:v>
                </c:pt>
                <c:pt idx="83">
                  <c:v>49.881666666666668</c:v>
                </c:pt>
                <c:pt idx="84">
                  <c:v>47.56666666666667</c:v>
                </c:pt>
                <c:pt idx="85">
                  <c:v>17.288888888888888</c:v>
                </c:pt>
                <c:pt idx="86">
                  <c:v>34.024999999999999</c:v>
                </c:pt>
                <c:pt idx="87">
                  <c:v>6.05</c:v>
                </c:pt>
                <c:pt idx="88">
                  <c:v>29.471666666666664</c:v>
                </c:pt>
                <c:pt idx="89">
                  <c:v>24.130555555555553</c:v>
                </c:pt>
                <c:pt idx="90">
                  <c:v>10.327777777777776</c:v>
                </c:pt>
                <c:pt idx="91">
                  <c:v>28.763888888888889</c:v>
                </c:pt>
                <c:pt idx="92">
                  <c:v>36.256666666666668</c:v>
                </c:pt>
                <c:pt idx="93">
                  <c:v>12.234722222222221</c:v>
                </c:pt>
                <c:pt idx="94">
                  <c:v>37.317666666666668</c:v>
                </c:pt>
                <c:pt idx="95">
                  <c:v>13.184999999999999</c:v>
                </c:pt>
                <c:pt idx="96">
                  <c:v>41.031666666666666</c:v>
                </c:pt>
                <c:pt idx="97">
                  <c:v>19.27375</c:v>
                </c:pt>
                <c:pt idx="98">
                  <c:v>48.450166666666668</c:v>
                </c:pt>
                <c:pt idx="99">
                  <c:v>60.768166666666666</c:v>
                </c:pt>
                <c:pt idx="100">
                  <c:v>26.27375</c:v>
                </c:pt>
                <c:pt idx="101">
                  <c:v>44.2</c:v>
                </c:pt>
                <c:pt idx="102">
                  <c:v>16.602666666666664</c:v>
                </c:pt>
                <c:pt idx="103">
                  <c:v>18.47</c:v>
                </c:pt>
                <c:pt idx="104">
                  <c:v>18.47</c:v>
                </c:pt>
                <c:pt idx="105">
                  <c:v>52.454666666666661</c:v>
                </c:pt>
                <c:pt idx="106">
                  <c:v>16.8</c:v>
                </c:pt>
                <c:pt idx="107">
                  <c:v>51.05466666666667</c:v>
                </c:pt>
                <c:pt idx="108">
                  <c:v>38.522666666666666</c:v>
                </c:pt>
                <c:pt idx="109">
                  <c:v>29.4</c:v>
                </c:pt>
                <c:pt idx="110">
                  <c:v>39.831666666666663</c:v>
                </c:pt>
                <c:pt idx="111">
                  <c:v>21.7</c:v>
                </c:pt>
                <c:pt idx="112">
                  <c:v>39.26466666666667</c:v>
                </c:pt>
                <c:pt idx="113">
                  <c:v>39.141666666666666</c:v>
                </c:pt>
                <c:pt idx="114">
                  <c:v>23.4</c:v>
                </c:pt>
                <c:pt idx="115">
                  <c:v>39.99966666666667</c:v>
                </c:pt>
                <c:pt idx="116">
                  <c:v>12.299999999999999</c:v>
                </c:pt>
                <c:pt idx="117">
                  <c:v>9.92</c:v>
                </c:pt>
                <c:pt idx="118">
                  <c:v>3.8</c:v>
                </c:pt>
                <c:pt idx="119">
                  <c:v>5</c:v>
                </c:pt>
                <c:pt idx="120">
                  <c:v>6.0000000000000009</c:v>
                </c:pt>
                <c:pt idx="121">
                  <c:v>35.5</c:v>
                </c:pt>
                <c:pt idx="122">
                  <c:v>31.140249999999998</c:v>
                </c:pt>
                <c:pt idx="123">
                  <c:v>45.212500000000006</c:v>
                </c:pt>
                <c:pt idx="124">
                  <c:v>0</c:v>
                </c:pt>
                <c:pt idx="125">
                  <c:v>73.660250000000005</c:v>
                </c:pt>
                <c:pt idx="126">
                  <c:v>38.377083333333339</c:v>
                </c:pt>
                <c:pt idx="127">
                  <c:v>41.461666666666673</c:v>
                </c:pt>
                <c:pt idx="128">
                  <c:v>71.796875</c:v>
                </c:pt>
                <c:pt idx="129">
                  <c:v>30.235416666666666</c:v>
                </c:pt>
                <c:pt idx="130">
                  <c:v>56.406333333333336</c:v>
                </c:pt>
                <c:pt idx="131">
                  <c:v>0</c:v>
                </c:pt>
                <c:pt idx="132">
                  <c:v>38.700000000000003</c:v>
                </c:pt>
                <c:pt idx="133">
                  <c:v>44.68</c:v>
                </c:pt>
                <c:pt idx="134">
                  <c:v>73.160000000000011</c:v>
                </c:pt>
                <c:pt idx="135">
                  <c:v>9.6883333333333326</c:v>
                </c:pt>
                <c:pt idx="136">
                  <c:v>40.594583333333333</c:v>
                </c:pt>
                <c:pt idx="137">
                  <c:v>8.9678333333333331</c:v>
                </c:pt>
                <c:pt idx="138">
                  <c:v>0</c:v>
                </c:pt>
                <c:pt idx="139">
                  <c:v>44.299333333333337</c:v>
                </c:pt>
                <c:pt idx="140">
                  <c:v>48.697916666666664</c:v>
                </c:pt>
                <c:pt idx="141">
                  <c:v>45.321916666666667</c:v>
                </c:pt>
                <c:pt idx="142">
                  <c:v>27.331166666666668</c:v>
                </c:pt>
                <c:pt idx="143">
                  <c:v>28.563333333333333</c:v>
                </c:pt>
                <c:pt idx="144">
                  <c:v>7.2525833333333329</c:v>
                </c:pt>
                <c:pt idx="145">
                  <c:v>0</c:v>
                </c:pt>
                <c:pt idx="146">
                  <c:v>15.252583333333332</c:v>
                </c:pt>
                <c:pt idx="147">
                  <c:v>45.5</c:v>
                </c:pt>
                <c:pt idx="148">
                  <c:v>12.5</c:v>
                </c:pt>
                <c:pt idx="149">
                  <c:v>8.1999999999999993</c:v>
                </c:pt>
                <c:pt idx="150">
                  <c:v>2</c:v>
                </c:pt>
                <c:pt idx="151">
                  <c:v>10.941203703703703</c:v>
                </c:pt>
                <c:pt idx="152">
                  <c:v>27.005000000000003</c:v>
                </c:pt>
                <c:pt idx="153">
                  <c:v>6.4824074074074067</c:v>
                </c:pt>
                <c:pt idx="154">
                  <c:v>44.937407407407406</c:v>
                </c:pt>
                <c:pt idx="155">
                  <c:v>14.939814814814813</c:v>
                </c:pt>
                <c:pt idx="156">
                  <c:v>51.982407407407408</c:v>
                </c:pt>
                <c:pt idx="157">
                  <c:v>57.7</c:v>
                </c:pt>
                <c:pt idx="158">
                  <c:v>14.164814814814813</c:v>
                </c:pt>
                <c:pt idx="159">
                  <c:v>59.470000000000006</c:v>
                </c:pt>
                <c:pt idx="160">
                  <c:v>28.869</c:v>
                </c:pt>
                <c:pt idx="161">
                  <c:v>18</c:v>
                </c:pt>
                <c:pt idx="162">
                  <c:v>39.6</c:v>
                </c:pt>
                <c:pt idx="163">
                  <c:v>14.964814814814813</c:v>
                </c:pt>
                <c:pt idx="164">
                  <c:v>39.664814814814818</c:v>
                </c:pt>
                <c:pt idx="165">
                  <c:v>42</c:v>
                </c:pt>
                <c:pt idx="166">
                  <c:v>36.448</c:v>
                </c:pt>
                <c:pt idx="167">
                  <c:v>4.6653124999999998</c:v>
                </c:pt>
                <c:pt idx="168">
                  <c:v>50.2</c:v>
                </c:pt>
                <c:pt idx="169">
                  <c:v>17.166666666666668</c:v>
                </c:pt>
                <c:pt idx="170">
                  <c:v>55.165312499999999</c:v>
                </c:pt>
                <c:pt idx="171">
                  <c:v>53.5</c:v>
                </c:pt>
                <c:pt idx="172">
                  <c:v>37.200000000000003</c:v>
                </c:pt>
                <c:pt idx="173">
                  <c:v>7.3319791666666667</c:v>
                </c:pt>
                <c:pt idx="174">
                  <c:v>39.250979166666667</c:v>
                </c:pt>
                <c:pt idx="175">
                  <c:v>8.6666666666666661</c:v>
                </c:pt>
                <c:pt idx="176">
                  <c:v>43.9</c:v>
                </c:pt>
                <c:pt idx="177">
                  <c:v>28.349999999999998</c:v>
                </c:pt>
                <c:pt idx="178">
                  <c:v>13.466666666666667</c:v>
                </c:pt>
                <c:pt idx="179">
                  <c:v>10.97142857142857</c:v>
                </c:pt>
                <c:pt idx="180">
                  <c:v>47.7</c:v>
                </c:pt>
                <c:pt idx="181">
                  <c:v>44.599999999999994</c:v>
                </c:pt>
                <c:pt idx="182">
                  <c:v>55.516339285714288</c:v>
                </c:pt>
                <c:pt idx="183">
                  <c:v>42.365312500000002</c:v>
                </c:pt>
                <c:pt idx="184">
                  <c:v>43.8</c:v>
                </c:pt>
                <c:pt idx="185">
                  <c:v>36.700000000000003</c:v>
                </c:pt>
                <c:pt idx="186">
                  <c:v>6.0857142857142854</c:v>
                </c:pt>
                <c:pt idx="187">
                  <c:v>13.87142857142857</c:v>
                </c:pt>
                <c:pt idx="188">
                  <c:v>38.975666666666669</c:v>
                </c:pt>
                <c:pt idx="189">
                  <c:v>48.135979166666672</c:v>
                </c:pt>
                <c:pt idx="190">
                  <c:v>47.939122023809524</c:v>
                </c:pt>
                <c:pt idx="191">
                  <c:v>43.564122023809524</c:v>
                </c:pt>
                <c:pt idx="192">
                  <c:v>41.5</c:v>
                </c:pt>
                <c:pt idx="193">
                  <c:v>68.766666666666666</c:v>
                </c:pt>
                <c:pt idx="194">
                  <c:v>12.622455357142856</c:v>
                </c:pt>
                <c:pt idx="195">
                  <c:v>39.778809523809521</c:v>
                </c:pt>
                <c:pt idx="196">
                  <c:v>7.2571428571428571</c:v>
                </c:pt>
                <c:pt idx="197">
                  <c:v>40.066666666666663</c:v>
                </c:pt>
                <c:pt idx="198">
                  <c:v>8.1142857142857139</c:v>
                </c:pt>
                <c:pt idx="199">
                  <c:v>34.365312500000002</c:v>
                </c:pt>
                <c:pt idx="200">
                  <c:v>43.565312500000005</c:v>
                </c:pt>
                <c:pt idx="201">
                  <c:v>32.142857142857139</c:v>
                </c:pt>
                <c:pt idx="202">
                  <c:v>24.802812500000002</c:v>
                </c:pt>
                <c:pt idx="203">
                  <c:v>36.702812500000007</c:v>
                </c:pt>
                <c:pt idx="204">
                  <c:v>30.9</c:v>
                </c:pt>
                <c:pt idx="205">
                  <c:v>15.033333333333333</c:v>
                </c:pt>
                <c:pt idx="206">
                  <c:v>36.656333333333329</c:v>
                </c:pt>
                <c:pt idx="207">
                  <c:v>40.406000000000006</c:v>
                </c:pt>
                <c:pt idx="208">
                  <c:v>39.995666666666672</c:v>
                </c:pt>
                <c:pt idx="209">
                  <c:v>80.406666666666666</c:v>
                </c:pt>
                <c:pt idx="210">
                  <c:v>35.25033333333333</c:v>
                </c:pt>
                <c:pt idx="211">
                  <c:v>27.785301097178991</c:v>
                </c:pt>
                <c:pt idx="212">
                  <c:v>27.785301097178991</c:v>
                </c:pt>
                <c:pt idx="213">
                  <c:v>27.785301097178991</c:v>
                </c:pt>
                <c:pt idx="214">
                  <c:v>27.785301097178991</c:v>
                </c:pt>
                <c:pt idx="215">
                  <c:v>27.785301097178991</c:v>
                </c:pt>
                <c:pt idx="216">
                  <c:v>27.785301097178991</c:v>
                </c:pt>
                <c:pt idx="217">
                  <c:v>27.785301097178991</c:v>
                </c:pt>
                <c:pt idx="218">
                  <c:v>29.866666666666664</c:v>
                </c:pt>
                <c:pt idx="219">
                  <c:v>23.9</c:v>
                </c:pt>
                <c:pt idx="220">
                  <c:v>5.2</c:v>
                </c:pt>
                <c:pt idx="221">
                  <c:v>37.200000000000003</c:v>
                </c:pt>
                <c:pt idx="222">
                  <c:v>37.633333333333333</c:v>
                </c:pt>
                <c:pt idx="223">
                  <c:v>44.481333333333332</c:v>
                </c:pt>
                <c:pt idx="224">
                  <c:v>38.439333333333337</c:v>
                </c:pt>
                <c:pt idx="225">
                  <c:v>44.3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D-4FF1-8B55-9B7BD1DB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8095"/>
        <c:axId val="2123699055"/>
      </c:scatterChart>
      <c:valAx>
        <c:axId val="21236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055"/>
        <c:crosses val="autoZero"/>
        <c:crossBetween val="midCat"/>
      </c:valAx>
      <c:valAx>
        <c:axId val="21236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Log'!$W$2:$W$227</c:f>
              <c:numCache>
                <c:formatCode>0.00</c:formatCode>
                <c:ptCount val="226"/>
                <c:pt idx="0">
                  <c:v>67.5</c:v>
                </c:pt>
                <c:pt idx="1">
                  <c:v>325.45</c:v>
                </c:pt>
                <c:pt idx="2">
                  <c:v>66.442083333333329</c:v>
                </c:pt>
                <c:pt idx="3">
                  <c:v>46</c:v>
                </c:pt>
                <c:pt idx="4">
                  <c:v>67.668333333333322</c:v>
                </c:pt>
                <c:pt idx="5">
                  <c:v>96.87166666666667</c:v>
                </c:pt>
                <c:pt idx="6">
                  <c:v>213.35166666666666</c:v>
                </c:pt>
                <c:pt idx="7">
                  <c:v>91</c:v>
                </c:pt>
                <c:pt idx="8">
                  <c:v>30.091666666666669</c:v>
                </c:pt>
                <c:pt idx="9">
                  <c:v>20.591666666666669</c:v>
                </c:pt>
                <c:pt idx="10">
                  <c:v>40.258333333333333</c:v>
                </c:pt>
                <c:pt idx="11">
                  <c:v>31.554166666666667</c:v>
                </c:pt>
                <c:pt idx="12">
                  <c:v>131.35</c:v>
                </c:pt>
                <c:pt idx="13">
                  <c:v>38.685416666666669</c:v>
                </c:pt>
                <c:pt idx="14">
                  <c:v>58.955750000000002</c:v>
                </c:pt>
                <c:pt idx="15">
                  <c:v>58.923416666666668</c:v>
                </c:pt>
                <c:pt idx="16">
                  <c:v>15.641666666666664</c:v>
                </c:pt>
                <c:pt idx="17">
                  <c:v>26.641666666666666</c:v>
                </c:pt>
                <c:pt idx="18">
                  <c:v>15.801666666666666</c:v>
                </c:pt>
                <c:pt idx="19">
                  <c:v>145.95741666666666</c:v>
                </c:pt>
                <c:pt idx="20">
                  <c:v>36.741666666666667</c:v>
                </c:pt>
                <c:pt idx="21">
                  <c:v>32.655749999999998</c:v>
                </c:pt>
                <c:pt idx="22">
                  <c:v>43.19756666666666</c:v>
                </c:pt>
                <c:pt idx="23">
                  <c:v>19.880333333333333</c:v>
                </c:pt>
                <c:pt idx="24">
                  <c:v>22.310333333333336</c:v>
                </c:pt>
                <c:pt idx="25">
                  <c:v>20.500333333333334</c:v>
                </c:pt>
                <c:pt idx="26">
                  <c:v>26.580333333333336</c:v>
                </c:pt>
                <c:pt idx="27">
                  <c:v>32.760333333333335</c:v>
                </c:pt>
                <c:pt idx="28">
                  <c:v>96.760333333333335</c:v>
                </c:pt>
                <c:pt idx="29">
                  <c:v>41.361499999999992</c:v>
                </c:pt>
                <c:pt idx="30">
                  <c:v>23.225166666666667</c:v>
                </c:pt>
                <c:pt idx="31">
                  <c:v>18.669833333333337</c:v>
                </c:pt>
                <c:pt idx="32">
                  <c:v>29.625166666666665</c:v>
                </c:pt>
                <c:pt idx="33">
                  <c:v>24.250333333333334</c:v>
                </c:pt>
                <c:pt idx="34">
                  <c:v>16.669833333333337</c:v>
                </c:pt>
                <c:pt idx="35">
                  <c:v>88.4</c:v>
                </c:pt>
                <c:pt idx="36">
                  <c:v>21.505166666666668</c:v>
                </c:pt>
                <c:pt idx="37">
                  <c:v>478.34999999999997</c:v>
                </c:pt>
                <c:pt idx="38">
                  <c:v>252.2</c:v>
                </c:pt>
                <c:pt idx="39">
                  <c:v>325.75</c:v>
                </c:pt>
                <c:pt idx="40">
                  <c:v>328.25</c:v>
                </c:pt>
                <c:pt idx="41">
                  <c:v>272</c:v>
                </c:pt>
                <c:pt idx="42">
                  <c:v>134</c:v>
                </c:pt>
                <c:pt idx="43">
                  <c:v>290</c:v>
                </c:pt>
                <c:pt idx="44">
                  <c:v>322.23899999999998</c:v>
                </c:pt>
                <c:pt idx="45">
                  <c:v>341.44171428571428</c:v>
                </c:pt>
                <c:pt idx="46">
                  <c:v>212.22544642857144</c:v>
                </c:pt>
                <c:pt idx="47">
                  <c:v>14.921518155757285</c:v>
                </c:pt>
                <c:pt idx="48">
                  <c:v>27.305119047619048</c:v>
                </c:pt>
                <c:pt idx="49">
                  <c:v>20.721518155757284</c:v>
                </c:pt>
                <c:pt idx="50">
                  <c:v>20.721518155757284</c:v>
                </c:pt>
                <c:pt idx="51">
                  <c:v>207.03666666666669</c:v>
                </c:pt>
                <c:pt idx="52">
                  <c:v>20.721518155757284</c:v>
                </c:pt>
                <c:pt idx="53">
                  <c:v>36.246666666666663</c:v>
                </c:pt>
                <c:pt idx="54">
                  <c:v>21.721518155757284</c:v>
                </c:pt>
                <c:pt idx="55">
                  <c:v>106.58306577480491</c:v>
                </c:pt>
                <c:pt idx="56">
                  <c:v>149.85178571428571</c:v>
                </c:pt>
                <c:pt idx="57">
                  <c:v>17.201785714285712</c:v>
                </c:pt>
                <c:pt idx="58">
                  <c:v>14.649999999999999</c:v>
                </c:pt>
                <c:pt idx="59">
                  <c:v>12.401785714285712</c:v>
                </c:pt>
                <c:pt idx="60">
                  <c:v>11.649999999999999</c:v>
                </c:pt>
                <c:pt idx="61">
                  <c:v>88.201785714285705</c:v>
                </c:pt>
                <c:pt idx="62">
                  <c:v>23.851785714285711</c:v>
                </c:pt>
                <c:pt idx="63">
                  <c:v>37.449999999999996</c:v>
                </c:pt>
                <c:pt idx="64">
                  <c:v>489.79999999999995</c:v>
                </c:pt>
                <c:pt idx="65">
                  <c:v>14.2</c:v>
                </c:pt>
                <c:pt idx="66">
                  <c:v>189.20178571428573</c:v>
                </c:pt>
                <c:pt idx="67">
                  <c:v>425.65</c:v>
                </c:pt>
                <c:pt idx="68">
                  <c:v>29.545833333333334</c:v>
                </c:pt>
                <c:pt idx="69">
                  <c:v>29.107142857142858</c:v>
                </c:pt>
                <c:pt idx="70">
                  <c:v>60.691666666666663</c:v>
                </c:pt>
                <c:pt idx="71">
                  <c:v>529.81547619047615</c:v>
                </c:pt>
                <c:pt idx="72">
                  <c:v>23</c:v>
                </c:pt>
                <c:pt idx="73">
                  <c:v>443</c:v>
                </c:pt>
                <c:pt idx="74">
                  <c:v>45.991666666666667</c:v>
                </c:pt>
                <c:pt idx="75">
                  <c:v>31.115476190476191</c:v>
                </c:pt>
                <c:pt idx="76">
                  <c:v>53.783333333333331</c:v>
                </c:pt>
                <c:pt idx="77">
                  <c:v>90.615476190476187</c:v>
                </c:pt>
                <c:pt idx="78">
                  <c:v>591.21547619047624</c:v>
                </c:pt>
                <c:pt idx="79">
                  <c:v>155.6</c:v>
                </c:pt>
                <c:pt idx="80">
                  <c:v>201.79166666666669</c:v>
                </c:pt>
                <c:pt idx="81">
                  <c:v>386.47047619047618</c:v>
                </c:pt>
                <c:pt idx="82">
                  <c:v>265.63499999999999</c:v>
                </c:pt>
                <c:pt idx="83">
                  <c:v>231.05500000000001</c:v>
                </c:pt>
                <c:pt idx="84">
                  <c:v>326.67500000000001</c:v>
                </c:pt>
                <c:pt idx="85">
                  <c:v>638.91187500000001</c:v>
                </c:pt>
                <c:pt idx="86">
                  <c:v>522.52437499999996</c:v>
                </c:pt>
                <c:pt idx="87">
                  <c:v>208.04874999999998</c:v>
                </c:pt>
                <c:pt idx="88">
                  <c:v>154.55937500000002</c:v>
                </c:pt>
                <c:pt idx="89">
                  <c:v>197.26250000000002</c:v>
                </c:pt>
                <c:pt idx="90">
                  <c:v>234.97500000000002</c:v>
                </c:pt>
                <c:pt idx="91">
                  <c:v>523.58749999999998</c:v>
                </c:pt>
                <c:pt idx="92">
                  <c:v>653.99</c:v>
                </c:pt>
                <c:pt idx="93">
                  <c:v>28.254166666666666</c:v>
                </c:pt>
                <c:pt idx="94">
                  <c:v>25.539666666666665</c:v>
                </c:pt>
                <c:pt idx="95">
                  <c:v>40.587499999999999</c:v>
                </c:pt>
                <c:pt idx="96">
                  <c:v>106.81366666666666</c:v>
                </c:pt>
                <c:pt idx="97">
                  <c:v>104.0125</c:v>
                </c:pt>
                <c:pt idx="98">
                  <c:v>475.33016666666663</c:v>
                </c:pt>
                <c:pt idx="99">
                  <c:v>472.61616666666669</c:v>
                </c:pt>
                <c:pt idx="100">
                  <c:v>620.61249999999995</c:v>
                </c:pt>
                <c:pt idx="101">
                  <c:v>808</c:v>
                </c:pt>
                <c:pt idx="102">
                  <c:v>192.78766666666667</c:v>
                </c:pt>
                <c:pt idx="103">
                  <c:v>126.67</c:v>
                </c:pt>
                <c:pt idx="104">
                  <c:v>126.67</c:v>
                </c:pt>
                <c:pt idx="105">
                  <c:v>138.76400000000001</c:v>
                </c:pt>
                <c:pt idx="106">
                  <c:v>325.47500000000002</c:v>
                </c:pt>
                <c:pt idx="107">
                  <c:v>39.65</c:v>
                </c:pt>
                <c:pt idx="108">
                  <c:v>28.138999999999999</c:v>
                </c:pt>
                <c:pt idx="109">
                  <c:v>317.35000000000002</c:v>
                </c:pt>
                <c:pt idx="110">
                  <c:v>307.71899999999999</c:v>
                </c:pt>
                <c:pt idx="111">
                  <c:v>475.8</c:v>
                </c:pt>
                <c:pt idx="112">
                  <c:v>306.01900000000001</c:v>
                </c:pt>
                <c:pt idx="113">
                  <c:v>188.39699999999999</c:v>
                </c:pt>
                <c:pt idx="114">
                  <c:v>30.150000000000002</c:v>
                </c:pt>
                <c:pt idx="115">
                  <c:v>191.17699999999999</c:v>
                </c:pt>
                <c:pt idx="116">
                  <c:v>214.67500000000001</c:v>
                </c:pt>
                <c:pt idx="117">
                  <c:v>215.36</c:v>
                </c:pt>
                <c:pt idx="118">
                  <c:v>225.1</c:v>
                </c:pt>
                <c:pt idx="119">
                  <c:v>206.1</c:v>
                </c:pt>
                <c:pt idx="120">
                  <c:v>196.04999999999998</c:v>
                </c:pt>
                <c:pt idx="121">
                  <c:v>821.9</c:v>
                </c:pt>
                <c:pt idx="122">
                  <c:v>687.84012500000006</c:v>
                </c:pt>
                <c:pt idx="123">
                  <c:v>362.08937499999996</c:v>
                </c:pt>
                <c:pt idx="124">
                  <c:v>152</c:v>
                </c:pt>
                <c:pt idx="125">
                  <c:v>349.9449166666667</c:v>
                </c:pt>
                <c:pt idx="126">
                  <c:v>516.88958333333335</c:v>
                </c:pt>
                <c:pt idx="127">
                  <c:v>1012.2850000000001</c:v>
                </c:pt>
                <c:pt idx="128">
                  <c:v>540.84687499999995</c:v>
                </c:pt>
                <c:pt idx="129">
                  <c:v>427.88333333333333</c:v>
                </c:pt>
                <c:pt idx="130">
                  <c:v>334.10370833333332</c:v>
                </c:pt>
                <c:pt idx="131">
                  <c:v>129</c:v>
                </c:pt>
                <c:pt idx="132">
                  <c:v>378.2</c:v>
                </c:pt>
                <c:pt idx="133">
                  <c:v>390.73166666666668</c:v>
                </c:pt>
                <c:pt idx="134">
                  <c:v>316.12166666666667</c:v>
                </c:pt>
                <c:pt idx="135">
                  <c:v>554.69124999999997</c:v>
                </c:pt>
                <c:pt idx="136">
                  <c:v>373.47787499999998</c:v>
                </c:pt>
                <c:pt idx="137">
                  <c:v>498.64431249999996</c:v>
                </c:pt>
                <c:pt idx="138">
                  <c:v>119.4</c:v>
                </c:pt>
                <c:pt idx="139">
                  <c:v>459.10299999999995</c:v>
                </c:pt>
                <c:pt idx="140">
                  <c:v>541.51043749999997</c:v>
                </c:pt>
                <c:pt idx="141">
                  <c:v>391.66643750000003</c:v>
                </c:pt>
                <c:pt idx="142">
                  <c:v>193.44931249999999</c:v>
                </c:pt>
                <c:pt idx="143">
                  <c:v>436.60500000000002</c:v>
                </c:pt>
                <c:pt idx="144">
                  <c:v>349.62943749999999</c:v>
                </c:pt>
                <c:pt idx="145">
                  <c:v>2</c:v>
                </c:pt>
                <c:pt idx="146">
                  <c:v>372.02943750000003</c:v>
                </c:pt>
                <c:pt idx="147">
                  <c:v>330.4</c:v>
                </c:pt>
                <c:pt idx="148">
                  <c:v>296.39999999999998</c:v>
                </c:pt>
                <c:pt idx="149">
                  <c:v>295.10000000000002</c:v>
                </c:pt>
                <c:pt idx="150">
                  <c:v>140.80000000000001</c:v>
                </c:pt>
                <c:pt idx="151">
                  <c:v>525.43208333333337</c:v>
                </c:pt>
                <c:pt idx="152">
                  <c:v>82.004999999999995</c:v>
                </c:pt>
                <c:pt idx="153">
                  <c:v>67.68416666666667</c:v>
                </c:pt>
                <c:pt idx="154">
                  <c:v>207.9385</c:v>
                </c:pt>
                <c:pt idx="155">
                  <c:v>345.24333333333334</c:v>
                </c:pt>
                <c:pt idx="156">
                  <c:v>292.68416666666667</c:v>
                </c:pt>
                <c:pt idx="157">
                  <c:v>185.90833333333333</c:v>
                </c:pt>
                <c:pt idx="158">
                  <c:v>31.368333333333336</c:v>
                </c:pt>
                <c:pt idx="159">
                  <c:v>50.18833333333334</c:v>
                </c:pt>
                <c:pt idx="160">
                  <c:v>218.47633333333334</c:v>
                </c:pt>
                <c:pt idx="161">
                  <c:v>168.30833333333334</c:v>
                </c:pt>
                <c:pt idx="162">
                  <c:v>751.32500000000005</c:v>
                </c:pt>
                <c:pt idx="163">
                  <c:v>305.36833333333334</c:v>
                </c:pt>
                <c:pt idx="164">
                  <c:v>342.76833333333332</c:v>
                </c:pt>
                <c:pt idx="165">
                  <c:v>321.39999999999998</c:v>
                </c:pt>
                <c:pt idx="166">
                  <c:v>349.86566666666664</c:v>
                </c:pt>
                <c:pt idx="167">
                  <c:v>158.741625</c:v>
                </c:pt>
                <c:pt idx="168">
                  <c:v>273.8416666666667</c:v>
                </c:pt>
                <c:pt idx="169">
                  <c:v>264.0654761904762</c:v>
                </c:pt>
                <c:pt idx="170">
                  <c:v>506.0832916666667</c:v>
                </c:pt>
                <c:pt idx="171">
                  <c:v>500.3416666666667</c:v>
                </c:pt>
                <c:pt idx="172">
                  <c:v>508</c:v>
                </c:pt>
                <c:pt idx="173">
                  <c:v>312.70710119047618</c:v>
                </c:pt>
                <c:pt idx="174">
                  <c:v>199.63276785714285</c:v>
                </c:pt>
                <c:pt idx="175">
                  <c:v>236.3154761904762</c:v>
                </c:pt>
                <c:pt idx="176">
                  <c:v>112.82166666666666</c:v>
                </c:pt>
                <c:pt idx="177">
                  <c:v>169.50000000000003</c:v>
                </c:pt>
                <c:pt idx="178">
                  <c:v>607.8654761904761</c:v>
                </c:pt>
                <c:pt idx="179">
                  <c:v>293.90000000000003</c:v>
                </c:pt>
                <c:pt idx="180">
                  <c:v>241.64166666666668</c:v>
                </c:pt>
                <c:pt idx="181">
                  <c:v>34.091666666666669</c:v>
                </c:pt>
                <c:pt idx="182">
                  <c:v>241.87491666666668</c:v>
                </c:pt>
                <c:pt idx="183">
                  <c:v>245.88329166666668</c:v>
                </c:pt>
                <c:pt idx="184">
                  <c:v>27.741666666666667</c:v>
                </c:pt>
                <c:pt idx="185">
                  <c:v>22.141666666666666</c:v>
                </c:pt>
                <c:pt idx="186">
                  <c:v>314.5</c:v>
                </c:pt>
                <c:pt idx="187">
                  <c:v>399.6</c:v>
                </c:pt>
                <c:pt idx="188">
                  <c:v>174.92933333333335</c:v>
                </c:pt>
                <c:pt idx="189">
                  <c:v>460.83195833333332</c:v>
                </c:pt>
                <c:pt idx="190">
                  <c:v>444.06567261904763</c:v>
                </c:pt>
                <c:pt idx="191">
                  <c:v>520.71967261904763</c:v>
                </c:pt>
                <c:pt idx="192">
                  <c:v>530.5</c:v>
                </c:pt>
                <c:pt idx="193">
                  <c:v>368.85833333333335</c:v>
                </c:pt>
                <c:pt idx="194">
                  <c:v>43.677339285714282</c:v>
                </c:pt>
                <c:pt idx="195">
                  <c:v>206.99804761904761</c:v>
                </c:pt>
                <c:pt idx="196">
                  <c:v>421.48571428571432</c:v>
                </c:pt>
                <c:pt idx="197">
                  <c:v>291.75833333333333</c:v>
                </c:pt>
                <c:pt idx="198">
                  <c:v>285.67142857142858</c:v>
                </c:pt>
                <c:pt idx="199">
                  <c:v>269.09162500000002</c:v>
                </c:pt>
                <c:pt idx="200">
                  <c:v>381.09162500000002</c:v>
                </c:pt>
                <c:pt idx="201">
                  <c:v>615.0428571428572</c:v>
                </c:pt>
                <c:pt idx="202">
                  <c:v>319.56662499999999</c:v>
                </c:pt>
                <c:pt idx="203">
                  <c:v>512.46662500000002</c:v>
                </c:pt>
                <c:pt idx="204">
                  <c:v>573.4</c:v>
                </c:pt>
                <c:pt idx="205">
                  <c:v>615.70000000000005</c:v>
                </c:pt>
                <c:pt idx="206">
                  <c:v>18.666333333333334</c:v>
                </c:pt>
                <c:pt idx="207">
                  <c:v>295.52633333333335</c:v>
                </c:pt>
                <c:pt idx="208">
                  <c:v>352.98033333333336</c:v>
                </c:pt>
                <c:pt idx="209">
                  <c:v>326.79666666666668</c:v>
                </c:pt>
                <c:pt idx="210">
                  <c:v>224.61833333333334</c:v>
                </c:pt>
                <c:pt idx="211">
                  <c:v>239.28876055938798</c:v>
                </c:pt>
                <c:pt idx="212">
                  <c:v>239.28876055938798</c:v>
                </c:pt>
                <c:pt idx="213">
                  <c:v>239.28876055938798</c:v>
                </c:pt>
                <c:pt idx="214">
                  <c:v>239.28876055938798</c:v>
                </c:pt>
                <c:pt idx="215">
                  <c:v>239.28876055938798</c:v>
                </c:pt>
                <c:pt idx="216">
                  <c:v>239.28876055938798</c:v>
                </c:pt>
                <c:pt idx="217">
                  <c:v>239.28876055938798</c:v>
                </c:pt>
                <c:pt idx="218">
                  <c:v>407.61666666666667</c:v>
                </c:pt>
                <c:pt idx="219">
                  <c:v>297.3</c:v>
                </c:pt>
                <c:pt idx="220">
                  <c:v>150.4</c:v>
                </c:pt>
                <c:pt idx="221">
                  <c:v>208.4</c:v>
                </c:pt>
                <c:pt idx="222">
                  <c:v>228.15166666666667</c:v>
                </c:pt>
                <c:pt idx="223">
                  <c:v>128.01566666666668</c:v>
                </c:pt>
                <c:pt idx="224">
                  <c:v>302.9496666666667</c:v>
                </c:pt>
                <c:pt idx="225">
                  <c:v>481.8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D-49DA-B738-78040C14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65455"/>
        <c:axId val="2123676975"/>
      </c:scatterChart>
      <c:valAx>
        <c:axId val="2123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6975"/>
        <c:crosses val="autoZero"/>
        <c:crossBetween val="midCat"/>
      </c:valAx>
      <c:valAx>
        <c:axId val="2123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Servings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Log'!$X$2:$X$227</c:f>
              <c:numCache>
                <c:formatCode>0.00</c:formatCode>
                <c:ptCount val="226"/>
                <c:pt idx="0">
                  <c:v>17</c:v>
                </c:pt>
                <c:pt idx="1">
                  <c:v>72.5</c:v>
                </c:pt>
                <c:pt idx="2">
                  <c:v>16.350000000000001</c:v>
                </c:pt>
                <c:pt idx="3">
                  <c:v>6</c:v>
                </c:pt>
                <c:pt idx="4">
                  <c:v>19.3</c:v>
                </c:pt>
                <c:pt idx="5">
                  <c:v>20.9</c:v>
                </c:pt>
                <c:pt idx="6">
                  <c:v>17.5</c:v>
                </c:pt>
                <c:pt idx="7">
                  <c:v>12</c:v>
                </c:pt>
                <c:pt idx="8">
                  <c:v>35</c:v>
                </c:pt>
                <c:pt idx="9">
                  <c:v>21.5</c:v>
                </c:pt>
                <c:pt idx="10">
                  <c:v>7.5</c:v>
                </c:pt>
                <c:pt idx="11">
                  <c:v>8.25</c:v>
                </c:pt>
                <c:pt idx="12">
                  <c:v>16</c:v>
                </c:pt>
                <c:pt idx="13">
                  <c:v>10.25</c:v>
                </c:pt>
                <c:pt idx="14">
                  <c:v>6</c:v>
                </c:pt>
                <c:pt idx="15">
                  <c:v>20.84</c:v>
                </c:pt>
                <c:pt idx="16">
                  <c:v>16</c:v>
                </c:pt>
                <c:pt idx="17">
                  <c:v>17</c:v>
                </c:pt>
                <c:pt idx="18">
                  <c:v>15.899999999999999</c:v>
                </c:pt>
                <c:pt idx="19">
                  <c:v>17.899999999999999</c:v>
                </c:pt>
                <c:pt idx="20">
                  <c:v>17</c:v>
                </c:pt>
                <c:pt idx="21">
                  <c:v>6</c:v>
                </c:pt>
                <c:pt idx="22">
                  <c:v>5.2</c:v>
                </c:pt>
                <c:pt idx="23">
                  <c:v>16.700000000000003</c:v>
                </c:pt>
                <c:pt idx="24">
                  <c:v>20.05</c:v>
                </c:pt>
                <c:pt idx="25">
                  <c:v>17.600000000000001</c:v>
                </c:pt>
                <c:pt idx="26">
                  <c:v>24</c:v>
                </c:pt>
                <c:pt idx="27">
                  <c:v>18.399999999999999</c:v>
                </c:pt>
                <c:pt idx="28">
                  <c:v>15.4</c:v>
                </c:pt>
                <c:pt idx="29">
                  <c:v>7</c:v>
                </c:pt>
                <c:pt idx="30">
                  <c:v>11</c:v>
                </c:pt>
                <c:pt idx="31">
                  <c:v>8</c:v>
                </c:pt>
                <c:pt idx="32">
                  <c:v>15.3</c:v>
                </c:pt>
                <c:pt idx="33">
                  <c:v>20.5</c:v>
                </c:pt>
                <c:pt idx="34">
                  <c:v>7</c:v>
                </c:pt>
                <c:pt idx="35">
                  <c:v>14</c:v>
                </c:pt>
                <c:pt idx="36">
                  <c:v>12.4</c:v>
                </c:pt>
                <c:pt idx="37">
                  <c:v>166.5</c:v>
                </c:pt>
                <c:pt idx="38">
                  <c:v>76.5</c:v>
                </c:pt>
                <c:pt idx="39">
                  <c:v>78</c:v>
                </c:pt>
                <c:pt idx="40">
                  <c:v>84.5</c:v>
                </c:pt>
                <c:pt idx="41">
                  <c:v>80</c:v>
                </c:pt>
                <c:pt idx="42">
                  <c:v>11</c:v>
                </c:pt>
                <c:pt idx="43">
                  <c:v>74</c:v>
                </c:pt>
                <c:pt idx="44">
                  <c:v>83.75</c:v>
                </c:pt>
                <c:pt idx="45">
                  <c:v>98</c:v>
                </c:pt>
                <c:pt idx="46">
                  <c:v>54.5</c:v>
                </c:pt>
                <c:pt idx="47">
                  <c:v>11</c:v>
                </c:pt>
                <c:pt idx="48">
                  <c:v>17</c:v>
                </c:pt>
                <c:pt idx="49">
                  <c:v>10</c:v>
                </c:pt>
                <c:pt idx="50">
                  <c:v>12</c:v>
                </c:pt>
                <c:pt idx="51">
                  <c:v>84.59</c:v>
                </c:pt>
                <c:pt idx="52">
                  <c:v>12</c:v>
                </c:pt>
                <c:pt idx="53">
                  <c:v>30.1</c:v>
                </c:pt>
                <c:pt idx="54">
                  <c:v>13</c:v>
                </c:pt>
                <c:pt idx="55">
                  <c:v>24.1</c:v>
                </c:pt>
                <c:pt idx="56">
                  <c:v>15</c:v>
                </c:pt>
                <c:pt idx="57">
                  <c:v>11.5</c:v>
                </c:pt>
                <c:pt idx="58">
                  <c:v>12.5</c:v>
                </c:pt>
                <c:pt idx="59">
                  <c:v>10</c:v>
                </c:pt>
                <c:pt idx="60">
                  <c:v>14</c:v>
                </c:pt>
                <c:pt idx="61">
                  <c:v>10</c:v>
                </c:pt>
                <c:pt idx="62">
                  <c:v>14</c:v>
                </c:pt>
                <c:pt idx="63">
                  <c:v>9</c:v>
                </c:pt>
                <c:pt idx="64">
                  <c:v>55.1</c:v>
                </c:pt>
                <c:pt idx="65">
                  <c:v>4.9000000000000004</c:v>
                </c:pt>
                <c:pt idx="66">
                  <c:v>21</c:v>
                </c:pt>
                <c:pt idx="67">
                  <c:v>81</c:v>
                </c:pt>
                <c:pt idx="68">
                  <c:v>15.5</c:v>
                </c:pt>
                <c:pt idx="69">
                  <c:v>14</c:v>
                </c:pt>
                <c:pt idx="70">
                  <c:v>18</c:v>
                </c:pt>
                <c:pt idx="71">
                  <c:v>103.4</c:v>
                </c:pt>
                <c:pt idx="72">
                  <c:v>7</c:v>
                </c:pt>
                <c:pt idx="73">
                  <c:v>114</c:v>
                </c:pt>
                <c:pt idx="74">
                  <c:v>12</c:v>
                </c:pt>
                <c:pt idx="75">
                  <c:v>16</c:v>
                </c:pt>
                <c:pt idx="76">
                  <c:v>18</c:v>
                </c:pt>
                <c:pt idx="77">
                  <c:v>15</c:v>
                </c:pt>
                <c:pt idx="78">
                  <c:v>138.5</c:v>
                </c:pt>
                <c:pt idx="79">
                  <c:v>20.5</c:v>
                </c:pt>
                <c:pt idx="80">
                  <c:v>65</c:v>
                </c:pt>
                <c:pt idx="81">
                  <c:v>60.45</c:v>
                </c:pt>
                <c:pt idx="82">
                  <c:v>65.55</c:v>
                </c:pt>
                <c:pt idx="83">
                  <c:v>73.900000000000006</c:v>
                </c:pt>
                <c:pt idx="84">
                  <c:v>78.75</c:v>
                </c:pt>
                <c:pt idx="85">
                  <c:v>103</c:v>
                </c:pt>
                <c:pt idx="86">
                  <c:v>154</c:v>
                </c:pt>
                <c:pt idx="87">
                  <c:v>63</c:v>
                </c:pt>
                <c:pt idx="88">
                  <c:v>25.55</c:v>
                </c:pt>
                <c:pt idx="89">
                  <c:v>29.75</c:v>
                </c:pt>
                <c:pt idx="90">
                  <c:v>75</c:v>
                </c:pt>
                <c:pt idx="91">
                  <c:v>98.666666666666671</c:v>
                </c:pt>
                <c:pt idx="92">
                  <c:v>126.7</c:v>
                </c:pt>
                <c:pt idx="93">
                  <c:v>15</c:v>
                </c:pt>
                <c:pt idx="94">
                  <c:v>20.73</c:v>
                </c:pt>
                <c:pt idx="95">
                  <c:v>25</c:v>
                </c:pt>
                <c:pt idx="96">
                  <c:v>23.54</c:v>
                </c:pt>
                <c:pt idx="97">
                  <c:v>21</c:v>
                </c:pt>
                <c:pt idx="98">
                  <c:v>124.39</c:v>
                </c:pt>
                <c:pt idx="99">
                  <c:v>128.52000000000001</c:v>
                </c:pt>
                <c:pt idx="100">
                  <c:v>115</c:v>
                </c:pt>
                <c:pt idx="101">
                  <c:v>155</c:v>
                </c:pt>
                <c:pt idx="102">
                  <c:v>63.34</c:v>
                </c:pt>
                <c:pt idx="103">
                  <c:v>31.23</c:v>
                </c:pt>
                <c:pt idx="104">
                  <c:v>31.23</c:v>
                </c:pt>
                <c:pt idx="105">
                  <c:v>25.540000000000003</c:v>
                </c:pt>
                <c:pt idx="106">
                  <c:v>19</c:v>
                </c:pt>
                <c:pt idx="107">
                  <c:v>26.41</c:v>
                </c:pt>
                <c:pt idx="108">
                  <c:v>21.549999999999997</c:v>
                </c:pt>
                <c:pt idx="109">
                  <c:v>54</c:v>
                </c:pt>
                <c:pt idx="110">
                  <c:v>72.78</c:v>
                </c:pt>
                <c:pt idx="111">
                  <c:v>69</c:v>
                </c:pt>
                <c:pt idx="112">
                  <c:v>62.09</c:v>
                </c:pt>
                <c:pt idx="113">
                  <c:v>65.490000000000009</c:v>
                </c:pt>
                <c:pt idx="114">
                  <c:v>15</c:v>
                </c:pt>
                <c:pt idx="115">
                  <c:v>63.65</c:v>
                </c:pt>
                <c:pt idx="116">
                  <c:v>55.5</c:v>
                </c:pt>
                <c:pt idx="117">
                  <c:v>57.2</c:v>
                </c:pt>
                <c:pt idx="118">
                  <c:v>58.25</c:v>
                </c:pt>
                <c:pt idx="119">
                  <c:v>59.25</c:v>
                </c:pt>
                <c:pt idx="120">
                  <c:v>46.75</c:v>
                </c:pt>
                <c:pt idx="121">
                  <c:v>168.5</c:v>
                </c:pt>
                <c:pt idx="122">
                  <c:v>141.6</c:v>
                </c:pt>
                <c:pt idx="123">
                  <c:v>23.63</c:v>
                </c:pt>
                <c:pt idx="124">
                  <c:v>40</c:v>
                </c:pt>
                <c:pt idx="125">
                  <c:v>79.77</c:v>
                </c:pt>
                <c:pt idx="126">
                  <c:v>107</c:v>
                </c:pt>
                <c:pt idx="127">
                  <c:v>140.6</c:v>
                </c:pt>
                <c:pt idx="128">
                  <c:v>90</c:v>
                </c:pt>
                <c:pt idx="129">
                  <c:v>67</c:v>
                </c:pt>
                <c:pt idx="130">
                  <c:v>78.22999999999999</c:v>
                </c:pt>
                <c:pt idx="131">
                  <c:v>3</c:v>
                </c:pt>
                <c:pt idx="132">
                  <c:v>129</c:v>
                </c:pt>
                <c:pt idx="133">
                  <c:v>98.4</c:v>
                </c:pt>
                <c:pt idx="134">
                  <c:v>70.400000000000006</c:v>
                </c:pt>
                <c:pt idx="135">
                  <c:v>115.8</c:v>
                </c:pt>
                <c:pt idx="136">
                  <c:v>66.430000000000007</c:v>
                </c:pt>
                <c:pt idx="137">
                  <c:v>97</c:v>
                </c:pt>
                <c:pt idx="138">
                  <c:v>6</c:v>
                </c:pt>
                <c:pt idx="139">
                  <c:v>123.63</c:v>
                </c:pt>
                <c:pt idx="140">
                  <c:v>163.86</c:v>
                </c:pt>
                <c:pt idx="141">
                  <c:v>108.56</c:v>
                </c:pt>
                <c:pt idx="142">
                  <c:v>73.7</c:v>
                </c:pt>
                <c:pt idx="143">
                  <c:v>133.69999999999999</c:v>
                </c:pt>
                <c:pt idx="144">
                  <c:v>114</c:v>
                </c:pt>
                <c:pt idx="145">
                  <c:v>1</c:v>
                </c:pt>
                <c:pt idx="146">
                  <c:v>102</c:v>
                </c:pt>
                <c:pt idx="147">
                  <c:v>70</c:v>
                </c:pt>
                <c:pt idx="148">
                  <c:v>56</c:v>
                </c:pt>
                <c:pt idx="149">
                  <c:v>69</c:v>
                </c:pt>
                <c:pt idx="150">
                  <c:v>56</c:v>
                </c:pt>
                <c:pt idx="151">
                  <c:v>129.17000000000002</c:v>
                </c:pt>
                <c:pt idx="152">
                  <c:v>15.33</c:v>
                </c:pt>
                <c:pt idx="153">
                  <c:v>5</c:v>
                </c:pt>
                <c:pt idx="154">
                  <c:v>73.42</c:v>
                </c:pt>
                <c:pt idx="155">
                  <c:v>106</c:v>
                </c:pt>
                <c:pt idx="156">
                  <c:v>101</c:v>
                </c:pt>
                <c:pt idx="157">
                  <c:v>44</c:v>
                </c:pt>
                <c:pt idx="158">
                  <c:v>21</c:v>
                </c:pt>
                <c:pt idx="159">
                  <c:v>38.5</c:v>
                </c:pt>
                <c:pt idx="160">
                  <c:v>64.39</c:v>
                </c:pt>
                <c:pt idx="161">
                  <c:v>65</c:v>
                </c:pt>
                <c:pt idx="162">
                  <c:v>147</c:v>
                </c:pt>
                <c:pt idx="163">
                  <c:v>68</c:v>
                </c:pt>
                <c:pt idx="164">
                  <c:v>59</c:v>
                </c:pt>
                <c:pt idx="165">
                  <c:v>75</c:v>
                </c:pt>
                <c:pt idx="166">
                  <c:v>102.94</c:v>
                </c:pt>
                <c:pt idx="167">
                  <c:v>17</c:v>
                </c:pt>
                <c:pt idx="168">
                  <c:v>76.5</c:v>
                </c:pt>
                <c:pt idx="169">
                  <c:v>66.5</c:v>
                </c:pt>
                <c:pt idx="170">
                  <c:v>126</c:v>
                </c:pt>
                <c:pt idx="171">
                  <c:v>125</c:v>
                </c:pt>
                <c:pt idx="172">
                  <c:v>84.75</c:v>
                </c:pt>
                <c:pt idx="173">
                  <c:v>55</c:v>
                </c:pt>
                <c:pt idx="174">
                  <c:v>77.11</c:v>
                </c:pt>
                <c:pt idx="175">
                  <c:v>77</c:v>
                </c:pt>
                <c:pt idx="176">
                  <c:v>37.299999999999997</c:v>
                </c:pt>
                <c:pt idx="177">
                  <c:v>65</c:v>
                </c:pt>
                <c:pt idx="178">
                  <c:v>82.75</c:v>
                </c:pt>
                <c:pt idx="179">
                  <c:v>83</c:v>
                </c:pt>
                <c:pt idx="180">
                  <c:v>79</c:v>
                </c:pt>
                <c:pt idx="181">
                  <c:v>25</c:v>
                </c:pt>
                <c:pt idx="182">
                  <c:v>81</c:v>
                </c:pt>
                <c:pt idx="183">
                  <c:v>82</c:v>
                </c:pt>
                <c:pt idx="184">
                  <c:v>26</c:v>
                </c:pt>
                <c:pt idx="185">
                  <c:v>19</c:v>
                </c:pt>
                <c:pt idx="186">
                  <c:v>51</c:v>
                </c:pt>
                <c:pt idx="187">
                  <c:v>117</c:v>
                </c:pt>
                <c:pt idx="188">
                  <c:v>61.230000000000004</c:v>
                </c:pt>
                <c:pt idx="189">
                  <c:v>129.47</c:v>
                </c:pt>
                <c:pt idx="190">
                  <c:v>81.849999999999994</c:v>
                </c:pt>
                <c:pt idx="191">
                  <c:v>134.33000000000001</c:v>
                </c:pt>
                <c:pt idx="192">
                  <c:v>65.8</c:v>
                </c:pt>
                <c:pt idx="193">
                  <c:v>139.5</c:v>
                </c:pt>
                <c:pt idx="194">
                  <c:v>19.5</c:v>
                </c:pt>
                <c:pt idx="195">
                  <c:v>81.28</c:v>
                </c:pt>
                <c:pt idx="196">
                  <c:v>105.5</c:v>
                </c:pt>
                <c:pt idx="197">
                  <c:v>62</c:v>
                </c:pt>
                <c:pt idx="198">
                  <c:v>72</c:v>
                </c:pt>
                <c:pt idx="199">
                  <c:v>76</c:v>
                </c:pt>
                <c:pt idx="200">
                  <c:v>69</c:v>
                </c:pt>
                <c:pt idx="201">
                  <c:v>42</c:v>
                </c:pt>
                <c:pt idx="202">
                  <c:v>75</c:v>
                </c:pt>
                <c:pt idx="203">
                  <c:v>97.3</c:v>
                </c:pt>
                <c:pt idx="204">
                  <c:v>54</c:v>
                </c:pt>
                <c:pt idx="205">
                  <c:v>140</c:v>
                </c:pt>
                <c:pt idx="206">
                  <c:v>15.469999999999999</c:v>
                </c:pt>
                <c:pt idx="207">
                  <c:v>23.729999999999997</c:v>
                </c:pt>
                <c:pt idx="208">
                  <c:v>82.686666666666667</c:v>
                </c:pt>
                <c:pt idx="209">
                  <c:v>94.9</c:v>
                </c:pt>
                <c:pt idx="210">
                  <c:v>65.89</c:v>
                </c:pt>
                <c:pt idx="211">
                  <c:v>56.434764079147634</c:v>
                </c:pt>
                <c:pt idx="212">
                  <c:v>56.434764079147634</c:v>
                </c:pt>
                <c:pt idx="213">
                  <c:v>56.434764079147634</c:v>
                </c:pt>
                <c:pt idx="214">
                  <c:v>56.434764079147634</c:v>
                </c:pt>
                <c:pt idx="215">
                  <c:v>56.434764079147634</c:v>
                </c:pt>
                <c:pt idx="216">
                  <c:v>56.434764079147634</c:v>
                </c:pt>
                <c:pt idx="217">
                  <c:v>56.434764079147634</c:v>
                </c:pt>
                <c:pt idx="218">
                  <c:v>80</c:v>
                </c:pt>
                <c:pt idx="219">
                  <c:v>82.7</c:v>
                </c:pt>
                <c:pt idx="220">
                  <c:v>52</c:v>
                </c:pt>
                <c:pt idx="221">
                  <c:v>22.5</c:v>
                </c:pt>
                <c:pt idx="222">
                  <c:v>66.2</c:v>
                </c:pt>
                <c:pt idx="223">
                  <c:v>32.44</c:v>
                </c:pt>
                <c:pt idx="224">
                  <c:v>84.53</c:v>
                </c:pt>
                <c:pt idx="225">
                  <c:v>64.5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D-48C8-A623-789E067F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3329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3295"/>
        <c:crosses val="autoZero"/>
        <c:crossBetween val="midCat"/>
      </c:valAx>
      <c:valAx>
        <c:axId val="2123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Log'!$Y$2:$Y$227</c:f>
              <c:numCache>
                <c:formatCode>0.00</c:formatCode>
                <c:ptCount val="226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2.25</c:v>
                </c:pt>
                <c:pt idx="55">
                  <c:v>2</c:v>
                </c:pt>
                <c:pt idx="56">
                  <c:v>2.5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2.5</c:v>
                </c:pt>
                <c:pt idx="61">
                  <c:v>2.5</c:v>
                </c:pt>
                <c:pt idx="62">
                  <c:v>3.5</c:v>
                </c:pt>
                <c:pt idx="63">
                  <c:v>2.5</c:v>
                </c:pt>
                <c:pt idx="64">
                  <c:v>0.5</c:v>
                </c:pt>
                <c:pt idx="65">
                  <c:v>1.5</c:v>
                </c:pt>
                <c:pt idx="66">
                  <c:v>1.25</c:v>
                </c:pt>
                <c:pt idx="67">
                  <c:v>1.5</c:v>
                </c:pt>
                <c:pt idx="68">
                  <c:v>2</c:v>
                </c:pt>
                <c:pt idx="69">
                  <c:v>3.5</c:v>
                </c:pt>
                <c:pt idx="70">
                  <c:v>2.5</c:v>
                </c:pt>
                <c:pt idx="71">
                  <c:v>1.5</c:v>
                </c:pt>
                <c:pt idx="72">
                  <c:v>0.5</c:v>
                </c:pt>
                <c:pt idx="73">
                  <c:v>0.5</c:v>
                </c:pt>
                <c:pt idx="74">
                  <c:v>1.5</c:v>
                </c:pt>
                <c:pt idx="75">
                  <c:v>2.5</c:v>
                </c:pt>
                <c:pt idx="76">
                  <c:v>2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</c:v>
                </c:pt>
                <c:pt idx="94">
                  <c:v>3</c:v>
                </c:pt>
                <c:pt idx="95">
                  <c:v>4</c:v>
                </c:pt>
                <c:pt idx="96">
                  <c:v>2.5</c:v>
                </c:pt>
                <c:pt idx="97">
                  <c:v>2</c:v>
                </c:pt>
                <c:pt idx="98">
                  <c:v>1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0.5</c:v>
                </c:pt>
                <c:pt idx="111">
                  <c:v>0</c:v>
                </c:pt>
                <c:pt idx="112">
                  <c:v>0.25</c:v>
                </c:pt>
                <c:pt idx="113">
                  <c:v>3</c:v>
                </c:pt>
                <c:pt idx="114">
                  <c:v>2.5</c:v>
                </c:pt>
                <c:pt idx="115">
                  <c:v>2</c:v>
                </c:pt>
                <c:pt idx="116">
                  <c:v>3.2</c:v>
                </c:pt>
                <c:pt idx="117">
                  <c:v>1.5</c:v>
                </c:pt>
                <c:pt idx="118">
                  <c:v>0.5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0.25</c:v>
                </c:pt>
                <c:pt idx="123">
                  <c:v>0.25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0.5</c:v>
                </c:pt>
                <c:pt idx="133">
                  <c:v>0.5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0.5</c:v>
                </c:pt>
                <c:pt idx="138">
                  <c:v>0</c:v>
                </c:pt>
                <c:pt idx="139">
                  <c:v>0.25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1.5</c:v>
                </c:pt>
                <c:pt idx="144">
                  <c:v>0.5</c:v>
                </c:pt>
                <c:pt idx="145">
                  <c:v>0.25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0.5</c:v>
                </c:pt>
                <c:pt idx="154">
                  <c:v>0.5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0.75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1.5</c:v>
                </c:pt>
                <c:pt idx="184">
                  <c:v>2.5</c:v>
                </c:pt>
                <c:pt idx="185">
                  <c:v>1.5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1.5</c:v>
                </c:pt>
                <c:pt idx="190">
                  <c:v>1.5</c:v>
                </c:pt>
                <c:pt idx="191">
                  <c:v>0.5</c:v>
                </c:pt>
                <c:pt idx="192">
                  <c:v>0</c:v>
                </c:pt>
                <c:pt idx="193">
                  <c:v>0.5</c:v>
                </c:pt>
                <c:pt idx="194">
                  <c:v>1.5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1.5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1.5</c:v>
                </c:pt>
                <c:pt idx="209">
                  <c:v>2</c:v>
                </c:pt>
                <c:pt idx="210">
                  <c:v>2</c:v>
                </c:pt>
                <c:pt idx="211">
                  <c:v>1.1025114155251141</c:v>
                </c:pt>
                <c:pt idx="212">
                  <c:v>1.1025114155251141</c:v>
                </c:pt>
                <c:pt idx="213">
                  <c:v>1.1025114155251141</c:v>
                </c:pt>
                <c:pt idx="214">
                  <c:v>1.1025114155251141</c:v>
                </c:pt>
                <c:pt idx="215">
                  <c:v>1.1025114155251141</c:v>
                </c:pt>
                <c:pt idx="216">
                  <c:v>1.1025114155251141</c:v>
                </c:pt>
                <c:pt idx="217">
                  <c:v>1.1025114155251141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1.5</c:v>
                </c:pt>
                <c:pt idx="225">
                  <c:v>1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4-471A-BDF7-30B85390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3215"/>
        <c:axId val="2123733615"/>
      </c:scatterChart>
      <c:valAx>
        <c:axId val="2123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3615"/>
        <c:crosses val="autoZero"/>
        <c:crossBetween val="midCat"/>
      </c:valAx>
      <c:valAx>
        <c:axId val="21237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Fat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Log'!$Z$2:$Z$227</c:f>
              <c:numCache>
                <c:formatCode>0.00</c:formatCode>
                <c:ptCount val="226"/>
                <c:pt idx="0">
                  <c:v>454.5</c:v>
                </c:pt>
                <c:pt idx="1">
                  <c:v>765</c:v>
                </c:pt>
                <c:pt idx="2">
                  <c:v>351.6825</c:v>
                </c:pt>
                <c:pt idx="3">
                  <c:v>108</c:v>
                </c:pt>
                <c:pt idx="4">
                  <c:v>540.88499999999999</c:v>
                </c:pt>
                <c:pt idx="5">
                  <c:v>313.755</c:v>
                </c:pt>
                <c:pt idx="6">
                  <c:v>637.21499999999992</c:v>
                </c:pt>
                <c:pt idx="7">
                  <c:v>2061</c:v>
                </c:pt>
                <c:pt idx="8">
                  <c:v>1083.9749999999999</c:v>
                </c:pt>
                <c:pt idx="9">
                  <c:v>741.97499999999991</c:v>
                </c:pt>
                <c:pt idx="10">
                  <c:v>689.43</c:v>
                </c:pt>
                <c:pt idx="11">
                  <c:v>498.41249999999997</c:v>
                </c:pt>
                <c:pt idx="12">
                  <c:v>1144.8</c:v>
                </c:pt>
                <c:pt idx="13">
                  <c:v>747.58124999999995</c:v>
                </c:pt>
                <c:pt idx="14">
                  <c:v>512.12249999999995</c:v>
                </c:pt>
                <c:pt idx="15">
                  <c:v>738.23249999999996</c:v>
                </c:pt>
                <c:pt idx="16">
                  <c:v>312.82499999999999</c:v>
                </c:pt>
                <c:pt idx="17">
                  <c:v>339.82499999999999</c:v>
                </c:pt>
                <c:pt idx="18">
                  <c:v>312.37499999999994</c:v>
                </c:pt>
                <c:pt idx="19">
                  <c:v>537.39750000000004</c:v>
                </c:pt>
                <c:pt idx="20">
                  <c:v>395.77500000000003</c:v>
                </c:pt>
                <c:pt idx="21">
                  <c:v>405.02249999999998</c:v>
                </c:pt>
                <c:pt idx="22">
                  <c:v>331.9896</c:v>
                </c:pt>
                <c:pt idx="23">
                  <c:v>267.82800000000003</c:v>
                </c:pt>
                <c:pt idx="24">
                  <c:v>503.53800000000007</c:v>
                </c:pt>
                <c:pt idx="25">
                  <c:v>313.81800000000004</c:v>
                </c:pt>
                <c:pt idx="26">
                  <c:v>583.99800000000005</c:v>
                </c:pt>
                <c:pt idx="27">
                  <c:v>511.27800000000008</c:v>
                </c:pt>
                <c:pt idx="28">
                  <c:v>286.27800000000008</c:v>
                </c:pt>
                <c:pt idx="29">
                  <c:v>403.46999999999997</c:v>
                </c:pt>
                <c:pt idx="30">
                  <c:v>318.11100000000005</c:v>
                </c:pt>
                <c:pt idx="31">
                  <c:v>585.68100000000004</c:v>
                </c:pt>
                <c:pt idx="32">
                  <c:v>384.71100000000007</c:v>
                </c:pt>
                <c:pt idx="33">
                  <c:v>806.32200000000012</c:v>
                </c:pt>
                <c:pt idx="34">
                  <c:v>468.68100000000004</c:v>
                </c:pt>
                <c:pt idx="35">
                  <c:v>841.5</c:v>
                </c:pt>
                <c:pt idx="36">
                  <c:v>268.79100000000005</c:v>
                </c:pt>
                <c:pt idx="37">
                  <c:v>2483.5499999999997</c:v>
                </c:pt>
                <c:pt idx="38">
                  <c:v>626</c:v>
                </c:pt>
                <c:pt idx="39">
                  <c:v>1485</c:v>
                </c:pt>
                <c:pt idx="40">
                  <c:v>893.25</c:v>
                </c:pt>
                <c:pt idx="41">
                  <c:v>1076.4000000000001</c:v>
                </c:pt>
                <c:pt idx="42">
                  <c:v>1215</c:v>
                </c:pt>
                <c:pt idx="43">
                  <c:v>1782</c:v>
                </c:pt>
                <c:pt idx="44">
                  <c:v>1046.6315999999999</c:v>
                </c:pt>
                <c:pt idx="45">
                  <c:v>1708.6206857142856</c:v>
                </c:pt>
                <c:pt idx="46">
                  <c:v>445.25625000000002</c:v>
                </c:pt>
                <c:pt idx="47">
                  <c:v>681.18285953177258</c:v>
                </c:pt>
                <c:pt idx="48">
                  <c:v>692.59500000000003</c:v>
                </c:pt>
                <c:pt idx="49">
                  <c:v>593.88285953177251</c:v>
                </c:pt>
                <c:pt idx="50">
                  <c:v>670.38285953177251</c:v>
                </c:pt>
                <c:pt idx="51">
                  <c:v>1030.7759999999998</c:v>
                </c:pt>
                <c:pt idx="52">
                  <c:v>620.88285953177274</c:v>
                </c:pt>
                <c:pt idx="53">
                  <c:v>859.7399999999999</c:v>
                </c:pt>
                <c:pt idx="54">
                  <c:v>652.38285953177251</c:v>
                </c:pt>
                <c:pt idx="55">
                  <c:v>776.05785953177258</c:v>
                </c:pt>
                <c:pt idx="56">
                  <c:v>715.29642857142858</c:v>
                </c:pt>
                <c:pt idx="57">
                  <c:v>514.8964285714286</c:v>
                </c:pt>
                <c:pt idx="58">
                  <c:v>825.90000000000009</c:v>
                </c:pt>
                <c:pt idx="59">
                  <c:v>487.89642857142866</c:v>
                </c:pt>
                <c:pt idx="60">
                  <c:v>971.7</c:v>
                </c:pt>
                <c:pt idx="61">
                  <c:v>688.59642857142865</c:v>
                </c:pt>
                <c:pt idx="62">
                  <c:v>845.79642857142858</c:v>
                </c:pt>
                <c:pt idx="63">
                  <c:v>346.20000000000005</c:v>
                </c:pt>
                <c:pt idx="64">
                  <c:v>2264.4</c:v>
                </c:pt>
                <c:pt idx="65">
                  <c:v>179.10000000000002</c:v>
                </c:pt>
                <c:pt idx="66">
                  <c:v>553.59642857142865</c:v>
                </c:pt>
                <c:pt idx="67">
                  <c:v>2794.2000000000003</c:v>
                </c:pt>
                <c:pt idx="68">
                  <c:v>764.77500000000009</c:v>
                </c:pt>
                <c:pt idx="69">
                  <c:v>798.83571428571429</c:v>
                </c:pt>
                <c:pt idx="70">
                  <c:v>436.05000000000007</c:v>
                </c:pt>
                <c:pt idx="71">
                  <c:v>2185.2857142857147</c:v>
                </c:pt>
                <c:pt idx="72">
                  <c:v>640.79999999999995</c:v>
                </c:pt>
                <c:pt idx="73">
                  <c:v>1881</c:v>
                </c:pt>
                <c:pt idx="74">
                  <c:v>423.4500000000001</c:v>
                </c:pt>
                <c:pt idx="75">
                  <c:v>610.28571428571422</c:v>
                </c:pt>
                <c:pt idx="76">
                  <c:v>918.90000000000009</c:v>
                </c:pt>
                <c:pt idx="77">
                  <c:v>565.28571428571422</c:v>
                </c:pt>
                <c:pt idx="78">
                  <c:v>2161.8857142857146</c:v>
                </c:pt>
                <c:pt idx="79">
                  <c:v>1147.5</c:v>
                </c:pt>
                <c:pt idx="80">
                  <c:v>490.05000000000007</c:v>
                </c:pt>
                <c:pt idx="81">
                  <c:v>662.62071428571426</c:v>
                </c:pt>
                <c:pt idx="82">
                  <c:v>568.03499999999997</c:v>
                </c:pt>
                <c:pt idx="83">
                  <c:v>348.48</c:v>
                </c:pt>
                <c:pt idx="84">
                  <c:v>658.57500000000005</c:v>
                </c:pt>
                <c:pt idx="85">
                  <c:v>1208.0362500000001</c:v>
                </c:pt>
                <c:pt idx="86">
                  <c:v>2398.0612499999997</c:v>
                </c:pt>
                <c:pt idx="87">
                  <c:v>584.12249999999995</c:v>
                </c:pt>
                <c:pt idx="88">
                  <c:v>781.7962500000001</c:v>
                </c:pt>
                <c:pt idx="89">
                  <c:v>1156.05</c:v>
                </c:pt>
                <c:pt idx="90">
                  <c:v>1127.25</c:v>
                </c:pt>
                <c:pt idx="91">
                  <c:v>2947.2750000000001</c:v>
                </c:pt>
                <c:pt idx="92">
                  <c:v>1759.5</c:v>
                </c:pt>
                <c:pt idx="93">
                  <c:v>690.3</c:v>
                </c:pt>
                <c:pt idx="94">
                  <c:v>573.56399999999996</c:v>
                </c:pt>
                <c:pt idx="95">
                  <c:v>1379.16</c:v>
                </c:pt>
                <c:pt idx="96">
                  <c:v>538.46399999999994</c:v>
                </c:pt>
                <c:pt idx="97">
                  <c:v>1276.155</c:v>
                </c:pt>
                <c:pt idx="98">
                  <c:v>1019.0550000000001</c:v>
                </c:pt>
                <c:pt idx="99">
                  <c:v>1252.5509999999999</c:v>
                </c:pt>
                <c:pt idx="100">
                  <c:v>2338.1550000000002</c:v>
                </c:pt>
                <c:pt idx="101">
                  <c:v>2296.8000000000002</c:v>
                </c:pt>
                <c:pt idx="102">
                  <c:v>384.91500000000002</c:v>
                </c:pt>
                <c:pt idx="103">
                  <c:v>687.54</c:v>
                </c:pt>
                <c:pt idx="104">
                  <c:v>687.54</c:v>
                </c:pt>
                <c:pt idx="105">
                  <c:v>818.37450000000013</c:v>
                </c:pt>
                <c:pt idx="106">
                  <c:v>882.33749999999998</c:v>
                </c:pt>
                <c:pt idx="107">
                  <c:v>593.89650000000006</c:v>
                </c:pt>
                <c:pt idx="108">
                  <c:v>376.911</c:v>
                </c:pt>
                <c:pt idx="109">
                  <c:v>691.875</c:v>
                </c:pt>
                <c:pt idx="110">
                  <c:v>586.45799999999997</c:v>
                </c:pt>
                <c:pt idx="111">
                  <c:v>787.5</c:v>
                </c:pt>
                <c:pt idx="112">
                  <c:v>522.47699999999998</c:v>
                </c:pt>
                <c:pt idx="113">
                  <c:v>333.59400000000005</c:v>
                </c:pt>
                <c:pt idx="114">
                  <c:v>583.875</c:v>
                </c:pt>
                <c:pt idx="115">
                  <c:v>325.548</c:v>
                </c:pt>
                <c:pt idx="116">
                  <c:v>472.83750000000003</c:v>
                </c:pt>
                <c:pt idx="117">
                  <c:v>230.4</c:v>
                </c:pt>
                <c:pt idx="118">
                  <c:v>187.2</c:v>
                </c:pt>
                <c:pt idx="119">
                  <c:v>85.5</c:v>
                </c:pt>
                <c:pt idx="120">
                  <c:v>99</c:v>
                </c:pt>
                <c:pt idx="121">
                  <c:v>2592</c:v>
                </c:pt>
                <c:pt idx="122">
                  <c:v>849.28499999999997</c:v>
                </c:pt>
                <c:pt idx="123">
                  <c:v>1831.05</c:v>
                </c:pt>
                <c:pt idx="124">
                  <c:v>0</c:v>
                </c:pt>
                <c:pt idx="125">
                  <c:v>1249.866</c:v>
                </c:pt>
                <c:pt idx="126">
                  <c:v>1613.1455357142856</c:v>
                </c:pt>
                <c:pt idx="127">
                  <c:v>2220.9460714285715</c:v>
                </c:pt>
                <c:pt idx="128">
                  <c:v>2277.3716517857147</c:v>
                </c:pt>
                <c:pt idx="129">
                  <c:v>2008.2977678571428</c:v>
                </c:pt>
                <c:pt idx="130">
                  <c:v>1839.5315357142856</c:v>
                </c:pt>
                <c:pt idx="131">
                  <c:v>0</c:v>
                </c:pt>
                <c:pt idx="132">
                  <c:v>1932.3</c:v>
                </c:pt>
                <c:pt idx="133">
                  <c:v>1655.595</c:v>
                </c:pt>
                <c:pt idx="134">
                  <c:v>2253.1950000000002</c:v>
                </c:pt>
                <c:pt idx="135">
                  <c:v>1360.42875</c:v>
                </c:pt>
                <c:pt idx="136">
                  <c:v>671.17387499999995</c:v>
                </c:pt>
                <c:pt idx="137">
                  <c:v>746.34243749999996</c:v>
                </c:pt>
                <c:pt idx="138">
                  <c:v>153</c:v>
                </c:pt>
                <c:pt idx="139">
                  <c:v>892.71899999999994</c:v>
                </c:pt>
                <c:pt idx="140">
                  <c:v>1339.6505625</c:v>
                </c:pt>
                <c:pt idx="141">
                  <c:v>845.69456249999996</c:v>
                </c:pt>
                <c:pt idx="142">
                  <c:v>1003.0674375</c:v>
                </c:pt>
                <c:pt idx="143">
                  <c:v>947.02499999999998</c:v>
                </c:pt>
                <c:pt idx="144">
                  <c:v>472.34756250000004</c:v>
                </c:pt>
                <c:pt idx="145">
                  <c:v>0</c:v>
                </c:pt>
                <c:pt idx="146">
                  <c:v>427.34756250000004</c:v>
                </c:pt>
                <c:pt idx="147">
                  <c:v>2380.5</c:v>
                </c:pt>
                <c:pt idx="148">
                  <c:v>742.5</c:v>
                </c:pt>
                <c:pt idx="149">
                  <c:v>892.8</c:v>
                </c:pt>
                <c:pt idx="150">
                  <c:v>423</c:v>
                </c:pt>
                <c:pt idx="151">
                  <c:v>1950.9275</c:v>
                </c:pt>
                <c:pt idx="152">
                  <c:v>506.47499999999997</c:v>
                </c:pt>
                <c:pt idx="153">
                  <c:v>490.04500000000002</c:v>
                </c:pt>
                <c:pt idx="154">
                  <c:v>520.17699999999991</c:v>
                </c:pt>
                <c:pt idx="155">
                  <c:v>666.44</c:v>
                </c:pt>
                <c:pt idx="156">
                  <c:v>2497.0450000000001</c:v>
                </c:pt>
                <c:pt idx="157">
                  <c:v>499.72500000000002</c:v>
                </c:pt>
                <c:pt idx="158">
                  <c:v>1215.8900000000001</c:v>
                </c:pt>
                <c:pt idx="159">
                  <c:v>1564.6949999999999</c:v>
                </c:pt>
                <c:pt idx="160">
                  <c:v>1551.528</c:v>
                </c:pt>
                <c:pt idx="161">
                  <c:v>668.92499999999995</c:v>
                </c:pt>
                <c:pt idx="162">
                  <c:v>359.77499999999998</c:v>
                </c:pt>
                <c:pt idx="163">
                  <c:v>800.09</c:v>
                </c:pt>
                <c:pt idx="164">
                  <c:v>1899.89</c:v>
                </c:pt>
                <c:pt idx="165">
                  <c:v>1282.5</c:v>
                </c:pt>
                <c:pt idx="166">
                  <c:v>243.387</c:v>
                </c:pt>
                <c:pt idx="167">
                  <c:v>236.955375</c:v>
                </c:pt>
                <c:pt idx="168">
                  <c:v>405.67500000000001</c:v>
                </c:pt>
                <c:pt idx="169">
                  <c:v>543.23571428571427</c:v>
                </c:pt>
                <c:pt idx="170">
                  <c:v>600.330375</c:v>
                </c:pt>
                <c:pt idx="171">
                  <c:v>457.875</c:v>
                </c:pt>
                <c:pt idx="172">
                  <c:v>2017.8</c:v>
                </c:pt>
                <c:pt idx="173">
                  <c:v>987.19108928571427</c:v>
                </c:pt>
                <c:pt idx="174">
                  <c:v>943.45108928571426</c:v>
                </c:pt>
                <c:pt idx="175">
                  <c:v>877.58571428571429</c:v>
                </c:pt>
                <c:pt idx="176">
                  <c:v>874.17</c:v>
                </c:pt>
                <c:pt idx="177">
                  <c:v>272.7</c:v>
                </c:pt>
                <c:pt idx="178">
                  <c:v>1310.9357142857143</c:v>
                </c:pt>
                <c:pt idx="179">
                  <c:v>585.12857142857138</c:v>
                </c:pt>
                <c:pt idx="180">
                  <c:v>945.67499999999995</c:v>
                </c:pt>
                <c:pt idx="181">
                  <c:v>785.47500000000002</c:v>
                </c:pt>
                <c:pt idx="182">
                  <c:v>1472.3000357142857</c:v>
                </c:pt>
                <c:pt idx="183">
                  <c:v>935.13037499999996</c:v>
                </c:pt>
                <c:pt idx="184">
                  <c:v>826.875</c:v>
                </c:pt>
                <c:pt idx="185">
                  <c:v>315.67500000000001</c:v>
                </c:pt>
                <c:pt idx="186">
                  <c:v>642.21428571428567</c:v>
                </c:pt>
                <c:pt idx="187">
                  <c:v>1102.6285714285714</c:v>
                </c:pt>
                <c:pt idx="188">
                  <c:v>648.80399999999997</c:v>
                </c:pt>
                <c:pt idx="189">
                  <c:v>2116.2663750000002</c:v>
                </c:pt>
                <c:pt idx="190">
                  <c:v>1292.7946607142858</c:v>
                </c:pt>
                <c:pt idx="191">
                  <c:v>977.22766071428578</c:v>
                </c:pt>
                <c:pt idx="192">
                  <c:v>2241</c:v>
                </c:pt>
                <c:pt idx="193">
                  <c:v>1803.675</c:v>
                </c:pt>
                <c:pt idx="194">
                  <c:v>920.65966071428568</c:v>
                </c:pt>
                <c:pt idx="195">
                  <c:v>903.3522857142857</c:v>
                </c:pt>
                <c:pt idx="196">
                  <c:v>727.35428571428565</c:v>
                </c:pt>
                <c:pt idx="197">
                  <c:v>806.47500000000002</c:v>
                </c:pt>
                <c:pt idx="198">
                  <c:v>746.40857142857135</c:v>
                </c:pt>
                <c:pt idx="199">
                  <c:v>1843.905375</c:v>
                </c:pt>
                <c:pt idx="200">
                  <c:v>2052.7053750000005</c:v>
                </c:pt>
                <c:pt idx="201">
                  <c:v>1545.7114285714285</c:v>
                </c:pt>
                <c:pt idx="202">
                  <c:v>1803.067875</c:v>
                </c:pt>
                <c:pt idx="203">
                  <c:v>2149.1178749999999</c:v>
                </c:pt>
                <c:pt idx="204">
                  <c:v>1801.8</c:v>
                </c:pt>
                <c:pt idx="205">
                  <c:v>1943.6999999999998</c:v>
                </c:pt>
                <c:pt idx="206">
                  <c:v>438.48</c:v>
                </c:pt>
                <c:pt idx="207">
                  <c:v>746.97899999999981</c:v>
                </c:pt>
                <c:pt idx="208">
                  <c:v>1056.5159999999998</c:v>
                </c:pt>
                <c:pt idx="209">
                  <c:v>1363.68</c:v>
                </c:pt>
                <c:pt idx="210">
                  <c:v>304.32599999999996</c:v>
                </c:pt>
                <c:pt idx="211">
                  <c:v>942.01611325038107</c:v>
                </c:pt>
                <c:pt idx="212">
                  <c:v>942.01611325038107</c:v>
                </c:pt>
                <c:pt idx="213">
                  <c:v>942.01611325038107</c:v>
                </c:pt>
                <c:pt idx="214">
                  <c:v>942.01611325038107</c:v>
                </c:pt>
                <c:pt idx="215">
                  <c:v>942.01611325038107</c:v>
                </c:pt>
                <c:pt idx="216">
                  <c:v>942.01611325038107</c:v>
                </c:pt>
                <c:pt idx="217">
                  <c:v>942.01611325038107</c:v>
                </c:pt>
                <c:pt idx="218">
                  <c:v>560.25</c:v>
                </c:pt>
                <c:pt idx="219">
                  <c:v>821.25</c:v>
                </c:pt>
                <c:pt idx="220">
                  <c:v>468</c:v>
                </c:pt>
                <c:pt idx="221">
                  <c:v>1804.5</c:v>
                </c:pt>
                <c:pt idx="222">
                  <c:v>446.89499999999998</c:v>
                </c:pt>
                <c:pt idx="223">
                  <c:v>399.98700000000002</c:v>
                </c:pt>
                <c:pt idx="224">
                  <c:v>528.399</c:v>
                </c:pt>
                <c:pt idx="225">
                  <c:v>2540.6999999999998</c:v>
                </c:pt>
              </c:numCache>
            </c:numRef>
          </c:xVal>
          <c:y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8-4910-B588-C24FDEBA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7935"/>
        <c:axId val="2123669775"/>
      </c:scatterChart>
      <c:valAx>
        <c:axId val="21236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 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9775"/>
        <c:crosses val="autoZero"/>
        <c:crossBetween val="midCat"/>
      </c:valAx>
      <c:valAx>
        <c:axId val="21236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Waist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Log'!$C$2:$C$227</c:f>
              <c:numCache>
                <c:formatCode>0.00</c:formatCode>
                <c:ptCount val="226"/>
                <c:pt idx="0">
                  <c:v>47.5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46.5</c:v>
                </c:pt>
                <c:pt idx="5">
                  <c:v>47</c:v>
                </c:pt>
                <c:pt idx="6">
                  <c:v>46.5</c:v>
                </c:pt>
                <c:pt idx="7">
                  <c:v>46.5</c:v>
                </c:pt>
                <c:pt idx="8">
                  <c:v>47</c:v>
                </c:pt>
                <c:pt idx="9">
                  <c:v>47</c:v>
                </c:pt>
                <c:pt idx="10">
                  <c:v>46.5</c:v>
                </c:pt>
                <c:pt idx="11">
                  <c:v>46</c:v>
                </c:pt>
                <c:pt idx="12">
                  <c:v>46.5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45.5</c:v>
                </c:pt>
                <c:pt idx="22">
                  <c:v>45.5</c:v>
                </c:pt>
                <c:pt idx="23">
                  <c:v>45</c:v>
                </c:pt>
                <c:pt idx="24">
                  <c:v>45.5</c:v>
                </c:pt>
                <c:pt idx="25">
                  <c:v>45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45</c:v>
                </c:pt>
                <c:pt idx="46">
                  <c:v>45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</c:v>
                </c:pt>
                <c:pt idx="64">
                  <c:v>43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44</c:v>
                </c:pt>
                <c:pt idx="69">
                  <c:v>43.5</c:v>
                </c:pt>
                <c:pt idx="70">
                  <c:v>43.5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44</c:v>
                </c:pt>
                <c:pt idx="75">
                  <c:v>43.5</c:v>
                </c:pt>
                <c:pt idx="76">
                  <c:v>43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44</c:v>
                </c:pt>
                <c:pt idx="90">
                  <c:v>43.5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43.5</c:v>
                </c:pt>
                <c:pt idx="99">
                  <c:v>43</c:v>
                </c:pt>
                <c:pt idx="100">
                  <c:v>43.5</c:v>
                </c:pt>
                <c:pt idx="101">
                  <c:v>43</c:v>
                </c:pt>
                <c:pt idx="102">
                  <c:v>44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</c:v>
                </c:pt>
                <c:pt idx="107">
                  <c:v>44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44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45</c:v>
                </c:pt>
                <c:pt idx="166">
                  <c:v>45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44.5</c:v>
                </c:pt>
                <c:pt idx="180">
                  <c:v>44.5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45</c:v>
                </c:pt>
                <c:pt idx="191">
                  <c:v>45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45.5</c:v>
                </c:pt>
                <c:pt idx="204">
                  <c:v>45</c:v>
                </c:pt>
                <c:pt idx="205">
                  <c:v>45.5</c:v>
                </c:pt>
                <c:pt idx="206">
                  <c:v>46</c:v>
                </c:pt>
                <c:pt idx="207">
                  <c:v>45.5</c:v>
                </c:pt>
                <c:pt idx="208">
                  <c:v>45</c:v>
                </c:pt>
                <c:pt idx="209">
                  <c:v>45.5</c:v>
                </c:pt>
                <c:pt idx="210">
                  <c:v>45</c:v>
                </c:pt>
                <c:pt idx="211">
                  <c:v>45.5</c:v>
                </c:pt>
                <c:pt idx="212">
                  <c:v>45.5</c:v>
                </c:pt>
                <c:pt idx="213">
                  <c:v>45</c:v>
                </c:pt>
                <c:pt idx="214">
                  <c:v>44.5</c:v>
                </c:pt>
                <c:pt idx="215">
                  <c:v>44.5</c:v>
                </c:pt>
                <c:pt idx="216">
                  <c:v>45</c:v>
                </c:pt>
                <c:pt idx="217">
                  <c:v>44.5</c:v>
                </c:pt>
                <c:pt idx="218">
                  <c:v>44.5</c:v>
                </c:pt>
                <c:pt idx="219">
                  <c:v>45</c:v>
                </c:pt>
                <c:pt idx="220">
                  <c:v>45</c:v>
                </c:pt>
                <c:pt idx="221">
                  <c:v>44.5</c:v>
                </c:pt>
                <c:pt idx="222">
                  <c:v>45.5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</c:numCache>
            </c:numRef>
          </c:xVal>
          <c:yVal>
            <c:numRef>
              <c:f>Residuals!$B$2:$B$227</c:f>
              <c:numCache>
                <c:formatCode>0.00</c:formatCode>
                <c:ptCount val="226"/>
                <c:pt idx="0">
                  <c:v>3.0958970214813917</c:v>
                </c:pt>
                <c:pt idx="1">
                  <c:v>2.1498747071350977</c:v>
                </c:pt>
                <c:pt idx="2">
                  <c:v>2.1498747071350977</c:v>
                </c:pt>
                <c:pt idx="3">
                  <c:v>3.1498747071350977</c:v>
                </c:pt>
                <c:pt idx="4">
                  <c:v>2.8038523927888264</c:v>
                </c:pt>
                <c:pt idx="5">
                  <c:v>-1.050125292864891</c:v>
                </c:pt>
                <c:pt idx="6">
                  <c:v>2.003852392788815</c:v>
                </c:pt>
                <c:pt idx="7">
                  <c:v>2.003852392788815</c:v>
                </c:pt>
                <c:pt idx="8">
                  <c:v>-0.25012529286493645</c:v>
                </c:pt>
                <c:pt idx="9">
                  <c:v>2.949874707135109</c:v>
                </c:pt>
                <c:pt idx="10">
                  <c:v>4.003852392788815</c:v>
                </c:pt>
                <c:pt idx="11">
                  <c:v>4.4578300784424982</c:v>
                </c:pt>
                <c:pt idx="12">
                  <c:v>-0.19614760721117364</c:v>
                </c:pt>
                <c:pt idx="13">
                  <c:v>5.6578300784425437</c:v>
                </c:pt>
                <c:pt idx="14">
                  <c:v>3.6578300784425437</c:v>
                </c:pt>
                <c:pt idx="15">
                  <c:v>3.6578300784425437</c:v>
                </c:pt>
                <c:pt idx="16">
                  <c:v>0.85783007844253234</c:v>
                </c:pt>
                <c:pt idx="17">
                  <c:v>0.65783007844254371</c:v>
                </c:pt>
                <c:pt idx="18">
                  <c:v>-0.7421699215574904</c:v>
                </c:pt>
                <c:pt idx="19">
                  <c:v>-0.94216992155747903</c:v>
                </c:pt>
                <c:pt idx="20">
                  <c:v>-2.1421699215574677</c:v>
                </c:pt>
                <c:pt idx="21">
                  <c:v>0.71180776409624968</c:v>
                </c:pt>
                <c:pt idx="22">
                  <c:v>-1.2881922359037503</c:v>
                </c:pt>
                <c:pt idx="23">
                  <c:v>1.9657854497499443</c:v>
                </c:pt>
                <c:pt idx="24">
                  <c:v>-2.0881922359037617</c:v>
                </c:pt>
                <c:pt idx="25">
                  <c:v>-1.2342145502500443</c:v>
                </c:pt>
                <c:pt idx="26">
                  <c:v>-4.1421699215574677</c:v>
                </c:pt>
                <c:pt idx="27">
                  <c:v>1.565785449749967</c:v>
                </c:pt>
                <c:pt idx="28">
                  <c:v>0.76578544974995566</c:v>
                </c:pt>
                <c:pt idx="29">
                  <c:v>-3.4214550250055709E-2</c:v>
                </c:pt>
                <c:pt idx="30">
                  <c:v>-0.23421455025004434</c:v>
                </c:pt>
                <c:pt idx="31">
                  <c:v>-2.2342145502500443</c:v>
                </c:pt>
                <c:pt idx="32">
                  <c:v>0.61976313540364458</c:v>
                </c:pt>
                <c:pt idx="33">
                  <c:v>-0.38023686459635542</c:v>
                </c:pt>
                <c:pt idx="34">
                  <c:v>0.2197631354036389</c:v>
                </c:pt>
                <c:pt idx="35">
                  <c:v>0.2197631354036389</c:v>
                </c:pt>
                <c:pt idx="36">
                  <c:v>-2.580236864596344</c:v>
                </c:pt>
                <c:pt idx="37">
                  <c:v>-2.580236864596344</c:v>
                </c:pt>
                <c:pt idx="38">
                  <c:v>-1.2342145502500443</c:v>
                </c:pt>
                <c:pt idx="39">
                  <c:v>2.9657854497499443</c:v>
                </c:pt>
                <c:pt idx="40">
                  <c:v>8.4737408210573619</c:v>
                </c:pt>
                <c:pt idx="41">
                  <c:v>3.2197631354036673</c:v>
                </c:pt>
                <c:pt idx="42">
                  <c:v>2.6197631354036446</c:v>
                </c:pt>
                <c:pt idx="43">
                  <c:v>4.6197631354036446</c:v>
                </c:pt>
                <c:pt idx="44">
                  <c:v>3.8197631354036332</c:v>
                </c:pt>
                <c:pt idx="45">
                  <c:v>2.565785449749967</c:v>
                </c:pt>
                <c:pt idx="46">
                  <c:v>3.565785449749967</c:v>
                </c:pt>
                <c:pt idx="47">
                  <c:v>2.419763135403656</c:v>
                </c:pt>
                <c:pt idx="48">
                  <c:v>0.41976313540365595</c:v>
                </c:pt>
                <c:pt idx="49">
                  <c:v>-1.3802368645963554</c:v>
                </c:pt>
                <c:pt idx="50">
                  <c:v>-2.3802368645963554</c:v>
                </c:pt>
                <c:pt idx="51">
                  <c:v>-2.7802368645963611</c:v>
                </c:pt>
                <c:pt idx="52">
                  <c:v>-0.98023686459634973</c:v>
                </c:pt>
                <c:pt idx="53">
                  <c:v>-2.580236864596344</c:v>
                </c:pt>
                <c:pt idx="54">
                  <c:v>0.67374082105735056</c:v>
                </c:pt>
                <c:pt idx="55">
                  <c:v>-0.92625917894264376</c:v>
                </c:pt>
                <c:pt idx="56">
                  <c:v>-1.1262591789426324</c:v>
                </c:pt>
                <c:pt idx="57">
                  <c:v>-2.5262591789426381</c:v>
                </c:pt>
                <c:pt idx="58">
                  <c:v>-2.9262591789426438</c:v>
                </c:pt>
                <c:pt idx="59">
                  <c:v>-0.4722814932889321</c:v>
                </c:pt>
                <c:pt idx="60">
                  <c:v>-1.272281493288915</c:v>
                </c:pt>
                <c:pt idx="61">
                  <c:v>-2.0722814932889264</c:v>
                </c:pt>
                <c:pt idx="62">
                  <c:v>-3.0722814932889264</c:v>
                </c:pt>
                <c:pt idx="63">
                  <c:v>-0.21830380763520907</c:v>
                </c:pt>
                <c:pt idx="64">
                  <c:v>0.18169619236479662</c:v>
                </c:pt>
                <c:pt idx="65">
                  <c:v>1.1277185067110906</c:v>
                </c:pt>
                <c:pt idx="66">
                  <c:v>-0.67228149328892073</c:v>
                </c:pt>
                <c:pt idx="67">
                  <c:v>-0.87228149328890936</c:v>
                </c:pt>
                <c:pt idx="68">
                  <c:v>-0.12625917894263239</c:v>
                </c:pt>
                <c:pt idx="69">
                  <c:v>-7.2281493288926413E-2</c:v>
                </c:pt>
                <c:pt idx="70">
                  <c:v>-2.272281493288915</c:v>
                </c:pt>
                <c:pt idx="71">
                  <c:v>-1.018303807635192</c:v>
                </c:pt>
                <c:pt idx="72">
                  <c:v>5.1816961923647966</c:v>
                </c:pt>
                <c:pt idx="73">
                  <c:v>5.1816961923647966</c:v>
                </c:pt>
                <c:pt idx="74">
                  <c:v>0.87374082105736761</c:v>
                </c:pt>
                <c:pt idx="75">
                  <c:v>-7.2281493288926413E-2</c:v>
                </c:pt>
                <c:pt idx="76">
                  <c:v>1.981696192364808</c:v>
                </c:pt>
                <c:pt idx="77">
                  <c:v>-1.6722814932889207</c:v>
                </c:pt>
                <c:pt idx="78">
                  <c:v>-3.0722814932889264</c:v>
                </c:pt>
                <c:pt idx="79">
                  <c:v>1.1277185067110906</c:v>
                </c:pt>
                <c:pt idx="80">
                  <c:v>2.1277185067110906</c:v>
                </c:pt>
                <c:pt idx="81">
                  <c:v>5.7816961923647909</c:v>
                </c:pt>
                <c:pt idx="82">
                  <c:v>-0.4722814932889321</c:v>
                </c:pt>
                <c:pt idx="83">
                  <c:v>-1.0722814932889264</c:v>
                </c:pt>
                <c:pt idx="84">
                  <c:v>0.32771850671107927</c:v>
                </c:pt>
                <c:pt idx="85">
                  <c:v>1.3277185067110793</c:v>
                </c:pt>
                <c:pt idx="86">
                  <c:v>5.1277185067110906</c:v>
                </c:pt>
                <c:pt idx="87">
                  <c:v>8.3277185067110793</c:v>
                </c:pt>
                <c:pt idx="88">
                  <c:v>4.727718506711085</c:v>
                </c:pt>
                <c:pt idx="89">
                  <c:v>0.47374082105736193</c:v>
                </c:pt>
                <c:pt idx="90">
                  <c:v>4.727718506711085</c:v>
                </c:pt>
                <c:pt idx="91">
                  <c:v>2.727718506711085</c:v>
                </c:pt>
                <c:pt idx="92">
                  <c:v>3.2737408210573733</c:v>
                </c:pt>
                <c:pt idx="93">
                  <c:v>0.2197631354036389</c:v>
                </c:pt>
                <c:pt idx="94">
                  <c:v>-1.9802368645963497</c:v>
                </c:pt>
                <c:pt idx="95">
                  <c:v>0.87374082105736761</c:v>
                </c:pt>
                <c:pt idx="96">
                  <c:v>0.87374082105736761</c:v>
                </c:pt>
                <c:pt idx="97">
                  <c:v>-2.1262591789426324</c:v>
                </c:pt>
                <c:pt idx="98">
                  <c:v>0.32771850671107927</c:v>
                </c:pt>
                <c:pt idx="99">
                  <c:v>4.5816961923648023</c:v>
                </c:pt>
                <c:pt idx="100">
                  <c:v>1.1277185067110906</c:v>
                </c:pt>
                <c:pt idx="101">
                  <c:v>5.3816961923647852</c:v>
                </c:pt>
                <c:pt idx="102">
                  <c:v>5.2737408210573733</c:v>
                </c:pt>
                <c:pt idx="103">
                  <c:v>2.8197631354036332</c:v>
                </c:pt>
                <c:pt idx="104">
                  <c:v>1.2197631354036673</c:v>
                </c:pt>
                <c:pt idx="105">
                  <c:v>0.2197631354036389</c:v>
                </c:pt>
                <c:pt idx="106">
                  <c:v>2.8737408210573676</c:v>
                </c:pt>
                <c:pt idx="107">
                  <c:v>-1.1262591789426324</c:v>
                </c:pt>
                <c:pt idx="108">
                  <c:v>0.72771850671108496</c:v>
                </c:pt>
                <c:pt idx="109">
                  <c:v>1.1277185067110906</c:v>
                </c:pt>
                <c:pt idx="110">
                  <c:v>-0.4722814932889321</c:v>
                </c:pt>
                <c:pt idx="111">
                  <c:v>-2.1262591789426324</c:v>
                </c:pt>
                <c:pt idx="112">
                  <c:v>2.1277185067110906</c:v>
                </c:pt>
                <c:pt idx="113">
                  <c:v>-1.6722814932889207</c:v>
                </c:pt>
                <c:pt idx="114">
                  <c:v>-1.272281493288915</c:v>
                </c:pt>
                <c:pt idx="115">
                  <c:v>-2.6722814932889207</c:v>
                </c:pt>
                <c:pt idx="116">
                  <c:v>-2.8722814932889094</c:v>
                </c:pt>
                <c:pt idx="117">
                  <c:v>-2.018303807635192</c:v>
                </c:pt>
                <c:pt idx="118">
                  <c:v>-2.4183038076351977</c:v>
                </c:pt>
                <c:pt idx="119">
                  <c:v>-2.6183038076352148</c:v>
                </c:pt>
                <c:pt idx="120">
                  <c:v>-1.8183038076352034</c:v>
                </c:pt>
                <c:pt idx="121">
                  <c:v>-2.6722814932889207</c:v>
                </c:pt>
                <c:pt idx="122">
                  <c:v>-7.2281493288926413E-2</c:v>
                </c:pt>
                <c:pt idx="123">
                  <c:v>0.72771850671108496</c:v>
                </c:pt>
                <c:pt idx="124">
                  <c:v>2.727718506711085</c:v>
                </c:pt>
                <c:pt idx="125">
                  <c:v>0.92771850671107359</c:v>
                </c:pt>
                <c:pt idx="126">
                  <c:v>2.9277185067110736</c:v>
                </c:pt>
                <c:pt idx="127">
                  <c:v>3.9277185067110736</c:v>
                </c:pt>
                <c:pt idx="128">
                  <c:v>3.3277185067110793</c:v>
                </c:pt>
                <c:pt idx="129">
                  <c:v>4.6737408210573506</c:v>
                </c:pt>
                <c:pt idx="130">
                  <c:v>2.0737408210573562</c:v>
                </c:pt>
                <c:pt idx="131">
                  <c:v>2.6737408210573506</c:v>
                </c:pt>
                <c:pt idx="132">
                  <c:v>2.2737408210573733</c:v>
                </c:pt>
                <c:pt idx="133">
                  <c:v>3.2737408210573733</c:v>
                </c:pt>
                <c:pt idx="134">
                  <c:v>1.8197631354036332</c:v>
                </c:pt>
                <c:pt idx="135">
                  <c:v>2.6197631354036446</c:v>
                </c:pt>
                <c:pt idx="136">
                  <c:v>-3.580236864596344</c:v>
                </c:pt>
                <c:pt idx="137">
                  <c:v>-4.9802368645963497</c:v>
                </c:pt>
                <c:pt idx="138">
                  <c:v>-4.3802368645963554</c:v>
                </c:pt>
                <c:pt idx="139">
                  <c:v>-3.3262591789426494</c:v>
                </c:pt>
                <c:pt idx="140">
                  <c:v>-4.5262591789426381</c:v>
                </c:pt>
                <c:pt idx="141">
                  <c:v>-2.3262591789426494</c:v>
                </c:pt>
                <c:pt idx="142">
                  <c:v>0.47374082105736193</c:v>
                </c:pt>
                <c:pt idx="143">
                  <c:v>-1.7262591789426267</c:v>
                </c:pt>
                <c:pt idx="144">
                  <c:v>0.2737408210573733</c:v>
                </c:pt>
                <c:pt idx="145">
                  <c:v>-1.5262591789426381</c:v>
                </c:pt>
                <c:pt idx="146">
                  <c:v>-3.1262591789426324</c:v>
                </c:pt>
                <c:pt idx="147">
                  <c:v>1.0737408210573562</c:v>
                </c:pt>
                <c:pt idx="148">
                  <c:v>2.0737408210573562</c:v>
                </c:pt>
                <c:pt idx="149">
                  <c:v>0.47374082105736193</c:v>
                </c:pt>
                <c:pt idx="150">
                  <c:v>1.4737408210573619</c:v>
                </c:pt>
                <c:pt idx="151">
                  <c:v>0.47374082105736193</c:v>
                </c:pt>
                <c:pt idx="152">
                  <c:v>-0.7262591789426267</c:v>
                </c:pt>
                <c:pt idx="153">
                  <c:v>-1.1262591789426324</c:v>
                </c:pt>
                <c:pt idx="154">
                  <c:v>-3.3262591789426494</c:v>
                </c:pt>
                <c:pt idx="155">
                  <c:v>0.2737408210573733</c:v>
                </c:pt>
                <c:pt idx="156">
                  <c:v>0.47374082105736193</c:v>
                </c:pt>
                <c:pt idx="157">
                  <c:v>3.6197631354036446</c:v>
                </c:pt>
                <c:pt idx="158">
                  <c:v>-0.58023686459634405</c:v>
                </c:pt>
                <c:pt idx="159">
                  <c:v>-2.580236864596344</c:v>
                </c:pt>
                <c:pt idx="160">
                  <c:v>-3.580236864596344</c:v>
                </c:pt>
                <c:pt idx="161">
                  <c:v>-0.58023686459634405</c:v>
                </c:pt>
                <c:pt idx="162">
                  <c:v>-0.38023686459635542</c:v>
                </c:pt>
                <c:pt idx="163">
                  <c:v>-0.58023686459634405</c:v>
                </c:pt>
                <c:pt idx="164">
                  <c:v>-3.580236864596344</c:v>
                </c:pt>
                <c:pt idx="165">
                  <c:v>-0.83421455025006708</c:v>
                </c:pt>
                <c:pt idx="166">
                  <c:v>-2.434214550250033</c:v>
                </c:pt>
                <c:pt idx="167">
                  <c:v>-3.580236864596344</c:v>
                </c:pt>
                <c:pt idx="168">
                  <c:v>-7.7802368645963611</c:v>
                </c:pt>
                <c:pt idx="169">
                  <c:v>-6.580236864596344</c:v>
                </c:pt>
                <c:pt idx="170">
                  <c:v>-5.580236864596344</c:v>
                </c:pt>
                <c:pt idx="171">
                  <c:v>-4.7802368645963611</c:v>
                </c:pt>
                <c:pt idx="172">
                  <c:v>-3.3802368645963554</c:v>
                </c:pt>
                <c:pt idx="173">
                  <c:v>0.2197631354036389</c:v>
                </c:pt>
                <c:pt idx="174">
                  <c:v>-2.7802368645963611</c:v>
                </c:pt>
                <c:pt idx="175">
                  <c:v>-2.9802368645963497</c:v>
                </c:pt>
                <c:pt idx="176">
                  <c:v>-1.5262591789426381</c:v>
                </c:pt>
                <c:pt idx="177">
                  <c:v>-1.3262591789426494</c:v>
                </c:pt>
                <c:pt idx="178">
                  <c:v>-0.12625917894263239</c:v>
                </c:pt>
                <c:pt idx="179">
                  <c:v>-1.3802368645963554</c:v>
                </c:pt>
                <c:pt idx="180">
                  <c:v>-1.580236864596344</c:v>
                </c:pt>
                <c:pt idx="181">
                  <c:v>-3.434214550250033</c:v>
                </c:pt>
                <c:pt idx="182">
                  <c:v>-4.434214550250033</c:v>
                </c:pt>
                <c:pt idx="183">
                  <c:v>-5.2342145502500443</c:v>
                </c:pt>
                <c:pt idx="184">
                  <c:v>-5.8342145502500387</c:v>
                </c:pt>
                <c:pt idx="185">
                  <c:v>-1.3802368645963554</c:v>
                </c:pt>
                <c:pt idx="186">
                  <c:v>-2.9802368645963497</c:v>
                </c:pt>
                <c:pt idx="187">
                  <c:v>-3.3802368645963554</c:v>
                </c:pt>
                <c:pt idx="188">
                  <c:v>-2.3802368645963554</c:v>
                </c:pt>
                <c:pt idx="189">
                  <c:v>-2.9802368645963497</c:v>
                </c:pt>
                <c:pt idx="190">
                  <c:v>-6.0342145502500557</c:v>
                </c:pt>
                <c:pt idx="191">
                  <c:v>-5.63421455025005</c:v>
                </c:pt>
                <c:pt idx="192">
                  <c:v>-1.3802368645963554</c:v>
                </c:pt>
                <c:pt idx="193">
                  <c:v>-0.38023686459635542</c:v>
                </c:pt>
                <c:pt idx="194">
                  <c:v>2.8197631354036332</c:v>
                </c:pt>
                <c:pt idx="195">
                  <c:v>1.9763135403650267E-2</c:v>
                </c:pt>
                <c:pt idx="196">
                  <c:v>-3.3802368645963554</c:v>
                </c:pt>
                <c:pt idx="197">
                  <c:v>-1.3802368645963554</c:v>
                </c:pt>
                <c:pt idx="198">
                  <c:v>-3.2342145502500443</c:v>
                </c:pt>
                <c:pt idx="199">
                  <c:v>-4.2342145502500443</c:v>
                </c:pt>
                <c:pt idx="200">
                  <c:v>-0.43421455025003297</c:v>
                </c:pt>
                <c:pt idx="201">
                  <c:v>-2.0342145502500557</c:v>
                </c:pt>
                <c:pt idx="202">
                  <c:v>1.7657854497499557</c:v>
                </c:pt>
                <c:pt idx="203">
                  <c:v>0.71180776409624968</c:v>
                </c:pt>
                <c:pt idx="204">
                  <c:v>1.7657854497499557</c:v>
                </c:pt>
                <c:pt idx="205">
                  <c:v>1.3118077640962156</c:v>
                </c:pt>
                <c:pt idx="206">
                  <c:v>1.2578300784425096</c:v>
                </c:pt>
                <c:pt idx="207">
                  <c:v>0.51180776409626105</c:v>
                </c:pt>
                <c:pt idx="208">
                  <c:v>-1.0342145502500557</c:v>
                </c:pt>
                <c:pt idx="209">
                  <c:v>-3.4881922359037389</c:v>
                </c:pt>
                <c:pt idx="210">
                  <c:v>2.565785449749967</c:v>
                </c:pt>
                <c:pt idx="211">
                  <c:v>0.11180776409622695</c:v>
                </c:pt>
                <c:pt idx="212">
                  <c:v>0.51180776409626105</c:v>
                </c:pt>
                <c:pt idx="213">
                  <c:v>5.1657854497499329</c:v>
                </c:pt>
                <c:pt idx="214">
                  <c:v>0.81976313540363321</c:v>
                </c:pt>
                <c:pt idx="215">
                  <c:v>1.419763135403656</c:v>
                </c:pt>
                <c:pt idx="216">
                  <c:v>-0.23421455025004434</c:v>
                </c:pt>
                <c:pt idx="217">
                  <c:v>3.419763135403656</c:v>
                </c:pt>
                <c:pt idx="218">
                  <c:v>3.419763135403656</c:v>
                </c:pt>
                <c:pt idx="219">
                  <c:v>2.7657854497499557</c:v>
                </c:pt>
                <c:pt idx="220">
                  <c:v>2.9657854497499443</c:v>
                </c:pt>
                <c:pt idx="221">
                  <c:v>5.6197631354036446</c:v>
                </c:pt>
                <c:pt idx="222">
                  <c:v>-2.0881922359037617</c:v>
                </c:pt>
                <c:pt idx="223">
                  <c:v>0.3657854497499784</c:v>
                </c:pt>
                <c:pt idx="224">
                  <c:v>-2.434214550250033</c:v>
                </c:pt>
                <c:pt idx="225">
                  <c:v>-3.2342145502500443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D-48C5-9EBC-672A3638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9168"/>
        <c:axId val="672867328"/>
      </c:scatterChart>
      <c:valAx>
        <c:axId val="6728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7328"/>
        <c:crosses val="autoZero"/>
        <c:crossBetween val="midCat"/>
      </c:valAx>
      <c:valAx>
        <c:axId val="67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Log'!$G$2:$G$227</c:f>
              <c:numCache>
                <c:formatCode>0.00</c:formatCode>
                <c:ptCount val="226"/>
                <c:pt idx="0">
                  <c:v>73</c:v>
                </c:pt>
                <c:pt idx="1">
                  <c:v>75</c:v>
                </c:pt>
                <c:pt idx="2">
                  <c:v>76</c:v>
                </c:pt>
                <c:pt idx="3">
                  <c:v>85</c:v>
                </c:pt>
                <c:pt idx="4">
                  <c:v>79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8">
                  <c:v>77</c:v>
                </c:pt>
                <c:pt idx="9">
                  <c:v>75</c:v>
                </c:pt>
                <c:pt idx="10">
                  <c:v>68</c:v>
                </c:pt>
                <c:pt idx="11">
                  <c:v>74</c:v>
                </c:pt>
                <c:pt idx="12">
                  <c:v>75</c:v>
                </c:pt>
                <c:pt idx="13">
                  <c:v>78</c:v>
                </c:pt>
                <c:pt idx="14">
                  <c:v>78</c:v>
                </c:pt>
                <c:pt idx="15">
                  <c:v>77</c:v>
                </c:pt>
                <c:pt idx="16">
                  <c:v>75</c:v>
                </c:pt>
                <c:pt idx="17">
                  <c:v>73</c:v>
                </c:pt>
                <c:pt idx="18">
                  <c:v>74</c:v>
                </c:pt>
                <c:pt idx="19">
                  <c:v>69</c:v>
                </c:pt>
                <c:pt idx="20">
                  <c:v>76</c:v>
                </c:pt>
                <c:pt idx="21">
                  <c:v>83</c:v>
                </c:pt>
                <c:pt idx="22">
                  <c:v>77</c:v>
                </c:pt>
                <c:pt idx="23">
                  <c:v>76</c:v>
                </c:pt>
                <c:pt idx="24">
                  <c:v>74</c:v>
                </c:pt>
                <c:pt idx="25">
                  <c:v>76</c:v>
                </c:pt>
                <c:pt idx="26">
                  <c:v>79</c:v>
                </c:pt>
                <c:pt idx="27">
                  <c:v>74</c:v>
                </c:pt>
                <c:pt idx="28">
                  <c:v>68</c:v>
                </c:pt>
                <c:pt idx="29">
                  <c:v>76</c:v>
                </c:pt>
                <c:pt idx="30">
                  <c:v>70</c:v>
                </c:pt>
                <c:pt idx="31">
                  <c:v>71</c:v>
                </c:pt>
                <c:pt idx="32">
                  <c:v>79</c:v>
                </c:pt>
                <c:pt idx="33">
                  <c:v>74</c:v>
                </c:pt>
                <c:pt idx="34">
                  <c:v>75</c:v>
                </c:pt>
                <c:pt idx="35">
                  <c:v>72</c:v>
                </c:pt>
                <c:pt idx="36">
                  <c:v>72</c:v>
                </c:pt>
                <c:pt idx="37">
                  <c:v>68</c:v>
                </c:pt>
                <c:pt idx="38">
                  <c:v>81</c:v>
                </c:pt>
                <c:pt idx="39">
                  <c:v>89</c:v>
                </c:pt>
                <c:pt idx="40">
                  <c:v>78</c:v>
                </c:pt>
                <c:pt idx="41">
                  <c:v>86</c:v>
                </c:pt>
                <c:pt idx="42">
                  <c:v>83</c:v>
                </c:pt>
                <c:pt idx="43">
                  <c:v>92</c:v>
                </c:pt>
                <c:pt idx="44">
                  <c:v>87</c:v>
                </c:pt>
                <c:pt idx="45">
                  <c:v>77</c:v>
                </c:pt>
                <c:pt idx="46">
                  <c:v>85</c:v>
                </c:pt>
                <c:pt idx="47">
                  <c:v>84</c:v>
                </c:pt>
                <c:pt idx="48">
                  <c:v>76</c:v>
                </c:pt>
                <c:pt idx="49">
                  <c:v>82</c:v>
                </c:pt>
                <c:pt idx="50">
                  <c:v>73</c:v>
                </c:pt>
                <c:pt idx="51">
                  <c:v>75</c:v>
                </c:pt>
                <c:pt idx="52">
                  <c:v>81</c:v>
                </c:pt>
                <c:pt idx="53">
                  <c:v>76</c:v>
                </c:pt>
                <c:pt idx="54">
                  <c:v>72</c:v>
                </c:pt>
                <c:pt idx="55">
                  <c:v>78</c:v>
                </c:pt>
                <c:pt idx="56">
                  <c:v>84</c:v>
                </c:pt>
                <c:pt idx="57">
                  <c:v>76</c:v>
                </c:pt>
                <c:pt idx="58">
                  <c:v>82</c:v>
                </c:pt>
                <c:pt idx="59">
                  <c:v>76</c:v>
                </c:pt>
                <c:pt idx="60">
                  <c:v>71</c:v>
                </c:pt>
                <c:pt idx="61">
                  <c:v>78</c:v>
                </c:pt>
                <c:pt idx="62">
                  <c:v>76</c:v>
                </c:pt>
                <c:pt idx="63">
                  <c:v>71</c:v>
                </c:pt>
                <c:pt idx="64">
                  <c:v>75</c:v>
                </c:pt>
                <c:pt idx="65">
                  <c:v>78</c:v>
                </c:pt>
                <c:pt idx="66">
                  <c:v>67</c:v>
                </c:pt>
                <c:pt idx="67">
                  <c:v>73</c:v>
                </c:pt>
                <c:pt idx="68">
                  <c:v>79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76</c:v>
                </c:pt>
                <c:pt idx="73">
                  <c:v>77</c:v>
                </c:pt>
                <c:pt idx="74">
                  <c:v>75</c:v>
                </c:pt>
                <c:pt idx="75">
                  <c:v>78</c:v>
                </c:pt>
                <c:pt idx="76">
                  <c:v>74</c:v>
                </c:pt>
                <c:pt idx="77">
                  <c:v>72</c:v>
                </c:pt>
                <c:pt idx="78">
                  <c:v>71</c:v>
                </c:pt>
                <c:pt idx="79">
                  <c:v>76</c:v>
                </c:pt>
                <c:pt idx="80">
                  <c:v>70</c:v>
                </c:pt>
                <c:pt idx="81">
                  <c:v>80</c:v>
                </c:pt>
                <c:pt idx="82">
                  <c:v>67</c:v>
                </c:pt>
                <c:pt idx="83">
                  <c:v>76</c:v>
                </c:pt>
                <c:pt idx="84">
                  <c:v>74</c:v>
                </c:pt>
                <c:pt idx="85">
                  <c:v>77</c:v>
                </c:pt>
                <c:pt idx="86">
                  <c:v>76</c:v>
                </c:pt>
                <c:pt idx="87">
                  <c:v>78</c:v>
                </c:pt>
                <c:pt idx="88">
                  <c:v>72</c:v>
                </c:pt>
                <c:pt idx="89">
                  <c:v>77</c:v>
                </c:pt>
                <c:pt idx="90">
                  <c:v>74</c:v>
                </c:pt>
                <c:pt idx="91">
                  <c:v>76</c:v>
                </c:pt>
                <c:pt idx="92">
                  <c:v>83</c:v>
                </c:pt>
                <c:pt idx="93">
                  <c:v>81</c:v>
                </c:pt>
                <c:pt idx="94">
                  <c:v>67</c:v>
                </c:pt>
                <c:pt idx="95">
                  <c:v>61</c:v>
                </c:pt>
                <c:pt idx="96">
                  <c:v>82</c:v>
                </c:pt>
                <c:pt idx="97">
                  <c:v>73</c:v>
                </c:pt>
                <c:pt idx="98">
                  <c:v>77</c:v>
                </c:pt>
                <c:pt idx="99">
                  <c:v>77</c:v>
                </c:pt>
                <c:pt idx="100">
                  <c:v>80</c:v>
                </c:pt>
                <c:pt idx="101">
                  <c:v>90</c:v>
                </c:pt>
                <c:pt idx="102">
                  <c:v>76</c:v>
                </c:pt>
                <c:pt idx="103">
                  <c:v>75</c:v>
                </c:pt>
                <c:pt idx="104">
                  <c:v>76</c:v>
                </c:pt>
                <c:pt idx="105">
                  <c:v>84</c:v>
                </c:pt>
                <c:pt idx="106">
                  <c:v>91</c:v>
                </c:pt>
                <c:pt idx="107">
                  <c:v>74</c:v>
                </c:pt>
                <c:pt idx="108">
                  <c:v>76</c:v>
                </c:pt>
                <c:pt idx="109">
                  <c:v>88</c:v>
                </c:pt>
                <c:pt idx="110">
                  <c:v>85</c:v>
                </c:pt>
                <c:pt idx="111">
                  <c:v>71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68</c:v>
                </c:pt>
                <c:pt idx="116">
                  <c:v>85</c:v>
                </c:pt>
                <c:pt idx="117">
                  <c:v>75</c:v>
                </c:pt>
                <c:pt idx="118">
                  <c:v>75</c:v>
                </c:pt>
                <c:pt idx="119">
                  <c:v>79</c:v>
                </c:pt>
                <c:pt idx="120">
                  <c:v>71</c:v>
                </c:pt>
                <c:pt idx="121">
                  <c:v>73</c:v>
                </c:pt>
                <c:pt idx="122">
                  <c:v>87</c:v>
                </c:pt>
                <c:pt idx="123">
                  <c:v>73</c:v>
                </c:pt>
                <c:pt idx="124">
                  <c:v>75</c:v>
                </c:pt>
                <c:pt idx="125">
                  <c:v>76</c:v>
                </c:pt>
                <c:pt idx="126">
                  <c:v>76</c:v>
                </c:pt>
                <c:pt idx="127">
                  <c:v>85</c:v>
                </c:pt>
                <c:pt idx="128">
                  <c:v>84</c:v>
                </c:pt>
                <c:pt idx="129">
                  <c:v>75</c:v>
                </c:pt>
                <c:pt idx="130">
                  <c:v>81</c:v>
                </c:pt>
                <c:pt idx="131">
                  <c:v>74</c:v>
                </c:pt>
                <c:pt idx="132">
                  <c:v>78</c:v>
                </c:pt>
                <c:pt idx="133">
                  <c:v>73</c:v>
                </c:pt>
                <c:pt idx="134">
                  <c:v>88</c:v>
                </c:pt>
                <c:pt idx="135">
                  <c:v>77</c:v>
                </c:pt>
                <c:pt idx="136">
                  <c:v>77</c:v>
                </c:pt>
                <c:pt idx="137">
                  <c:v>80</c:v>
                </c:pt>
                <c:pt idx="138">
                  <c:v>75</c:v>
                </c:pt>
                <c:pt idx="139">
                  <c:v>85</c:v>
                </c:pt>
                <c:pt idx="140">
                  <c:v>70</c:v>
                </c:pt>
                <c:pt idx="141">
                  <c:v>72</c:v>
                </c:pt>
                <c:pt idx="142">
                  <c:v>73</c:v>
                </c:pt>
                <c:pt idx="143">
                  <c:v>71</c:v>
                </c:pt>
                <c:pt idx="144">
                  <c:v>70</c:v>
                </c:pt>
                <c:pt idx="145">
                  <c:v>77</c:v>
                </c:pt>
                <c:pt idx="146">
                  <c:v>78</c:v>
                </c:pt>
                <c:pt idx="147">
                  <c:v>69</c:v>
                </c:pt>
                <c:pt idx="148">
                  <c:v>79</c:v>
                </c:pt>
                <c:pt idx="149">
                  <c:v>81</c:v>
                </c:pt>
                <c:pt idx="150">
                  <c:v>80</c:v>
                </c:pt>
                <c:pt idx="151">
                  <c:v>75</c:v>
                </c:pt>
                <c:pt idx="152">
                  <c:v>74</c:v>
                </c:pt>
                <c:pt idx="153">
                  <c:v>72</c:v>
                </c:pt>
                <c:pt idx="154">
                  <c:v>77</c:v>
                </c:pt>
                <c:pt idx="155">
                  <c:v>78</c:v>
                </c:pt>
                <c:pt idx="156">
                  <c:v>87</c:v>
                </c:pt>
                <c:pt idx="157">
                  <c:v>80</c:v>
                </c:pt>
                <c:pt idx="158">
                  <c:v>87</c:v>
                </c:pt>
                <c:pt idx="159">
                  <c:v>69</c:v>
                </c:pt>
                <c:pt idx="160">
                  <c:v>74</c:v>
                </c:pt>
                <c:pt idx="161">
                  <c:v>83</c:v>
                </c:pt>
                <c:pt idx="162">
                  <c:v>83</c:v>
                </c:pt>
                <c:pt idx="163">
                  <c:v>65</c:v>
                </c:pt>
                <c:pt idx="164">
                  <c:v>79</c:v>
                </c:pt>
                <c:pt idx="165">
                  <c:v>70</c:v>
                </c:pt>
                <c:pt idx="166">
                  <c:v>76</c:v>
                </c:pt>
                <c:pt idx="167">
                  <c:v>83</c:v>
                </c:pt>
                <c:pt idx="168">
                  <c:v>82</c:v>
                </c:pt>
                <c:pt idx="169">
                  <c:v>71</c:v>
                </c:pt>
                <c:pt idx="170">
                  <c:v>86</c:v>
                </c:pt>
                <c:pt idx="171">
                  <c:v>82</c:v>
                </c:pt>
                <c:pt idx="172">
                  <c:v>74</c:v>
                </c:pt>
                <c:pt idx="173">
                  <c:v>78</c:v>
                </c:pt>
                <c:pt idx="174">
                  <c:v>80</c:v>
                </c:pt>
                <c:pt idx="175">
                  <c:v>83</c:v>
                </c:pt>
                <c:pt idx="176">
                  <c:v>74</c:v>
                </c:pt>
                <c:pt idx="177">
                  <c:v>68</c:v>
                </c:pt>
                <c:pt idx="178">
                  <c:v>80</c:v>
                </c:pt>
                <c:pt idx="179">
                  <c:v>81</c:v>
                </c:pt>
                <c:pt idx="180">
                  <c:v>76</c:v>
                </c:pt>
                <c:pt idx="181">
                  <c:v>79</c:v>
                </c:pt>
                <c:pt idx="182">
                  <c:v>81</c:v>
                </c:pt>
                <c:pt idx="183">
                  <c:v>74</c:v>
                </c:pt>
                <c:pt idx="184">
                  <c:v>78</c:v>
                </c:pt>
                <c:pt idx="185">
                  <c:v>79</c:v>
                </c:pt>
                <c:pt idx="186">
                  <c:v>81</c:v>
                </c:pt>
                <c:pt idx="187">
                  <c:v>78</c:v>
                </c:pt>
                <c:pt idx="188">
                  <c:v>78</c:v>
                </c:pt>
                <c:pt idx="189">
                  <c:v>81</c:v>
                </c:pt>
                <c:pt idx="190">
                  <c:v>72</c:v>
                </c:pt>
                <c:pt idx="191">
                  <c:v>71</c:v>
                </c:pt>
                <c:pt idx="192">
                  <c:v>80</c:v>
                </c:pt>
                <c:pt idx="193">
                  <c:v>42</c:v>
                </c:pt>
                <c:pt idx="194">
                  <c:v>83</c:v>
                </c:pt>
                <c:pt idx="195">
                  <c:v>78</c:v>
                </c:pt>
                <c:pt idx="196">
                  <c:v>74</c:v>
                </c:pt>
                <c:pt idx="197">
                  <c:v>79</c:v>
                </c:pt>
                <c:pt idx="198">
                  <c:v>66</c:v>
                </c:pt>
                <c:pt idx="199">
                  <c:v>87</c:v>
                </c:pt>
                <c:pt idx="200">
                  <c:v>76</c:v>
                </c:pt>
                <c:pt idx="201">
                  <c:v>99</c:v>
                </c:pt>
                <c:pt idx="202">
                  <c:v>78</c:v>
                </c:pt>
                <c:pt idx="203">
                  <c:v>82</c:v>
                </c:pt>
                <c:pt idx="204">
                  <c:v>84</c:v>
                </c:pt>
                <c:pt idx="205">
                  <c:v>91</c:v>
                </c:pt>
                <c:pt idx="206">
                  <c:v>84</c:v>
                </c:pt>
                <c:pt idx="207">
                  <c:v>82</c:v>
                </c:pt>
                <c:pt idx="208">
                  <c:v>77</c:v>
                </c:pt>
                <c:pt idx="209">
                  <c:v>85</c:v>
                </c:pt>
                <c:pt idx="210">
                  <c:v>83</c:v>
                </c:pt>
                <c:pt idx="211">
                  <c:v>82</c:v>
                </c:pt>
                <c:pt idx="212">
                  <c:v>82</c:v>
                </c:pt>
                <c:pt idx="213">
                  <c:v>81</c:v>
                </c:pt>
                <c:pt idx="214">
                  <c:v>80</c:v>
                </c:pt>
                <c:pt idx="215">
                  <c:v>80</c:v>
                </c:pt>
                <c:pt idx="216">
                  <c:v>73</c:v>
                </c:pt>
                <c:pt idx="217">
                  <c:v>83</c:v>
                </c:pt>
                <c:pt idx="218">
                  <c:v>81</c:v>
                </c:pt>
                <c:pt idx="219">
                  <c:v>76</c:v>
                </c:pt>
                <c:pt idx="220">
                  <c:v>73</c:v>
                </c:pt>
                <c:pt idx="221">
                  <c:v>84</c:v>
                </c:pt>
                <c:pt idx="222">
                  <c:v>86</c:v>
                </c:pt>
                <c:pt idx="223">
                  <c:v>80</c:v>
                </c:pt>
                <c:pt idx="224">
                  <c:v>75</c:v>
                </c:pt>
                <c:pt idx="225">
                  <c:v>70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060-BE43-45902EA3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3455"/>
        <c:axId val="2123654895"/>
      </c:scatterChart>
      <c:valAx>
        <c:axId val="21236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4895"/>
        <c:crosses val="autoZero"/>
        <c:crossBetween val="midCat"/>
      </c:valAx>
      <c:valAx>
        <c:axId val="21236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Log'!$D$2:$D$227</c:f>
              <c:numCache>
                <c:formatCode>0.00</c:formatCode>
                <c:ptCount val="22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16.5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16.5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16.5</c:v>
                </c:pt>
                <c:pt idx="201">
                  <c:v>16.5</c:v>
                </c:pt>
                <c:pt idx="202">
                  <c:v>16.5</c:v>
                </c:pt>
                <c:pt idx="203">
                  <c:v>16.5</c:v>
                </c:pt>
                <c:pt idx="204">
                  <c:v>16.5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</c:v>
                </c:pt>
                <c:pt idx="210">
                  <c:v>16.5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16.5</c:v>
                </c:pt>
                <c:pt idx="220">
                  <c:v>16.5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</c:numCache>
            </c:numRef>
          </c:xVal>
          <c:yVal>
            <c:numRef>
              <c:f>Residuals!$E$2:$E$227</c:f>
              <c:numCache>
                <c:formatCode>0.00</c:formatCode>
                <c:ptCount val="226"/>
                <c:pt idx="0">
                  <c:v>15.206918918957513</c:v>
                </c:pt>
                <c:pt idx="1">
                  <c:v>11.406918918957501</c:v>
                </c:pt>
                <c:pt idx="2">
                  <c:v>11.406918918957501</c:v>
                </c:pt>
                <c:pt idx="3">
                  <c:v>12.406918918957501</c:v>
                </c:pt>
                <c:pt idx="4">
                  <c:v>9.2069189189575127</c:v>
                </c:pt>
                <c:pt idx="5">
                  <c:v>8.2069189189575127</c:v>
                </c:pt>
                <c:pt idx="6">
                  <c:v>8.4069189189575013</c:v>
                </c:pt>
                <c:pt idx="7">
                  <c:v>8.4069189189575013</c:v>
                </c:pt>
                <c:pt idx="8">
                  <c:v>9.0069189189574672</c:v>
                </c:pt>
                <c:pt idx="9">
                  <c:v>12.206918918957513</c:v>
                </c:pt>
                <c:pt idx="10">
                  <c:v>10.406918918957501</c:v>
                </c:pt>
                <c:pt idx="11">
                  <c:v>8.0069189189574672</c:v>
                </c:pt>
                <c:pt idx="12">
                  <c:v>6.2069189189575127</c:v>
                </c:pt>
                <c:pt idx="13">
                  <c:v>9.2069189189575127</c:v>
                </c:pt>
                <c:pt idx="14">
                  <c:v>7.2069189189575127</c:v>
                </c:pt>
                <c:pt idx="15">
                  <c:v>7.2069189189575127</c:v>
                </c:pt>
                <c:pt idx="16">
                  <c:v>4.4069189189575013</c:v>
                </c:pt>
                <c:pt idx="17">
                  <c:v>4.2069189189575127</c:v>
                </c:pt>
                <c:pt idx="18">
                  <c:v>2.8069189189574786</c:v>
                </c:pt>
                <c:pt idx="19">
                  <c:v>2.60691891895749</c:v>
                </c:pt>
                <c:pt idx="20">
                  <c:v>1.4069189189575013</c:v>
                </c:pt>
                <c:pt idx="21">
                  <c:v>1.4069189189575013</c:v>
                </c:pt>
                <c:pt idx="22">
                  <c:v>-0.59308108104249868</c:v>
                </c:pt>
                <c:pt idx="23">
                  <c:v>-0.19308108104252142</c:v>
                </c:pt>
                <c:pt idx="24">
                  <c:v>-1.39308108104251</c:v>
                </c:pt>
                <c:pt idx="25">
                  <c:v>-3.39308108104251</c:v>
                </c:pt>
                <c:pt idx="26">
                  <c:v>-0.59308108104249868</c:v>
                </c:pt>
                <c:pt idx="27">
                  <c:v>-0.59308108104249868</c:v>
                </c:pt>
                <c:pt idx="28">
                  <c:v>-1.39308108104251</c:v>
                </c:pt>
                <c:pt idx="29">
                  <c:v>-2.1930810810425214</c:v>
                </c:pt>
                <c:pt idx="30">
                  <c:v>-2.39308108104251</c:v>
                </c:pt>
                <c:pt idx="31">
                  <c:v>-4.39308108104251</c:v>
                </c:pt>
                <c:pt idx="32">
                  <c:v>-4.39308108104251</c:v>
                </c:pt>
                <c:pt idx="33">
                  <c:v>-5.39308108104251</c:v>
                </c:pt>
                <c:pt idx="34">
                  <c:v>-4.7930810810425157</c:v>
                </c:pt>
                <c:pt idx="35">
                  <c:v>-4.7930810810425157</c:v>
                </c:pt>
                <c:pt idx="36">
                  <c:v>-7.5930810810424987</c:v>
                </c:pt>
                <c:pt idx="37">
                  <c:v>-7.5930810810424987</c:v>
                </c:pt>
                <c:pt idx="38">
                  <c:v>-3.39308108104251</c:v>
                </c:pt>
                <c:pt idx="39">
                  <c:v>0.80691891895747858</c:v>
                </c:pt>
                <c:pt idx="40">
                  <c:v>0.60691891895748995</c:v>
                </c:pt>
                <c:pt idx="41">
                  <c:v>-1.7930810810424873</c:v>
                </c:pt>
                <c:pt idx="42">
                  <c:v>-2.39308108104251</c:v>
                </c:pt>
                <c:pt idx="43">
                  <c:v>-0.39308108104251005</c:v>
                </c:pt>
                <c:pt idx="44">
                  <c:v>-1.1930810810425214</c:v>
                </c:pt>
                <c:pt idx="45">
                  <c:v>0.40691891895750132</c:v>
                </c:pt>
                <c:pt idx="46">
                  <c:v>1.4069189189575013</c:v>
                </c:pt>
                <c:pt idx="47">
                  <c:v>-2.5930810810424987</c:v>
                </c:pt>
                <c:pt idx="48">
                  <c:v>-4.5930810810424987</c:v>
                </c:pt>
                <c:pt idx="49">
                  <c:v>-6.39308108104251</c:v>
                </c:pt>
                <c:pt idx="50">
                  <c:v>-7.39308108104251</c:v>
                </c:pt>
                <c:pt idx="51">
                  <c:v>-7.7930810810425157</c:v>
                </c:pt>
                <c:pt idx="52">
                  <c:v>-5.9930810810425044</c:v>
                </c:pt>
                <c:pt idx="53">
                  <c:v>-7.5930810810424987</c:v>
                </c:pt>
                <c:pt idx="54">
                  <c:v>-7.1930810810425214</c:v>
                </c:pt>
                <c:pt idx="55">
                  <c:v>-8.7930810810425157</c:v>
                </c:pt>
                <c:pt idx="56">
                  <c:v>-8.9930810810425044</c:v>
                </c:pt>
                <c:pt idx="57">
                  <c:v>-10.39308108104251</c:v>
                </c:pt>
                <c:pt idx="58">
                  <c:v>-10.793081081042516</c:v>
                </c:pt>
                <c:pt idx="59">
                  <c:v>-11.193081081042521</c:v>
                </c:pt>
                <c:pt idx="60">
                  <c:v>-11.993081081042504</c:v>
                </c:pt>
                <c:pt idx="61">
                  <c:v>-5.6928648648784304</c:v>
                </c:pt>
                <c:pt idx="62">
                  <c:v>0.40735135128565503</c:v>
                </c:pt>
                <c:pt idx="63">
                  <c:v>0.40735135128565503</c:v>
                </c:pt>
                <c:pt idx="64">
                  <c:v>0.80735135128566071</c:v>
                </c:pt>
                <c:pt idx="65">
                  <c:v>-2.4928648648784133</c:v>
                </c:pt>
                <c:pt idx="66">
                  <c:v>-4.2928648648784247</c:v>
                </c:pt>
                <c:pt idx="67">
                  <c:v>-4.4928648648784133</c:v>
                </c:pt>
                <c:pt idx="68">
                  <c:v>-0.89286486487841898</c:v>
                </c:pt>
                <c:pt idx="69">
                  <c:v>-3.6928648648784304</c:v>
                </c:pt>
                <c:pt idx="70">
                  <c:v>-5.892864864878419</c:v>
                </c:pt>
                <c:pt idx="71">
                  <c:v>-7.4928648648784133</c:v>
                </c:pt>
                <c:pt idx="72">
                  <c:v>-1.2928648648784247</c:v>
                </c:pt>
                <c:pt idx="73">
                  <c:v>-1.2928648648784247</c:v>
                </c:pt>
                <c:pt idx="74">
                  <c:v>0.10713513512158102</c:v>
                </c:pt>
                <c:pt idx="75">
                  <c:v>-3.6928648648784304</c:v>
                </c:pt>
                <c:pt idx="76">
                  <c:v>-4.4928648648784133</c:v>
                </c:pt>
                <c:pt idx="77">
                  <c:v>-5.2928648648784247</c:v>
                </c:pt>
                <c:pt idx="78">
                  <c:v>-6.6928648648784304</c:v>
                </c:pt>
                <c:pt idx="79">
                  <c:v>-2.4928648648784133</c:v>
                </c:pt>
                <c:pt idx="80">
                  <c:v>-1.4928648648784133</c:v>
                </c:pt>
                <c:pt idx="81">
                  <c:v>-0.69286486487843035</c:v>
                </c:pt>
                <c:pt idx="82">
                  <c:v>-4.092864864878436</c:v>
                </c:pt>
                <c:pt idx="83">
                  <c:v>-4.6928648648784304</c:v>
                </c:pt>
                <c:pt idx="84">
                  <c:v>-3.2928648648784247</c:v>
                </c:pt>
                <c:pt idx="85">
                  <c:v>-2.2928648648784247</c:v>
                </c:pt>
                <c:pt idx="86">
                  <c:v>1.5071351351215867</c:v>
                </c:pt>
                <c:pt idx="87">
                  <c:v>4.7071351351215753</c:v>
                </c:pt>
                <c:pt idx="88">
                  <c:v>1.107135135121581</c:v>
                </c:pt>
                <c:pt idx="89">
                  <c:v>-0.29286486487842467</c:v>
                </c:pt>
                <c:pt idx="90">
                  <c:v>1.107135135121581</c:v>
                </c:pt>
                <c:pt idx="91">
                  <c:v>-0.89286486487841898</c:v>
                </c:pt>
                <c:pt idx="92">
                  <c:v>2.5071351351215867</c:v>
                </c:pt>
                <c:pt idx="93">
                  <c:v>2.3071351351215696</c:v>
                </c:pt>
                <c:pt idx="94">
                  <c:v>0.10713513512158102</c:v>
                </c:pt>
                <c:pt idx="95">
                  <c:v>0.10713513512158102</c:v>
                </c:pt>
                <c:pt idx="96">
                  <c:v>0.10713513512158102</c:v>
                </c:pt>
                <c:pt idx="97">
                  <c:v>-2.892864864878419</c:v>
                </c:pt>
                <c:pt idx="98">
                  <c:v>-3.2928648648784247</c:v>
                </c:pt>
                <c:pt idx="99">
                  <c:v>-1.892864864878419</c:v>
                </c:pt>
                <c:pt idx="100">
                  <c:v>-2.4928648648784133</c:v>
                </c:pt>
                <c:pt idx="101">
                  <c:v>-1.092864864878436</c:v>
                </c:pt>
                <c:pt idx="102">
                  <c:v>4.5071351351215867</c:v>
                </c:pt>
                <c:pt idx="103">
                  <c:v>4.907135135121564</c:v>
                </c:pt>
                <c:pt idx="104">
                  <c:v>3.3071351351215981</c:v>
                </c:pt>
                <c:pt idx="105">
                  <c:v>2.3071351351215696</c:v>
                </c:pt>
                <c:pt idx="106">
                  <c:v>2.107135135121581</c:v>
                </c:pt>
                <c:pt idx="107">
                  <c:v>-1.892864864878419</c:v>
                </c:pt>
                <c:pt idx="108">
                  <c:v>-2.892864864878419</c:v>
                </c:pt>
                <c:pt idx="109">
                  <c:v>-2.4928648648784133</c:v>
                </c:pt>
                <c:pt idx="110">
                  <c:v>-4.092864864878436</c:v>
                </c:pt>
                <c:pt idx="111">
                  <c:v>-2.892864864878419</c:v>
                </c:pt>
                <c:pt idx="112">
                  <c:v>-1.4928648648784133</c:v>
                </c:pt>
                <c:pt idx="113">
                  <c:v>-5.2928648648784247</c:v>
                </c:pt>
                <c:pt idx="114">
                  <c:v>-4.892864864878419</c:v>
                </c:pt>
                <c:pt idx="115">
                  <c:v>-6.2928648648784247</c:v>
                </c:pt>
                <c:pt idx="116">
                  <c:v>-6.4928648648784133</c:v>
                </c:pt>
                <c:pt idx="117">
                  <c:v>-8.4928648648784133</c:v>
                </c:pt>
                <c:pt idx="118">
                  <c:v>-8.892864864878419</c:v>
                </c:pt>
                <c:pt idx="119">
                  <c:v>-9.092864864878436</c:v>
                </c:pt>
                <c:pt idx="120">
                  <c:v>-8.2928648648784247</c:v>
                </c:pt>
                <c:pt idx="121">
                  <c:v>-6.2928648648784247</c:v>
                </c:pt>
                <c:pt idx="122">
                  <c:v>-3.6928648648784304</c:v>
                </c:pt>
                <c:pt idx="123">
                  <c:v>-2.892864864878419</c:v>
                </c:pt>
                <c:pt idx="124">
                  <c:v>-0.89286486487841898</c:v>
                </c:pt>
                <c:pt idx="125">
                  <c:v>-2.6928648648784304</c:v>
                </c:pt>
                <c:pt idx="126">
                  <c:v>-0.69286486487843035</c:v>
                </c:pt>
                <c:pt idx="127">
                  <c:v>0.30713513512156965</c:v>
                </c:pt>
                <c:pt idx="128">
                  <c:v>-0.29286486487842467</c:v>
                </c:pt>
                <c:pt idx="129">
                  <c:v>3.907135135121564</c:v>
                </c:pt>
                <c:pt idx="130">
                  <c:v>1.3071351351215696</c:v>
                </c:pt>
                <c:pt idx="131">
                  <c:v>1.907135135121564</c:v>
                </c:pt>
                <c:pt idx="132">
                  <c:v>1.5071351351215867</c:v>
                </c:pt>
                <c:pt idx="133">
                  <c:v>2.5071351351215867</c:v>
                </c:pt>
                <c:pt idx="134">
                  <c:v>3.907135135121564</c:v>
                </c:pt>
                <c:pt idx="135">
                  <c:v>4.7071351351215753</c:v>
                </c:pt>
                <c:pt idx="136">
                  <c:v>-1.4928648648784133</c:v>
                </c:pt>
                <c:pt idx="137">
                  <c:v>-2.892864864878419</c:v>
                </c:pt>
                <c:pt idx="138">
                  <c:v>-2.2928648648784247</c:v>
                </c:pt>
                <c:pt idx="139">
                  <c:v>-4.092864864878436</c:v>
                </c:pt>
                <c:pt idx="140">
                  <c:v>-5.2928648648784247</c:v>
                </c:pt>
                <c:pt idx="141">
                  <c:v>-3.092864864878436</c:v>
                </c:pt>
                <c:pt idx="142">
                  <c:v>-0.29286486487842467</c:v>
                </c:pt>
                <c:pt idx="143">
                  <c:v>-2.4928648648784133</c:v>
                </c:pt>
                <c:pt idx="144">
                  <c:v>-0.4928648648784133</c:v>
                </c:pt>
                <c:pt idx="145">
                  <c:v>-2.2928648648784247</c:v>
                </c:pt>
                <c:pt idx="146">
                  <c:v>-3.892864864878419</c:v>
                </c:pt>
                <c:pt idx="147">
                  <c:v>0.30713513512156965</c:v>
                </c:pt>
                <c:pt idx="148">
                  <c:v>1.3071351351215696</c:v>
                </c:pt>
                <c:pt idx="149">
                  <c:v>-0.29286486487842467</c:v>
                </c:pt>
                <c:pt idx="150">
                  <c:v>0.70713513512157533</c:v>
                </c:pt>
                <c:pt idx="151">
                  <c:v>-0.29286486487842467</c:v>
                </c:pt>
                <c:pt idx="152">
                  <c:v>-1.4928648648784133</c:v>
                </c:pt>
                <c:pt idx="153">
                  <c:v>-1.892864864878419</c:v>
                </c:pt>
                <c:pt idx="154">
                  <c:v>-4.092864864878436</c:v>
                </c:pt>
                <c:pt idx="155">
                  <c:v>-0.4928648648784133</c:v>
                </c:pt>
                <c:pt idx="156">
                  <c:v>-0.29286486487842467</c:v>
                </c:pt>
                <c:pt idx="157">
                  <c:v>5.7071351351215753</c:v>
                </c:pt>
                <c:pt idx="158">
                  <c:v>1.5071351351215867</c:v>
                </c:pt>
                <c:pt idx="159">
                  <c:v>-0.4928648648784133</c:v>
                </c:pt>
                <c:pt idx="160">
                  <c:v>-1.4928648648784133</c:v>
                </c:pt>
                <c:pt idx="161">
                  <c:v>1.5071351351215867</c:v>
                </c:pt>
                <c:pt idx="162">
                  <c:v>1.7071351351215753</c:v>
                </c:pt>
                <c:pt idx="163">
                  <c:v>1.5071351351215867</c:v>
                </c:pt>
                <c:pt idx="164">
                  <c:v>-1.4928648648784133</c:v>
                </c:pt>
                <c:pt idx="165">
                  <c:v>4.1071351351215526</c:v>
                </c:pt>
                <c:pt idx="166">
                  <c:v>2.5071351351215867</c:v>
                </c:pt>
                <c:pt idx="167">
                  <c:v>-1.4928648648784133</c:v>
                </c:pt>
                <c:pt idx="168">
                  <c:v>-5.6928648648784304</c:v>
                </c:pt>
                <c:pt idx="169">
                  <c:v>-4.4928648648784133</c:v>
                </c:pt>
                <c:pt idx="170">
                  <c:v>-3.4928648648784133</c:v>
                </c:pt>
                <c:pt idx="171">
                  <c:v>-2.6928648648784304</c:v>
                </c:pt>
                <c:pt idx="172">
                  <c:v>-1.2928648648784247</c:v>
                </c:pt>
                <c:pt idx="173">
                  <c:v>2.3071351351215696</c:v>
                </c:pt>
                <c:pt idx="174">
                  <c:v>-0.69286486487843035</c:v>
                </c:pt>
                <c:pt idx="175">
                  <c:v>-0.89286486487841898</c:v>
                </c:pt>
                <c:pt idx="176">
                  <c:v>-2.2928648648784247</c:v>
                </c:pt>
                <c:pt idx="177">
                  <c:v>-2.092864864878436</c:v>
                </c:pt>
                <c:pt idx="178">
                  <c:v>-0.89286486487841898</c:v>
                </c:pt>
                <c:pt idx="179">
                  <c:v>0.70713513512157533</c:v>
                </c:pt>
                <c:pt idx="180">
                  <c:v>0.5071351351215867</c:v>
                </c:pt>
                <c:pt idx="181">
                  <c:v>1.5071351351215867</c:v>
                </c:pt>
                <c:pt idx="182">
                  <c:v>0.5071351351215867</c:v>
                </c:pt>
                <c:pt idx="183">
                  <c:v>-0.29286486487842467</c:v>
                </c:pt>
                <c:pt idx="184">
                  <c:v>-0.89286486487841898</c:v>
                </c:pt>
                <c:pt idx="185">
                  <c:v>0.70713513512157533</c:v>
                </c:pt>
                <c:pt idx="186">
                  <c:v>-0.89286486487841898</c:v>
                </c:pt>
                <c:pt idx="187">
                  <c:v>-1.2928648648784247</c:v>
                </c:pt>
                <c:pt idx="188">
                  <c:v>-0.29286486487842467</c:v>
                </c:pt>
                <c:pt idx="189">
                  <c:v>-0.89286486487841898</c:v>
                </c:pt>
                <c:pt idx="190">
                  <c:v>-1.092864864878436</c:v>
                </c:pt>
                <c:pt idx="191">
                  <c:v>-0.69286486487843035</c:v>
                </c:pt>
                <c:pt idx="192">
                  <c:v>0.70713513512157533</c:v>
                </c:pt>
                <c:pt idx="193">
                  <c:v>1.7071351351215753</c:v>
                </c:pt>
                <c:pt idx="194">
                  <c:v>4.907135135121564</c:v>
                </c:pt>
                <c:pt idx="195">
                  <c:v>2.107135135121581</c:v>
                </c:pt>
                <c:pt idx="196">
                  <c:v>-1.2928648648784247</c:v>
                </c:pt>
                <c:pt idx="197">
                  <c:v>0.70713513512157533</c:v>
                </c:pt>
                <c:pt idx="198">
                  <c:v>1.7071351351215753</c:v>
                </c:pt>
                <c:pt idx="199">
                  <c:v>0.70713513512157533</c:v>
                </c:pt>
                <c:pt idx="200">
                  <c:v>4.5071351351215867</c:v>
                </c:pt>
                <c:pt idx="201">
                  <c:v>2.907135135121564</c:v>
                </c:pt>
                <c:pt idx="202">
                  <c:v>6.7071351351215753</c:v>
                </c:pt>
                <c:pt idx="203">
                  <c:v>8.5071351351215867</c:v>
                </c:pt>
                <c:pt idx="204">
                  <c:v>6.7071351351215753</c:v>
                </c:pt>
                <c:pt idx="205">
                  <c:v>9.1071351351215526</c:v>
                </c:pt>
                <c:pt idx="206">
                  <c:v>11.907135135121564</c:v>
                </c:pt>
                <c:pt idx="207">
                  <c:v>8.3071351351215981</c:v>
                </c:pt>
                <c:pt idx="208">
                  <c:v>3.907135135121564</c:v>
                </c:pt>
                <c:pt idx="209">
                  <c:v>4.3071351351215981</c:v>
                </c:pt>
                <c:pt idx="210">
                  <c:v>7.5071351351215867</c:v>
                </c:pt>
                <c:pt idx="211">
                  <c:v>7.907135135121564</c:v>
                </c:pt>
                <c:pt idx="212">
                  <c:v>8.3071351351215981</c:v>
                </c:pt>
                <c:pt idx="213">
                  <c:v>10.107135135121553</c:v>
                </c:pt>
                <c:pt idx="214">
                  <c:v>2.907135135121564</c:v>
                </c:pt>
                <c:pt idx="215">
                  <c:v>3.5071351351215867</c:v>
                </c:pt>
                <c:pt idx="216">
                  <c:v>4.7071351351215753</c:v>
                </c:pt>
                <c:pt idx="217">
                  <c:v>5.5071351351215867</c:v>
                </c:pt>
                <c:pt idx="218">
                  <c:v>5.5071351351215867</c:v>
                </c:pt>
                <c:pt idx="219">
                  <c:v>7.7071351351215753</c:v>
                </c:pt>
                <c:pt idx="220">
                  <c:v>7.907135135121564</c:v>
                </c:pt>
                <c:pt idx="221">
                  <c:v>7.7071351351215753</c:v>
                </c:pt>
                <c:pt idx="222">
                  <c:v>5.7071351351215753</c:v>
                </c:pt>
                <c:pt idx="223">
                  <c:v>5.3071351351215981</c:v>
                </c:pt>
                <c:pt idx="224">
                  <c:v>2.5071351351215867</c:v>
                </c:pt>
                <c:pt idx="225">
                  <c:v>1.7071351351215753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7-4A1E-9DE5-CC64AEAA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891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8911"/>
        <c:crosses val="autoZero"/>
        <c:crossBetween val="midCat"/>
      </c:valAx>
      <c:valAx>
        <c:axId val="2117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Log'!$E$2:$E$227</c:f>
              <c:numCache>
                <c:formatCode>0.00</c:formatCode>
                <c:ptCount val="226"/>
                <c:pt idx="0">
                  <c:v>95.7</c:v>
                </c:pt>
                <c:pt idx="1">
                  <c:v>96.2</c:v>
                </c:pt>
                <c:pt idx="2">
                  <c:v>96.7</c:v>
                </c:pt>
                <c:pt idx="3">
                  <c:v>97.5</c:v>
                </c:pt>
                <c:pt idx="4">
                  <c:v>97.7</c:v>
                </c:pt>
                <c:pt idx="5">
                  <c:v>96.1</c:v>
                </c:pt>
                <c:pt idx="6">
                  <c:v>96.4</c:v>
                </c:pt>
                <c:pt idx="7">
                  <c:v>96.4</c:v>
                </c:pt>
                <c:pt idx="8">
                  <c:v>97.7</c:v>
                </c:pt>
                <c:pt idx="9">
                  <c:v>96.7</c:v>
                </c:pt>
                <c:pt idx="10">
                  <c:v>97</c:v>
                </c:pt>
                <c:pt idx="11">
                  <c:v>96.2</c:v>
                </c:pt>
                <c:pt idx="12">
                  <c:v>96.6</c:v>
                </c:pt>
                <c:pt idx="13">
                  <c:v>96.3</c:v>
                </c:pt>
                <c:pt idx="14">
                  <c:v>96.4</c:v>
                </c:pt>
                <c:pt idx="15">
                  <c:v>95.5</c:v>
                </c:pt>
                <c:pt idx="16">
                  <c:v>96.7</c:v>
                </c:pt>
                <c:pt idx="17">
                  <c:v>96.6</c:v>
                </c:pt>
                <c:pt idx="18">
                  <c:v>96.5</c:v>
                </c:pt>
                <c:pt idx="19">
                  <c:v>96.9</c:v>
                </c:pt>
                <c:pt idx="20">
                  <c:v>96.5</c:v>
                </c:pt>
                <c:pt idx="21">
                  <c:v>96.1</c:v>
                </c:pt>
                <c:pt idx="22">
                  <c:v>97</c:v>
                </c:pt>
                <c:pt idx="23">
                  <c:v>96.4</c:v>
                </c:pt>
                <c:pt idx="24">
                  <c:v>95.7</c:v>
                </c:pt>
                <c:pt idx="25">
                  <c:v>96.2</c:v>
                </c:pt>
                <c:pt idx="26">
                  <c:v>97.1</c:v>
                </c:pt>
                <c:pt idx="27">
                  <c:v>96.5</c:v>
                </c:pt>
                <c:pt idx="28">
                  <c:v>96.3</c:v>
                </c:pt>
                <c:pt idx="29">
                  <c:v>96.1</c:v>
                </c:pt>
                <c:pt idx="30">
                  <c:v>96.8</c:v>
                </c:pt>
                <c:pt idx="31">
                  <c:v>96.4</c:v>
                </c:pt>
                <c:pt idx="32">
                  <c:v>96.7</c:v>
                </c:pt>
                <c:pt idx="33">
                  <c:v>97.1</c:v>
                </c:pt>
                <c:pt idx="34">
                  <c:v>96.2</c:v>
                </c:pt>
                <c:pt idx="35">
                  <c:v>96.2</c:v>
                </c:pt>
                <c:pt idx="36">
                  <c:v>96.1</c:v>
                </c:pt>
                <c:pt idx="37">
                  <c:v>96.3</c:v>
                </c:pt>
                <c:pt idx="38">
                  <c:v>97.1</c:v>
                </c:pt>
                <c:pt idx="39">
                  <c:v>97</c:v>
                </c:pt>
                <c:pt idx="40">
                  <c:v>96.7</c:v>
                </c:pt>
                <c:pt idx="41">
                  <c:v>96.4</c:v>
                </c:pt>
                <c:pt idx="42">
                  <c:v>97.6</c:v>
                </c:pt>
                <c:pt idx="43">
                  <c:v>96</c:v>
                </c:pt>
                <c:pt idx="44">
                  <c:v>95.9</c:v>
                </c:pt>
                <c:pt idx="45">
                  <c:v>96.7</c:v>
                </c:pt>
                <c:pt idx="46">
                  <c:v>97</c:v>
                </c:pt>
                <c:pt idx="47">
                  <c:v>96.5</c:v>
                </c:pt>
                <c:pt idx="48">
                  <c:v>96.4</c:v>
                </c:pt>
                <c:pt idx="49">
                  <c:v>96.1</c:v>
                </c:pt>
                <c:pt idx="50">
                  <c:v>96</c:v>
                </c:pt>
                <c:pt idx="51">
                  <c:v>95.9</c:v>
                </c:pt>
                <c:pt idx="52">
                  <c:v>96.9</c:v>
                </c:pt>
                <c:pt idx="53">
                  <c:v>96</c:v>
                </c:pt>
                <c:pt idx="54">
                  <c:v>97.6</c:v>
                </c:pt>
                <c:pt idx="55">
                  <c:v>96.7</c:v>
                </c:pt>
                <c:pt idx="56">
                  <c:v>97</c:v>
                </c:pt>
                <c:pt idx="57">
                  <c:v>96.3</c:v>
                </c:pt>
                <c:pt idx="58">
                  <c:v>96.9</c:v>
                </c:pt>
                <c:pt idx="59">
                  <c:v>96</c:v>
                </c:pt>
                <c:pt idx="60">
                  <c:v>97.3</c:v>
                </c:pt>
                <c:pt idx="61">
                  <c:v>96</c:v>
                </c:pt>
                <c:pt idx="62">
                  <c:v>95.2</c:v>
                </c:pt>
                <c:pt idx="63">
                  <c:v>96.3</c:v>
                </c:pt>
                <c:pt idx="64">
                  <c:v>96.1</c:v>
                </c:pt>
                <c:pt idx="65">
                  <c:v>95.7</c:v>
                </c:pt>
                <c:pt idx="66">
                  <c:v>95.7</c:v>
                </c:pt>
                <c:pt idx="67">
                  <c:v>94.9</c:v>
                </c:pt>
                <c:pt idx="68">
                  <c:v>96.1</c:v>
                </c:pt>
                <c:pt idx="69">
                  <c:v>96.4</c:v>
                </c:pt>
                <c:pt idx="70">
                  <c:v>96.8</c:v>
                </c:pt>
                <c:pt idx="71">
                  <c:v>96.2</c:v>
                </c:pt>
                <c:pt idx="72">
                  <c:v>96.5</c:v>
                </c:pt>
                <c:pt idx="73">
                  <c:v>96.5</c:v>
                </c:pt>
                <c:pt idx="74">
                  <c:v>96.9</c:v>
                </c:pt>
                <c:pt idx="75">
                  <c:v>96.4</c:v>
                </c:pt>
                <c:pt idx="76">
                  <c:v>95.7</c:v>
                </c:pt>
                <c:pt idx="77">
                  <c:v>95.5</c:v>
                </c:pt>
                <c:pt idx="78">
                  <c:v>96.7</c:v>
                </c:pt>
                <c:pt idx="79">
                  <c:v>96</c:v>
                </c:pt>
                <c:pt idx="80">
                  <c:v>97.5</c:v>
                </c:pt>
                <c:pt idx="81">
                  <c:v>96.2</c:v>
                </c:pt>
                <c:pt idx="82">
                  <c:v>96.3</c:v>
                </c:pt>
                <c:pt idx="83">
                  <c:v>96.8</c:v>
                </c:pt>
                <c:pt idx="84">
                  <c:v>96.9</c:v>
                </c:pt>
                <c:pt idx="85">
                  <c:v>96.8</c:v>
                </c:pt>
                <c:pt idx="86">
                  <c:v>96.5</c:v>
                </c:pt>
                <c:pt idx="87">
                  <c:v>96.2</c:v>
                </c:pt>
                <c:pt idx="88">
                  <c:v>96.8</c:v>
                </c:pt>
                <c:pt idx="89">
                  <c:v>95.8</c:v>
                </c:pt>
                <c:pt idx="90">
                  <c:v>95.9</c:v>
                </c:pt>
                <c:pt idx="91">
                  <c:v>95.9</c:v>
                </c:pt>
                <c:pt idx="92">
                  <c:v>98</c:v>
                </c:pt>
                <c:pt idx="93">
                  <c:v>96.4</c:v>
                </c:pt>
                <c:pt idx="94">
                  <c:v>96.8</c:v>
                </c:pt>
                <c:pt idx="95">
                  <c:v>95.7</c:v>
                </c:pt>
                <c:pt idx="96">
                  <c:v>97</c:v>
                </c:pt>
                <c:pt idx="97">
                  <c:v>96.7</c:v>
                </c:pt>
                <c:pt idx="98">
                  <c:v>96</c:v>
                </c:pt>
                <c:pt idx="99">
                  <c:v>96.4</c:v>
                </c:pt>
                <c:pt idx="100">
                  <c:v>96.3</c:v>
                </c:pt>
                <c:pt idx="101">
                  <c:v>96.2</c:v>
                </c:pt>
                <c:pt idx="102">
                  <c:v>96.5</c:v>
                </c:pt>
                <c:pt idx="103">
                  <c:v>97.8</c:v>
                </c:pt>
                <c:pt idx="104">
                  <c:v>96.5</c:v>
                </c:pt>
                <c:pt idx="105">
                  <c:v>96.9</c:v>
                </c:pt>
                <c:pt idx="106">
                  <c:v>96</c:v>
                </c:pt>
                <c:pt idx="107">
                  <c:v>97.8</c:v>
                </c:pt>
                <c:pt idx="108">
                  <c:v>96.7</c:v>
                </c:pt>
                <c:pt idx="109">
                  <c:v>95.7</c:v>
                </c:pt>
                <c:pt idx="110">
                  <c:v>96.4</c:v>
                </c:pt>
                <c:pt idx="111">
                  <c:v>96.4</c:v>
                </c:pt>
                <c:pt idx="112">
                  <c:v>96.1</c:v>
                </c:pt>
                <c:pt idx="113">
                  <c:v>96.6</c:v>
                </c:pt>
                <c:pt idx="114">
                  <c:v>96.4</c:v>
                </c:pt>
                <c:pt idx="115">
                  <c:v>96.8</c:v>
                </c:pt>
                <c:pt idx="116">
                  <c:v>95.7</c:v>
                </c:pt>
                <c:pt idx="117">
                  <c:v>96.1</c:v>
                </c:pt>
                <c:pt idx="118">
                  <c:v>95.7</c:v>
                </c:pt>
                <c:pt idx="119">
                  <c:v>96.6</c:v>
                </c:pt>
                <c:pt idx="120">
                  <c:v>95.8</c:v>
                </c:pt>
                <c:pt idx="121">
                  <c:v>97</c:v>
                </c:pt>
                <c:pt idx="122">
                  <c:v>97.3</c:v>
                </c:pt>
                <c:pt idx="123">
                  <c:v>96.9</c:v>
                </c:pt>
                <c:pt idx="124">
                  <c:v>96.8</c:v>
                </c:pt>
                <c:pt idx="125">
                  <c:v>96.7</c:v>
                </c:pt>
                <c:pt idx="126">
                  <c:v>98.1</c:v>
                </c:pt>
                <c:pt idx="127">
                  <c:v>98.3</c:v>
                </c:pt>
                <c:pt idx="128">
                  <c:v>96.3</c:v>
                </c:pt>
                <c:pt idx="129">
                  <c:v>96.3</c:v>
                </c:pt>
                <c:pt idx="130">
                  <c:v>96.8</c:v>
                </c:pt>
                <c:pt idx="131">
                  <c:v>96.4</c:v>
                </c:pt>
                <c:pt idx="132">
                  <c:v>97.4</c:v>
                </c:pt>
                <c:pt idx="133">
                  <c:v>95.7</c:v>
                </c:pt>
                <c:pt idx="134">
                  <c:v>96.8</c:v>
                </c:pt>
                <c:pt idx="135">
                  <c:v>96.6</c:v>
                </c:pt>
                <c:pt idx="136">
                  <c:v>95.3</c:v>
                </c:pt>
                <c:pt idx="137">
                  <c:v>95.2</c:v>
                </c:pt>
                <c:pt idx="138">
                  <c:v>95.3</c:v>
                </c:pt>
                <c:pt idx="139">
                  <c:v>96.9</c:v>
                </c:pt>
                <c:pt idx="140">
                  <c:v>97.1</c:v>
                </c:pt>
                <c:pt idx="141">
                  <c:v>96.4</c:v>
                </c:pt>
                <c:pt idx="142">
                  <c:v>96.6</c:v>
                </c:pt>
                <c:pt idx="143">
                  <c:v>97</c:v>
                </c:pt>
                <c:pt idx="144">
                  <c:v>96.2</c:v>
                </c:pt>
                <c:pt idx="145">
                  <c:v>96.4</c:v>
                </c:pt>
                <c:pt idx="146">
                  <c:v>96.9</c:v>
                </c:pt>
                <c:pt idx="147">
                  <c:v>96.5</c:v>
                </c:pt>
                <c:pt idx="148">
                  <c:v>96</c:v>
                </c:pt>
                <c:pt idx="149">
                  <c:v>96.9</c:v>
                </c:pt>
                <c:pt idx="150">
                  <c:v>96.5</c:v>
                </c:pt>
                <c:pt idx="151">
                  <c:v>94.2</c:v>
                </c:pt>
                <c:pt idx="152">
                  <c:v>96.7</c:v>
                </c:pt>
                <c:pt idx="153">
                  <c:v>95.3</c:v>
                </c:pt>
                <c:pt idx="154">
                  <c:v>95.8</c:v>
                </c:pt>
                <c:pt idx="155">
                  <c:v>96.9</c:v>
                </c:pt>
                <c:pt idx="156">
                  <c:v>97</c:v>
                </c:pt>
                <c:pt idx="157">
                  <c:v>97.2</c:v>
                </c:pt>
                <c:pt idx="158">
                  <c:v>96.8</c:v>
                </c:pt>
                <c:pt idx="159">
                  <c:v>96.7</c:v>
                </c:pt>
                <c:pt idx="160">
                  <c:v>96.4</c:v>
                </c:pt>
                <c:pt idx="161">
                  <c:v>97.2</c:v>
                </c:pt>
                <c:pt idx="162">
                  <c:v>97.3</c:v>
                </c:pt>
                <c:pt idx="163">
                  <c:v>95.9</c:v>
                </c:pt>
                <c:pt idx="164">
                  <c:v>97.3</c:v>
                </c:pt>
                <c:pt idx="165">
                  <c:v>97.6</c:v>
                </c:pt>
                <c:pt idx="166">
                  <c:v>96.5</c:v>
                </c:pt>
                <c:pt idx="167">
                  <c:v>96</c:v>
                </c:pt>
                <c:pt idx="168">
                  <c:v>100.1</c:v>
                </c:pt>
                <c:pt idx="169">
                  <c:v>97.1</c:v>
                </c:pt>
                <c:pt idx="170">
                  <c:v>96.8</c:v>
                </c:pt>
                <c:pt idx="171">
                  <c:v>97.3</c:v>
                </c:pt>
                <c:pt idx="172">
                  <c:v>96.6</c:v>
                </c:pt>
                <c:pt idx="173">
                  <c:v>97.1</c:v>
                </c:pt>
                <c:pt idx="174">
                  <c:v>96.5</c:v>
                </c:pt>
                <c:pt idx="175">
                  <c:v>97.6</c:v>
                </c:pt>
                <c:pt idx="176">
                  <c:v>96.9</c:v>
                </c:pt>
                <c:pt idx="177">
                  <c:v>96.4</c:v>
                </c:pt>
                <c:pt idx="178">
                  <c:v>96.9</c:v>
                </c:pt>
                <c:pt idx="179">
                  <c:v>96.5</c:v>
                </c:pt>
                <c:pt idx="180">
                  <c:v>97</c:v>
                </c:pt>
                <c:pt idx="181">
                  <c:v>98</c:v>
                </c:pt>
                <c:pt idx="182">
                  <c:v>98.5</c:v>
                </c:pt>
                <c:pt idx="183">
                  <c:v>98</c:v>
                </c:pt>
                <c:pt idx="184">
                  <c:v>97.1</c:v>
                </c:pt>
                <c:pt idx="185">
                  <c:v>96.6</c:v>
                </c:pt>
                <c:pt idx="186">
                  <c:v>96.9</c:v>
                </c:pt>
                <c:pt idx="187">
                  <c:v>97.3</c:v>
                </c:pt>
                <c:pt idx="188">
                  <c:v>96</c:v>
                </c:pt>
                <c:pt idx="189">
                  <c:v>96.3</c:v>
                </c:pt>
                <c:pt idx="190">
                  <c:v>97.2</c:v>
                </c:pt>
                <c:pt idx="191">
                  <c:v>97.1</c:v>
                </c:pt>
                <c:pt idx="192">
                  <c:v>95.8</c:v>
                </c:pt>
                <c:pt idx="193">
                  <c:v>96.7</c:v>
                </c:pt>
                <c:pt idx="194">
                  <c:v>96.6</c:v>
                </c:pt>
                <c:pt idx="195">
                  <c:v>96.3</c:v>
                </c:pt>
                <c:pt idx="196">
                  <c:v>96.3</c:v>
                </c:pt>
                <c:pt idx="197">
                  <c:v>95.4</c:v>
                </c:pt>
                <c:pt idx="198">
                  <c:v>98.1</c:v>
                </c:pt>
                <c:pt idx="199">
                  <c:v>99.3</c:v>
                </c:pt>
                <c:pt idx="200">
                  <c:v>96</c:v>
                </c:pt>
                <c:pt idx="201">
                  <c:v>96.3</c:v>
                </c:pt>
                <c:pt idx="202">
                  <c:v>97.9</c:v>
                </c:pt>
                <c:pt idx="203">
                  <c:v>96.7</c:v>
                </c:pt>
                <c:pt idx="204">
                  <c:v>97.4</c:v>
                </c:pt>
                <c:pt idx="205">
                  <c:v>97.6</c:v>
                </c:pt>
                <c:pt idx="206">
                  <c:v>96.8</c:v>
                </c:pt>
                <c:pt idx="207">
                  <c:v>96.9</c:v>
                </c:pt>
                <c:pt idx="208">
                  <c:v>95.9</c:v>
                </c:pt>
                <c:pt idx="209">
                  <c:v>96</c:v>
                </c:pt>
                <c:pt idx="210">
                  <c:v>96</c:v>
                </c:pt>
                <c:pt idx="211">
                  <c:v>96.2</c:v>
                </c:pt>
                <c:pt idx="212">
                  <c:v>97.8</c:v>
                </c:pt>
                <c:pt idx="213">
                  <c:v>97</c:v>
                </c:pt>
                <c:pt idx="214">
                  <c:v>96.4</c:v>
                </c:pt>
                <c:pt idx="215">
                  <c:v>96.2</c:v>
                </c:pt>
                <c:pt idx="216">
                  <c:v>96.6</c:v>
                </c:pt>
                <c:pt idx="217">
                  <c:v>96.6</c:v>
                </c:pt>
                <c:pt idx="218">
                  <c:v>96.6</c:v>
                </c:pt>
                <c:pt idx="219">
                  <c:v>95.6</c:v>
                </c:pt>
                <c:pt idx="220">
                  <c:v>97.01</c:v>
                </c:pt>
                <c:pt idx="221">
                  <c:v>96.4</c:v>
                </c:pt>
                <c:pt idx="222">
                  <c:v>97.5</c:v>
                </c:pt>
                <c:pt idx="223">
                  <c:v>96.1</c:v>
                </c:pt>
                <c:pt idx="224">
                  <c:v>95.8</c:v>
                </c:pt>
                <c:pt idx="225">
                  <c:v>95.1</c:v>
                </c:pt>
              </c:numCache>
            </c:numRef>
          </c:xVal>
          <c:yVal>
            <c:numRef>
              <c:f>Residuals!$H$2:$H$227</c:f>
              <c:numCache>
                <c:formatCode>0.00</c:formatCode>
                <c:ptCount val="226"/>
                <c:pt idx="0">
                  <c:v>21.103621984694598</c:v>
                </c:pt>
                <c:pt idx="1">
                  <c:v>16.951629213582777</c:v>
                </c:pt>
                <c:pt idx="2">
                  <c:v>16.599636442470967</c:v>
                </c:pt>
                <c:pt idx="3">
                  <c:v>17.03644800869202</c:v>
                </c:pt>
                <c:pt idx="4">
                  <c:v>13.695650900247301</c:v>
                </c:pt>
                <c:pt idx="5">
                  <c:v>13.822027767805139</c:v>
                </c:pt>
                <c:pt idx="6">
                  <c:v>13.810832105138047</c:v>
                </c:pt>
                <c:pt idx="7">
                  <c:v>13.810832105138047</c:v>
                </c:pt>
                <c:pt idx="8">
                  <c:v>13.495650900247256</c:v>
                </c:pt>
                <c:pt idx="9">
                  <c:v>17.399636442470978</c:v>
                </c:pt>
                <c:pt idx="10">
                  <c:v>15.388440779803858</c:v>
                </c:pt>
                <c:pt idx="11">
                  <c:v>13.551629213582743</c:v>
                </c:pt>
                <c:pt idx="12">
                  <c:v>11.470034996693329</c:v>
                </c:pt>
                <c:pt idx="13">
                  <c:v>14.681230659360438</c:v>
                </c:pt>
                <c:pt idx="14">
                  <c:v>12.610832105138059</c:v>
                </c:pt>
                <c:pt idx="15">
                  <c:v>13.244419093139356</c:v>
                </c:pt>
                <c:pt idx="16">
                  <c:v>9.5996364424709668</c:v>
                </c:pt>
                <c:pt idx="17">
                  <c:v>9.4700349966933288</c:v>
                </c:pt>
                <c:pt idx="18">
                  <c:v>8.1404335509156454</c:v>
                </c:pt>
                <c:pt idx="19">
                  <c:v>7.6588393340261973</c:v>
                </c:pt>
                <c:pt idx="20">
                  <c:v>6.7404335509156681</c:v>
                </c:pt>
                <c:pt idx="21">
                  <c:v>7.0220277678051275</c:v>
                </c:pt>
                <c:pt idx="22">
                  <c:v>4.388440779803858</c:v>
                </c:pt>
                <c:pt idx="23">
                  <c:v>5.2108321051380244</c:v>
                </c:pt>
                <c:pt idx="24">
                  <c:v>4.5036219846945755</c:v>
                </c:pt>
                <c:pt idx="25">
                  <c:v>2.1516292135827655</c:v>
                </c:pt>
                <c:pt idx="26">
                  <c:v>4.3180422255815074</c:v>
                </c:pt>
                <c:pt idx="27">
                  <c:v>4.7404335509156681</c:v>
                </c:pt>
                <c:pt idx="28">
                  <c:v>4.0812306593604148</c:v>
                </c:pt>
                <c:pt idx="29">
                  <c:v>3.4220277678051048</c:v>
                </c:pt>
                <c:pt idx="30">
                  <c:v>2.7292378882485764</c:v>
                </c:pt>
                <c:pt idx="31">
                  <c:v>1.0108321051380358</c:v>
                </c:pt>
                <c:pt idx="32">
                  <c:v>0.79963644247095544</c:v>
                </c:pt>
                <c:pt idx="33">
                  <c:v>-0.48195777441850396</c:v>
                </c:pt>
                <c:pt idx="34">
                  <c:v>0.7516292135827598</c:v>
                </c:pt>
                <c:pt idx="35">
                  <c:v>0.7516292135827598</c:v>
                </c:pt>
                <c:pt idx="36">
                  <c:v>-1.9779722321948725</c:v>
                </c:pt>
                <c:pt idx="37">
                  <c:v>-2.1187693406395738</c:v>
                </c:pt>
                <c:pt idx="38">
                  <c:v>1.518042225581496</c:v>
                </c:pt>
                <c:pt idx="39">
                  <c:v>5.7884407798038353</c:v>
                </c:pt>
                <c:pt idx="40">
                  <c:v>5.7996364424709554</c:v>
                </c:pt>
                <c:pt idx="41">
                  <c:v>3.6108321051380585</c:v>
                </c:pt>
                <c:pt idx="42">
                  <c:v>2.1660494544696576</c:v>
                </c:pt>
                <c:pt idx="43">
                  <c:v>5.2924263220274952</c:v>
                </c:pt>
                <c:pt idx="44">
                  <c:v>4.5628248762498629</c:v>
                </c:pt>
                <c:pt idx="45">
                  <c:v>5.5996364424709668</c:v>
                </c:pt>
                <c:pt idx="46">
                  <c:v>6.388440779803858</c:v>
                </c:pt>
                <c:pt idx="47">
                  <c:v>2.7404335509156681</c:v>
                </c:pt>
                <c:pt idx="48">
                  <c:v>0.81083210513804715</c:v>
                </c:pt>
                <c:pt idx="49">
                  <c:v>-0.77797223219488387</c:v>
                </c:pt>
                <c:pt idx="50">
                  <c:v>-1.7075736779725048</c:v>
                </c:pt>
                <c:pt idx="51">
                  <c:v>-2.0371751237501314</c:v>
                </c:pt>
                <c:pt idx="52">
                  <c:v>-0.94116066597379699</c:v>
                </c:pt>
                <c:pt idx="53">
                  <c:v>-1.9075736779724934</c:v>
                </c:pt>
                <c:pt idx="54">
                  <c:v>-2.6339505455303538</c:v>
                </c:pt>
                <c:pt idx="55">
                  <c:v>-3.6003635575290502</c:v>
                </c:pt>
                <c:pt idx="56">
                  <c:v>-4.0115592201961476</c:v>
                </c:pt>
                <c:pt idx="57">
                  <c:v>-4.9187693406395852</c:v>
                </c:pt>
                <c:pt idx="58">
                  <c:v>-5.7411606659738084</c:v>
                </c:pt>
                <c:pt idx="59">
                  <c:v>-5.5075736779725162</c:v>
                </c:pt>
                <c:pt idx="60">
                  <c:v>-7.2227548828632564</c:v>
                </c:pt>
                <c:pt idx="61">
                  <c:v>-7.1075736779725105</c:v>
                </c:pt>
                <c:pt idx="62">
                  <c:v>-7.5443852441935917</c:v>
                </c:pt>
                <c:pt idx="63">
                  <c:v>-8.3187693406395908</c:v>
                </c:pt>
                <c:pt idx="64">
                  <c:v>-7.7779722321948839</c:v>
                </c:pt>
                <c:pt idx="65">
                  <c:v>-3.6963780153054131</c:v>
                </c:pt>
                <c:pt idx="66">
                  <c:v>-5.4963780153054245</c:v>
                </c:pt>
                <c:pt idx="67">
                  <c:v>-5.1331895815264659</c:v>
                </c:pt>
                <c:pt idx="68">
                  <c:v>-2.3779722321948782</c:v>
                </c:pt>
                <c:pt idx="69">
                  <c:v>-5.3891678948619699</c:v>
                </c:pt>
                <c:pt idx="70">
                  <c:v>-7.8707621117514179</c:v>
                </c:pt>
                <c:pt idx="71">
                  <c:v>-9.0483707864172231</c:v>
                </c:pt>
                <c:pt idx="72">
                  <c:v>-3.0595664490843433</c:v>
                </c:pt>
                <c:pt idx="73">
                  <c:v>-3.0595664490843433</c:v>
                </c:pt>
                <c:pt idx="74">
                  <c:v>-1.941160665973797</c:v>
                </c:pt>
                <c:pt idx="75">
                  <c:v>-5.3891678948619699</c:v>
                </c:pt>
                <c:pt idx="76">
                  <c:v>-5.6963780153054131</c:v>
                </c:pt>
                <c:pt idx="77">
                  <c:v>-6.3555809068606663</c:v>
                </c:pt>
                <c:pt idx="78">
                  <c:v>-8.6003635575290502</c:v>
                </c:pt>
                <c:pt idx="79">
                  <c:v>-3.9075736779724934</c:v>
                </c:pt>
                <c:pt idx="80">
                  <c:v>-3.9635519913079804</c:v>
                </c:pt>
                <c:pt idx="81">
                  <c:v>-2.2483707864172402</c:v>
                </c:pt>
                <c:pt idx="82">
                  <c:v>-5.7187693406395965</c:v>
                </c:pt>
                <c:pt idx="83">
                  <c:v>-6.6707621117514293</c:v>
                </c:pt>
                <c:pt idx="84">
                  <c:v>-5.3411606659738027</c:v>
                </c:pt>
                <c:pt idx="85">
                  <c:v>-4.2707621117514236</c:v>
                </c:pt>
                <c:pt idx="86">
                  <c:v>-0.25956644908433191</c:v>
                </c:pt>
                <c:pt idx="87">
                  <c:v>3.1516292135827655</c:v>
                </c:pt>
                <c:pt idx="88">
                  <c:v>-0.87076211175141793</c:v>
                </c:pt>
                <c:pt idx="89">
                  <c:v>-1.5667765695277467</c:v>
                </c:pt>
                <c:pt idx="90">
                  <c:v>-0.23717512375012006</c:v>
                </c:pt>
                <c:pt idx="91">
                  <c:v>-2.2371751237501201</c:v>
                </c:pt>
                <c:pt idx="92">
                  <c:v>-0.31554476241979046</c:v>
                </c:pt>
                <c:pt idx="93">
                  <c:v>0.6108321051380301</c:v>
                </c:pt>
                <c:pt idx="94">
                  <c:v>-1.8707621117514179</c:v>
                </c:pt>
                <c:pt idx="95">
                  <c:v>-1.0963780153054188</c:v>
                </c:pt>
                <c:pt idx="96">
                  <c:v>-2.0115592201961476</c:v>
                </c:pt>
                <c:pt idx="97">
                  <c:v>-4.8003635575290389</c:v>
                </c:pt>
                <c:pt idx="98">
                  <c:v>-4.7075736779725048</c:v>
                </c:pt>
                <c:pt idx="99">
                  <c:v>-3.5891678948619585</c:v>
                </c:pt>
                <c:pt idx="100">
                  <c:v>-4.1187693406395738</c:v>
                </c:pt>
                <c:pt idx="101">
                  <c:v>-2.6483707864172459</c:v>
                </c:pt>
                <c:pt idx="102">
                  <c:v>2.7404335509156681</c:v>
                </c:pt>
                <c:pt idx="103">
                  <c:v>2.2252523460248881</c:v>
                </c:pt>
                <c:pt idx="104">
                  <c:v>1.5404335509156795</c:v>
                </c:pt>
                <c:pt idx="105">
                  <c:v>0.25883933402619164</c:v>
                </c:pt>
                <c:pt idx="106">
                  <c:v>0.69242632202750087</c:v>
                </c:pt>
                <c:pt idx="107">
                  <c:v>-4.5747476539750949</c:v>
                </c:pt>
                <c:pt idx="108">
                  <c:v>-4.8003635575290389</c:v>
                </c:pt>
                <c:pt idx="109">
                  <c:v>-3.6963780153054131</c:v>
                </c:pt>
                <c:pt idx="110">
                  <c:v>-5.7891678948619756</c:v>
                </c:pt>
                <c:pt idx="111">
                  <c:v>-4.5891678948619585</c:v>
                </c:pt>
                <c:pt idx="112">
                  <c:v>-2.9779722321948725</c:v>
                </c:pt>
                <c:pt idx="113">
                  <c:v>-7.1299650033066939</c:v>
                </c:pt>
                <c:pt idx="114">
                  <c:v>-6.5891678948619585</c:v>
                </c:pt>
                <c:pt idx="115">
                  <c:v>-8.2707621117514236</c:v>
                </c:pt>
                <c:pt idx="116">
                  <c:v>-7.6963780153054131</c:v>
                </c:pt>
                <c:pt idx="117">
                  <c:v>-9.9779722321948725</c:v>
                </c:pt>
                <c:pt idx="118">
                  <c:v>-10.096378015305419</c:v>
                </c:pt>
                <c:pt idx="119">
                  <c:v>-10.929965003306705</c:v>
                </c:pt>
                <c:pt idx="120">
                  <c:v>-9.5667765695277467</c:v>
                </c:pt>
                <c:pt idx="121">
                  <c:v>-8.4115592201961533</c:v>
                </c:pt>
                <c:pt idx="122">
                  <c:v>-6.0227548828632678</c:v>
                </c:pt>
                <c:pt idx="123">
                  <c:v>-4.941160665973797</c:v>
                </c:pt>
                <c:pt idx="124">
                  <c:v>-2.8707621117514179</c:v>
                </c:pt>
                <c:pt idx="125">
                  <c:v>-4.6003635575290502</c:v>
                </c:pt>
                <c:pt idx="126">
                  <c:v>-3.5859433166421866</c:v>
                </c:pt>
                <c:pt idx="127">
                  <c:v>-2.7267404250868879</c:v>
                </c:pt>
                <c:pt idx="128">
                  <c:v>-1.9187693406395852</c:v>
                </c:pt>
                <c:pt idx="129">
                  <c:v>2.2812306593604035</c:v>
                </c:pt>
                <c:pt idx="130">
                  <c:v>-0.6707621117514293</c:v>
                </c:pt>
                <c:pt idx="131">
                  <c:v>0.21083210513802442</c:v>
                </c:pt>
                <c:pt idx="132">
                  <c:v>-0.89315343708562978</c:v>
                </c:pt>
                <c:pt idx="133">
                  <c:v>1.3036219846945869</c:v>
                </c:pt>
                <c:pt idx="134">
                  <c:v>1.929237888248565</c:v>
                </c:pt>
                <c:pt idx="135">
                  <c:v>2.8700349966933061</c:v>
                </c:pt>
                <c:pt idx="136">
                  <c:v>-2.4147837984159253</c:v>
                </c:pt>
                <c:pt idx="137">
                  <c:v>-3.7443852441935803</c:v>
                </c:pt>
                <c:pt idx="138">
                  <c:v>-3.2147837984159366</c:v>
                </c:pt>
                <c:pt idx="139">
                  <c:v>-6.141160665973814</c:v>
                </c:pt>
                <c:pt idx="140">
                  <c:v>-7.481957774418504</c:v>
                </c:pt>
                <c:pt idx="141">
                  <c:v>-4.7891678948619756</c:v>
                </c:pt>
                <c:pt idx="142">
                  <c:v>-2.1299650033066939</c:v>
                </c:pt>
                <c:pt idx="143">
                  <c:v>-4.611559220196142</c:v>
                </c:pt>
                <c:pt idx="144">
                  <c:v>-2.0483707864172231</c:v>
                </c:pt>
                <c:pt idx="145">
                  <c:v>-3.9891678948619642</c:v>
                </c:pt>
                <c:pt idx="146">
                  <c:v>-5.941160665973797</c:v>
                </c:pt>
                <c:pt idx="147">
                  <c:v>-1.459566449084349</c:v>
                </c:pt>
                <c:pt idx="148">
                  <c:v>-0.1075736779725105</c:v>
                </c:pt>
                <c:pt idx="149">
                  <c:v>-2.3411606659738027</c:v>
                </c:pt>
                <c:pt idx="150">
                  <c:v>-1.0595664490843433</c:v>
                </c:pt>
                <c:pt idx="151">
                  <c:v>-0.44039970196990907</c:v>
                </c:pt>
                <c:pt idx="152">
                  <c:v>-3.4003635575290332</c:v>
                </c:pt>
                <c:pt idx="153">
                  <c:v>-2.814783798415931</c:v>
                </c:pt>
                <c:pt idx="154">
                  <c:v>-5.3667765695277581</c:v>
                </c:pt>
                <c:pt idx="155">
                  <c:v>-2.5411606659737913</c:v>
                </c:pt>
                <c:pt idx="156">
                  <c:v>-2.4115592201961533</c:v>
                </c:pt>
                <c:pt idx="157">
                  <c:v>3.447643671359117</c:v>
                </c:pt>
                <c:pt idx="158">
                  <c:v>-0.47076211175141225</c:v>
                </c:pt>
                <c:pt idx="159">
                  <c:v>-2.4003635575290332</c:v>
                </c:pt>
                <c:pt idx="160">
                  <c:v>-3.1891678948619528</c:v>
                </c:pt>
                <c:pt idx="161">
                  <c:v>-0.75235632864087165</c:v>
                </c:pt>
                <c:pt idx="162">
                  <c:v>-0.62275488286326208</c:v>
                </c:pt>
                <c:pt idx="163">
                  <c:v>0.16282487624988562</c:v>
                </c:pt>
                <c:pt idx="164">
                  <c:v>-3.8227548828632507</c:v>
                </c:pt>
                <c:pt idx="165">
                  <c:v>1.5660494544696348</c:v>
                </c:pt>
                <c:pt idx="166">
                  <c:v>0.74043355091566809</c:v>
                </c:pt>
                <c:pt idx="167">
                  <c:v>-2.9075736779724934</c:v>
                </c:pt>
                <c:pt idx="168">
                  <c:v>-9.9939144010894836</c:v>
                </c:pt>
                <c:pt idx="169">
                  <c:v>-6.6819577744184926</c:v>
                </c:pt>
                <c:pt idx="170">
                  <c:v>-5.4707621117514122</c:v>
                </c:pt>
                <c:pt idx="171">
                  <c:v>-5.0227548828632678</c:v>
                </c:pt>
                <c:pt idx="172">
                  <c:v>-3.1299650033066939</c:v>
                </c:pt>
                <c:pt idx="173">
                  <c:v>0.11804222558149036</c:v>
                </c:pt>
                <c:pt idx="174">
                  <c:v>-2.459566449084349</c:v>
                </c:pt>
                <c:pt idx="175">
                  <c:v>-3.4339505455303367</c:v>
                </c:pt>
                <c:pt idx="176">
                  <c:v>-4.3411606659738027</c:v>
                </c:pt>
                <c:pt idx="177">
                  <c:v>-3.7891678948619756</c:v>
                </c:pt>
                <c:pt idx="178">
                  <c:v>-2.941160665973797</c:v>
                </c:pt>
                <c:pt idx="179">
                  <c:v>-1.0595664490843433</c:v>
                </c:pt>
                <c:pt idx="180">
                  <c:v>-1.611559220196142</c:v>
                </c:pt>
                <c:pt idx="181">
                  <c:v>-1.3155447624197905</c:v>
                </c:pt>
                <c:pt idx="182">
                  <c:v>-2.6675375335316289</c:v>
                </c:pt>
                <c:pt idx="183">
                  <c:v>-3.1155447624198018</c:v>
                </c:pt>
                <c:pt idx="184">
                  <c:v>-3.0819577744184983</c:v>
                </c:pt>
                <c:pt idx="185">
                  <c:v>-1.1299650033066939</c:v>
                </c:pt>
                <c:pt idx="186">
                  <c:v>-2.941160665973797</c:v>
                </c:pt>
                <c:pt idx="187">
                  <c:v>-3.6227548828632621</c:v>
                </c:pt>
                <c:pt idx="188">
                  <c:v>-1.7075736779725048</c:v>
                </c:pt>
                <c:pt idx="189">
                  <c:v>-2.5187693406395795</c:v>
                </c:pt>
                <c:pt idx="190">
                  <c:v>-3.3523563286408944</c:v>
                </c:pt>
                <c:pt idx="191">
                  <c:v>-2.8819577744185096</c:v>
                </c:pt>
                <c:pt idx="192">
                  <c:v>-0.56677656952774669</c:v>
                </c:pt>
                <c:pt idx="193">
                  <c:v>-0.20036355752904456</c:v>
                </c:pt>
                <c:pt idx="194">
                  <c:v>3.0700349966932947</c:v>
                </c:pt>
                <c:pt idx="195">
                  <c:v>0.48123065936042053</c:v>
                </c:pt>
                <c:pt idx="196">
                  <c:v>-2.9187693406395852</c:v>
                </c:pt>
                <c:pt idx="197">
                  <c:v>-0.28518235263831571</c:v>
                </c:pt>
                <c:pt idx="198">
                  <c:v>-1.1859433166421809</c:v>
                </c:pt>
                <c:pt idx="199">
                  <c:v>-3.0307259673105591</c:v>
                </c:pt>
                <c:pt idx="200">
                  <c:v>3.0924263220275066</c:v>
                </c:pt>
                <c:pt idx="201">
                  <c:v>1.2812306593604035</c:v>
                </c:pt>
                <c:pt idx="202">
                  <c:v>3.9548537918025204</c:v>
                </c:pt>
                <c:pt idx="203">
                  <c:v>6.5996364424709668</c:v>
                </c:pt>
                <c:pt idx="204">
                  <c:v>4.3068465629143589</c:v>
                </c:pt>
                <c:pt idx="205">
                  <c:v>6.5660494544696348</c:v>
                </c:pt>
                <c:pt idx="206">
                  <c:v>9.929237888248565</c:v>
                </c:pt>
                <c:pt idx="207">
                  <c:v>6.2588393340262201</c:v>
                </c:pt>
                <c:pt idx="208">
                  <c:v>2.5628248762498629</c:v>
                </c:pt>
                <c:pt idx="209">
                  <c:v>2.8924263220275179</c:v>
                </c:pt>
                <c:pt idx="210">
                  <c:v>6.0924263220275066</c:v>
                </c:pt>
                <c:pt idx="211">
                  <c:v>6.3516292135827541</c:v>
                </c:pt>
                <c:pt idx="212">
                  <c:v>5.6252523460249222</c:v>
                </c:pt>
                <c:pt idx="213">
                  <c:v>7.9884407798038239</c:v>
                </c:pt>
                <c:pt idx="214">
                  <c:v>1.2108321051380244</c:v>
                </c:pt>
                <c:pt idx="215">
                  <c:v>1.9516292135827769</c:v>
                </c:pt>
                <c:pt idx="216">
                  <c:v>2.8700349966933061</c:v>
                </c:pt>
                <c:pt idx="217">
                  <c:v>3.6700349966933175</c:v>
                </c:pt>
                <c:pt idx="218">
                  <c:v>3.6700349966933175</c:v>
                </c:pt>
                <c:pt idx="219">
                  <c:v>6.5740205389169546</c:v>
                </c:pt>
                <c:pt idx="220">
                  <c:v>5.781400924381586</c:v>
                </c:pt>
                <c:pt idx="221">
                  <c:v>6.0108321051380358</c:v>
                </c:pt>
                <c:pt idx="222">
                  <c:v>3.2364480086920082</c:v>
                </c:pt>
                <c:pt idx="223">
                  <c:v>3.8220277678051389</c:v>
                </c:pt>
                <c:pt idx="224">
                  <c:v>1.2332234304722647</c:v>
                </c:pt>
                <c:pt idx="225">
                  <c:v>0.92601331002879306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D9-4C9B-8DB8-A96DB745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2751"/>
        <c:axId val="2117250351"/>
      </c:scatterChart>
      <c:valAx>
        <c:axId val="21172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0351"/>
        <c:crosses val="autoZero"/>
        <c:crossBetween val="midCat"/>
      </c:valAx>
      <c:valAx>
        <c:axId val="21172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Log'!$F$2:$F$227</c:f>
              <c:numCache>
                <c:formatCode>0.00</c:formatCode>
                <c:ptCount val="226"/>
                <c:pt idx="0">
                  <c:v>113</c:v>
                </c:pt>
                <c:pt idx="1">
                  <c:v>114</c:v>
                </c:pt>
                <c:pt idx="2">
                  <c:v>136</c:v>
                </c:pt>
                <c:pt idx="3">
                  <c:v>131</c:v>
                </c:pt>
                <c:pt idx="4">
                  <c:v>123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120</c:v>
                </c:pt>
                <c:pt idx="9">
                  <c:v>119</c:v>
                </c:pt>
                <c:pt idx="10">
                  <c:v>136</c:v>
                </c:pt>
                <c:pt idx="11">
                  <c:v>128</c:v>
                </c:pt>
                <c:pt idx="12">
                  <c:v>127</c:v>
                </c:pt>
                <c:pt idx="13">
                  <c:v>115</c:v>
                </c:pt>
                <c:pt idx="14">
                  <c:v>127</c:v>
                </c:pt>
                <c:pt idx="15">
                  <c:v>131</c:v>
                </c:pt>
                <c:pt idx="16">
                  <c:v>134</c:v>
                </c:pt>
                <c:pt idx="17">
                  <c:v>121</c:v>
                </c:pt>
                <c:pt idx="18">
                  <c:v>132</c:v>
                </c:pt>
                <c:pt idx="19">
                  <c:v>136</c:v>
                </c:pt>
                <c:pt idx="20">
                  <c:v>128</c:v>
                </c:pt>
                <c:pt idx="21">
                  <c:v>136</c:v>
                </c:pt>
                <c:pt idx="22">
                  <c:v>137</c:v>
                </c:pt>
                <c:pt idx="23">
                  <c:v>136</c:v>
                </c:pt>
                <c:pt idx="24">
                  <c:v>113</c:v>
                </c:pt>
                <c:pt idx="25">
                  <c:v>113</c:v>
                </c:pt>
                <c:pt idx="26">
                  <c:v>148</c:v>
                </c:pt>
                <c:pt idx="27">
                  <c:v>138</c:v>
                </c:pt>
                <c:pt idx="28">
                  <c:v>112</c:v>
                </c:pt>
                <c:pt idx="29">
                  <c:v>134</c:v>
                </c:pt>
                <c:pt idx="30">
                  <c:v>128</c:v>
                </c:pt>
                <c:pt idx="31">
                  <c:v>120</c:v>
                </c:pt>
                <c:pt idx="32">
                  <c:v>128</c:v>
                </c:pt>
                <c:pt idx="33">
                  <c:v>124</c:v>
                </c:pt>
                <c:pt idx="34">
                  <c:v>137</c:v>
                </c:pt>
                <c:pt idx="35">
                  <c:v>141</c:v>
                </c:pt>
                <c:pt idx="36">
                  <c:v>128</c:v>
                </c:pt>
                <c:pt idx="37">
                  <c:v>126</c:v>
                </c:pt>
                <c:pt idx="38">
                  <c:v>140</c:v>
                </c:pt>
                <c:pt idx="39">
                  <c:v>149</c:v>
                </c:pt>
                <c:pt idx="40">
                  <c:v>143</c:v>
                </c:pt>
                <c:pt idx="41">
                  <c:v>133</c:v>
                </c:pt>
                <c:pt idx="42">
                  <c:v>141</c:v>
                </c:pt>
                <c:pt idx="43">
                  <c:v>143</c:v>
                </c:pt>
                <c:pt idx="44">
                  <c:v>141</c:v>
                </c:pt>
                <c:pt idx="45">
                  <c:v>134</c:v>
                </c:pt>
                <c:pt idx="46">
                  <c:v>111</c:v>
                </c:pt>
                <c:pt idx="47">
                  <c:v>132</c:v>
                </c:pt>
                <c:pt idx="48">
                  <c:v>133</c:v>
                </c:pt>
                <c:pt idx="49">
                  <c:v>138</c:v>
                </c:pt>
                <c:pt idx="50">
                  <c:v>138</c:v>
                </c:pt>
                <c:pt idx="51">
                  <c:v>136</c:v>
                </c:pt>
                <c:pt idx="52">
                  <c:v>108</c:v>
                </c:pt>
                <c:pt idx="53">
                  <c:v>142</c:v>
                </c:pt>
                <c:pt idx="54">
                  <c:v>128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146</c:v>
                </c:pt>
                <c:pt idx="59">
                  <c:v>131</c:v>
                </c:pt>
                <c:pt idx="60">
                  <c:v>144</c:v>
                </c:pt>
                <c:pt idx="61">
                  <c:v>147</c:v>
                </c:pt>
                <c:pt idx="62">
                  <c:v>140</c:v>
                </c:pt>
                <c:pt idx="63">
                  <c:v>134</c:v>
                </c:pt>
                <c:pt idx="64">
                  <c:v>128</c:v>
                </c:pt>
                <c:pt idx="65">
                  <c:v>146</c:v>
                </c:pt>
                <c:pt idx="66">
                  <c:v>124</c:v>
                </c:pt>
                <c:pt idx="67">
                  <c:v>128</c:v>
                </c:pt>
                <c:pt idx="68">
                  <c:v>123</c:v>
                </c:pt>
                <c:pt idx="69">
                  <c:v>141</c:v>
                </c:pt>
                <c:pt idx="70">
                  <c:v>143</c:v>
                </c:pt>
                <c:pt idx="71">
                  <c:v>128</c:v>
                </c:pt>
                <c:pt idx="72">
                  <c:v>131</c:v>
                </c:pt>
                <c:pt idx="73">
                  <c:v>132</c:v>
                </c:pt>
                <c:pt idx="74">
                  <c:v>137</c:v>
                </c:pt>
                <c:pt idx="75">
                  <c:v>133</c:v>
                </c:pt>
                <c:pt idx="76">
                  <c:v>133</c:v>
                </c:pt>
                <c:pt idx="77">
                  <c:v>128</c:v>
                </c:pt>
                <c:pt idx="78">
                  <c:v>142</c:v>
                </c:pt>
                <c:pt idx="79">
                  <c:v>112</c:v>
                </c:pt>
                <c:pt idx="80">
                  <c:v>127</c:v>
                </c:pt>
                <c:pt idx="81">
                  <c:v>141</c:v>
                </c:pt>
                <c:pt idx="82">
                  <c:v>124</c:v>
                </c:pt>
                <c:pt idx="83">
                  <c:v>136</c:v>
                </c:pt>
                <c:pt idx="84">
                  <c:v>131</c:v>
                </c:pt>
                <c:pt idx="85">
                  <c:v>136</c:v>
                </c:pt>
                <c:pt idx="86">
                  <c:v>131</c:v>
                </c:pt>
                <c:pt idx="87">
                  <c:v>130</c:v>
                </c:pt>
                <c:pt idx="88">
                  <c:v>132</c:v>
                </c:pt>
                <c:pt idx="89">
                  <c:v>141</c:v>
                </c:pt>
                <c:pt idx="90">
                  <c:v>140</c:v>
                </c:pt>
                <c:pt idx="91">
                  <c:v>135</c:v>
                </c:pt>
                <c:pt idx="92">
                  <c:v>159</c:v>
                </c:pt>
                <c:pt idx="93">
                  <c:v>132</c:v>
                </c:pt>
                <c:pt idx="94">
                  <c:v>114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141</c:v>
                </c:pt>
                <c:pt idx="99">
                  <c:v>145</c:v>
                </c:pt>
                <c:pt idx="100">
                  <c:v>111</c:v>
                </c:pt>
                <c:pt idx="101">
                  <c:v>128</c:v>
                </c:pt>
                <c:pt idx="102">
                  <c:v>132</c:v>
                </c:pt>
                <c:pt idx="103">
                  <c:v>140</c:v>
                </c:pt>
                <c:pt idx="104">
                  <c:v>132</c:v>
                </c:pt>
                <c:pt idx="105">
                  <c:v>136</c:v>
                </c:pt>
                <c:pt idx="106">
                  <c:v>121</c:v>
                </c:pt>
                <c:pt idx="107">
                  <c:v>135</c:v>
                </c:pt>
                <c:pt idx="108">
                  <c:v>135</c:v>
                </c:pt>
                <c:pt idx="109">
                  <c:v>138</c:v>
                </c:pt>
                <c:pt idx="110">
                  <c:v>142</c:v>
                </c:pt>
                <c:pt idx="111">
                  <c:v>116</c:v>
                </c:pt>
                <c:pt idx="112">
                  <c:v>128</c:v>
                </c:pt>
                <c:pt idx="113">
                  <c:v>140</c:v>
                </c:pt>
                <c:pt idx="114">
                  <c:v>133</c:v>
                </c:pt>
                <c:pt idx="115">
                  <c:v>116</c:v>
                </c:pt>
                <c:pt idx="116">
                  <c:v>128</c:v>
                </c:pt>
                <c:pt idx="117">
                  <c:v>128</c:v>
                </c:pt>
                <c:pt idx="118">
                  <c:v>121</c:v>
                </c:pt>
                <c:pt idx="119">
                  <c:v>131</c:v>
                </c:pt>
                <c:pt idx="120">
                  <c:v>116</c:v>
                </c:pt>
                <c:pt idx="121">
                  <c:v>136</c:v>
                </c:pt>
                <c:pt idx="122">
                  <c:v>145</c:v>
                </c:pt>
                <c:pt idx="123">
                  <c:v>112</c:v>
                </c:pt>
                <c:pt idx="124">
                  <c:v>134</c:v>
                </c:pt>
                <c:pt idx="125">
                  <c:v>142</c:v>
                </c:pt>
                <c:pt idx="126">
                  <c:v>133</c:v>
                </c:pt>
                <c:pt idx="127">
                  <c:v>160</c:v>
                </c:pt>
                <c:pt idx="128">
                  <c:v>123</c:v>
                </c:pt>
                <c:pt idx="129">
                  <c:v>130</c:v>
                </c:pt>
                <c:pt idx="130">
                  <c:v>137</c:v>
                </c:pt>
                <c:pt idx="131">
                  <c:v>136</c:v>
                </c:pt>
                <c:pt idx="132">
                  <c:v>124</c:v>
                </c:pt>
                <c:pt idx="133">
                  <c:v>122</c:v>
                </c:pt>
                <c:pt idx="134">
                  <c:v>124</c:v>
                </c:pt>
                <c:pt idx="135">
                  <c:v>139</c:v>
                </c:pt>
                <c:pt idx="136">
                  <c:v>123</c:v>
                </c:pt>
                <c:pt idx="137">
                  <c:v>127</c:v>
                </c:pt>
                <c:pt idx="138">
                  <c:v>132</c:v>
                </c:pt>
                <c:pt idx="139">
                  <c:v>140</c:v>
                </c:pt>
                <c:pt idx="140">
                  <c:v>123</c:v>
                </c:pt>
                <c:pt idx="141">
                  <c:v>129</c:v>
                </c:pt>
                <c:pt idx="142">
                  <c:v>133</c:v>
                </c:pt>
                <c:pt idx="143">
                  <c:v>116</c:v>
                </c:pt>
                <c:pt idx="144">
                  <c:v>128</c:v>
                </c:pt>
                <c:pt idx="145">
                  <c:v>140</c:v>
                </c:pt>
                <c:pt idx="146">
                  <c:v>138</c:v>
                </c:pt>
                <c:pt idx="147">
                  <c:v>126</c:v>
                </c:pt>
                <c:pt idx="148">
                  <c:v>119</c:v>
                </c:pt>
                <c:pt idx="149">
                  <c:v>132</c:v>
                </c:pt>
                <c:pt idx="150">
                  <c:v>138</c:v>
                </c:pt>
                <c:pt idx="151">
                  <c:v>124</c:v>
                </c:pt>
                <c:pt idx="152">
                  <c:v>124</c:v>
                </c:pt>
                <c:pt idx="153">
                  <c:v>122</c:v>
                </c:pt>
                <c:pt idx="154">
                  <c:v>123</c:v>
                </c:pt>
                <c:pt idx="155">
                  <c:v>124</c:v>
                </c:pt>
                <c:pt idx="156">
                  <c:v>140</c:v>
                </c:pt>
                <c:pt idx="157">
                  <c:v>140</c:v>
                </c:pt>
                <c:pt idx="158">
                  <c:v>129</c:v>
                </c:pt>
                <c:pt idx="159">
                  <c:v>124</c:v>
                </c:pt>
                <c:pt idx="160">
                  <c:v>123</c:v>
                </c:pt>
                <c:pt idx="161">
                  <c:v>144</c:v>
                </c:pt>
                <c:pt idx="162">
                  <c:v>133</c:v>
                </c:pt>
                <c:pt idx="163">
                  <c:v>127</c:v>
                </c:pt>
                <c:pt idx="164">
                  <c:v>134</c:v>
                </c:pt>
                <c:pt idx="165">
                  <c:v>124</c:v>
                </c:pt>
                <c:pt idx="166">
                  <c:v>131</c:v>
                </c:pt>
                <c:pt idx="167">
                  <c:v>140</c:v>
                </c:pt>
                <c:pt idx="168">
                  <c:v>142</c:v>
                </c:pt>
                <c:pt idx="169">
                  <c:v>127</c:v>
                </c:pt>
                <c:pt idx="170">
                  <c:v>140</c:v>
                </c:pt>
                <c:pt idx="171">
                  <c:v>136</c:v>
                </c:pt>
                <c:pt idx="172">
                  <c:v>128</c:v>
                </c:pt>
                <c:pt idx="173">
                  <c:v>133</c:v>
                </c:pt>
                <c:pt idx="174">
                  <c:v>132</c:v>
                </c:pt>
                <c:pt idx="175">
                  <c:v>148</c:v>
                </c:pt>
                <c:pt idx="176">
                  <c:v>136</c:v>
                </c:pt>
                <c:pt idx="177">
                  <c:v>117</c:v>
                </c:pt>
                <c:pt idx="178">
                  <c:v>141</c:v>
                </c:pt>
                <c:pt idx="179">
                  <c:v>142</c:v>
                </c:pt>
                <c:pt idx="180">
                  <c:v>129</c:v>
                </c:pt>
                <c:pt idx="181">
                  <c:v>125</c:v>
                </c:pt>
                <c:pt idx="182">
                  <c:v>134</c:v>
                </c:pt>
                <c:pt idx="183">
                  <c:v>119</c:v>
                </c:pt>
                <c:pt idx="184">
                  <c:v>135</c:v>
                </c:pt>
                <c:pt idx="185">
                  <c:v>144</c:v>
                </c:pt>
                <c:pt idx="186">
                  <c:v>140</c:v>
                </c:pt>
                <c:pt idx="187">
                  <c:v>132</c:v>
                </c:pt>
                <c:pt idx="188">
                  <c:v>117</c:v>
                </c:pt>
                <c:pt idx="189">
                  <c:v>117</c:v>
                </c:pt>
                <c:pt idx="190">
                  <c:v>136</c:v>
                </c:pt>
                <c:pt idx="191">
                  <c:v>122</c:v>
                </c:pt>
                <c:pt idx="192">
                  <c:v>133</c:v>
                </c:pt>
                <c:pt idx="193">
                  <c:v>106</c:v>
                </c:pt>
                <c:pt idx="194">
                  <c:v>141</c:v>
                </c:pt>
                <c:pt idx="195">
                  <c:v>130</c:v>
                </c:pt>
                <c:pt idx="196">
                  <c:v>128</c:v>
                </c:pt>
                <c:pt idx="197">
                  <c:v>128</c:v>
                </c:pt>
                <c:pt idx="198">
                  <c:v>139</c:v>
                </c:pt>
                <c:pt idx="199">
                  <c:v>140</c:v>
                </c:pt>
                <c:pt idx="200">
                  <c:v>127</c:v>
                </c:pt>
                <c:pt idx="201">
                  <c:v>141</c:v>
                </c:pt>
                <c:pt idx="202">
                  <c:v>134</c:v>
                </c:pt>
                <c:pt idx="203">
                  <c:v>133</c:v>
                </c:pt>
                <c:pt idx="204">
                  <c:v>127</c:v>
                </c:pt>
                <c:pt idx="205">
                  <c:v>131</c:v>
                </c:pt>
                <c:pt idx="206">
                  <c:v>153</c:v>
                </c:pt>
                <c:pt idx="207">
                  <c:v>140</c:v>
                </c:pt>
                <c:pt idx="208">
                  <c:v>136</c:v>
                </c:pt>
                <c:pt idx="209">
                  <c:v>136</c:v>
                </c:pt>
                <c:pt idx="210">
                  <c:v>131</c:v>
                </c:pt>
                <c:pt idx="211">
                  <c:v>144</c:v>
                </c:pt>
                <c:pt idx="212">
                  <c:v>129</c:v>
                </c:pt>
                <c:pt idx="213">
                  <c:v>136</c:v>
                </c:pt>
                <c:pt idx="214">
                  <c:v>146</c:v>
                </c:pt>
                <c:pt idx="215">
                  <c:v>119</c:v>
                </c:pt>
                <c:pt idx="216">
                  <c:v>134</c:v>
                </c:pt>
                <c:pt idx="217">
                  <c:v>132</c:v>
                </c:pt>
                <c:pt idx="218">
                  <c:v>137</c:v>
                </c:pt>
                <c:pt idx="219">
                  <c:v>134</c:v>
                </c:pt>
                <c:pt idx="220">
                  <c:v>124</c:v>
                </c:pt>
                <c:pt idx="221">
                  <c:v>137</c:v>
                </c:pt>
                <c:pt idx="222">
                  <c:v>140</c:v>
                </c:pt>
                <c:pt idx="223">
                  <c:v>130</c:v>
                </c:pt>
                <c:pt idx="224">
                  <c:v>136</c:v>
                </c:pt>
                <c:pt idx="225">
                  <c:v>127</c:v>
                </c:pt>
              </c:numCache>
            </c:numRef>
          </c:xVal>
          <c:yVal>
            <c:numRef>
              <c:f>Residuals!$K$2:$K$227</c:f>
              <c:numCache>
                <c:formatCode>0.00</c:formatCode>
                <c:ptCount val="226"/>
                <c:pt idx="0">
                  <c:v>19.644046497840407</c:v>
                </c:pt>
                <c:pt idx="1">
                  <c:v>15.889123701703767</c:v>
                </c:pt>
                <c:pt idx="2">
                  <c:v>16.880822186698197</c:v>
                </c:pt>
                <c:pt idx="3">
                  <c:v>17.655436167381282</c:v>
                </c:pt>
                <c:pt idx="4">
                  <c:v>14.094818536474236</c:v>
                </c:pt>
                <c:pt idx="5">
                  <c:v>13.500513371244693</c:v>
                </c:pt>
                <c:pt idx="6">
                  <c:v>13.700513371244682</c:v>
                </c:pt>
                <c:pt idx="7">
                  <c:v>13.700513371244682</c:v>
                </c:pt>
                <c:pt idx="8">
                  <c:v>13.759586924884047</c:v>
                </c:pt>
                <c:pt idx="9">
                  <c:v>16.914509721020693</c:v>
                </c:pt>
                <c:pt idx="10">
                  <c:v>15.880822186698197</c:v>
                </c:pt>
                <c:pt idx="11">
                  <c:v>13.120204555791105</c:v>
                </c:pt>
                <c:pt idx="12">
                  <c:v>11.275127351927779</c:v>
                </c:pt>
                <c:pt idx="13">
                  <c:v>13.734200905567178</c:v>
                </c:pt>
                <c:pt idx="14">
                  <c:v>12.275127351927779</c:v>
                </c:pt>
                <c:pt idx="15">
                  <c:v>12.455436167381293</c:v>
                </c:pt>
                <c:pt idx="16">
                  <c:v>9.7906677789714536</c:v>
                </c:pt>
                <c:pt idx="17">
                  <c:v>9.0046641287474642</c:v>
                </c:pt>
                <c:pt idx="18">
                  <c:v>8.1005133712446593</c:v>
                </c:pt>
                <c:pt idx="19">
                  <c:v>8.0808221866981853</c:v>
                </c:pt>
                <c:pt idx="20">
                  <c:v>6.520204555791139</c:v>
                </c:pt>
                <c:pt idx="21">
                  <c:v>6.8808221866981967</c:v>
                </c:pt>
                <c:pt idx="22">
                  <c:v>4.9258993905615966</c:v>
                </c:pt>
                <c:pt idx="23">
                  <c:v>5.2808221866981739</c:v>
                </c:pt>
                <c:pt idx="24">
                  <c:v>3.0440464978403838</c:v>
                </c:pt>
                <c:pt idx="25">
                  <c:v>1.0440464978403838</c:v>
                </c:pt>
                <c:pt idx="26">
                  <c:v>5.4217486330587974</c:v>
                </c:pt>
                <c:pt idx="27">
                  <c:v>4.9709765944249682</c:v>
                </c:pt>
                <c:pt idx="28">
                  <c:v>2.9989692939769839</c:v>
                </c:pt>
                <c:pt idx="29">
                  <c:v>3.1906677789714308</c:v>
                </c:pt>
                <c:pt idx="30">
                  <c:v>2.7202045557911276</c:v>
                </c:pt>
                <c:pt idx="31">
                  <c:v>0.35958692488406996</c:v>
                </c:pt>
                <c:pt idx="32">
                  <c:v>0.72020455579112763</c:v>
                </c:pt>
                <c:pt idx="33">
                  <c:v>-0.46010425966241542</c:v>
                </c:pt>
                <c:pt idx="34">
                  <c:v>0.72589939056157959</c:v>
                </c:pt>
                <c:pt idx="35">
                  <c:v>0.90620820601509422</c:v>
                </c:pt>
                <c:pt idx="36">
                  <c:v>-2.479795444208861</c:v>
                </c:pt>
                <c:pt idx="37">
                  <c:v>-2.5699498519356325</c:v>
                </c:pt>
                <c:pt idx="38">
                  <c:v>2.2611310021517284</c:v>
                </c:pt>
                <c:pt idx="39">
                  <c:v>6.8668258369221746</c:v>
                </c:pt>
                <c:pt idx="40">
                  <c:v>6.3963626137418714</c:v>
                </c:pt>
                <c:pt idx="41">
                  <c:v>3.545590575108065</c:v>
                </c:pt>
                <c:pt idx="42">
                  <c:v>3.3062082060150999</c:v>
                </c:pt>
                <c:pt idx="43">
                  <c:v>5.3963626137418714</c:v>
                </c:pt>
                <c:pt idx="44">
                  <c:v>4.5062082060150885</c:v>
                </c:pt>
                <c:pt idx="45">
                  <c:v>5.7906677789714536</c:v>
                </c:pt>
                <c:pt idx="46">
                  <c:v>5.7538920901136521</c:v>
                </c:pt>
                <c:pt idx="47">
                  <c:v>2.700513371244682</c:v>
                </c:pt>
                <c:pt idx="48">
                  <c:v>0.7455905751080536</c:v>
                </c:pt>
                <c:pt idx="49">
                  <c:v>-0.82902340557504317</c:v>
                </c:pt>
                <c:pt idx="50">
                  <c:v>-1.8290234055750432</c:v>
                </c:pt>
                <c:pt idx="51">
                  <c:v>-2.3191778133018204</c:v>
                </c:pt>
                <c:pt idx="52">
                  <c:v>-1.7813395214765535</c:v>
                </c:pt>
                <c:pt idx="53">
                  <c:v>-1.8487145901214888</c:v>
                </c:pt>
                <c:pt idx="54">
                  <c:v>-2.0797954442088837</c:v>
                </c:pt>
                <c:pt idx="55">
                  <c:v>-3.4093322210285635</c:v>
                </c:pt>
                <c:pt idx="56">
                  <c:v>-3.6093322210285521</c:v>
                </c:pt>
                <c:pt idx="57">
                  <c:v>-4.9191778133018147</c:v>
                </c:pt>
                <c:pt idx="58">
                  <c:v>-4.8684057746679912</c:v>
                </c:pt>
                <c:pt idx="59">
                  <c:v>-5.9445638326187407</c:v>
                </c:pt>
                <c:pt idx="60">
                  <c:v>-6.1585601823947229</c:v>
                </c:pt>
                <c:pt idx="61">
                  <c:v>-6.8233285708045912</c:v>
                </c:pt>
                <c:pt idx="62">
                  <c:v>-8.1388689978482773</c:v>
                </c:pt>
                <c:pt idx="63">
                  <c:v>-8.4093322210285635</c:v>
                </c:pt>
                <c:pt idx="64">
                  <c:v>-8.2797954442088724</c:v>
                </c:pt>
                <c:pt idx="65">
                  <c:v>-3.6684057746679741</c:v>
                </c:pt>
                <c:pt idx="66">
                  <c:v>-6.4601042596624154</c:v>
                </c:pt>
                <c:pt idx="67">
                  <c:v>-6.479795444208861</c:v>
                </c:pt>
                <c:pt idx="68">
                  <c:v>-3.1051814635257813</c:v>
                </c:pt>
                <c:pt idx="69">
                  <c:v>-5.0937917939849058</c:v>
                </c:pt>
                <c:pt idx="70">
                  <c:v>-7.2036373862581229</c:v>
                </c:pt>
                <c:pt idx="71">
                  <c:v>-9.479795444208861</c:v>
                </c:pt>
                <c:pt idx="72">
                  <c:v>-3.1445638326187293</c:v>
                </c:pt>
                <c:pt idx="73">
                  <c:v>-3.0994866287553293</c:v>
                </c:pt>
                <c:pt idx="74">
                  <c:v>-1.474100609438409</c:v>
                </c:pt>
                <c:pt idx="75">
                  <c:v>-5.4544094248919635</c:v>
                </c:pt>
                <c:pt idx="76">
                  <c:v>-6.2544094248919464</c:v>
                </c:pt>
                <c:pt idx="77">
                  <c:v>-7.2797954442088724</c:v>
                </c:pt>
                <c:pt idx="78">
                  <c:v>-8.0487145901215058</c:v>
                </c:pt>
                <c:pt idx="79">
                  <c:v>-5.2010307060230048</c:v>
                </c:pt>
                <c:pt idx="80">
                  <c:v>-3.5248726480722326</c:v>
                </c:pt>
                <c:pt idx="81">
                  <c:v>-2.0937917939849058</c:v>
                </c:pt>
                <c:pt idx="82">
                  <c:v>-6.2601042596624268</c:v>
                </c:pt>
                <c:pt idx="83">
                  <c:v>-6.3191778133018204</c:v>
                </c:pt>
                <c:pt idx="84">
                  <c:v>-5.1445638326187293</c:v>
                </c:pt>
                <c:pt idx="85">
                  <c:v>-3.9191778133018147</c:v>
                </c:pt>
                <c:pt idx="86">
                  <c:v>-0.34456383261871792</c:v>
                </c:pt>
                <c:pt idx="87">
                  <c:v>2.8103589635178992</c:v>
                </c:pt>
                <c:pt idx="88">
                  <c:v>-0.69948662875532364</c:v>
                </c:pt>
                <c:pt idx="89">
                  <c:v>-1.6937917939849001</c:v>
                </c:pt>
                <c:pt idx="90">
                  <c:v>-0.33886899784826596</c:v>
                </c:pt>
                <c:pt idx="91">
                  <c:v>-2.5642550171651806</c:v>
                </c:pt>
                <c:pt idx="92">
                  <c:v>1.9175978755560266</c:v>
                </c:pt>
                <c:pt idx="93">
                  <c:v>0.500513371244665</c:v>
                </c:pt>
                <c:pt idx="94">
                  <c:v>-2.5108762982962389</c:v>
                </c:pt>
                <c:pt idx="95">
                  <c:v>-1.8797954442088667</c:v>
                </c:pt>
                <c:pt idx="96">
                  <c:v>-1.8797954442088667</c:v>
                </c:pt>
                <c:pt idx="97">
                  <c:v>-4.9248726480722382</c:v>
                </c:pt>
                <c:pt idx="98">
                  <c:v>-4.6937917939849001</c:v>
                </c:pt>
                <c:pt idx="99">
                  <c:v>-3.1134829785313514</c:v>
                </c:pt>
                <c:pt idx="100">
                  <c:v>-5.2461079098863479</c:v>
                </c:pt>
                <c:pt idx="101">
                  <c:v>-3.0797954442088837</c:v>
                </c:pt>
                <c:pt idx="102">
                  <c:v>2.700513371244682</c:v>
                </c:pt>
                <c:pt idx="103">
                  <c:v>3.461131002151717</c:v>
                </c:pt>
                <c:pt idx="104">
                  <c:v>1.5005133712446934</c:v>
                </c:pt>
                <c:pt idx="105">
                  <c:v>0.68082218669817962</c:v>
                </c:pt>
                <c:pt idx="106">
                  <c:v>-0.19533587125255281</c:v>
                </c:pt>
                <c:pt idx="107">
                  <c:v>-3.5642550171651806</c:v>
                </c:pt>
                <c:pt idx="108">
                  <c:v>-4.5642550171651806</c:v>
                </c:pt>
                <c:pt idx="109">
                  <c:v>-4.0290234055750318</c:v>
                </c:pt>
                <c:pt idx="110">
                  <c:v>-5.4487145901215115</c:v>
                </c:pt>
                <c:pt idx="111">
                  <c:v>-5.4207218905694674</c:v>
                </c:pt>
                <c:pt idx="112">
                  <c:v>-3.479795444208861</c:v>
                </c:pt>
                <c:pt idx="113">
                  <c:v>-6.7388689978482716</c:v>
                </c:pt>
                <c:pt idx="114">
                  <c:v>-6.6544094248919521</c:v>
                </c:pt>
                <c:pt idx="115">
                  <c:v>-8.8207218905694731</c:v>
                </c:pt>
                <c:pt idx="116">
                  <c:v>-8.479795444208861</c:v>
                </c:pt>
                <c:pt idx="117">
                  <c:v>-10.479795444208861</c:v>
                </c:pt>
                <c:pt idx="118">
                  <c:v>-11.195335871252553</c:v>
                </c:pt>
                <c:pt idx="119">
                  <c:v>-10.944563832618741</c:v>
                </c:pt>
                <c:pt idx="120">
                  <c:v>-10.820721890569473</c:v>
                </c:pt>
                <c:pt idx="121">
                  <c:v>-7.9191778133018147</c:v>
                </c:pt>
                <c:pt idx="122">
                  <c:v>-4.9134829785313627</c:v>
                </c:pt>
                <c:pt idx="123">
                  <c:v>-5.6010307060230105</c:v>
                </c:pt>
                <c:pt idx="124">
                  <c:v>-2.6093322210285521</c:v>
                </c:pt>
                <c:pt idx="125">
                  <c:v>-4.0487145901215058</c:v>
                </c:pt>
                <c:pt idx="126">
                  <c:v>-2.4544094248919635</c:v>
                </c:pt>
                <c:pt idx="127">
                  <c:v>-0.23732492058061894</c:v>
                </c:pt>
                <c:pt idx="128">
                  <c:v>-2.505181463525787</c:v>
                </c:pt>
                <c:pt idx="129">
                  <c:v>2.0103589635178878</c:v>
                </c:pt>
                <c:pt idx="130">
                  <c:v>-0.27410060943842041</c:v>
                </c:pt>
                <c:pt idx="131">
                  <c:v>0.28082218669817394</c:v>
                </c:pt>
                <c:pt idx="132">
                  <c:v>-0.66010425966240405</c:v>
                </c:pt>
                <c:pt idx="133">
                  <c:v>0.24974133261085285</c:v>
                </c:pt>
                <c:pt idx="134">
                  <c:v>1.7398957403375732</c:v>
                </c:pt>
                <c:pt idx="135">
                  <c:v>3.2160537982883568</c:v>
                </c:pt>
                <c:pt idx="136">
                  <c:v>-3.7051814635257756</c:v>
                </c:pt>
                <c:pt idx="137">
                  <c:v>-4.9248726480722382</c:v>
                </c:pt>
                <c:pt idx="138">
                  <c:v>-4.0994866287553293</c:v>
                </c:pt>
                <c:pt idx="139">
                  <c:v>-5.538868997848283</c:v>
                </c:pt>
                <c:pt idx="140">
                  <c:v>-7.505181463525787</c:v>
                </c:pt>
                <c:pt idx="141">
                  <c:v>-5.0347182403455122</c:v>
                </c:pt>
                <c:pt idx="142">
                  <c:v>-2.0544094248919578</c:v>
                </c:pt>
                <c:pt idx="143">
                  <c:v>-5.0207218905694617</c:v>
                </c:pt>
                <c:pt idx="144">
                  <c:v>-2.479795444208861</c:v>
                </c:pt>
                <c:pt idx="145">
                  <c:v>-3.7388689978482716</c:v>
                </c:pt>
                <c:pt idx="146">
                  <c:v>-5.4290234055750375</c:v>
                </c:pt>
                <c:pt idx="147">
                  <c:v>-1.7699498519356496</c:v>
                </c:pt>
                <c:pt idx="148">
                  <c:v>-1.0854902789793357</c:v>
                </c:pt>
                <c:pt idx="149">
                  <c:v>-2.0994866287553293</c:v>
                </c:pt>
                <c:pt idx="150">
                  <c:v>-0.82902340557504317</c:v>
                </c:pt>
                <c:pt idx="151">
                  <c:v>-2.4601042596624154</c:v>
                </c:pt>
                <c:pt idx="152">
                  <c:v>-3.660104259662404</c:v>
                </c:pt>
                <c:pt idx="153">
                  <c:v>-4.1502586673891528</c:v>
                </c:pt>
                <c:pt idx="154">
                  <c:v>-6.3051814635257983</c:v>
                </c:pt>
                <c:pt idx="155">
                  <c:v>-2.660104259662404</c:v>
                </c:pt>
                <c:pt idx="156">
                  <c:v>-1.7388689978482716</c:v>
                </c:pt>
                <c:pt idx="157">
                  <c:v>4.2611310021517284</c:v>
                </c:pt>
                <c:pt idx="158">
                  <c:v>-0.43471824034548945</c:v>
                </c:pt>
                <c:pt idx="159">
                  <c:v>-2.660104259662404</c:v>
                </c:pt>
                <c:pt idx="160">
                  <c:v>-3.7051814635257756</c:v>
                </c:pt>
                <c:pt idx="161">
                  <c:v>0.24143981760528277</c:v>
                </c:pt>
                <c:pt idx="162">
                  <c:v>-5.4409424891957769E-2</c:v>
                </c:pt>
                <c:pt idx="163">
                  <c:v>-0.52487264807223255</c:v>
                </c:pt>
                <c:pt idx="164">
                  <c:v>-3.2093322210285464</c:v>
                </c:pt>
                <c:pt idx="165">
                  <c:v>1.9398957403375618</c:v>
                </c:pt>
                <c:pt idx="166">
                  <c:v>0.65543616738128208</c:v>
                </c:pt>
                <c:pt idx="167">
                  <c:v>-2.9388689978482603</c:v>
                </c:pt>
                <c:pt idx="168">
                  <c:v>-7.0487145901215058</c:v>
                </c:pt>
                <c:pt idx="169">
                  <c:v>-6.5248726480722326</c:v>
                </c:pt>
                <c:pt idx="170">
                  <c:v>-4.9388689978482603</c:v>
                </c:pt>
                <c:pt idx="171">
                  <c:v>-4.3191778133018204</c:v>
                </c:pt>
                <c:pt idx="172">
                  <c:v>-3.2797954442088724</c:v>
                </c:pt>
                <c:pt idx="173">
                  <c:v>0.54559057510803655</c:v>
                </c:pt>
                <c:pt idx="174">
                  <c:v>-2.499486628755335</c:v>
                </c:pt>
                <c:pt idx="175">
                  <c:v>-1.9782513669412083</c:v>
                </c:pt>
                <c:pt idx="176">
                  <c:v>-3.9191778133018147</c:v>
                </c:pt>
                <c:pt idx="177">
                  <c:v>-4.5756446867061129</c:v>
                </c:pt>
                <c:pt idx="178">
                  <c:v>-2.2937917939848944</c:v>
                </c:pt>
                <c:pt idx="179">
                  <c:v>-0.64871459012150012</c:v>
                </c:pt>
                <c:pt idx="180">
                  <c:v>-1.4347182403454894</c:v>
                </c:pt>
                <c:pt idx="181">
                  <c:v>-0.61502705579900407</c:v>
                </c:pt>
                <c:pt idx="182">
                  <c:v>-1.2093322210285464</c:v>
                </c:pt>
                <c:pt idx="183">
                  <c:v>-2.68549027897933</c:v>
                </c:pt>
                <c:pt idx="184">
                  <c:v>-2.5642550171651806</c:v>
                </c:pt>
                <c:pt idx="185">
                  <c:v>-0.5585601823947286</c:v>
                </c:pt>
                <c:pt idx="186">
                  <c:v>-2.338868997848266</c:v>
                </c:pt>
                <c:pt idx="187">
                  <c:v>-3.0994866287553293</c:v>
                </c:pt>
                <c:pt idx="188">
                  <c:v>-2.7756446867061015</c:v>
                </c:pt>
                <c:pt idx="189">
                  <c:v>-3.3756446867060959</c:v>
                </c:pt>
                <c:pt idx="190">
                  <c:v>-2.7191778133018261</c:v>
                </c:pt>
                <c:pt idx="191">
                  <c:v>-2.9502586673891642</c:v>
                </c:pt>
                <c:pt idx="192">
                  <c:v>-1.0544094248919578</c:v>
                </c:pt>
                <c:pt idx="193">
                  <c:v>-1.2714939292033023</c:v>
                </c:pt>
                <c:pt idx="194">
                  <c:v>3.5062082060150885</c:v>
                </c:pt>
                <c:pt idx="195">
                  <c:v>0.21035896351790484</c:v>
                </c:pt>
                <c:pt idx="196">
                  <c:v>-3.2797954442088724</c:v>
                </c:pt>
                <c:pt idx="197">
                  <c:v>-1.2797954442088724</c:v>
                </c:pt>
                <c:pt idx="198">
                  <c:v>0.2160537982883568</c:v>
                </c:pt>
                <c:pt idx="199">
                  <c:v>-0.73886899784827165</c:v>
                </c:pt>
                <c:pt idx="200">
                  <c:v>2.4751273519277674</c:v>
                </c:pt>
                <c:pt idx="201">
                  <c:v>1.5062082060150885</c:v>
                </c:pt>
                <c:pt idx="202">
                  <c:v>4.9906677789714422</c:v>
                </c:pt>
                <c:pt idx="203">
                  <c:v>6.7455905751080536</c:v>
                </c:pt>
                <c:pt idx="204">
                  <c:v>4.6751273519277561</c:v>
                </c:pt>
                <c:pt idx="205">
                  <c:v>7.255436167381248</c:v>
                </c:pt>
                <c:pt idx="206">
                  <c:v>11.047134652375689</c:v>
                </c:pt>
                <c:pt idx="207">
                  <c:v>6.8611310021517511</c:v>
                </c:pt>
                <c:pt idx="208">
                  <c:v>2.2808221866981739</c:v>
                </c:pt>
                <c:pt idx="209">
                  <c:v>2.680822186698208</c:v>
                </c:pt>
                <c:pt idx="210">
                  <c:v>5.6554361673812821</c:v>
                </c:pt>
                <c:pt idx="211">
                  <c:v>6.64143981760526</c:v>
                </c:pt>
                <c:pt idx="212">
                  <c:v>6.3652817596545219</c:v>
                </c:pt>
                <c:pt idx="213">
                  <c:v>8.4808221866981626</c:v>
                </c:pt>
                <c:pt idx="214">
                  <c:v>1.7315942253320031</c:v>
                </c:pt>
                <c:pt idx="215">
                  <c:v>1.1145097210206814</c:v>
                </c:pt>
                <c:pt idx="216">
                  <c:v>2.9906677789714422</c:v>
                </c:pt>
                <c:pt idx="217">
                  <c:v>3.700513371244682</c:v>
                </c:pt>
                <c:pt idx="218">
                  <c:v>3.9258993905615966</c:v>
                </c:pt>
                <c:pt idx="219">
                  <c:v>5.9906677789714422</c:v>
                </c:pt>
                <c:pt idx="220">
                  <c:v>5.7398957403375732</c:v>
                </c:pt>
                <c:pt idx="221">
                  <c:v>6.1258993905615853</c:v>
                </c:pt>
                <c:pt idx="222">
                  <c:v>4.2611310021517284</c:v>
                </c:pt>
                <c:pt idx="223">
                  <c:v>3.4103589635179219</c:v>
                </c:pt>
                <c:pt idx="224">
                  <c:v>0.88082218669819667</c:v>
                </c:pt>
                <c:pt idx="225">
                  <c:v>-0.32487264807224392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24-4809-90EE-B20D1A15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655"/>
        <c:axId val="2123648175"/>
      </c:scatterChart>
      <c:valAx>
        <c:axId val="21236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8175"/>
        <c:crosses val="autoZero"/>
        <c:crossBetween val="midCat"/>
      </c:valAx>
      <c:valAx>
        <c:axId val="2123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Log'!$G$2:$G$227</c:f>
              <c:numCache>
                <c:formatCode>0.00</c:formatCode>
                <c:ptCount val="226"/>
                <c:pt idx="0">
                  <c:v>73</c:v>
                </c:pt>
                <c:pt idx="1">
                  <c:v>75</c:v>
                </c:pt>
                <c:pt idx="2">
                  <c:v>76</c:v>
                </c:pt>
                <c:pt idx="3">
                  <c:v>85</c:v>
                </c:pt>
                <c:pt idx="4">
                  <c:v>79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8">
                  <c:v>77</c:v>
                </c:pt>
                <c:pt idx="9">
                  <c:v>75</c:v>
                </c:pt>
                <c:pt idx="10">
                  <c:v>68</c:v>
                </c:pt>
                <c:pt idx="11">
                  <c:v>74</c:v>
                </c:pt>
                <c:pt idx="12">
                  <c:v>75</c:v>
                </c:pt>
                <c:pt idx="13">
                  <c:v>78</c:v>
                </c:pt>
                <c:pt idx="14">
                  <c:v>78</c:v>
                </c:pt>
                <c:pt idx="15">
                  <c:v>77</c:v>
                </c:pt>
                <c:pt idx="16">
                  <c:v>75</c:v>
                </c:pt>
                <c:pt idx="17">
                  <c:v>73</c:v>
                </c:pt>
                <c:pt idx="18">
                  <c:v>74</c:v>
                </c:pt>
                <c:pt idx="19">
                  <c:v>69</c:v>
                </c:pt>
                <c:pt idx="20">
                  <c:v>76</c:v>
                </c:pt>
                <c:pt idx="21">
                  <c:v>83</c:v>
                </c:pt>
                <c:pt idx="22">
                  <c:v>77</c:v>
                </c:pt>
                <c:pt idx="23">
                  <c:v>76</c:v>
                </c:pt>
                <c:pt idx="24">
                  <c:v>74</c:v>
                </c:pt>
                <c:pt idx="25">
                  <c:v>76</c:v>
                </c:pt>
                <c:pt idx="26">
                  <c:v>79</c:v>
                </c:pt>
                <c:pt idx="27">
                  <c:v>74</c:v>
                </c:pt>
                <c:pt idx="28">
                  <c:v>68</c:v>
                </c:pt>
                <c:pt idx="29">
                  <c:v>76</c:v>
                </c:pt>
                <c:pt idx="30">
                  <c:v>70</c:v>
                </c:pt>
                <c:pt idx="31">
                  <c:v>71</c:v>
                </c:pt>
                <c:pt idx="32">
                  <c:v>79</c:v>
                </c:pt>
                <c:pt idx="33">
                  <c:v>74</c:v>
                </c:pt>
                <c:pt idx="34">
                  <c:v>75</c:v>
                </c:pt>
                <c:pt idx="35">
                  <c:v>72</c:v>
                </c:pt>
                <c:pt idx="36">
                  <c:v>72</c:v>
                </c:pt>
                <c:pt idx="37">
                  <c:v>68</c:v>
                </c:pt>
                <c:pt idx="38">
                  <c:v>81</c:v>
                </c:pt>
                <c:pt idx="39">
                  <c:v>89</c:v>
                </c:pt>
                <c:pt idx="40">
                  <c:v>78</c:v>
                </c:pt>
                <c:pt idx="41">
                  <c:v>86</c:v>
                </c:pt>
                <c:pt idx="42">
                  <c:v>83</c:v>
                </c:pt>
                <c:pt idx="43">
                  <c:v>92</c:v>
                </c:pt>
                <c:pt idx="44">
                  <c:v>87</c:v>
                </c:pt>
                <c:pt idx="45">
                  <c:v>77</c:v>
                </c:pt>
                <c:pt idx="46">
                  <c:v>85</c:v>
                </c:pt>
                <c:pt idx="47">
                  <c:v>84</c:v>
                </c:pt>
                <c:pt idx="48">
                  <c:v>76</c:v>
                </c:pt>
                <c:pt idx="49">
                  <c:v>82</c:v>
                </c:pt>
                <c:pt idx="50">
                  <c:v>73</c:v>
                </c:pt>
                <c:pt idx="51">
                  <c:v>75</c:v>
                </c:pt>
                <c:pt idx="52">
                  <c:v>81</c:v>
                </c:pt>
                <c:pt idx="53">
                  <c:v>76</c:v>
                </c:pt>
                <c:pt idx="54">
                  <c:v>72</c:v>
                </c:pt>
                <c:pt idx="55">
                  <c:v>78</c:v>
                </c:pt>
                <c:pt idx="56">
                  <c:v>84</c:v>
                </c:pt>
                <c:pt idx="57">
                  <c:v>76</c:v>
                </c:pt>
                <c:pt idx="58">
                  <c:v>82</c:v>
                </c:pt>
                <c:pt idx="59">
                  <c:v>76</c:v>
                </c:pt>
                <c:pt idx="60">
                  <c:v>71</c:v>
                </c:pt>
                <c:pt idx="61">
                  <c:v>78</c:v>
                </c:pt>
                <c:pt idx="62">
                  <c:v>76</c:v>
                </c:pt>
                <c:pt idx="63">
                  <c:v>71</c:v>
                </c:pt>
                <c:pt idx="64">
                  <c:v>75</c:v>
                </c:pt>
                <c:pt idx="65">
                  <c:v>78</c:v>
                </c:pt>
                <c:pt idx="66">
                  <c:v>67</c:v>
                </c:pt>
                <c:pt idx="67">
                  <c:v>73</c:v>
                </c:pt>
                <c:pt idx="68">
                  <c:v>79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76</c:v>
                </c:pt>
                <c:pt idx="73">
                  <c:v>77</c:v>
                </c:pt>
                <c:pt idx="74">
                  <c:v>75</c:v>
                </c:pt>
                <c:pt idx="75">
                  <c:v>78</c:v>
                </c:pt>
                <c:pt idx="76">
                  <c:v>74</c:v>
                </c:pt>
                <c:pt idx="77">
                  <c:v>72</c:v>
                </c:pt>
                <c:pt idx="78">
                  <c:v>71</c:v>
                </c:pt>
                <c:pt idx="79">
                  <c:v>76</c:v>
                </c:pt>
                <c:pt idx="80">
                  <c:v>70</c:v>
                </c:pt>
                <c:pt idx="81">
                  <c:v>80</c:v>
                </c:pt>
                <c:pt idx="82">
                  <c:v>67</c:v>
                </c:pt>
                <c:pt idx="83">
                  <c:v>76</c:v>
                </c:pt>
                <c:pt idx="84">
                  <c:v>74</c:v>
                </c:pt>
                <c:pt idx="85">
                  <c:v>77</c:v>
                </c:pt>
                <c:pt idx="86">
                  <c:v>76</c:v>
                </c:pt>
                <c:pt idx="87">
                  <c:v>78</c:v>
                </c:pt>
                <c:pt idx="88">
                  <c:v>72</c:v>
                </c:pt>
                <c:pt idx="89">
                  <c:v>77</c:v>
                </c:pt>
                <c:pt idx="90">
                  <c:v>74</c:v>
                </c:pt>
                <c:pt idx="91">
                  <c:v>76</c:v>
                </c:pt>
                <c:pt idx="92">
                  <c:v>83</c:v>
                </c:pt>
                <c:pt idx="93">
                  <c:v>81</c:v>
                </c:pt>
                <c:pt idx="94">
                  <c:v>67</c:v>
                </c:pt>
                <c:pt idx="95">
                  <c:v>61</c:v>
                </c:pt>
                <c:pt idx="96">
                  <c:v>82</c:v>
                </c:pt>
                <c:pt idx="97">
                  <c:v>73</c:v>
                </c:pt>
                <c:pt idx="98">
                  <c:v>77</c:v>
                </c:pt>
                <c:pt idx="99">
                  <c:v>77</c:v>
                </c:pt>
                <c:pt idx="100">
                  <c:v>80</c:v>
                </c:pt>
                <c:pt idx="101">
                  <c:v>90</c:v>
                </c:pt>
                <c:pt idx="102">
                  <c:v>76</c:v>
                </c:pt>
                <c:pt idx="103">
                  <c:v>75</c:v>
                </c:pt>
                <c:pt idx="104">
                  <c:v>76</c:v>
                </c:pt>
                <c:pt idx="105">
                  <c:v>84</c:v>
                </c:pt>
                <c:pt idx="106">
                  <c:v>91</c:v>
                </c:pt>
                <c:pt idx="107">
                  <c:v>74</c:v>
                </c:pt>
                <c:pt idx="108">
                  <c:v>76</c:v>
                </c:pt>
                <c:pt idx="109">
                  <c:v>88</c:v>
                </c:pt>
                <c:pt idx="110">
                  <c:v>85</c:v>
                </c:pt>
                <c:pt idx="111">
                  <c:v>71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68</c:v>
                </c:pt>
                <c:pt idx="116">
                  <c:v>85</c:v>
                </c:pt>
                <c:pt idx="117">
                  <c:v>75</c:v>
                </c:pt>
                <c:pt idx="118">
                  <c:v>75</c:v>
                </c:pt>
                <c:pt idx="119">
                  <c:v>79</c:v>
                </c:pt>
                <c:pt idx="120">
                  <c:v>71</c:v>
                </c:pt>
                <c:pt idx="121">
                  <c:v>73</c:v>
                </c:pt>
                <c:pt idx="122">
                  <c:v>87</c:v>
                </c:pt>
                <c:pt idx="123">
                  <c:v>73</c:v>
                </c:pt>
                <c:pt idx="124">
                  <c:v>75</c:v>
                </c:pt>
                <c:pt idx="125">
                  <c:v>76</c:v>
                </c:pt>
                <c:pt idx="126">
                  <c:v>76</c:v>
                </c:pt>
                <c:pt idx="127">
                  <c:v>85</c:v>
                </c:pt>
                <c:pt idx="128">
                  <c:v>84</c:v>
                </c:pt>
                <c:pt idx="129">
                  <c:v>75</c:v>
                </c:pt>
                <c:pt idx="130">
                  <c:v>81</c:v>
                </c:pt>
                <c:pt idx="131">
                  <c:v>74</c:v>
                </c:pt>
                <c:pt idx="132">
                  <c:v>78</c:v>
                </c:pt>
                <c:pt idx="133">
                  <c:v>73</c:v>
                </c:pt>
                <c:pt idx="134">
                  <c:v>88</c:v>
                </c:pt>
                <c:pt idx="135">
                  <c:v>77</c:v>
                </c:pt>
                <c:pt idx="136">
                  <c:v>77</c:v>
                </c:pt>
                <c:pt idx="137">
                  <c:v>80</c:v>
                </c:pt>
                <c:pt idx="138">
                  <c:v>75</c:v>
                </c:pt>
                <c:pt idx="139">
                  <c:v>85</c:v>
                </c:pt>
                <c:pt idx="140">
                  <c:v>70</c:v>
                </c:pt>
                <c:pt idx="141">
                  <c:v>72</c:v>
                </c:pt>
                <c:pt idx="142">
                  <c:v>73</c:v>
                </c:pt>
                <c:pt idx="143">
                  <c:v>71</c:v>
                </c:pt>
                <c:pt idx="144">
                  <c:v>70</c:v>
                </c:pt>
                <c:pt idx="145">
                  <c:v>77</c:v>
                </c:pt>
                <c:pt idx="146">
                  <c:v>78</c:v>
                </c:pt>
                <c:pt idx="147">
                  <c:v>69</c:v>
                </c:pt>
                <c:pt idx="148">
                  <c:v>79</c:v>
                </c:pt>
                <c:pt idx="149">
                  <c:v>81</c:v>
                </c:pt>
                <c:pt idx="150">
                  <c:v>80</c:v>
                </c:pt>
                <c:pt idx="151">
                  <c:v>75</c:v>
                </c:pt>
                <c:pt idx="152">
                  <c:v>74</c:v>
                </c:pt>
                <c:pt idx="153">
                  <c:v>72</c:v>
                </c:pt>
                <c:pt idx="154">
                  <c:v>77</c:v>
                </c:pt>
                <c:pt idx="155">
                  <c:v>78</c:v>
                </c:pt>
                <c:pt idx="156">
                  <c:v>87</c:v>
                </c:pt>
                <c:pt idx="157">
                  <c:v>80</c:v>
                </c:pt>
                <c:pt idx="158">
                  <c:v>87</c:v>
                </c:pt>
                <c:pt idx="159">
                  <c:v>69</c:v>
                </c:pt>
                <c:pt idx="160">
                  <c:v>74</c:v>
                </c:pt>
                <c:pt idx="161">
                  <c:v>83</c:v>
                </c:pt>
                <c:pt idx="162">
                  <c:v>83</c:v>
                </c:pt>
                <c:pt idx="163">
                  <c:v>65</c:v>
                </c:pt>
                <c:pt idx="164">
                  <c:v>79</c:v>
                </c:pt>
                <c:pt idx="165">
                  <c:v>70</c:v>
                </c:pt>
                <c:pt idx="166">
                  <c:v>76</c:v>
                </c:pt>
                <c:pt idx="167">
                  <c:v>83</c:v>
                </c:pt>
                <c:pt idx="168">
                  <c:v>82</c:v>
                </c:pt>
                <c:pt idx="169">
                  <c:v>71</c:v>
                </c:pt>
                <c:pt idx="170">
                  <c:v>86</c:v>
                </c:pt>
                <c:pt idx="171">
                  <c:v>82</c:v>
                </c:pt>
                <c:pt idx="172">
                  <c:v>74</c:v>
                </c:pt>
                <c:pt idx="173">
                  <c:v>78</c:v>
                </c:pt>
                <c:pt idx="174">
                  <c:v>80</c:v>
                </c:pt>
                <c:pt idx="175">
                  <c:v>83</c:v>
                </c:pt>
                <c:pt idx="176">
                  <c:v>74</c:v>
                </c:pt>
                <c:pt idx="177">
                  <c:v>68</c:v>
                </c:pt>
                <c:pt idx="178">
                  <c:v>80</c:v>
                </c:pt>
                <c:pt idx="179">
                  <c:v>81</c:v>
                </c:pt>
                <c:pt idx="180">
                  <c:v>76</c:v>
                </c:pt>
                <c:pt idx="181">
                  <c:v>79</c:v>
                </c:pt>
                <c:pt idx="182">
                  <c:v>81</c:v>
                </c:pt>
                <c:pt idx="183">
                  <c:v>74</c:v>
                </c:pt>
                <c:pt idx="184">
                  <c:v>78</c:v>
                </c:pt>
                <c:pt idx="185">
                  <c:v>79</c:v>
                </c:pt>
                <c:pt idx="186">
                  <c:v>81</c:v>
                </c:pt>
                <c:pt idx="187">
                  <c:v>78</c:v>
                </c:pt>
                <c:pt idx="188">
                  <c:v>78</c:v>
                </c:pt>
                <c:pt idx="189">
                  <c:v>81</c:v>
                </c:pt>
                <c:pt idx="190">
                  <c:v>72</c:v>
                </c:pt>
                <c:pt idx="191">
                  <c:v>71</c:v>
                </c:pt>
                <c:pt idx="192">
                  <c:v>80</c:v>
                </c:pt>
                <c:pt idx="193">
                  <c:v>42</c:v>
                </c:pt>
                <c:pt idx="194">
                  <c:v>83</c:v>
                </c:pt>
                <c:pt idx="195">
                  <c:v>78</c:v>
                </c:pt>
                <c:pt idx="196">
                  <c:v>74</c:v>
                </c:pt>
                <c:pt idx="197">
                  <c:v>79</c:v>
                </c:pt>
                <c:pt idx="198">
                  <c:v>66</c:v>
                </c:pt>
                <c:pt idx="199">
                  <c:v>87</c:v>
                </c:pt>
                <c:pt idx="200">
                  <c:v>76</c:v>
                </c:pt>
                <c:pt idx="201">
                  <c:v>99</c:v>
                </c:pt>
                <c:pt idx="202">
                  <c:v>78</c:v>
                </c:pt>
                <c:pt idx="203">
                  <c:v>82</c:v>
                </c:pt>
                <c:pt idx="204">
                  <c:v>84</c:v>
                </c:pt>
                <c:pt idx="205">
                  <c:v>91</c:v>
                </c:pt>
                <c:pt idx="206">
                  <c:v>84</c:v>
                </c:pt>
                <c:pt idx="207">
                  <c:v>82</c:v>
                </c:pt>
                <c:pt idx="208">
                  <c:v>77</c:v>
                </c:pt>
                <c:pt idx="209">
                  <c:v>85</c:v>
                </c:pt>
                <c:pt idx="210">
                  <c:v>83</c:v>
                </c:pt>
                <c:pt idx="211">
                  <c:v>82</c:v>
                </c:pt>
                <c:pt idx="212">
                  <c:v>82</c:v>
                </c:pt>
                <c:pt idx="213">
                  <c:v>81</c:v>
                </c:pt>
                <c:pt idx="214">
                  <c:v>80</c:v>
                </c:pt>
                <c:pt idx="215">
                  <c:v>80</c:v>
                </c:pt>
                <c:pt idx="216">
                  <c:v>73</c:v>
                </c:pt>
                <c:pt idx="217">
                  <c:v>83</c:v>
                </c:pt>
                <c:pt idx="218">
                  <c:v>81</c:v>
                </c:pt>
                <c:pt idx="219">
                  <c:v>76</c:v>
                </c:pt>
                <c:pt idx="220">
                  <c:v>73</c:v>
                </c:pt>
                <c:pt idx="221">
                  <c:v>84</c:v>
                </c:pt>
                <c:pt idx="222">
                  <c:v>86</c:v>
                </c:pt>
                <c:pt idx="223">
                  <c:v>80</c:v>
                </c:pt>
                <c:pt idx="224">
                  <c:v>75</c:v>
                </c:pt>
                <c:pt idx="225">
                  <c:v>70</c:v>
                </c:pt>
              </c:numCache>
            </c:numRef>
          </c:xVal>
          <c:yVal>
            <c:numRef>
              <c:f>Residuals!$N$2:$N$227</c:f>
              <c:numCache>
                <c:formatCode>0.00</c:formatCode>
                <c:ptCount val="226"/>
                <c:pt idx="0">
                  <c:v>20.903337098932866</c:v>
                </c:pt>
                <c:pt idx="1">
                  <c:v>16.900648600843112</c:v>
                </c:pt>
                <c:pt idx="2">
                  <c:v>16.799304351798241</c:v>
                </c:pt>
                <c:pt idx="3">
                  <c:v>16.887206110394317</c:v>
                </c:pt>
                <c:pt idx="4">
                  <c:v>14.295271604663611</c:v>
                </c:pt>
                <c:pt idx="5">
                  <c:v>13.700648600843124</c:v>
                </c:pt>
                <c:pt idx="6">
                  <c:v>14.407369846067496</c:v>
                </c:pt>
                <c:pt idx="7">
                  <c:v>14.407369846067496</c:v>
                </c:pt>
                <c:pt idx="8">
                  <c:v>14.297960102753308</c:v>
                </c:pt>
                <c:pt idx="9">
                  <c:v>17.700648600843124</c:v>
                </c:pt>
                <c:pt idx="10">
                  <c:v>16.610058344157267</c:v>
                </c:pt>
                <c:pt idx="11">
                  <c:v>13.601992849887949</c:v>
                </c:pt>
                <c:pt idx="12">
                  <c:v>11.700648600843124</c:v>
                </c:pt>
                <c:pt idx="13">
                  <c:v>14.396615853708482</c:v>
                </c:pt>
                <c:pt idx="14">
                  <c:v>12.396615853708482</c:v>
                </c:pt>
                <c:pt idx="15">
                  <c:v>12.497960102753353</c:v>
                </c:pt>
                <c:pt idx="16">
                  <c:v>9.9006486008431125</c:v>
                </c:pt>
                <c:pt idx="17">
                  <c:v>9.903337098932866</c:v>
                </c:pt>
                <c:pt idx="18">
                  <c:v>8.4019928498879608</c:v>
                </c:pt>
                <c:pt idx="19">
                  <c:v>8.7087140951123843</c:v>
                </c:pt>
                <c:pt idx="20">
                  <c:v>6.7993043517982414</c:v>
                </c:pt>
                <c:pt idx="21">
                  <c:v>6.0898946084840873</c:v>
                </c:pt>
                <c:pt idx="22">
                  <c:v>4.697960102753342</c:v>
                </c:pt>
                <c:pt idx="23">
                  <c:v>5.1993043517982187</c:v>
                </c:pt>
                <c:pt idx="24">
                  <c:v>4.2019928498879722</c:v>
                </c:pt>
                <c:pt idx="25">
                  <c:v>1.9993043517982301</c:v>
                </c:pt>
                <c:pt idx="26">
                  <c:v>4.4952716046635999</c:v>
                </c:pt>
                <c:pt idx="27">
                  <c:v>5.0019928498879835</c:v>
                </c:pt>
                <c:pt idx="28">
                  <c:v>4.8100583441572553</c:v>
                </c:pt>
                <c:pt idx="29">
                  <c:v>3.1993043517982187</c:v>
                </c:pt>
                <c:pt idx="30">
                  <c:v>3.6073698460674848</c:v>
                </c:pt>
                <c:pt idx="31">
                  <c:v>1.5060255970226137</c:v>
                </c:pt>
                <c:pt idx="32">
                  <c:v>0.6952716046635885</c:v>
                </c:pt>
                <c:pt idx="33">
                  <c:v>0.20199284988797217</c:v>
                </c:pt>
                <c:pt idx="34">
                  <c:v>0.70064860084309544</c:v>
                </c:pt>
                <c:pt idx="35">
                  <c:v>1.004681347977737</c:v>
                </c:pt>
                <c:pt idx="36">
                  <c:v>-1.7953186520222459</c:v>
                </c:pt>
                <c:pt idx="37">
                  <c:v>-1.3899416558427333</c:v>
                </c:pt>
                <c:pt idx="38">
                  <c:v>1.492583106573818</c:v>
                </c:pt>
                <c:pt idx="39">
                  <c:v>4.8818291142147814</c:v>
                </c:pt>
                <c:pt idx="40">
                  <c:v>5.7966158537084596</c:v>
                </c:pt>
                <c:pt idx="41">
                  <c:v>2.5858618613494286</c:v>
                </c:pt>
                <c:pt idx="42">
                  <c:v>2.2898946084840759</c:v>
                </c:pt>
                <c:pt idx="43">
                  <c:v>3.3777963670801228</c:v>
                </c:pt>
                <c:pt idx="44">
                  <c:v>3.0845176123045235</c:v>
                </c:pt>
                <c:pt idx="45">
                  <c:v>5.697960102753342</c:v>
                </c:pt>
                <c:pt idx="46">
                  <c:v>5.8872061103943167</c:v>
                </c:pt>
                <c:pt idx="47">
                  <c:v>1.9885503594391878</c:v>
                </c:pt>
                <c:pt idx="48">
                  <c:v>0.79930435179824144</c:v>
                </c:pt>
                <c:pt idx="49">
                  <c:v>-1.6087611424710531</c:v>
                </c:pt>
                <c:pt idx="50">
                  <c:v>-1.6966629010671568</c:v>
                </c:pt>
                <c:pt idx="51">
                  <c:v>-2.2993513991569046</c:v>
                </c:pt>
                <c:pt idx="52">
                  <c:v>-1.1074168934261763</c:v>
                </c:pt>
                <c:pt idx="53">
                  <c:v>-2.2006956482017586</c:v>
                </c:pt>
                <c:pt idx="54">
                  <c:v>-1.3953186520222687</c:v>
                </c:pt>
                <c:pt idx="55">
                  <c:v>-3.6033841462915461</c:v>
                </c:pt>
                <c:pt idx="56">
                  <c:v>-4.4114496405608179</c:v>
                </c:pt>
                <c:pt idx="57">
                  <c:v>-5.0006956482017699</c:v>
                </c:pt>
                <c:pt idx="58">
                  <c:v>-6.0087611424710587</c:v>
                </c:pt>
                <c:pt idx="59">
                  <c:v>-5.8006956482017813</c:v>
                </c:pt>
                <c:pt idx="60">
                  <c:v>-6.0939744029773806</c:v>
                </c:pt>
                <c:pt idx="61">
                  <c:v>-7.6033841462915461</c:v>
                </c:pt>
                <c:pt idx="62">
                  <c:v>-8.4006956482017756</c:v>
                </c:pt>
                <c:pt idx="63">
                  <c:v>-7.8939744029773919</c:v>
                </c:pt>
                <c:pt idx="64">
                  <c:v>-7.8993513991568989</c:v>
                </c:pt>
                <c:pt idx="65">
                  <c:v>-4.4033841462915291</c:v>
                </c:pt>
                <c:pt idx="66">
                  <c:v>-5.0885974067978736</c:v>
                </c:pt>
                <c:pt idx="67">
                  <c:v>-5.8966629010671454</c:v>
                </c:pt>
                <c:pt idx="68">
                  <c:v>-2.9047283953364058</c:v>
                </c:pt>
                <c:pt idx="69">
                  <c:v>-5.8060726443813166</c:v>
                </c:pt>
                <c:pt idx="70">
                  <c:v>-7.1953186520222516</c:v>
                </c:pt>
                <c:pt idx="71">
                  <c:v>-9.302039897246658</c:v>
                </c:pt>
                <c:pt idx="72">
                  <c:v>-3.0006956482017699</c:v>
                </c:pt>
                <c:pt idx="73">
                  <c:v>-3.1020398972466694</c:v>
                </c:pt>
                <c:pt idx="74">
                  <c:v>-1.4993513991568932</c:v>
                </c:pt>
                <c:pt idx="75">
                  <c:v>-5.6033841462915461</c:v>
                </c:pt>
                <c:pt idx="76">
                  <c:v>-5.9980071501120165</c:v>
                </c:pt>
                <c:pt idx="77">
                  <c:v>-6.5953186520222573</c:v>
                </c:pt>
                <c:pt idx="78">
                  <c:v>-7.8939744029773919</c:v>
                </c:pt>
                <c:pt idx="79">
                  <c:v>-4.2006956482017586</c:v>
                </c:pt>
                <c:pt idx="80">
                  <c:v>-2.5926301539325038</c:v>
                </c:pt>
                <c:pt idx="81">
                  <c:v>-2.8060726443813166</c:v>
                </c:pt>
                <c:pt idx="82">
                  <c:v>-4.888597406797885</c:v>
                </c:pt>
                <c:pt idx="83">
                  <c:v>-6.4006956482017756</c:v>
                </c:pt>
                <c:pt idx="84">
                  <c:v>-4.7980071501120278</c:v>
                </c:pt>
                <c:pt idx="85">
                  <c:v>-4.1020398972466694</c:v>
                </c:pt>
                <c:pt idx="86">
                  <c:v>-0.20069564820175856</c:v>
                </c:pt>
                <c:pt idx="87">
                  <c:v>2.7966158537084596</c:v>
                </c:pt>
                <c:pt idx="88">
                  <c:v>-0.19531865202225163</c:v>
                </c:pt>
                <c:pt idx="89">
                  <c:v>-2.1020398972466694</c:v>
                </c:pt>
                <c:pt idx="90">
                  <c:v>-0.39800715011202215</c:v>
                </c:pt>
                <c:pt idx="91">
                  <c:v>-2.6006956482017642</c:v>
                </c:pt>
                <c:pt idx="92">
                  <c:v>8.9894608484087257E-2</c:v>
                </c:pt>
                <c:pt idx="93">
                  <c:v>9.2583106573812302E-2</c:v>
                </c:pt>
                <c:pt idx="94">
                  <c:v>-0.68859740679786796</c:v>
                </c:pt>
                <c:pt idx="95">
                  <c:v>-8.0531912528584826E-2</c:v>
                </c:pt>
                <c:pt idx="96">
                  <c:v>-2.2087611424710474</c:v>
                </c:pt>
                <c:pt idx="97">
                  <c:v>-4.2966629010671511</c:v>
                </c:pt>
                <c:pt idx="98">
                  <c:v>-5.1020398972466694</c:v>
                </c:pt>
                <c:pt idx="99">
                  <c:v>-3.7020398972466637</c:v>
                </c:pt>
                <c:pt idx="100">
                  <c:v>-4.6060726443812996</c:v>
                </c:pt>
                <c:pt idx="101">
                  <c:v>-4.2195151348300897</c:v>
                </c:pt>
                <c:pt idx="102">
                  <c:v>2.7993043517982414</c:v>
                </c:pt>
                <c:pt idx="103">
                  <c:v>3.3006486008430898</c:v>
                </c:pt>
                <c:pt idx="104">
                  <c:v>1.5993043517982528</c:v>
                </c:pt>
                <c:pt idx="105">
                  <c:v>-0.21144964056082927</c:v>
                </c:pt>
                <c:pt idx="106">
                  <c:v>-1.1208593838749437</c:v>
                </c:pt>
                <c:pt idx="107">
                  <c:v>-3.3980071501120221</c:v>
                </c:pt>
                <c:pt idx="108">
                  <c:v>-4.6006956482017642</c:v>
                </c:pt>
                <c:pt idx="109">
                  <c:v>-5.4168266367403248</c:v>
                </c:pt>
                <c:pt idx="110">
                  <c:v>-6.712793889605706</c:v>
                </c:pt>
                <c:pt idx="111">
                  <c:v>-4.0939744029773806</c:v>
                </c:pt>
                <c:pt idx="112">
                  <c:v>-2.9980071501120165</c:v>
                </c:pt>
                <c:pt idx="113">
                  <c:v>-6.7980071501120278</c:v>
                </c:pt>
                <c:pt idx="114">
                  <c:v>-6.3980071501120221</c:v>
                </c:pt>
                <c:pt idx="115">
                  <c:v>-7.1899416558427447</c:v>
                </c:pt>
                <c:pt idx="116">
                  <c:v>-9.1127938896056833</c:v>
                </c:pt>
                <c:pt idx="117">
                  <c:v>-10.099351399156888</c:v>
                </c:pt>
                <c:pt idx="118">
                  <c:v>-10.499351399156893</c:v>
                </c:pt>
                <c:pt idx="119">
                  <c:v>-11.104728395336423</c:v>
                </c:pt>
                <c:pt idx="120">
                  <c:v>-9.4939744029773863</c:v>
                </c:pt>
                <c:pt idx="121">
                  <c:v>-7.6966629010671568</c:v>
                </c:pt>
                <c:pt idx="122">
                  <c:v>-6.5154823876954708</c:v>
                </c:pt>
                <c:pt idx="123">
                  <c:v>-4.2966629010671511</c:v>
                </c:pt>
                <c:pt idx="124">
                  <c:v>-2.4993513991568932</c:v>
                </c:pt>
                <c:pt idx="125">
                  <c:v>-4.4006956482017756</c:v>
                </c:pt>
                <c:pt idx="126">
                  <c:v>-2.4006956482017756</c:v>
                </c:pt>
                <c:pt idx="127">
                  <c:v>-2.3127938896057003</c:v>
                </c:pt>
                <c:pt idx="128">
                  <c:v>-2.8114496405608236</c:v>
                </c:pt>
                <c:pt idx="129">
                  <c:v>2.3006486008430898</c:v>
                </c:pt>
                <c:pt idx="130">
                  <c:v>-0.9074168934261877</c:v>
                </c:pt>
                <c:pt idx="131">
                  <c:v>0.4019928498879608</c:v>
                </c:pt>
                <c:pt idx="132">
                  <c:v>-0.40338414629152908</c:v>
                </c:pt>
                <c:pt idx="133">
                  <c:v>1.1033370989328546</c:v>
                </c:pt>
                <c:pt idx="134">
                  <c:v>0.98317336325965243</c:v>
                </c:pt>
                <c:pt idx="135">
                  <c:v>2.8979601027533306</c:v>
                </c:pt>
                <c:pt idx="136">
                  <c:v>-3.302039897246658</c:v>
                </c:pt>
                <c:pt idx="137">
                  <c:v>-5.0060726443813053</c:v>
                </c:pt>
                <c:pt idx="138">
                  <c:v>-3.8993513991568989</c:v>
                </c:pt>
                <c:pt idx="139">
                  <c:v>-6.712793889605706</c:v>
                </c:pt>
                <c:pt idx="140">
                  <c:v>-6.3926301539325152</c:v>
                </c:pt>
                <c:pt idx="141">
                  <c:v>-4.3953186520222687</c:v>
                </c:pt>
                <c:pt idx="142">
                  <c:v>-1.6966629010671568</c:v>
                </c:pt>
                <c:pt idx="143">
                  <c:v>-3.6939744029773749</c:v>
                </c:pt>
                <c:pt idx="144">
                  <c:v>-1.5926301539325038</c:v>
                </c:pt>
                <c:pt idx="145">
                  <c:v>-4.1020398972466694</c:v>
                </c:pt>
                <c:pt idx="146">
                  <c:v>-5.8033841462915348</c:v>
                </c:pt>
                <c:pt idx="147">
                  <c:v>-0.69128590488762143</c:v>
                </c:pt>
                <c:pt idx="148">
                  <c:v>-0.70472839533641718</c:v>
                </c:pt>
                <c:pt idx="149">
                  <c:v>-2.507416893426182</c:v>
                </c:pt>
                <c:pt idx="150">
                  <c:v>-1.406072644381311</c:v>
                </c:pt>
                <c:pt idx="151">
                  <c:v>-1.8993513991568989</c:v>
                </c:pt>
                <c:pt idx="152">
                  <c:v>-2.9980071501120165</c:v>
                </c:pt>
                <c:pt idx="153">
                  <c:v>-3.1953186520222516</c:v>
                </c:pt>
                <c:pt idx="154">
                  <c:v>-5.9020398972466808</c:v>
                </c:pt>
                <c:pt idx="155">
                  <c:v>-2.4033841462915291</c:v>
                </c:pt>
                <c:pt idx="156">
                  <c:v>-3.1154823876954651</c:v>
                </c:pt>
                <c:pt idx="157">
                  <c:v>3.593927355618689</c:v>
                </c:pt>
                <c:pt idx="158">
                  <c:v>-1.3154823876954538</c:v>
                </c:pt>
                <c:pt idx="159">
                  <c:v>-1.4912859048876044</c:v>
                </c:pt>
                <c:pt idx="160">
                  <c:v>-2.9980071501120165</c:v>
                </c:pt>
                <c:pt idx="161">
                  <c:v>-0.91010539151591274</c:v>
                </c:pt>
                <c:pt idx="162">
                  <c:v>-0.71010539151592411</c:v>
                </c:pt>
                <c:pt idx="163">
                  <c:v>0.91409109129190824</c:v>
                </c:pt>
                <c:pt idx="164">
                  <c:v>-3.5047283953364001</c:v>
                </c:pt>
                <c:pt idx="165">
                  <c:v>3.007369846067462</c:v>
                </c:pt>
                <c:pt idx="166">
                  <c:v>0.79930435179824144</c:v>
                </c:pt>
                <c:pt idx="167">
                  <c:v>-3.9101053915159127</c:v>
                </c:pt>
                <c:pt idx="168">
                  <c:v>-8.0087611424710587</c:v>
                </c:pt>
                <c:pt idx="169">
                  <c:v>-5.6939744029773749</c:v>
                </c:pt>
                <c:pt idx="170">
                  <c:v>-6.2141381386505827</c:v>
                </c:pt>
                <c:pt idx="171">
                  <c:v>-5.0087611424710587</c:v>
                </c:pt>
                <c:pt idx="172">
                  <c:v>-2.7980071501120278</c:v>
                </c:pt>
                <c:pt idx="173">
                  <c:v>0.39661585370845387</c:v>
                </c:pt>
                <c:pt idx="174">
                  <c:v>-2.8060726443813166</c:v>
                </c:pt>
                <c:pt idx="175">
                  <c:v>-3.3101053915159184</c:v>
                </c:pt>
                <c:pt idx="176">
                  <c:v>-3.7980071501120278</c:v>
                </c:pt>
                <c:pt idx="177">
                  <c:v>-2.9899416558427561</c:v>
                </c:pt>
                <c:pt idx="178">
                  <c:v>-3.0060726443813053</c:v>
                </c:pt>
                <c:pt idx="179">
                  <c:v>-1.507416893426182</c:v>
                </c:pt>
                <c:pt idx="180">
                  <c:v>-1.2006956482017586</c:v>
                </c:pt>
                <c:pt idx="181">
                  <c:v>-0.50472839533640013</c:v>
                </c:pt>
                <c:pt idx="182">
                  <c:v>-1.7074168934261706</c:v>
                </c:pt>
                <c:pt idx="183">
                  <c:v>-1.7980071501120278</c:v>
                </c:pt>
                <c:pt idx="184">
                  <c:v>-2.8033841462915348</c:v>
                </c:pt>
                <c:pt idx="185">
                  <c:v>-1.3047283953364115</c:v>
                </c:pt>
                <c:pt idx="186">
                  <c:v>-3.1074168934261763</c:v>
                </c:pt>
                <c:pt idx="187">
                  <c:v>-3.2033841462915404</c:v>
                </c:pt>
                <c:pt idx="188">
                  <c:v>-2.2033841462915404</c:v>
                </c:pt>
                <c:pt idx="189">
                  <c:v>-3.1074168934261763</c:v>
                </c:pt>
                <c:pt idx="190">
                  <c:v>-2.3953186520222687</c:v>
                </c:pt>
                <c:pt idx="191">
                  <c:v>-1.8939744029773919</c:v>
                </c:pt>
                <c:pt idx="192">
                  <c:v>-1.406072644381311</c:v>
                </c:pt>
                <c:pt idx="193">
                  <c:v>3.4450088193241299</c:v>
                </c:pt>
                <c:pt idx="194">
                  <c:v>2.4898946084840645</c:v>
                </c:pt>
                <c:pt idx="195">
                  <c:v>0.19661585370846524</c:v>
                </c:pt>
                <c:pt idx="196">
                  <c:v>-2.7980071501120278</c:v>
                </c:pt>
                <c:pt idx="197">
                  <c:v>-1.3047283953364115</c:v>
                </c:pt>
                <c:pt idx="198">
                  <c:v>1.0127468422470258</c:v>
                </c:pt>
                <c:pt idx="199">
                  <c:v>-2.1154823876954651</c:v>
                </c:pt>
                <c:pt idx="200">
                  <c:v>2.7993043517982414</c:v>
                </c:pt>
                <c:pt idx="201">
                  <c:v>-1.1316133762340428</c:v>
                </c:pt>
                <c:pt idx="202">
                  <c:v>4.7966158537084596</c:v>
                </c:pt>
                <c:pt idx="203">
                  <c:v>6.1912388575289583</c:v>
                </c:pt>
                <c:pt idx="204">
                  <c:v>4.1885503594391764</c:v>
                </c:pt>
                <c:pt idx="205">
                  <c:v>5.8791406161250279</c:v>
                </c:pt>
                <c:pt idx="206">
                  <c:v>9.388550359439165</c:v>
                </c:pt>
                <c:pt idx="207">
                  <c:v>5.9912388575289697</c:v>
                </c:pt>
                <c:pt idx="208">
                  <c:v>2.0979601027533192</c:v>
                </c:pt>
                <c:pt idx="209">
                  <c:v>1.6872061103943281</c:v>
                </c:pt>
                <c:pt idx="210">
                  <c:v>5.0898946084840873</c:v>
                </c:pt>
                <c:pt idx="211">
                  <c:v>5.5912388575289356</c:v>
                </c:pt>
                <c:pt idx="212">
                  <c:v>5.9912388575289697</c:v>
                </c:pt>
                <c:pt idx="213">
                  <c:v>7.8925831065737952</c:v>
                </c:pt>
                <c:pt idx="214">
                  <c:v>0.79392735561867767</c:v>
                </c:pt>
                <c:pt idx="215">
                  <c:v>1.3939273556187004</c:v>
                </c:pt>
                <c:pt idx="216">
                  <c:v>3.3033370989328432</c:v>
                </c:pt>
                <c:pt idx="217">
                  <c:v>3.0898946084840873</c:v>
                </c:pt>
                <c:pt idx="218">
                  <c:v>3.2925831065738294</c:v>
                </c:pt>
                <c:pt idx="219">
                  <c:v>5.9993043517982301</c:v>
                </c:pt>
                <c:pt idx="220">
                  <c:v>6.5033370989328319</c:v>
                </c:pt>
                <c:pt idx="221">
                  <c:v>5.1885503594391764</c:v>
                </c:pt>
                <c:pt idx="222">
                  <c:v>2.9858618613494059</c:v>
                </c:pt>
                <c:pt idx="223">
                  <c:v>3.1939273556187118</c:v>
                </c:pt>
                <c:pt idx="224">
                  <c:v>0.90064860084311249</c:v>
                </c:pt>
                <c:pt idx="225">
                  <c:v>0.60736984606748479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6-496B-A9FA-7A8E2CF3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3455"/>
        <c:axId val="2123654895"/>
      </c:scatterChart>
      <c:valAx>
        <c:axId val="21236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4895"/>
        <c:crosses val="autoZero"/>
        <c:crossBetween val="midCat"/>
      </c:valAx>
      <c:valAx>
        <c:axId val="21236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Log'!$H$2:$H$227</c:f>
              <c:numCache>
                <c:formatCode>0.00</c:formatCode>
                <c:ptCount val="226"/>
                <c:pt idx="0">
                  <c:v>74</c:v>
                </c:pt>
                <c:pt idx="1">
                  <c:v>67</c:v>
                </c:pt>
                <c:pt idx="2">
                  <c:v>71</c:v>
                </c:pt>
                <c:pt idx="3">
                  <c:v>76</c:v>
                </c:pt>
                <c:pt idx="4">
                  <c:v>84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76</c:v>
                </c:pt>
                <c:pt idx="9">
                  <c:v>71</c:v>
                </c:pt>
                <c:pt idx="10">
                  <c:v>67</c:v>
                </c:pt>
                <c:pt idx="11">
                  <c:v>60</c:v>
                </c:pt>
                <c:pt idx="12">
                  <c:v>67</c:v>
                </c:pt>
                <c:pt idx="13">
                  <c:v>62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67</c:v>
                </c:pt>
                <c:pt idx="18">
                  <c:v>67</c:v>
                </c:pt>
                <c:pt idx="19">
                  <c:v>60</c:v>
                </c:pt>
                <c:pt idx="20">
                  <c:v>74</c:v>
                </c:pt>
                <c:pt idx="21">
                  <c:v>61</c:v>
                </c:pt>
                <c:pt idx="22">
                  <c:v>69</c:v>
                </c:pt>
                <c:pt idx="23">
                  <c:v>58</c:v>
                </c:pt>
                <c:pt idx="24">
                  <c:v>59</c:v>
                </c:pt>
                <c:pt idx="25">
                  <c:v>62</c:v>
                </c:pt>
                <c:pt idx="26">
                  <c:v>65</c:v>
                </c:pt>
                <c:pt idx="27">
                  <c:v>73</c:v>
                </c:pt>
                <c:pt idx="28">
                  <c:v>61</c:v>
                </c:pt>
                <c:pt idx="29">
                  <c:v>72</c:v>
                </c:pt>
                <c:pt idx="30">
                  <c:v>70</c:v>
                </c:pt>
                <c:pt idx="31">
                  <c:v>70</c:v>
                </c:pt>
                <c:pt idx="32">
                  <c:v>64</c:v>
                </c:pt>
                <c:pt idx="33">
                  <c:v>55</c:v>
                </c:pt>
                <c:pt idx="34">
                  <c:v>60</c:v>
                </c:pt>
                <c:pt idx="35">
                  <c:v>64</c:v>
                </c:pt>
                <c:pt idx="36">
                  <c:v>68</c:v>
                </c:pt>
                <c:pt idx="37">
                  <c:v>73</c:v>
                </c:pt>
                <c:pt idx="38">
                  <c:v>69</c:v>
                </c:pt>
                <c:pt idx="39">
                  <c:v>76</c:v>
                </c:pt>
                <c:pt idx="40">
                  <c:v>83</c:v>
                </c:pt>
                <c:pt idx="41">
                  <c:v>81</c:v>
                </c:pt>
                <c:pt idx="42">
                  <c:v>73</c:v>
                </c:pt>
                <c:pt idx="43">
                  <c:v>72</c:v>
                </c:pt>
                <c:pt idx="44">
                  <c:v>76</c:v>
                </c:pt>
                <c:pt idx="45">
                  <c:v>74</c:v>
                </c:pt>
                <c:pt idx="46">
                  <c:v>86</c:v>
                </c:pt>
                <c:pt idx="47">
                  <c:v>70</c:v>
                </c:pt>
                <c:pt idx="48">
                  <c:v>68</c:v>
                </c:pt>
                <c:pt idx="49">
                  <c:v>67</c:v>
                </c:pt>
                <c:pt idx="50">
                  <c:v>65</c:v>
                </c:pt>
                <c:pt idx="51">
                  <c:v>71</c:v>
                </c:pt>
                <c:pt idx="52">
                  <c:v>69</c:v>
                </c:pt>
                <c:pt idx="53">
                  <c:v>64</c:v>
                </c:pt>
                <c:pt idx="54">
                  <c:v>78</c:v>
                </c:pt>
                <c:pt idx="55">
                  <c:v>64</c:v>
                </c:pt>
                <c:pt idx="56">
                  <c:v>78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65</c:v>
                </c:pt>
                <c:pt idx="61">
                  <c:v>62</c:v>
                </c:pt>
                <c:pt idx="62">
                  <c:v>64</c:v>
                </c:pt>
                <c:pt idx="63">
                  <c:v>66</c:v>
                </c:pt>
                <c:pt idx="64">
                  <c:v>65</c:v>
                </c:pt>
                <c:pt idx="65">
                  <c:v>80</c:v>
                </c:pt>
                <c:pt idx="66">
                  <c:v>79</c:v>
                </c:pt>
                <c:pt idx="67">
                  <c:v>61</c:v>
                </c:pt>
                <c:pt idx="68">
                  <c:v>70</c:v>
                </c:pt>
                <c:pt idx="69">
                  <c:v>71</c:v>
                </c:pt>
                <c:pt idx="70">
                  <c:v>69</c:v>
                </c:pt>
                <c:pt idx="71">
                  <c:v>63</c:v>
                </c:pt>
                <c:pt idx="72">
                  <c:v>68</c:v>
                </c:pt>
                <c:pt idx="73">
                  <c:v>69</c:v>
                </c:pt>
                <c:pt idx="74">
                  <c:v>63</c:v>
                </c:pt>
                <c:pt idx="75">
                  <c:v>68</c:v>
                </c:pt>
                <c:pt idx="76">
                  <c:v>61</c:v>
                </c:pt>
                <c:pt idx="77">
                  <c:v>61</c:v>
                </c:pt>
                <c:pt idx="78">
                  <c:v>70</c:v>
                </c:pt>
                <c:pt idx="79">
                  <c:v>60</c:v>
                </c:pt>
                <c:pt idx="80">
                  <c:v>86</c:v>
                </c:pt>
                <c:pt idx="81">
                  <c:v>66</c:v>
                </c:pt>
                <c:pt idx="82">
                  <c:v>65</c:v>
                </c:pt>
                <c:pt idx="83">
                  <c:v>75</c:v>
                </c:pt>
                <c:pt idx="84">
                  <c:v>66</c:v>
                </c:pt>
                <c:pt idx="85">
                  <c:v>76</c:v>
                </c:pt>
                <c:pt idx="86">
                  <c:v>68</c:v>
                </c:pt>
                <c:pt idx="87">
                  <c:v>72</c:v>
                </c:pt>
                <c:pt idx="88">
                  <c:v>64</c:v>
                </c:pt>
                <c:pt idx="89">
                  <c:v>68</c:v>
                </c:pt>
                <c:pt idx="90">
                  <c:v>72</c:v>
                </c:pt>
                <c:pt idx="91">
                  <c:v>74</c:v>
                </c:pt>
                <c:pt idx="92">
                  <c:v>87</c:v>
                </c:pt>
                <c:pt idx="93">
                  <c:v>62</c:v>
                </c:pt>
                <c:pt idx="94">
                  <c:v>62</c:v>
                </c:pt>
                <c:pt idx="95">
                  <c:v>69</c:v>
                </c:pt>
                <c:pt idx="96">
                  <c:v>76</c:v>
                </c:pt>
                <c:pt idx="97">
                  <c:v>58</c:v>
                </c:pt>
                <c:pt idx="98">
                  <c:v>61</c:v>
                </c:pt>
                <c:pt idx="99">
                  <c:v>72</c:v>
                </c:pt>
                <c:pt idx="100">
                  <c:v>65</c:v>
                </c:pt>
                <c:pt idx="101">
                  <c:v>75</c:v>
                </c:pt>
                <c:pt idx="102">
                  <c:v>68</c:v>
                </c:pt>
                <c:pt idx="103">
                  <c:v>76</c:v>
                </c:pt>
                <c:pt idx="104">
                  <c:v>68</c:v>
                </c:pt>
                <c:pt idx="105">
                  <c:v>77</c:v>
                </c:pt>
                <c:pt idx="106">
                  <c:v>69</c:v>
                </c:pt>
                <c:pt idx="107">
                  <c:v>68</c:v>
                </c:pt>
                <c:pt idx="108">
                  <c:v>67</c:v>
                </c:pt>
                <c:pt idx="109">
                  <c:v>72</c:v>
                </c:pt>
                <c:pt idx="110">
                  <c:v>78</c:v>
                </c:pt>
                <c:pt idx="111">
                  <c:v>66</c:v>
                </c:pt>
                <c:pt idx="112">
                  <c:v>76</c:v>
                </c:pt>
                <c:pt idx="113">
                  <c:v>71</c:v>
                </c:pt>
                <c:pt idx="114">
                  <c:v>66</c:v>
                </c:pt>
                <c:pt idx="115">
                  <c:v>63</c:v>
                </c:pt>
                <c:pt idx="116">
                  <c:v>68</c:v>
                </c:pt>
                <c:pt idx="117">
                  <c:v>66</c:v>
                </c:pt>
                <c:pt idx="118">
                  <c:v>65</c:v>
                </c:pt>
                <c:pt idx="119">
                  <c:v>73</c:v>
                </c:pt>
                <c:pt idx="120">
                  <c:v>71</c:v>
                </c:pt>
                <c:pt idx="121">
                  <c:v>64</c:v>
                </c:pt>
                <c:pt idx="122">
                  <c:v>96</c:v>
                </c:pt>
                <c:pt idx="123">
                  <c:v>70</c:v>
                </c:pt>
                <c:pt idx="124">
                  <c:v>76</c:v>
                </c:pt>
                <c:pt idx="125">
                  <c:v>75</c:v>
                </c:pt>
                <c:pt idx="126">
                  <c:v>63</c:v>
                </c:pt>
                <c:pt idx="127">
                  <c:v>99</c:v>
                </c:pt>
                <c:pt idx="128">
                  <c:v>67</c:v>
                </c:pt>
                <c:pt idx="129">
                  <c:v>77</c:v>
                </c:pt>
                <c:pt idx="130">
                  <c:v>73</c:v>
                </c:pt>
                <c:pt idx="131">
                  <c:v>74</c:v>
                </c:pt>
                <c:pt idx="132">
                  <c:v>86</c:v>
                </c:pt>
                <c:pt idx="133">
                  <c:v>69</c:v>
                </c:pt>
                <c:pt idx="134">
                  <c:v>74</c:v>
                </c:pt>
                <c:pt idx="135">
                  <c:v>66</c:v>
                </c:pt>
                <c:pt idx="136">
                  <c:v>69</c:v>
                </c:pt>
                <c:pt idx="137">
                  <c:v>74</c:v>
                </c:pt>
                <c:pt idx="138">
                  <c:v>71</c:v>
                </c:pt>
                <c:pt idx="139">
                  <c:v>86</c:v>
                </c:pt>
                <c:pt idx="140">
                  <c:v>74</c:v>
                </c:pt>
                <c:pt idx="141">
                  <c:v>68</c:v>
                </c:pt>
                <c:pt idx="142">
                  <c:v>72</c:v>
                </c:pt>
                <c:pt idx="143">
                  <c:v>78</c:v>
                </c:pt>
                <c:pt idx="144">
                  <c:v>63</c:v>
                </c:pt>
                <c:pt idx="145">
                  <c:v>74</c:v>
                </c:pt>
                <c:pt idx="146">
                  <c:v>75</c:v>
                </c:pt>
                <c:pt idx="147">
                  <c:v>68</c:v>
                </c:pt>
                <c:pt idx="148">
                  <c:v>75</c:v>
                </c:pt>
                <c:pt idx="149">
                  <c:v>65</c:v>
                </c:pt>
                <c:pt idx="150">
                  <c:v>76</c:v>
                </c:pt>
                <c:pt idx="151">
                  <c:v>82</c:v>
                </c:pt>
                <c:pt idx="152">
                  <c:v>75</c:v>
                </c:pt>
                <c:pt idx="153">
                  <c:v>66</c:v>
                </c:pt>
                <c:pt idx="154">
                  <c:v>85</c:v>
                </c:pt>
                <c:pt idx="155">
                  <c:v>77</c:v>
                </c:pt>
                <c:pt idx="156">
                  <c:v>78</c:v>
                </c:pt>
                <c:pt idx="157">
                  <c:v>86</c:v>
                </c:pt>
                <c:pt idx="158">
                  <c:v>70</c:v>
                </c:pt>
                <c:pt idx="159">
                  <c:v>66</c:v>
                </c:pt>
                <c:pt idx="160">
                  <c:v>69</c:v>
                </c:pt>
                <c:pt idx="161">
                  <c:v>99</c:v>
                </c:pt>
                <c:pt idx="162">
                  <c:v>76</c:v>
                </c:pt>
                <c:pt idx="163">
                  <c:v>85</c:v>
                </c:pt>
                <c:pt idx="164">
                  <c:v>74</c:v>
                </c:pt>
                <c:pt idx="165">
                  <c:v>68</c:v>
                </c:pt>
                <c:pt idx="166">
                  <c:v>56</c:v>
                </c:pt>
                <c:pt idx="167">
                  <c:v>98</c:v>
                </c:pt>
                <c:pt idx="168">
                  <c:v>99</c:v>
                </c:pt>
                <c:pt idx="169">
                  <c:v>75</c:v>
                </c:pt>
                <c:pt idx="170">
                  <c:v>83</c:v>
                </c:pt>
                <c:pt idx="171">
                  <c:v>73</c:v>
                </c:pt>
                <c:pt idx="172">
                  <c:v>73</c:v>
                </c:pt>
                <c:pt idx="173">
                  <c:v>78</c:v>
                </c:pt>
                <c:pt idx="174">
                  <c:v>64</c:v>
                </c:pt>
                <c:pt idx="175">
                  <c:v>72</c:v>
                </c:pt>
                <c:pt idx="176">
                  <c:v>69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76</c:v>
                </c:pt>
                <c:pt idx="182">
                  <c:v>83</c:v>
                </c:pt>
                <c:pt idx="183">
                  <c:v>75</c:v>
                </c:pt>
                <c:pt idx="184">
                  <c:v>69</c:v>
                </c:pt>
                <c:pt idx="185">
                  <c:v>73</c:v>
                </c:pt>
                <c:pt idx="186">
                  <c:v>74</c:v>
                </c:pt>
                <c:pt idx="187">
                  <c:v>73</c:v>
                </c:pt>
                <c:pt idx="188">
                  <c:v>78</c:v>
                </c:pt>
                <c:pt idx="189">
                  <c:v>70</c:v>
                </c:pt>
                <c:pt idx="190">
                  <c:v>57</c:v>
                </c:pt>
                <c:pt idx="191">
                  <c:v>70</c:v>
                </c:pt>
                <c:pt idx="192">
                  <c:v>82</c:v>
                </c:pt>
                <c:pt idx="193">
                  <c:v>79</c:v>
                </c:pt>
                <c:pt idx="194">
                  <c:v>75</c:v>
                </c:pt>
                <c:pt idx="195">
                  <c:v>64</c:v>
                </c:pt>
                <c:pt idx="196">
                  <c:v>83</c:v>
                </c:pt>
                <c:pt idx="197">
                  <c:v>64</c:v>
                </c:pt>
                <c:pt idx="198">
                  <c:v>91</c:v>
                </c:pt>
                <c:pt idx="199">
                  <c:v>90</c:v>
                </c:pt>
                <c:pt idx="200">
                  <c:v>80</c:v>
                </c:pt>
                <c:pt idx="201">
                  <c:v>70</c:v>
                </c:pt>
                <c:pt idx="202">
                  <c:v>79</c:v>
                </c:pt>
                <c:pt idx="203">
                  <c:v>70</c:v>
                </c:pt>
                <c:pt idx="204">
                  <c:v>76</c:v>
                </c:pt>
                <c:pt idx="205">
                  <c:v>81</c:v>
                </c:pt>
                <c:pt idx="206">
                  <c:v>80</c:v>
                </c:pt>
                <c:pt idx="207">
                  <c:v>67</c:v>
                </c:pt>
                <c:pt idx="208">
                  <c:v>74</c:v>
                </c:pt>
                <c:pt idx="209">
                  <c:v>75</c:v>
                </c:pt>
                <c:pt idx="210">
                  <c:v>75</c:v>
                </c:pt>
                <c:pt idx="211">
                  <c:v>78</c:v>
                </c:pt>
                <c:pt idx="212">
                  <c:v>71</c:v>
                </c:pt>
                <c:pt idx="213">
                  <c:v>77</c:v>
                </c:pt>
                <c:pt idx="214">
                  <c:v>82</c:v>
                </c:pt>
                <c:pt idx="215">
                  <c:v>61</c:v>
                </c:pt>
                <c:pt idx="216">
                  <c:v>79</c:v>
                </c:pt>
                <c:pt idx="217">
                  <c:v>66</c:v>
                </c:pt>
                <c:pt idx="218">
                  <c:v>83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78</c:v>
                </c:pt>
                <c:pt idx="223">
                  <c:v>60</c:v>
                </c:pt>
                <c:pt idx="224">
                  <c:v>60</c:v>
                </c:pt>
                <c:pt idx="225">
                  <c:v>63</c:v>
                </c:pt>
              </c:numCache>
            </c:numRef>
          </c:xVal>
          <c:yVal>
            <c:numRef>
              <c:f>Residuals!$Q$2:$Q$227</c:f>
              <c:numCache>
                <c:formatCode>0.00</c:formatCode>
                <c:ptCount val="226"/>
                <c:pt idx="0">
                  <c:v>20.490010497115946</c:v>
                </c:pt>
                <c:pt idx="1">
                  <c:v>16.677215926815592</c:v>
                </c:pt>
                <c:pt idx="2">
                  <c:v>16.684527109844367</c:v>
                </c:pt>
                <c:pt idx="3">
                  <c:v>17.693666088630295</c:v>
                </c:pt>
                <c:pt idx="4">
                  <c:v>14.508288454687829</c:v>
                </c:pt>
                <c:pt idx="5">
                  <c:v>13.468076948029648</c:v>
                </c:pt>
                <c:pt idx="6">
                  <c:v>13.684527109844367</c:v>
                </c:pt>
                <c:pt idx="7">
                  <c:v>13.684527109844367</c:v>
                </c:pt>
                <c:pt idx="8">
                  <c:v>14.29366608863026</c:v>
                </c:pt>
                <c:pt idx="9">
                  <c:v>17.484527109844379</c:v>
                </c:pt>
                <c:pt idx="10">
                  <c:v>15.677215926815592</c:v>
                </c:pt>
                <c:pt idx="11">
                  <c:v>13.264421356515243</c:v>
                </c:pt>
                <c:pt idx="12">
                  <c:v>11.477215926815603</c:v>
                </c:pt>
                <c:pt idx="13">
                  <c:v>14.468076948029648</c:v>
                </c:pt>
                <c:pt idx="14">
                  <c:v>12.475388131058423</c:v>
                </c:pt>
                <c:pt idx="15">
                  <c:v>12.464421356515288</c:v>
                </c:pt>
                <c:pt idx="16">
                  <c:v>9.6589379692437092</c:v>
                </c:pt>
                <c:pt idx="17">
                  <c:v>9.4772159268156031</c:v>
                </c:pt>
                <c:pt idx="18">
                  <c:v>8.077215926815569</c:v>
                </c:pt>
                <c:pt idx="19">
                  <c:v>7.8644213565152654</c:v>
                </c:pt>
                <c:pt idx="20">
                  <c:v>6.6900104971159351</c:v>
                </c:pt>
                <c:pt idx="21">
                  <c:v>6.6662491522724565</c:v>
                </c:pt>
                <c:pt idx="22">
                  <c:v>4.6808715183299796</c:v>
                </c:pt>
                <c:pt idx="23">
                  <c:v>5.0607657650008662</c:v>
                </c:pt>
                <c:pt idx="24">
                  <c:v>3.8625935607580573</c:v>
                </c:pt>
                <c:pt idx="25">
                  <c:v>1.8680769480296249</c:v>
                </c:pt>
                <c:pt idx="26">
                  <c:v>4.6735603353012323</c:v>
                </c:pt>
                <c:pt idx="27">
                  <c:v>4.6881827013587269</c:v>
                </c:pt>
                <c:pt idx="28">
                  <c:v>3.8662491522724451</c:v>
                </c:pt>
                <c:pt idx="29">
                  <c:v>3.0863549056015245</c:v>
                </c:pt>
                <c:pt idx="30">
                  <c:v>2.882699314087148</c:v>
                </c:pt>
                <c:pt idx="31">
                  <c:v>0.88269931408714797</c:v>
                </c:pt>
                <c:pt idx="32">
                  <c:v>0.87173253954401275</c:v>
                </c:pt>
                <c:pt idx="33">
                  <c:v>-0.14471762227069007</c:v>
                </c:pt>
                <c:pt idx="34">
                  <c:v>0.46442135651525973</c:v>
                </c:pt>
                <c:pt idx="35">
                  <c:v>0.47173253954400707</c:v>
                </c:pt>
                <c:pt idx="36">
                  <c:v>-2.3209562774272001</c:v>
                </c:pt>
                <c:pt idx="37">
                  <c:v>-2.3118172986412731</c:v>
                </c:pt>
                <c:pt idx="38">
                  <c:v>1.8808715183299682</c:v>
                </c:pt>
                <c:pt idx="39">
                  <c:v>6.0936660886302718</c:v>
                </c:pt>
                <c:pt idx="40">
                  <c:v>5.9064606589306266</c:v>
                </c:pt>
                <c:pt idx="41">
                  <c:v>3.5028050674162614</c:v>
                </c:pt>
                <c:pt idx="42">
                  <c:v>2.8881827013587156</c:v>
                </c:pt>
                <c:pt idx="43">
                  <c:v>4.8863549056015358</c:v>
                </c:pt>
                <c:pt idx="44">
                  <c:v>4.0936660886302718</c:v>
                </c:pt>
                <c:pt idx="45">
                  <c:v>5.6900104971159351</c:v>
                </c:pt>
                <c:pt idx="46">
                  <c:v>6.7119440462022055</c:v>
                </c:pt>
                <c:pt idx="47">
                  <c:v>2.6826993140871593</c:v>
                </c:pt>
                <c:pt idx="48">
                  <c:v>0.67904372257279988</c:v>
                </c:pt>
                <c:pt idx="49">
                  <c:v>-1.1227840731844196</c:v>
                </c:pt>
                <c:pt idx="50">
                  <c:v>-2.1264396646987791</c:v>
                </c:pt>
                <c:pt idx="51">
                  <c:v>-2.5154728901556496</c:v>
                </c:pt>
                <c:pt idx="52">
                  <c:v>-0.71912848167002608</c:v>
                </c:pt>
                <c:pt idx="53">
                  <c:v>-2.3282674604559759</c:v>
                </c:pt>
                <c:pt idx="54">
                  <c:v>-1.9026783198553403</c:v>
                </c:pt>
                <c:pt idx="55">
                  <c:v>-3.5282674604559929</c:v>
                </c:pt>
                <c:pt idx="56">
                  <c:v>-3.7026783198553233</c:v>
                </c:pt>
                <c:pt idx="57">
                  <c:v>-5.1337508477275549</c:v>
                </c:pt>
                <c:pt idx="58">
                  <c:v>-5.5319230519703808</c:v>
                </c:pt>
                <c:pt idx="59">
                  <c:v>-5.9300952562131783</c:v>
                </c:pt>
                <c:pt idx="60">
                  <c:v>-6.7264396646987734</c:v>
                </c:pt>
                <c:pt idx="61">
                  <c:v>-7.5319230519703808</c:v>
                </c:pt>
                <c:pt idx="62">
                  <c:v>-8.5282674604559929</c:v>
                </c:pt>
                <c:pt idx="63">
                  <c:v>-8.5246118689416051</c:v>
                </c:pt>
                <c:pt idx="64">
                  <c:v>-8.1264396646987791</c:v>
                </c:pt>
                <c:pt idx="65">
                  <c:v>-4.2990227283409297</c:v>
                </c:pt>
                <c:pt idx="66">
                  <c:v>-6.1008505240981208</c:v>
                </c:pt>
                <c:pt idx="67">
                  <c:v>-6.3337508477275435</c:v>
                </c:pt>
                <c:pt idx="68">
                  <c:v>-2.7173006859128463</c:v>
                </c:pt>
                <c:pt idx="69">
                  <c:v>-5.5154728901556496</c:v>
                </c:pt>
                <c:pt idx="70">
                  <c:v>-7.7191284816700261</c:v>
                </c:pt>
                <c:pt idx="71">
                  <c:v>-9.3300952562131556</c:v>
                </c:pt>
                <c:pt idx="72">
                  <c:v>-3.1209562774272115</c:v>
                </c:pt>
                <c:pt idx="73">
                  <c:v>-3.1191284816700318</c:v>
                </c:pt>
                <c:pt idx="74">
                  <c:v>-1.7300952562131613</c:v>
                </c:pt>
                <c:pt idx="75">
                  <c:v>-5.5209562774272172</c:v>
                </c:pt>
                <c:pt idx="76">
                  <c:v>-6.3337508477275435</c:v>
                </c:pt>
                <c:pt idx="77">
                  <c:v>-7.1337508477275549</c:v>
                </c:pt>
                <c:pt idx="78">
                  <c:v>-8.5173006859128577</c:v>
                </c:pt>
                <c:pt idx="79">
                  <c:v>-4.3355786434847232</c:v>
                </c:pt>
                <c:pt idx="80">
                  <c:v>-3.2880559537977945</c:v>
                </c:pt>
                <c:pt idx="81">
                  <c:v>-2.5246118689416051</c:v>
                </c:pt>
                <c:pt idx="82">
                  <c:v>-5.9264396646987905</c:v>
                </c:pt>
                <c:pt idx="83">
                  <c:v>-6.5081617071269022</c:v>
                </c:pt>
                <c:pt idx="84">
                  <c:v>-5.1246118689415994</c:v>
                </c:pt>
                <c:pt idx="85">
                  <c:v>-4.1063339113697168</c:v>
                </c:pt>
                <c:pt idx="86">
                  <c:v>-0.32095627742720012</c:v>
                </c:pt>
                <c:pt idx="87">
                  <c:v>2.8863549056015358</c:v>
                </c:pt>
                <c:pt idx="88">
                  <c:v>-0.72826746045598156</c:v>
                </c:pt>
                <c:pt idx="89">
                  <c:v>-2.1209562774272115</c:v>
                </c:pt>
                <c:pt idx="90">
                  <c:v>-0.71364509439845847</c:v>
                </c:pt>
                <c:pt idx="91">
                  <c:v>-2.7099895028840706</c:v>
                </c:pt>
                <c:pt idx="92">
                  <c:v>0.71377184195938526</c:v>
                </c:pt>
                <c:pt idx="93">
                  <c:v>0.46807694802961919</c:v>
                </c:pt>
                <c:pt idx="94">
                  <c:v>-1.7319230519703694</c:v>
                </c:pt>
                <c:pt idx="95">
                  <c:v>-1.7191284816700261</c:v>
                </c:pt>
                <c:pt idx="96">
                  <c:v>-1.7063339113697111</c:v>
                </c:pt>
                <c:pt idx="97">
                  <c:v>-4.7392342349991168</c:v>
                </c:pt>
                <c:pt idx="98">
                  <c:v>-5.1337508477275549</c:v>
                </c:pt>
                <c:pt idx="99">
                  <c:v>-3.7136450943984585</c:v>
                </c:pt>
                <c:pt idx="100">
                  <c:v>-4.3264396646987677</c:v>
                </c:pt>
                <c:pt idx="101">
                  <c:v>-2.9081617071269079</c:v>
                </c:pt>
                <c:pt idx="102">
                  <c:v>2.6790437225727999</c:v>
                </c:pt>
                <c:pt idx="103">
                  <c:v>3.0936660886302718</c:v>
                </c:pt>
                <c:pt idx="104">
                  <c:v>1.4790437225728112</c:v>
                </c:pt>
                <c:pt idx="105">
                  <c:v>0.49549388438748565</c:v>
                </c:pt>
                <c:pt idx="106">
                  <c:v>0.28087151832997392</c:v>
                </c:pt>
                <c:pt idx="107">
                  <c:v>-3.7209562774272058</c:v>
                </c:pt>
                <c:pt idx="108">
                  <c:v>-4.722784073184414</c:v>
                </c:pt>
                <c:pt idx="109">
                  <c:v>-4.3136450943984528</c:v>
                </c:pt>
                <c:pt idx="110">
                  <c:v>-5.9026783198553403</c:v>
                </c:pt>
                <c:pt idx="111">
                  <c:v>-4.7246118689415937</c:v>
                </c:pt>
                <c:pt idx="112">
                  <c:v>-3.3063339113697054</c:v>
                </c:pt>
                <c:pt idx="113">
                  <c:v>-7.1154728901556439</c:v>
                </c:pt>
                <c:pt idx="114">
                  <c:v>-6.7246118689415937</c:v>
                </c:pt>
                <c:pt idx="115">
                  <c:v>-8.130095256213167</c:v>
                </c:pt>
                <c:pt idx="116">
                  <c:v>-8.3209562774272001</c:v>
                </c:pt>
                <c:pt idx="117">
                  <c:v>-10.324611868941588</c:v>
                </c:pt>
                <c:pt idx="118">
                  <c:v>-10.726439664698773</c:v>
                </c:pt>
                <c:pt idx="119">
                  <c:v>-10.911817298641296</c:v>
                </c:pt>
                <c:pt idx="120">
                  <c:v>-10.115472890155644</c:v>
                </c:pt>
                <c:pt idx="121">
                  <c:v>-8.1282674604559872</c:v>
                </c:pt>
                <c:pt idx="122">
                  <c:v>-5.4697779962259006</c:v>
                </c:pt>
                <c:pt idx="123">
                  <c:v>-4.7173006859128463</c:v>
                </c:pt>
                <c:pt idx="124">
                  <c:v>-2.7063339113697111</c:v>
                </c:pt>
                <c:pt idx="125">
                  <c:v>-4.5081617071269022</c:v>
                </c:pt>
                <c:pt idx="126">
                  <c:v>-2.5300952562131727</c:v>
                </c:pt>
                <c:pt idx="127">
                  <c:v>-1.4642946089543329</c:v>
                </c:pt>
                <c:pt idx="128">
                  <c:v>-2.1227840731844196</c:v>
                </c:pt>
                <c:pt idx="129">
                  <c:v>2.09549388438748</c:v>
                </c:pt>
                <c:pt idx="130">
                  <c:v>-0.51181729864129011</c:v>
                </c:pt>
                <c:pt idx="131">
                  <c:v>9.0010497115912358E-2</c:v>
                </c:pt>
                <c:pt idx="132">
                  <c:v>-0.28805595379779447</c:v>
                </c:pt>
                <c:pt idx="133">
                  <c:v>0.68087151832997961</c:v>
                </c:pt>
                <c:pt idx="134">
                  <c:v>2.0900104971159124</c:v>
                </c:pt>
                <c:pt idx="135">
                  <c:v>2.8753881310584006</c:v>
                </c:pt>
                <c:pt idx="136">
                  <c:v>-3.3191284816700204</c:v>
                </c:pt>
                <c:pt idx="137">
                  <c:v>-4.7099895028840706</c:v>
                </c:pt>
                <c:pt idx="138">
                  <c:v>-4.1154728901556439</c:v>
                </c:pt>
                <c:pt idx="139">
                  <c:v>-5.8880559537978172</c:v>
                </c:pt>
                <c:pt idx="140">
                  <c:v>-7.1099895028840763</c:v>
                </c:pt>
                <c:pt idx="141">
                  <c:v>-4.9209562774272229</c:v>
                </c:pt>
                <c:pt idx="142">
                  <c:v>-2.1136450943984642</c:v>
                </c:pt>
                <c:pt idx="143">
                  <c:v>-4.3026783198553176</c:v>
                </c:pt>
                <c:pt idx="144">
                  <c:v>-2.3300952562131556</c:v>
                </c:pt>
                <c:pt idx="145">
                  <c:v>-4.1099895028840763</c:v>
                </c:pt>
                <c:pt idx="146">
                  <c:v>-5.7081617071268909</c:v>
                </c:pt>
                <c:pt idx="147">
                  <c:v>-1.5209562774272172</c:v>
                </c:pt>
                <c:pt idx="148">
                  <c:v>-0.50816170712690223</c:v>
                </c:pt>
                <c:pt idx="149">
                  <c:v>-2.1264396646987791</c:v>
                </c:pt>
                <c:pt idx="150">
                  <c:v>-1.1063339113697168</c:v>
                </c:pt>
                <c:pt idx="151">
                  <c:v>-2.0953671368265532</c:v>
                </c:pt>
                <c:pt idx="152">
                  <c:v>-3.3081617071268852</c:v>
                </c:pt>
                <c:pt idx="153">
                  <c:v>-3.7246118689415937</c:v>
                </c:pt>
                <c:pt idx="154">
                  <c:v>-5.8898837495549969</c:v>
                </c:pt>
                <c:pt idx="155">
                  <c:v>-2.3045061156124973</c:v>
                </c:pt>
                <c:pt idx="156">
                  <c:v>-2.1026783198553289</c:v>
                </c:pt>
                <c:pt idx="157">
                  <c:v>3.9119440462021942</c:v>
                </c:pt>
                <c:pt idx="158">
                  <c:v>-0.31730068591284066</c:v>
                </c:pt>
                <c:pt idx="159">
                  <c:v>-2.324611868941588</c:v>
                </c:pt>
                <c:pt idx="160">
                  <c:v>-3.3191284816700204</c:v>
                </c:pt>
                <c:pt idx="161">
                  <c:v>-0.26429460895431589</c:v>
                </c:pt>
                <c:pt idx="162">
                  <c:v>-0.10633391136971682</c:v>
                </c:pt>
                <c:pt idx="163">
                  <c:v>-0.2898837495549742</c:v>
                </c:pt>
                <c:pt idx="164">
                  <c:v>-3.3099895028840649</c:v>
                </c:pt>
                <c:pt idx="165">
                  <c:v>2.2790437225727658</c:v>
                </c:pt>
                <c:pt idx="166">
                  <c:v>0.65711017348650103</c:v>
                </c:pt>
                <c:pt idx="167">
                  <c:v>-3.266122404711524</c:v>
                </c:pt>
                <c:pt idx="168">
                  <c:v>-7.4642946089543329</c:v>
                </c:pt>
                <c:pt idx="169">
                  <c:v>-6.3081617071268852</c:v>
                </c:pt>
                <c:pt idx="170">
                  <c:v>-5.2935393410693621</c:v>
                </c:pt>
                <c:pt idx="171">
                  <c:v>-4.5118172986412901</c:v>
                </c:pt>
                <c:pt idx="172">
                  <c:v>-3.1118172986412844</c:v>
                </c:pt>
                <c:pt idx="173">
                  <c:v>0.49732168014466538</c:v>
                </c:pt>
                <c:pt idx="174">
                  <c:v>-2.5282674604559929</c:v>
                </c:pt>
                <c:pt idx="175">
                  <c:v>-2.7136450943984585</c:v>
                </c:pt>
                <c:pt idx="176">
                  <c:v>-4.1191284816700318</c:v>
                </c:pt>
                <c:pt idx="177">
                  <c:v>-3.922784073184431</c:v>
                </c:pt>
                <c:pt idx="178">
                  <c:v>-2.7209562774272058</c:v>
                </c:pt>
                <c:pt idx="179">
                  <c:v>-1.1191284816700318</c:v>
                </c:pt>
                <c:pt idx="180">
                  <c:v>-1.3282674604559759</c:v>
                </c:pt>
                <c:pt idx="181">
                  <c:v>-0.30633391136970545</c:v>
                </c:pt>
                <c:pt idx="182">
                  <c:v>-1.2935393410693621</c:v>
                </c:pt>
                <c:pt idx="183">
                  <c:v>-2.1081617071268965</c:v>
                </c:pt>
                <c:pt idx="184">
                  <c:v>-2.7191284816700261</c:v>
                </c:pt>
                <c:pt idx="185">
                  <c:v>-1.1118172986412844</c:v>
                </c:pt>
                <c:pt idx="186">
                  <c:v>-2.7099895028840706</c:v>
                </c:pt>
                <c:pt idx="187">
                  <c:v>-3.1118172986412844</c:v>
                </c:pt>
                <c:pt idx="188">
                  <c:v>-2.1026783198553289</c:v>
                </c:pt>
                <c:pt idx="189">
                  <c:v>-2.7173006859128463</c:v>
                </c:pt>
                <c:pt idx="190">
                  <c:v>-2.9410620307563136</c:v>
                </c:pt>
                <c:pt idx="191">
                  <c:v>-2.5173006859128577</c:v>
                </c:pt>
                <c:pt idx="192">
                  <c:v>-1.0953671368265532</c:v>
                </c:pt>
                <c:pt idx="193">
                  <c:v>-0.10085052409812079</c:v>
                </c:pt>
                <c:pt idx="194">
                  <c:v>3.0918382928730921</c:v>
                </c:pt>
                <c:pt idx="195">
                  <c:v>0.27173253954401844</c:v>
                </c:pt>
                <c:pt idx="196">
                  <c:v>-3.0935393410693734</c:v>
                </c:pt>
                <c:pt idx="197">
                  <c:v>-1.1282674604559872</c:v>
                </c:pt>
                <c:pt idx="198">
                  <c:v>-7.8916975011850354E-2</c:v>
                </c:pt>
                <c:pt idx="199">
                  <c:v>-1.0807447707690301</c:v>
                </c:pt>
                <c:pt idx="200">
                  <c:v>2.7009772716590703</c:v>
                </c:pt>
                <c:pt idx="201">
                  <c:v>1.0826993140871366</c:v>
                </c:pt>
                <c:pt idx="202">
                  <c:v>4.8991494759018792</c:v>
                </c:pt>
                <c:pt idx="203">
                  <c:v>6.6826993140871593</c:v>
                </c:pt>
                <c:pt idx="204">
                  <c:v>4.8936660886302832</c:v>
                </c:pt>
                <c:pt idx="205">
                  <c:v>7.3028050674162159</c:v>
                </c:pt>
                <c:pt idx="206">
                  <c:v>10.100977271659048</c:v>
                </c:pt>
                <c:pt idx="207">
                  <c:v>6.4772159268156031</c:v>
                </c:pt>
                <c:pt idx="208">
                  <c:v>2.0900104971159124</c:v>
                </c:pt>
                <c:pt idx="209">
                  <c:v>2.4918382928731262</c:v>
                </c:pt>
                <c:pt idx="210">
                  <c:v>5.6918382928731148</c:v>
                </c:pt>
                <c:pt idx="211">
                  <c:v>6.0973216801446597</c:v>
                </c:pt>
                <c:pt idx="212">
                  <c:v>6.4845271098443789</c:v>
                </c:pt>
                <c:pt idx="213">
                  <c:v>8.2954938843874686</c:v>
                </c:pt>
                <c:pt idx="214">
                  <c:v>1.1046328631734355</c:v>
                </c:pt>
                <c:pt idx="215">
                  <c:v>1.6662491522724565</c:v>
                </c:pt>
                <c:pt idx="216">
                  <c:v>2.8991494759018792</c:v>
                </c:pt>
                <c:pt idx="217">
                  <c:v>3.675388131058412</c:v>
                </c:pt>
                <c:pt idx="218">
                  <c:v>3.7064606589306379</c:v>
                </c:pt>
                <c:pt idx="219">
                  <c:v>5.8753881310584006</c:v>
                </c:pt>
                <c:pt idx="220">
                  <c:v>6.077215926815569</c:v>
                </c:pt>
                <c:pt idx="221">
                  <c:v>5.8790437225727885</c:v>
                </c:pt>
                <c:pt idx="222">
                  <c:v>3.8973216801446711</c:v>
                </c:pt>
                <c:pt idx="223">
                  <c:v>3.4644213565152882</c:v>
                </c:pt>
                <c:pt idx="224">
                  <c:v>0.66442135651527678</c:v>
                </c:pt>
                <c:pt idx="225">
                  <c:v>-0.13009525621316698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19-4F1D-A437-494D82F8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8735"/>
        <c:axId val="2123659215"/>
      </c:scatterChart>
      <c:valAx>
        <c:axId val="2123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9215"/>
        <c:crosses val="autoZero"/>
        <c:crossBetween val="midCat"/>
      </c:valAx>
      <c:valAx>
        <c:axId val="2123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Log'!$I$2:$I$227</c:f>
              <c:numCache>
                <c:formatCode>0.00</c:formatCode>
                <c:ptCount val="226"/>
                <c:pt idx="0">
                  <c:v>97.4</c:v>
                </c:pt>
                <c:pt idx="1">
                  <c:v>97.8</c:v>
                </c:pt>
                <c:pt idx="2">
                  <c:v>96.1</c:v>
                </c:pt>
                <c:pt idx="3">
                  <c:v>97.1</c:v>
                </c:pt>
                <c:pt idx="4">
                  <c:v>98.6</c:v>
                </c:pt>
                <c:pt idx="5">
                  <c:v>96.5</c:v>
                </c:pt>
                <c:pt idx="6">
                  <c:v>97.3</c:v>
                </c:pt>
                <c:pt idx="7">
                  <c:v>97.3</c:v>
                </c:pt>
                <c:pt idx="8">
                  <c:v>96.5</c:v>
                </c:pt>
                <c:pt idx="9">
                  <c:v>96.4</c:v>
                </c:pt>
                <c:pt idx="10">
                  <c:v>96.7</c:v>
                </c:pt>
                <c:pt idx="11">
                  <c:v>97.5</c:v>
                </c:pt>
                <c:pt idx="12">
                  <c:v>97.3</c:v>
                </c:pt>
                <c:pt idx="13">
                  <c:v>97.2</c:v>
                </c:pt>
                <c:pt idx="14">
                  <c:v>96.9</c:v>
                </c:pt>
                <c:pt idx="15">
                  <c:v>97.7</c:v>
                </c:pt>
                <c:pt idx="16">
                  <c:v>97</c:v>
                </c:pt>
                <c:pt idx="17">
                  <c:v>97</c:v>
                </c:pt>
                <c:pt idx="18">
                  <c:v>97.8</c:v>
                </c:pt>
                <c:pt idx="19">
                  <c:v>96.8</c:v>
                </c:pt>
                <c:pt idx="20">
                  <c:v>97.1</c:v>
                </c:pt>
                <c:pt idx="21">
                  <c:v>95.5</c:v>
                </c:pt>
                <c:pt idx="22">
                  <c:v>97.6</c:v>
                </c:pt>
                <c:pt idx="23">
                  <c:v>95.7</c:v>
                </c:pt>
                <c:pt idx="24">
                  <c:v>96.3</c:v>
                </c:pt>
                <c:pt idx="25">
                  <c:v>97.2</c:v>
                </c:pt>
                <c:pt idx="26">
                  <c:v>97.3</c:v>
                </c:pt>
                <c:pt idx="27">
                  <c:v>97.1</c:v>
                </c:pt>
                <c:pt idx="28">
                  <c:v>96.2</c:v>
                </c:pt>
                <c:pt idx="29">
                  <c:v>97.2</c:v>
                </c:pt>
                <c:pt idx="30">
                  <c:v>98</c:v>
                </c:pt>
                <c:pt idx="31">
                  <c:v>96.5</c:v>
                </c:pt>
                <c:pt idx="32">
                  <c:v>96.5</c:v>
                </c:pt>
                <c:pt idx="33">
                  <c:v>96.1</c:v>
                </c:pt>
                <c:pt idx="34">
                  <c:v>98</c:v>
                </c:pt>
                <c:pt idx="35">
                  <c:v>97.5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99.2</c:v>
                </c:pt>
                <c:pt idx="41">
                  <c:v>97.6</c:v>
                </c:pt>
                <c:pt idx="42">
                  <c:v>97.3</c:v>
                </c:pt>
                <c:pt idx="43">
                  <c:v>97.2</c:v>
                </c:pt>
                <c:pt idx="44">
                  <c:v>97.6</c:v>
                </c:pt>
                <c:pt idx="45">
                  <c:v>97.3</c:v>
                </c:pt>
                <c:pt idx="46">
                  <c:v>97.6</c:v>
                </c:pt>
                <c:pt idx="47">
                  <c:v>97.2</c:v>
                </c:pt>
                <c:pt idx="48">
                  <c:v>97</c:v>
                </c:pt>
                <c:pt idx="49">
                  <c:v>97.5</c:v>
                </c:pt>
                <c:pt idx="50">
                  <c:v>98.4</c:v>
                </c:pt>
                <c:pt idx="51">
                  <c:v>96.1</c:v>
                </c:pt>
                <c:pt idx="52">
                  <c:v>96.9</c:v>
                </c:pt>
                <c:pt idx="53">
                  <c:v>95.8</c:v>
                </c:pt>
                <c:pt idx="54">
                  <c:v>96.5</c:v>
                </c:pt>
                <c:pt idx="55">
                  <c:v>97.5</c:v>
                </c:pt>
                <c:pt idx="56">
                  <c:v>97.2</c:v>
                </c:pt>
                <c:pt idx="57">
                  <c:v>96.9</c:v>
                </c:pt>
                <c:pt idx="58">
                  <c:v>96.8</c:v>
                </c:pt>
                <c:pt idx="59">
                  <c:v>97.4</c:v>
                </c:pt>
                <c:pt idx="60">
                  <c:v>97.5</c:v>
                </c:pt>
                <c:pt idx="61">
                  <c:v>97.1</c:v>
                </c:pt>
                <c:pt idx="62">
                  <c:v>96.7</c:v>
                </c:pt>
                <c:pt idx="63">
                  <c:v>96.3</c:v>
                </c:pt>
                <c:pt idx="64">
                  <c:v>98.6</c:v>
                </c:pt>
                <c:pt idx="65">
                  <c:v>97</c:v>
                </c:pt>
                <c:pt idx="66">
                  <c:v>97.6</c:v>
                </c:pt>
                <c:pt idx="67">
                  <c:v>97</c:v>
                </c:pt>
                <c:pt idx="68">
                  <c:v>96.4</c:v>
                </c:pt>
                <c:pt idx="69">
                  <c:v>97</c:v>
                </c:pt>
                <c:pt idx="70">
                  <c:v>96.9</c:v>
                </c:pt>
                <c:pt idx="71">
                  <c:v>98.3</c:v>
                </c:pt>
                <c:pt idx="72">
                  <c:v>97.2</c:v>
                </c:pt>
                <c:pt idx="73">
                  <c:v>97.3</c:v>
                </c:pt>
                <c:pt idx="74">
                  <c:v>96.7</c:v>
                </c:pt>
                <c:pt idx="75">
                  <c:v>96.8</c:v>
                </c:pt>
                <c:pt idx="76">
                  <c:v>97.4</c:v>
                </c:pt>
                <c:pt idx="77">
                  <c:v>97.5</c:v>
                </c:pt>
                <c:pt idx="78">
                  <c:v>97.2</c:v>
                </c:pt>
                <c:pt idx="79">
                  <c:v>97.2</c:v>
                </c:pt>
                <c:pt idx="80">
                  <c:v>97.5</c:v>
                </c:pt>
                <c:pt idx="81">
                  <c:v>97.3</c:v>
                </c:pt>
                <c:pt idx="82">
                  <c:v>97.1</c:v>
                </c:pt>
                <c:pt idx="83">
                  <c:v>97.2</c:v>
                </c:pt>
                <c:pt idx="84">
                  <c:v>97.3</c:v>
                </c:pt>
                <c:pt idx="85">
                  <c:v>97.3</c:v>
                </c:pt>
                <c:pt idx="86">
                  <c:v>97.2</c:v>
                </c:pt>
                <c:pt idx="87">
                  <c:v>97.6</c:v>
                </c:pt>
                <c:pt idx="88">
                  <c:v>96.2</c:v>
                </c:pt>
                <c:pt idx="89">
                  <c:v>97.3</c:v>
                </c:pt>
                <c:pt idx="90">
                  <c:v>97.2</c:v>
                </c:pt>
                <c:pt idx="91">
                  <c:v>96.2</c:v>
                </c:pt>
                <c:pt idx="92">
                  <c:v>96.9</c:v>
                </c:pt>
                <c:pt idx="93">
                  <c:v>96.9</c:v>
                </c:pt>
                <c:pt idx="94">
                  <c:v>96.3</c:v>
                </c:pt>
                <c:pt idx="95">
                  <c:v>96.8</c:v>
                </c:pt>
                <c:pt idx="96">
                  <c:v>96.4</c:v>
                </c:pt>
                <c:pt idx="97">
                  <c:v>96.3</c:v>
                </c:pt>
                <c:pt idx="98">
                  <c:v>96.6</c:v>
                </c:pt>
                <c:pt idx="99">
                  <c:v>97.6</c:v>
                </c:pt>
                <c:pt idx="100">
                  <c:v>97.1</c:v>
                </c:pt>
                <c:pt idx="101">
                  <c:v>97.2</c:v>
                </c:pt>
                <c:pt idx="102">
                  <c:v>97.9</c:v>
                </c:pt>
                <c:pt idx="103">
                  <c:v>97.8</c:v>
                </c:pt>
                <c:pt idx="104">
                  <c:v>97.1</c:v>
                </c:pt>
                <c:pt idx="105">
                  <c:v>96.1</c:v>
                </c:pt>
                <c:pt idx="106">
                  <c:v>95.7</c:v>
                </c:pt>
                <c:pt idx="107">
                  <c:v>96.9</c:v>
                </c:pt>
                <c:pt idx="108">
                  <c:v>96.6</c:v>
                </c:pt>
                <c:pt idx="109">
                  <c:v>96.4</c:v>
                </c:pt>
                <c:pt idx="110">
                  <c:v>97</c:v>
                </c:pt>
                <c:pt idx="111">
                  <c:v>97.1</c:v>
                </c:pt>
                <c:pt idx="112">
                  <c:v>96.7</c:v>
                </c:pt>
                <c:pt idx="113">
                  <c:v>96.5</c:v>
                </c:pt>
                <c:pt idx="114">
                  <c:v>96.1</c:v>
                </c:pt>
                <c:pt idx="115">
                  <c:v>96.3</c:v>
                </c:pt>
                <c:pt idx="116">
                  <c:v>95.4</c:v>
                </c:pt>
                <c:pt idx="117">
                  <c:v>96.7</c:v>
                </c:pt>
                <c:pt idx="118">
                  <c:v>95.9</c:v>
                </c:pt>
                <c:pt idx="119">
                  <c:v>97</c:v>
                </c:pt>
                <c:pt idx="120">
                  <c:v>95.7</c:v>
                </c:pt>
                <c:pt idx="121">
                  <c:v>97</c:v>
                </c:pt>
                <c:pt idx="122">
                  <c:v>96.4</c:v>
                </c:pt>
                <c:pt idx="123">
                  <c:v>97.5</c:v>
                </c:pt>
                <c:pt idx="124">
                  <c:v>98.6</c:v>
                </c:pt>
                <c:pt idx="125">
                  <c:v>98.6</c:v>
                </c:pt>
                <c:pt idx="126">
                  <c:v>98.8</c:v>
                </c:pt>
                <c:pt idx="127">
                  <c:v>97.4</c:v>
                </c:pt>
                <c:pt idx="128">
                  <c:v>97.4</c:v>
                </c:pt>
                <c:pt idx="129">
                  <c:v>96.9</c:v>
                </c:pt>
                <c:pt idx="130">
                  <c:v>97.4</c:v>
                </c:pt>
                <c:pt idx="131">
                  <c:v>97.2</c:v>
                </c:pt>
                <c:pt idx="132">
                  <c:v>96.6</c:v>
                </c:pt>
                <c:pt idx="133">
                  <c:v>97.8</c:v>
                </c:pt>
                <c:pt idx="134">
                  <c:v>97.2</c:v>
                </c:pt>
                <c:pt idx="135">
                  <c:v>98</c:v>
                </c:pt>
                <c:pt idx="136">
                  <c:v>97.1</c:v>
                </c:pt>
                <c:pt idx="137">
                  <c:v>97.4</c:v>
                </c:pt>
                <c:pt idx="138">
                  <c:v>98.3</c:v>
                </c:pt>
                <c:pt idx="139">
                  <c:v>98.2</c:v>
                </c:pt>
                <c:pt idx="140">
                  <c:v>97</c:v>
                </c:pt>
                <c:pt idx="141">
                  <c:v>97</c:v>
                </c:pt>
                <c:pt idx="142">
                  <c:v>96.8</c:v>
                </c:pt>
                <c:pt idx="143">
                  <c:v>96.8</c:v>
                </c:pt>
                <c:pt idx="144">
                  <c:v>96.4</c:v>
                </c:pt>
                <c:pt idx="145">
                  <c:v>98.2</c:v>
                </c:pt>
                <c:pt idx="146">
                  <c:v>98.4</c:v>
                </c:pt>
                <c:pt idx="147">
                  <c:v>98.6</c:v>
                </c:pt>
                <c:pt idx="148">
                  <c:v>98.2</c:v>
                </c:pt>
                <c:pt idx="149">
                  <c:v>98.3</c:v>
                </c:pt>
                <c:pt idx="150">
                  <c:v>98.5</c:v>
                </c:pt>
                <c:pt idx="151">
                  <c:v>98.1</c:v>
                </c:pt>
                <c:pt idx="152">
                  <c:v>98</c:v>
                </c:pt>
                <c:pt idx="153">
                  <c:v>97.6</c:v>
                </c:pt>
                <c:pt idx="154">
                  <c:v>97.1</c:v>
                </c:pt>
                <c:pt idx="155">
                  <c:v>96.9</c:v>
                </c:pt>
                <c:pt idx="156">
                  <c:v>97.1</c:v>
                </c:pt>
                <c:pt idx="157">
                  <c:v>97</c:v>
                </c:pt>
                <c:pt idx="158">
                  <c:v>97.6</c:v>
                </c:pt>
                <c:pt idx="159">
                  <c:v>96.9</c:v>
                </c:pt>
                <c:pt idx="160">
                  <c:v>96.9</c:v>
                </c:pt>
                <c:pt idx="161">
                  <c:v>96.8</c:v>
                </c:pt>
                <c:pt idx="162">
                  <c:v>97.8</c:v>
                </c:pt>
                <c:pt idx="163">
                  <c:v>97.3</c:v>
                </c:pt>
                <c:pt idx="164">
                  <c:v>97.7</c:v>
                </c:pt>
                <c:pt idx="165">
                  <c:v>96.9</c:v>
                </c:pt>
                <c:pt idx="166">
                  <c:v>98.6</c:v>
                </c:pt>
                <c:pt idx="167">
                  <c:v>97.1</c:v>
                </c:pt>
                <c:pt idx="168">
                  <c:v>98.1</c:v>
                </c:pt>
                <c:pt idx="169">
                  <c:v>97.1</c:v>
                </c:pt>
                <c:pt idx="170">
                  <c:v>97.2</c:v>
                </c:pt>
                <c:pt idx="171">
                  <c:v>96.9</c:v>
                </c:pt>
                <c:pt idx="172">
                  <c:v>97.7</c:v>
                </c:pt>
                <c:pt idx="173">
                  <c:v>96.9</c:v>
                </c:pt>
                <c:pt idx="174">
                  <c:v>97.8</c:v>
                </c:pt>
                <c:pt idx="175">
                  <c:v>96.2</c:v>
                </c:pt>
                <c:pt idx="176">
                  <c:v>97</c:v>
                </c:pt>
                <c:pt idx="177">
                  <c:v>96.9</c:v>
                </c:pt>
                <c:pt idx="178">
                  <c:v>98.3</c:v>
                </c:pt>
                <c:pt idx="179">
                  <c:v>97.3</c:v>
                </c:pt>
                <c:pt idx="180">
                  <c:v>97.9</c:v>
                </c:pt>
                <c:pt idx="181">
                  <c:v>97.6</c:v>
                </c:pt>
                <c:pt idx="182">
                  <c:v>97.4</c:v>
                </c:pt>
                <c:pt idx="183">
                  <c:v>97.6</c:v>
                </c:pt>
                <c:pt idx="184">
                  <c:v>96.6</c:v>
                </c:pt>
                <c:pt idx="185">
                  <c:v>97.6</c:v>
                </c:pt>
                <c:pt idx="186">
                  <c:v>97.6</c:v>
                </c:pt>
                <c:pt idx="187">
                  <c:v>97.2</c:v>
                </c:pt>
                <c:pt idx="188">
                  <c:v>97.1</c:v>
                </c:pt>
                <c:pt idx="189">
                  <c:v>96.7</c:v>
                </c:pt>
                <c:pt idx="190">
                  <c:v>96.5</c:v>
                </c:pt>
                <c:pt idx="191">
                  <c:v>96.2</c:v>
                </c:pt>
                <c:pt idx="192">
                  <c:v>98.3</c:v>
                </c:pt>
                <c:pt idx="193">
                  <c:v>97.7</c:v>
                </c:pt>
                <c:pt idx="194">
                  <c:v>98</c:v>
                </c:pt>
                <c:pt idx="195">
                  <c:v>97.5</c:v>
                </c:pt>
                <c:pt idx="196">
                  <c:v>97.7</c:v>
                </c:pt>
                <c:pt idx="197">
                  <c:v>97.8</c:v>
                </c:pt>
                <c:pt idx="198">
                  <c:v>97.5</c:v>
                </c:pt>
                <c:pt idx="199">
                  <c:v>97.9</c:v>
                </c:pt>
                <c:pt idx="200">
                  <c:v>97.5</c:v>
                </c:pt>
                <c:pt idx="201">
                  <c:v>97.2</c:v>
                </c:pt>
                <c:pt idx="202">
                  <c:v>97.8</c:v>
                </c:pt>
                <c:pt idx="203">
                  <c:v>98.2</c:v>
                </c:pt>
                <c:pt idx="204">
                  <c:v>98.3</c:v>
                </c:pt>
                <c:pt idx="205">
                  <c:v>97.8</c:v>
                </c:pt>
                <c:pt idx="206">
                  <c:v>98.1</c:v>
                </c:pt>
                <c:pt idx="207">
                  <c:v>97.2</c:v>
                </c:pt>
                <c:pt idx="208">
                  <c:v>97.7</c:v>
                </c:pt>
                <c:pt idx="209">
                  <c:v>98.2</c:v>
                </c:pt>
                <c:pt idx="210">
                  <c:v>97.9</c:v>
                </c:pt>
                <c:pt idx="211">
                  <c:v>98.2</c:v>
                </c:pt>
                <c:pt idx="212">
                  <c:v>97.9</c:v>
                </c:pt>
                <c:pt idx="213">
                  <c:v>97</c:v>
                </c:pt>
                <c:pt idx="214">
                  <c:v>97.1</c:v>
                </c:pt>
                <c:pt idx="215">
                  <c:v>96.8</c:v>
                </c:pt>
                <c:pt idx="216">
                  <c:v>97.2</c:v>
                </c:pt>
                <c:pt idx="217">
                  <c:v>98.3</c:v>
                </c:pt>
                <c:pt idx="218">
                  <c:v>97.4</c:v>
                </c:pt>
                <c:pt idx="219">
                  <c:v>98.3</c:v>
                </c:pt>
                <c:pt idx="220">
                  <c:v>97.9</c:v>
                </c:pt>
                <c:pt idx="221">
                  <c:v>98.3</c:v>
                </c:pt>
                <c:pt idx="222">
                  <c:v>97.7</c:v>
                </c:pt>
                <c:pt idx="223">
                  <c:v>96.8</c:v>
                </c:pt>
                <c:pt idx="224">
                  <c:v>98.1</c:v>
                </c:pt>
                <c:pt idx="225">
                  <c:v>97.1</c:v>
                </c:pt>
              </c:numCache>
            </c:numRef>
          </c:xVal>
          <c:yVal>
            <c:numRef>
              <c:f>Residuals!$T$2:$T$227</c:f>
              <c:numCache>
                <c:formatCode>0.00</c:formatCode>
                <c:ptCount val="226"/>
                <c:pt idx="0">
                  <c:v>20.337727040548202</c:v>
                </c:pt>
                <c:pt idx="1">
                  <c:v>16.126940758621458</c:v>
                </c:pt>
                <c:pt idx="2">
                  <c:v>17.872782456810114</c:v>
                </c:pt>
                <c:pt idx="3">
                  <c:v>17.845816751993254</c:v>
                </c:pt>
                <c:pt idx="4">
                  <c:v>13.105368194768005</c:v>
                </c:pt>
                <c:pt idx="5">
                  <c:v>14.261996174883365</c:v>
                </c:pt>
                <c:pt idx="6">
                  <c:v>13.640423611029888</c:v>
                </c:pt>
                <c:pt idx="7">
                  <c:v>13.640423611029888</c:v>
                </c:pt>
                <c:pt idx="8">
                  <c:v>15.061996174883319</c:v>
                </c:pt>
                <c:pt idx="9">
                  <c:v>18.364692745365062</c:v>
                </c:pt>
                <c:pt idx="10">
                  <c:v>16.256603033919987</c:v>
                </c:pt>
                <c:pt idx="11">
                  <c:v>13.035030470066488</c:v>
                </c:pt>
                <c:pt idx="12">
                  <c:v>11.4404236110299</c:v>
                </c:pt>
                <c:pt idx="13">
                  <c:v>14.543120181511568</c:v>
                </c:pt>
                <c:pt idx="14">
                  <c:v>12.851209892956632</c:v>
                </c:pt>
                <c:pt idx="15">
                  <c:v>12.029637329103139</c:v>
                </c:pt>
                <c:pt idx="16">
                  <c:v>9.9485133224749234</c:v>
                </c:pt>
                <c:pt idx="17">
                  <c:v>9.7485133224749347</c:v>
                </c:pt>
                <c:pt idx="18">
                  <c:v>7.5269407586214356</c:v>
                </c:pt>
                <c:pt idx="19">
                  <c:v>8.3539064634383067</c:v>
                </c:pt>
                <c:pt idx="20">
                  <c:v>6.8458167519932545</c:v>
                </c:pt>
                <c:pt idx="21">
                  <c:v>8.4889618797002129</c:v>
                </c:pt>
                <c:pt idx="22">
                  <c:v>4.332333899584853</c:v>
                </c:pt>
                <c:pt idx="23">
                  <c:v>6.6835687387368239</c:v>
                </c:pt>
                <c:pt idx="24">
                  <c:v>4.8673893158467081</c:v>
                </c:pt>
                <c:pt idx="25">
                  <c:v>1.9431201815115458</c:v>
                </c:pt>
                <c:pt idx="26">
                  <c:v>4.6404236110298882</c:v>
                </c:pt>
                <c:pt idx="27">
                  <c:v>4.8458167519932545</c:v>
                </c:pt>
                <c:pt idx="28">
                  <c:v>4.9700858863284054</c:v>
                </c:pt>
                <c:pt idx="29">
                  <c:v>3.1431201815115344</c:v>
                </c:pt>
                <c:pt idx="30">
                  <c:v>2.1215476176580808</c:v>
                </c:pt>
                <c:pt idx="31">
                  <c:v>1.6619961748833418</c:v>
                </c:pt>
                <c:pt idx="32">
                  <c:v>1.6619961748833418</c:v>
                </c:pt>
                <c:pt idx="33">
                  <c:v>1.0727824568101028</c:v>
                </c:pt>
                <c:pt idx="34">
                  <c:v>-0.27845238234192493</c:v>
                </c:pt>
                <c:pt idx="35">
                  <c:v>0.2350304700665049</c:v>
                </c:pt>
                <c:pt idx="36">
                  <c:v>-3.0784523823419079</c:v>
                </c:pt>
                <c:pt idx="37">
                  <c:v>-2.0514866775250766</c:v>
                </c:pt>
                <c:pt idx="38">
                  <c:v>1.1215476176580808</c:v>
                </c:pt>
                <c:pt idx="39">
                  <c:v>5.3215476176580694</c:v>
                </c:pt>
                <c:pt idx="40">
                  <c:v>3.8891887718778548</c:v>
                </c:pt>
                <c:pt idx="41">
                  <c:v>3.1323338995848644</c:v>
                </c:pt>
                <c:pt idx="42">
                  <c:v>2.8404236110298768</c:v>
                </c:pt>
                <c:pt idx="43">
                  <c:v>4.9431201815115458</c:v>
                </c:pt>
                <c:pt idx="44">
                  <c:v>3.7323338995848303</c:v>
                </c:pt>
                <c:pt idx="45">
                  <c:v>5.6404236110298882</c:v>
                </c:pt>
                <c:pt idx="46">
                  <c:v>6.332333899584853</c:v>
                </c:pt>
                <c:pt idx="47">
                  <c:v>2.7431201815115571</c:v>
                </c:pt>
                <c:pt idx="48">
                  <c:v>0.94851332247492337</c:v>
                </c:pt>
                <c:pt idx="49">
                  <c:v>-1.3649695299334894</c:v>
                </c:pt>
                <c:pt idx="50">
                  <c:v>-3.2892386642686802</c:v>
                </c:pt>
                <c:pt idx="51">
                  <c:v>-1.3272175431899029</c:v>
                </c:pt>
                <c:pt idx="52">
                  <c:v>-0.34879010704338498</c:v>
                </c:pt>
                <c:pt idx="53">
                  <c:v>-0.81912783174485071</c:v>
                </c:pt>
                <c:pt idx="54">
                  <c:v>-1.1380038251166695</c:v>
                </c:pt>
                <c:pt idx="55">
                  <c:v>-3.7649695299334951</c:v>
                </c:pt>
                <c:pt idx="56">
                  <c:v>-3.6568798184884486</c:v>
                </c:pt>
                <c:pt idx="57">
                  <c:v>-4.7487901070433907</c:v>
                </c:pt>
                <c:pt idx="58">
                  <c:v>-5.046093536561699</c:v>
                </c:pt>
                <c:pt idx="59">
                  <c:v>-6.0622729594518319</c:v>
                </c:pt>
                <c:pt idx="60">
                  <c:v>-6.9649695299334837</c:v>
                </c:pt>
                <c:pt idx="61">
                  <c:v>-7.3541832480067626</c:v>
                </c:pt>
                <c:pt idx="62">
                  <c:v>-7.9433969660800301</c:v>
                </c:pt>
                <c:pt idx="63">
                  <c:v>-7.5326106841532976</c:v>
                </c:pt>
                <c:pt idx="64">
                  <c:v>-9.494631805232018</c:v>
                </c:pt>
                <c:pt idx="65">
                  <c:v>-4.0514866775250766</c:v>
                </c:pt>
                <c:pt idx="66">
                  <c:v>-6.4676661004151583</c:v>
                </c:pt>
                <c:pt idx="67">
                  <c:v>-6.0514866775250766</c:v>
                </c:pt>
                <c:pt idx="68">
                  <c:v>-1.8353072546349551</c:v>
                </c:pt>
                <c:pt idx="69">
                  <c:v>-5.2514866775250937</c:v>
                </c:pt>
                <c:pt idx="70">
                  <c:v>-7.348790107043385</c:v>
                </c:pt>
                <c:pt idx="71">
                  <c:v>-10.386542093787</c:v>
                </c:pt>
                <c:pt idx="72">
                  <c:v>-3.0568798184884542</c:v>
                </c:pt>
                <c:pt idx="73">
                  <c:v>-3.1595763889701232</c:v>
                </c:pt>
                <c:pt idx="74">
                  <c:v>-1.1433969660800187</c:v>
                </c:pt>
                <c:pt idx="75">
                  <c:v>-5.046093536561699</c:v>
                </c:pt>
                <c:pt idx="76">
                  <c:v>-6.4622729594518091</c:v>
                </c:pt>
                <c:pt idx="77">
                  <c:v>-7.3649695299334894</c:v>
                </c:pt>
                <c:pt idx="78">
                  <c:v>-8.4568798184884599</c:v>
                </c:pt>
                <c:pt idx="79">
                  <c:v>-4.2568798184884429</c:v>
                </c:pt>
                <c:pt idx="80">
                  <c:v>-3.564969529933478</c:v>
                </c:pt>
                <c:pt idx="81">
                  <c:v>-2.5595763889701288</c:v>
                </c:pt>
                <c:pt idx="82">
                  <c:v>-5.7541832480067683</c:v>
                </c:pt>
                <c:pt idx="83">
                  <c:v>-6.4568798184884599</c:v>
                </c:pt>
                <c:pt idx="84">
                  <c:v>-5.1595763889701232</c:v>
                </c:pt>
                <c:pt idx="85">
                  <c:v>-4.1595763889701232</c:v>
                </c:pt>
                <c:pt idx="86">
                  <c:v>-0.25687981848844288</c:v>
                </c:pt>
                <c:pt idx="87">
                  <c:v>2.5323338995848417</c:v>
                </c:pt>
                <c:pt idx="88">
                  <c:v>0.37008588632841111</c:v>
                </c:pt>
                <c:pt idx="89">
                  <c:v>-2.1595763889701232</c:v>
                </c:pt>
                <c:pt idx="90">
                  <c:v>-0.65687981848844856</c:v>
                </c:pt>
                <c:pt idx="91">
                  <c:v>-1.6299141136715889</c:v>
                </c:pt>
                <c:pt idx="92">
                  <c:v>1.0512098929566207</c:v>
                </c:pt>
                <c:pt idx="93">
                  <c:v>0.85120989295660365</c:v>
                </c:pt>
                <c:pt idx="94">
                  <c:v>-0.73261068415328623</c:v>
                </c:pt>
                <c:pt idx="95">
                  <c:v>-1.2460935365616876</c:v>
                </c:pt>
                <c:pt idx="96">
                  <c:v>-0.83530725463495514</c:v>
                </c:pt>
                <c:pt idx="97">
                  <c:v>-3.7326106841532862</c:v>
                </c:pt>
                <c:pt idx="98">
                  <c:v>-4.4407003955983271</c:v>
                </c:pt>
                <c:pt idx="99">
                  <c:v>-4.0676661004151526</c:v>
                </c:pt>
                <c:pt idx="100">
                  <c:v>-4.1541832480067455</c:v>
                </c:pt>
                <c:pt idx="101">
                  <c:v>-2.8568798184884656</c:v>
                </c:pt>
                <c:pt idx="102">
                  <c:v>2.024244188139761</c:v>
                </c:pt>
                <c:pt idx="103">
                  <c:v>2.5269407586214356</c:v>
                </c:pt>
                <c:pt idx="104">
                  <c:v>1.6458167519932658</c:v>
                </c:pt>
                <c:pt idx="105">
                  <c:v>1.6727824568100971</c:v>
                </c:pt>
                <c:pt idx="106">
                  <c:v>1.8835687387368409</c:v>
                </c:pt>
                <c:pt idx="107">
                  <c:v>-3.348790107043385</c:v>
                </c:pt>
                <c:pt idx="108">
                  <c:v>-4.0407003955983214</c:v>
                </c:pt>
                <c:pt idx="109">
                  <c:v>-3.4353072546349495</c:v>
                </c:pt>
                <c:pt idx="110">
                  <c:v>-5.6514866775250994</c:v>
                </c:pt>
                <c:pt idx="111">
                  <c:v>-4.5541832480067512</c:v>
                </c:pt>
                <c:pt idx="112">
                  <c:v>-2.743396966080013</c:v>
                </c:pt>
                <c:pt idx="113">
                  <c:v>-6.3380038251166582</c:v>
                </c:pt>
                <c:pt idx="114">
                  <c:v>-5.5272175431898916</c:v>
                </c:pt>
                <c:pt idx="115">
                  <c:v>-7.1326106841532919</c:v>
                </c:pt>
                <c:pt idx="116">
                  <c:v>-6.4083415498181182</c:v>
                </c:pt>
                <c:pt idx="117">
                  <c:v>-9.743396966080013</c:v>
                </c:pt>
                <c:pt idx="118">
                  <c:v>-9.3218244022265537</c:v>
                </c:pt>
                <c:pt idx="119">
                  <c:v>-10.651486677525099</c:v>
                </c:pt>
                <c:pt idx="120">
                  <c:v>-8.5164312612631647</c:v>
                </c:pt>
                <c:pt idx="121">
                  <c:v>-7.851486677525088</c:v>
                </c:pt>
                <c:pt idx="122">
                  <c:v>-4.6353072546349665</c:v>
                </c:pt>
                <c:pt idx="123">
                  <c:v>-4.9649695299334837</c:v>
                </c:pt>
                <c:pt idx="124">
                  <c:v>-4.0946318052320123</c:v>
                </c:pt>
                <c:pt idx="125">
                  <c:v>-5.8946318052320237</c:v>
                </c:pt>
                <c:pt idx="126">
                  <c:v>-4.1000249461954184</c:v>
                </c:pt>
                <c:pt idx="127">
                  <c:v>-1.6622729594518262</c:v>
                </c:pt>
                <c:pt idx="128">
                  <c:v>-2.2622729594518205</c:v>
                </c:pt>
                <c:pt idx="129">
                  <c:v>2.451209892956598</c:v>
                </c:pt>
                <c:pt idx="130">
                  <c:v>-0.66227295945182618</c:v>
                </c:pt>
                <c:pt idx="131">
                  <c:v>0.14312018151153438</c:v>
                </c:pt>
                <c:pt idx="132">
                  <c:v>0.35929960440168429</c:v>
                </c:pt>
                <c:pt idx="133">
                  <c:v>0.12694075862145837</c:v>
                </c:pt>
                <c:pt idx="134">
                  <c:v>2.1431201815115344</c:v>
                </c:pt>
                <c:pt idx="135">
                  <c:v>2.1215476176580808</c:v>
                </c:pt>
                <c:pt idx="136">
                  <c:v>-3.1541832480067455</c:v>
                </c:pt>
                <c:pt idx="137">
                  <c:v>-4.8622729594518148</c:v>
                </c:pt>
                <c:pt idx="138">
                  <c:v>-5.1865420937870113</c:v>
                </c:pt>
                <c:pt idx="139">
                  <c:v>-6.8838455233052969</c:v>
                </c:pt>
                <c:pt idx="140">
                  <c:v>-6.851486677525088</c:v>
                </c:pt>
                <c:pt idx="141">
                  <c:v>-4.6514866775250994</c:v>
                </c:pt>
                <c:pt idx="142">
                  <c:v>-1.6460935365616933</c:v>
                </c:pt>
                <c:pt idx="143">
                  <c:v>-3.846093536561682</c:v>
                </c:pt>
                <c:pt idx="144">
                  <c:v>-1.4353072546349495</c:v>
                </c:pt>
                <c:pt idx="145">
                  <c:v>-5.0838455233052855</c:v>
                </c:pt>
                <c:pt idx="146">
                  <c:v>-6.8892386642686745</c:v>
                </c:pt>
                <c:pt idx="147">
                  <c:v>-2.8946318052320237</c:v>
                </c:pt>
                <c:pt idx="148">
                  <c:v>-1.4838455233052912</c:v>
                </c:pt>
                <c:pt idx="149">
                  <c:v>-3.1865420937870113</c:v>
                </c:pt>
                <c:pt idx="150">
                  <c:v>-2.3919352347503491</c:v>
                </c:pt>
                <c:pt idx="151">
                  <c:v>-2.9811489528236166</c:v>
                </c:pt>
                <c:pt idx="152">
                  <c:v>-4.0784523823419079</c:v>
                </c:pt>
                <c:pt idx="153">
                  <c:v>-4.0676661004151526</c:v>
                </c:pt>
                <c:pt idx="154">
                  <c:v>-5.7541832480067683</c:v>
                </c:pt>
                <c:pt idx="155">
                  <c:v>-1.9487901070433793</c:v>
                </c:pt>
                <c:pt idx="156">
                  <c:v>-1.9541832480067569</c:v>
                </c:pt>
                <c:pt idx="157">
                  <c:v>4.148513322474912</c:v>
                </c:pt>
                <c:pt idx="158">
                  <c:v>-0.66766610041514696</c:v>
                </c:pt>
                <c:pt idx="159">
                  <c:v>-1.9487901070433793</c:v>
                </c:pt>
                <c:pt idx="160">
                  <c:v>-2.9487901070433793</c:v>
                </c:pt>
                <c:pt idx="161">
                  <c:v>0.15390646343831804</c:v>
                </c:pt>
                <c:pt idx="162">
                  <c:v>-0.673059241378553</c:v>
                </c:pt>
                <c:pt idx="163">
                  <c:v>-0.35957638897011179</c:v>
                </c:pt>
                <c:pt idx="164">
                  <c:v>-3.7703626708968727</c:v>
                </c:pt>
                <c:pt idx="165">
                  <c:v>2.6512098929565866</c:v>
                </c:pt>
                <c:pt idx="166">
                  <c:v>-0.69463180523200663</c:v>
                </c:pt>
                <c:pt idx="167">
                  <c:v>-3.1541832480067455</c:v>
                </c:pt>
                <c:pt idx="168">
                  <c:v>-8.3811489528236223</c:v>
                </c:pt>
                <c:pt idx="169">
                  <c:v>-6.1541832480067455</c:v>
                </c:pt>
                <c:pt idx="170">
                  <c:v>-5.2568798184884429</c:v>
                </c:pt>
                <c:pt idx="171">
                  <c:v>-4.1487901070433963</c:v>
                </c:pt>
                <c:pt idx="172">
                  <c:v>-3.5703626708968841</c:v>
                </c:pt>
                <c:pt idx="173">
                  <c:v>0.85120989295660365</c:v>
                </c:pt>
                <c:pt idx="174">
                  <c:v>-3.0730592413785587</c:v>
                </c:pt>
                <c:pt idx="175">
                  <c:v>-1.6299141136715889</c:v>
                </c:pt>
                <c:pt idx="176">
                  <c:v>-3.851486677525088</c:v>
                </c:pt>
                <c:pt idx="177">
                  <c:v>-3.548790107043402</c:v>
                </c:pt>
                <c:pt idx="178">
                  <c:v>-3.7865420937870056</c:v>
                </c:pt>
                <c:pt idx="179">
                  <c:v>-1.1595763889701232</c:v>
                </c:pt>
                <c:pt idx="180">
                  <c:v>-1.975755811860239</c:v>
                </c:pt>
                <c:pt idx="181">
                  <c:v>-0.66766610041514696</c:v>
                </c:pt>
                <c:pt idx="182">
                  <c:v>-1.4622729594518091</c:v>
                </c:pt>
                <c:pt idx="183">
                  <c:v>-2.4676661004151583</c:v>
                </c:pt>
                <c:pt idx="184">
                  <c:v>-2.0407003955983214</c:v>
                </c:pt>
                <c:pt idx="185">
                  <c:v>-1.4676661004151583</c:v>
                </c:pt>
                <c:pt idx="186">
                  <c:v>-3.0676661004151526</c:v>
                </c:pt>
                <c:pt idx="187">
                  <c:v>-3.0568798184884542</c:v>
                </c:pt>
                <c:pt idx="188">
                  <c:v>-1.9541832480067569</c:v>
                </c:pt>
                <c:pt idx="189">
                  <c:v>-2.1433969660800187</c:v>
                </c:pt>
                <c:pt idx="190">
                  <c:v>-2.1380038251166695</c:v>
                </c:pt>
                <c:pt idx="191">
                  <c:v>-1.4299141136716003</c:v>
                </c:pt>
                <c:pt idx="192">
                  <c:v>-2.1865420937870113</c:v>
                </c:pt>
                <c:pt idx="193">
                  <c:v>-0.57036267089688408</c:v>
                </c:pt>
                <c:pt idx="194">
                  <c:v>2.3215476176580694</c:v>
                </c:pt>
                <c:pt idx="195">
                  <c:v>3.5030470066516273E-2</c:v>
                </c:pt>
                <c:pt idx="196">
                  <c:v>-3.5703626708968841</c:v>
                </c:pt>
                <c:pt idx="197">
                  <c:v>-1.673059241378553</c:v>
                </c:pt>
                <c:pt idx="198">
                  <c:v>-0.36496952993348941</c:v>
                </c:pt>
                <c:pt idx="199">
                  <c:v>-1.7757558118602503</c:v>
                </c:pt>
                <c:pt idx="200">
                  <c:v>2.435030470066522</c:v>
                </c:pt>
                <c:pt idx="201">
                  <c:v>1.1431201815115344</c:v>
                </c:pt>
                <c:pt idx="202">
                  <c:v>4.326940758621447</c:v>
                </c:pt>
                <c:pt idx="203">
                  <c:v>5.7161544766947259</c:v>
                </c:pt>
                <c:pt idx="204">
                  <c:v>3.8134579062129887</c:v>
                </c:pt>
                <c:pt idx="205">
                  <c:v>6.7269407586214243</c:v>
                </c:pt>
                <c:pt idx="206">
                  <c:v>9.218851047176372</c:v>
                </c:pt>
                <c:pt idx="207">
                  <c:v>6.5431201815115685</c:v>
                </c:pt>
                <c:pt idx="208">
                  <c:v>1.6296373291031045</c:v>
                </c:pt>
                <c:pt idx="209">
                  <c:v>1.5161544766947372</c:v>
                </c:pt>
                <c:pt idx="210">
                  <c:v>5.024244188139761</c:v>
                </c:pt>
                <c:pt idx="211">
                  <c:v>5.1161544766947031</c:v>
                </c:pt>
                <c:pt idx="212">
                  <c:v>5.8242441881397724</c:v>
                </c:pt>
                <c:pt idx="213">
                  <c:v>8.5485133224748893</c:v>
                </c:pt>
                <c:pt idx="214">
                  <c:v>1.2458167519932317</c:v>
                </c:pt>
                <c:pt idx="215">
                  <c:v>2.153906463438318</c:v>
                </c:pt>
                <c:pt idx="216">
                  <c:v>2.9431201815115458</c:v>
                </c:pt>
                <c:pt idx="217">
                  <c:v>2.6134579062130001</c:v>
                </c:pt>
                <c:pt idx="218">
                  <c:v>3.5377270405481909</c:v>
                </c:pt>
                <c:pt idx="219">
                  <c:v>4.8134579062129887</c:v>
                </c:pt>
                <c:pt idx="220">
                  <c:v>5.4242441881397383</c:v>
                </c:pt>
                <c:pt idx="221">
                  <c:v>4.8134579062129887</c:v>
                </c:pt>
                <c:pt idx="222">
                  <c:v>3.4296373291031159</c:v>
                </c:pt>
                <c:pt idx="223">
                  <c:v>3.9539064634383294</c:v>
                </c:pt>
                <c:pt idx="224">
                  <c:v>-0.18114895282360521</c:v>
                </c:pt>
                <c:pt idx="225">
                  <c:v>4.5816751993243088E-2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2-4A7D-A5FD-49842ED8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8351"/>
        <c:axId val="2117177871"/>
      </c:scatterChart>
      <c:valAx>
        <c:axId val="21171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7871"/>
        <c:crosses val="autoZero"/>
        <c:crossBetween val="midCat"/>
      </c:valAx>
      <c:valAx>
        <c:axId val="21171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Log'!$J$2:$J$227</c:f>
              <c:numCache>
                <c:formatCode>0.00</c:formatCode>
                <c:ptCount val="226"/>
                <c:pt idx="0">
                  <c:v>128</c:v>
                </c:pt>
                <c:pt idx="1">
                  <c:v>108</c:v>
                </c:pt>
                <c:pt idx="2">
                  <c:v>112</c:v>
                </c:pt>
                <c:pt idx="3">
                  <c:v>158</c:v>
                </c:pt>
                <c:pt idx="4">
                  <c:v>120</c:v>
                </c:pt>
                <c:pt idx="5">
                  <c:v>156</c:v>
                </c:pt>
                <c:pt idx="6">
                  <c:v>113</c:v>
                </c:pt>
                <c:pt idx="7">
                  <c:v>113</c:v>
                </c:pt>
                <c:pt idx="8">
                  <c:v>124</c:v>
                </c:pt>
                <c:pt idx="9">
                  <c:v>116</c:v>
                </c:pt>
                <c:pt idx="10">
                  <c:v>127</c:v>
                </c:pt>
                <c:pt idx="11">
                  <c:v>108</c:v>
                </c:pt>
                <c:pt idx="12">
                  <c:v>144</c:v>
                </c:pt>
                <c:pt idx="13">
                  <c:v>104</c:v>
                </c:pt>
                <c:pt idx="14">
                  <c:v>125</c:v>
                </c:pt>
                <c:pt idx="15">
                  <c:v>107</c:v>
                </c:pt>
                <c:pt idx="16">
                  <c:v>126</c:v>
                </c:pt>
                <c:pt idx="17">
                  <c:v>124</c:v>
                </c:pt>
                <c:pt idx="18">
                  <c:v>148</c:v>
                </c:pt>
                <c:pt idx="19">
                  <c:v>137</c:v>
                </c:pt>
                <c:pt idx="20">
                  <c:v>134</c:v>
                </c:pt>
                <c:pt idx="21">
                  <c:v>136</c:v>
                </c:pt>
                <c:pt idx="22">
                  <c:v>132</c:v>
                </c:pt>
                <c:pt idx="23">
                  <c:v>139</c:v>
                </c:pt>
                <c:pt idx="24">
                  <c:v>128</c:v>
                </c:pt>
                <c:pt idx="25">
                  <c:v>135</c:v>
                </c:pt>
                <c:pt idx="26">
                  <c:v>136</c:v>
                </c:pt>
                <c:pt idx="27">
                  <c:v>138</c:v>
                </c:pt>
                <c:pt idx="28">
                  <c:v>132</c:v>
                </c:pt>
                <c:pt idx="29">
                  <c:v>134</c:v>
                </c:pt>
                <c:pt idx="30">
                  <c:v>125</c:v>
                </c:pt>
                <c:pt idx="31">
                  <c:v>122</c:v>
                </c:pt>
                <c:pt idx="32">
                  <c:v>127</c:v>
                </c:pt>
                <c:pt idx="33">
                  <c:v>128</c:v>
                </c:pt>
                <c:pt idx="34">
                  <c:v>132</c:v>
                </c:pt>
                <c:pt idx="35">
                  <c:v>127</c:v>
                </c:pt>
                <c:pt idx="36">
                  <c:v>140</c:v>
                </c:pt>
                <c:pt idx="37">
                  <c:v>159</c:v>
                </c:pt>
                <c:pt idx="38">
                  <c:v>118</c:v>
                </c:pt>
                <c:pt idx="39">
                  <c:v>140</c:v>
                </c:pt>
                <c:pt idx="40">
                  <c:v>138</c:v>
                </c:pt>
                <c:pt idx="41">
                  <c:v>152</c:v>
                </c:pt>
                <c:pt idx="42">
                  <c:v>138</c:v>
                </c:pt>
                <c:pt idx="43">
                  <c:v>152</c:v>
                </c:pt>
                <c:pt idx="44">
                  <c:v>155</c:v>
                </c:pt>
                <c:pt idx="45">
                  <c:v>144</c:v>
                </c:pt>
                <c:pt idx="46">
                  <c:v>140</c:v>
                </c:pt>
                <c:pt idx="47">
                  <c:v>159</c:v>
                </c:pt>
                <c:pt idx="48">
                  <c:v>153</c:v>
                </c:pt>
                <c:pt idx="49">
                  <c:v>159</c:v>
                </c:pt>
                <c:pt idx="50">
                  <c:v>149</c:v>
                </c:pt>
                <c:pt idx="51">
                  <c:v>136</c:v>
                </c:pt>
                <c:pt idx="52">
                  <c:v>140</c:v>
                </c:pt>
                <c:pt idx="53">
                  <c:v>133</c:v>
                </c:pt>
                <c:pt idx="54">
                  <c:v>142</c:v>
                </c:pt>
                <c:pt idx="55">
                  <c:v>134</c:v>
                </c:pt>
                <c:pt idx="56">
                  <c:v>126</c:v>
                </c:pt>
                <c:pt idx="57">
                  <c:v>156</c:v>
                </c:pt>
                <c:pt idx="58">
                  <c:v>153</c:v>
                </c:pt>
                <c:pt idx="59">
                  <c:v>148</c:v>
                </c:pt>
                <c:pt idx="60">
                  <c:v>130</c:v>
                </c:pt>
                <c:pt idx="61">
                  <c:v>143</c:v>
                </c:pt>
                <c:pt idx="62">
                  <c:v>136</c:v>
                </c:pt>
                <c:pt idx="63">
                  <c:v>144</c:v>
                </c:pt>
                <c:pt idx="64">
                  <c:v>137</c:v>
                </c:pt>
                <c:pt idx="65">
                  <c:v>149</c:v>
                </c:pt>
                <c:pt idx="66">
                  <c:v>135</c:v>
                </c:pt>
                <c:pt idx="67">
                  <c:v>129</c:v>
                </c:pt>
                <c:pt idx="68">
                  <c:v>144</c:v>
                </c:pt>
                <c:pt idx="69">
                  <c:v>132</c:v>
                </c:pt>
                <c:pt idx="70">
                  <c:v>137</c:v>
                </c:pt>
                <c:pt idx="71">
                  <c:v>160</c:v>
                </c:pt>
                <c:pt idx="72">
                  <c:v>135</c:v>
                </c:pt>
                <c:pt idx="73">
                  <c:v>136</c:v>
                </c:pt>
                <c:pt idx="74">
                  <c:v>132</c:v>
                </c:pt>
                <c:pt idx="75">
                  <c:v>132</c:v>
                </c:pt>
                <c:pt idx="76">
                  <c:v>126</c:v>
                </c:pt>
                <c:pt idx="77">
                  <c:v>133</c:v>
                </c:pt>
                <c:pt idx="78">
                  <c:v>133</c:v>
                </c:pt>
                <c:pt idx="79">
                  <c:v>135</c:v>
                </c:pt>
                <c:pt idx="80">
                  <c:v>134</c:v>
                </c:pt>
                <c:pt idx="81">
                  <c:v>138</c:v>
                </c:pt>
                <c:pt idx="82">
                  <c:v>132</c:v>
                </c:pt>
                <c:pt idx="83">
                  <c:v>135</c:v>
                </c:pt>
                <c:pt idx="84">
                  <c:v>136</c:v>
                </c:pt>
                <c:pt idx="85">
                  <c:v>135</c:v>
                </c:pt>
                <c:pt idx="86">
                  <c:v>136</c:v>
                </c:pt>
                <c:pt idx="87">
                  <c:v>130</c:v>
                </c:pt>
                <c:pt idx="88">
                  <c:v>119</c:v>
                </c:pt>
                <c:pt idx="89">
                  <c:v>128</c:v>
                </c:pt>
                <c:pt idx="90">
                  <c:v>120</c:v>
                </c:pt>
                <c:pt idx="91">
                  <c:v>148</c:v>
                </c:pt>
                <c:pt idx="92">
                  <c:v>148</c:v>
                </c:pt>
                <c:pt idx="93">
                  <c:v>120</c:v>
                </c:pt>
                <c:pt idx="94">
                  <c:v>139</c:v>
                </c:pt>
                <c:pt idx="95">
                  <c:v>120</c:v>
                </c:pt>
                <c:pt idx="96">
                  <c:v>122</c:v>
                </c:pt>
                <c:pt idx="97">
                  <c:v>126</c:v>
                </c:pt>
                <c:pt idx="98">
                  <c:v>123</c:v>
                </c:pt>
                <c:pt idx="99">
                  <c:v>136</c:v>
                </c:pt>
                <c:pt idx="100">
                  <c:v>135</c:v>
                </c:pt>
                <c:pt idx="101">
                  <c:v>134</c:v>
                </c:pt>
                <c:pt idx="102">
                  <c:v>145</c:v>
                </c:pt>
                <c:pt idx="103">
                  <c:v>111</c:v>
                </c:pt>
                <c:pt idx="104">
                  <c:v>134</c:v>
                </c:pt>
                <c:pt idx="105">
                  <c:v>127</c:v>
                </c:pt>
                <c:pt idx="106">
                  <c:v>130</c:v>
                </c:pt>
                <c:pt idx="107">
                  <c:v>141</c:v>
                </c:pt>
                <c:pt idx="108">
                  <c:v>145</c:v>
                </c:pt>
                <c:pt idx="109">
                  <c:v>133</c:v>
                </c:pt>
                <c:pt idx="110">
                  <c:v>139</c:v>
                </c:pt>
                <c:pt idx="111">
                  <c:v>143</c:v>
                </c:pt>
                <c:pt idx="112">
                  <c:v>123</c:v>
                </c:pt>
                <c:pt idx="113">
                  <c:v>132</c:v>
                </c:pt>
                <c:pt idx="114">
                  <c:v>145</c:v>
                </c:pt>
                <c:pt idx="115">
                  <c:v>129</c:v>
                </c:pt>
                <c:pt idx="116">
                  <c:v>132</c:v>
                </c:pt>
                <c:pt idx="117">
                  <c:v>137</c:v>
                </c:pt>
                <c:pt idx="118">
                  <c:v>127</c:v>
                </c:pt>
                <c:pt idx="119">
                  <c:v>140</c:v>
                </c:pt>
                <c:pt idx="120">
                  <c:v>123</c:v>
                </c:pt>
                <c:pt idx="121">
                  <c:v>134</c:v>
                </c:pt>
                <c:pt idx="122">
                  <c:v>132</c:v>
                </c:pt>
                <c:pt idx="123">
                  <c:v>115</c:v>
                </c:pt>
                <c:pt idx="124">
                  <c:v>136</c:v>
                </c:pt>
                <c:pt idx="125">
                  <c:v>146</c:v>
                </c:pt>
                <c:pt idx="126">
                  <c:v>135</c:v>
                </c:pt>
                <c:pt idx="127">
                  <c:v>140</c:v>
                </c:pt>
                <c:pt idx="128">
                  <c:v>133</c:v>
                </c:pt>
                <c:pt idx="129">
                  <c:v>146</c:v>
                </c:pt>
                <c:pt idx="130">
                  <c:v>143</c:v>
                </c:pt>
                <c:pt idx="131">
                  <c:v>127</c:v>
                </c:pt>
                <c:pt idx="132">
                  <c:v>141</c:v>
                </c:pt>
                <c:pt idx="133">
                  <c:v>162</c:v>
                </c:pt>
                <c:pt idx="134">
                  <c:v>127</c:v>
                </c:pt>
                <c:pt idx="135">
                  <c:v>131</c:v>
                </c:pt>
                <c:pt idx="136">
                  <c:v>142</c:v>
                </c:pt>
                <c:pt idx="137">
                  <c:v>137</c:v>
                </c:pt>
                <c:pt idx="138">
                  <c:v>144</c:v>
                </c:pt>
                <c:pt idx="139">
                  <c:v>134</c:v>
                </c:pt>
                <c:pt idx="140">
                  <c:v>147</c:v>
                </c:pt>
                <c:pt idx="141">
                  <c:v>147</c:v>
                </c:pt>
                <c:pt idx="142">
                  <c:v>140</c:v>
                </c:pt>
                <c:pt idx="143">
                  <c:v>124</c:v>
                </c:pt>
                <c:pt idx="144">
                  <c:v>121</c:v>
                </c:pt>
                <c:pt idx="145">
                  <c:v>139</c:v>
                </c:pt>
                <c:pt idx="146">
                  <c:v>125</c:v>
                </c:pt>
                <c:pt idx="147">
                  <c:v>129</c:v>
                </c:pt>
                <c:pt idx="148">
                  <c:v>141</c:v>
                </c:pt>
                <c:pt idx="149">
                  <c:v>136</c:v>
                </c:pt>
                <c:pt idx="150">
                  <c:v>136</c:v>
                </c:pt>
                <c:pt idx="151">
                  <c:v>131</c:v>
                </c:pt>
                <c:pt idx="152">
                  <c:v>135</c:v>
                </c:pt>
                <c:pt idx="153">
                  <c:v>133</c:v>
                </c:pt>
                <c:pt idx="154">
                  <c:v>117</c:v>
                </c:pt>
                <c:pt idx="155">
                  <c:v>116</c:v>
                </c:pt>
                <c:pt idx="156">
                  <c:v>118</c:v>
                </c:pt>
                <c:pt idx="157">
                  <c:v>137</c:v>
                </c:pt>
                <c:pt idx="158">
                  <c:v>135</c:v>
                </c:pt>
                <c:pt idx="159">
                  <c:v>134</c:v>
                </c:pt>
                <c:pt idx="160">
                  <c:v>135</c:v>
                </c:pt>
                <c:pt idx="161">
                  <c:v>124</c:v>
                </c:pt>
                <c:pt idx="162">
                  <c:v>134</c:v>
                </c:pt>
                <c:pt idx="163">
                  <c:v>129</c:v>
                </c:pt>
                <c:pt idx="164">
                  <c:v>139</c:v>
                </c:pt>
                <c:pt idx="165">
                  <c:v>112</c:v>
                </c:pt>
                <c:pt idx="166">
                  <c:v>144</c:v>
                </c:pt>
                <c:pt idx="167">
                  <c:v>148</c:v>
                </c:pt>
                <c:pt idx="168">
                  <c:v>148</c:v>
                </c:pt>
                <c:pt idx="169">
                  <c:v>134</c:v>
                </c:pt>
                <c:pt idx="170">
                  <c:v>135</c:v>
                </c:pt>
                <c:pt idx="171">
                  <c:v>129</c:v>
                </c:pt>
                <c:pt idx="172">
                  <c:v>140</c:v>
                </c:pt>
                <c:pt idx="173">
                  <c:v>124</c:v>
                </c:pt>
                <c:pt idx="174">
                  <c:v>153</c:v>
                </c:pt>
                <c:pt idx="175">
                  <c:v>123</c:v>
                </c:pt>
                <c:pt idx="176">
                  <c:v>124</c:v>
                </c:pt>
                <c:pt idx="177">
                  <c:v>116</c:v>
                </c:pt>
                <c:pt idx="178">
                  <c:v>138</c:v>
                </c:pt>
                <c:pt idx="179">
                  <c:v>135</c:v>
                </c:pt>
                <c:pt idx="180">
                  <c:v>123</c:v>
                </c:pt>
                <c:pt idx="181">
                  <c:v>129</c:v>
                </c:pt>
                <c:pt idx="182">
                  <c:v>120</c:v>
                </c:pt>
                <c:pt idx="183">
                  <c:v>125</c:v>
                </c:pt>
                <c:pt idx="184">
                  <c:v>114</c:v>
                </c:pt>
                <c:pt idx="185">
                  <c:v>146</c:v>
                </c:pt>
                <c:pt idx="186">
                  <c:v>129</c:v>
                </c:pt>
                <c:pt idx="187">
                  <c:v>145</c:v>
                </c:pt>
                <c:pt idx="188">
                  <c:v>140</c:v>
                </c:pt>
                <c:pt idx="189">
                  <c:v>132</c:v>
                </c:pt>
                <c:pt idx="190">
                  <c:v>128</c:v>
                </c:pt>
                <c:pt idx="191">
                  <c:v>118</c:v>
                </c:pt>
                <c:pt idx="192">
                  <c:v>153</c:v>
                </c:pt>
                <c:pt idx="193">
                  <c:v>124</c:v>
                </c:pt>
                <c:pt idx="194">
                  <c:v>156</c:v>
                </c:pt>
                <c:pt idx="195">
                  <c:v>148</c:v>
                </c:pt>
                <c:pt idx="196">
                  <c:v>156</c:v>
                </c:pt>
                <c:pt idx="197">
                  <c:v>150</c:v>
                </c:pt>
                <c:pt idx="198">
                  <c:v>132</c:v>
                </c:pt>
                <c:pt idx="199">
                  <c:v>139</c:v>
                </c:pt>
                <c:pt idx="200">
                  <c:v>147</c:v>
                </c:pt>
                <c:pt idx="201">
                  <c:v>133</c:v>
                </c:pt>
                <c:pt idx="202">
                  <c:v>138</c:v>
                </c:pt>
                <c:pt idx="203">
                  <c:v>152</c:v>
                </c:pt>
                <c:pt idx="204">
                  <c:v>151</c:v>
                </c:pt>
                <c:pt idx="205">
                  <c:v>140</c:v>
                </c:pt>
                <c:pt idx="206">
                  <c:v>136</c:v>
                </c:pt>
                <c:pt idx="207">
                  <c:v>152</c:v>
                </c:pt>
                <c:pt idx="208">
                  <c:v>142</c:v>
                </c:pt>
                <c:pt idx="209">
                  <c:v>118</c:v>
                </c:pt>
                <c:pt idx="210">
                  <c:v>128</c:v>
                </c:pt>
                <c:pt idx="211">
                  <c:v>126</c:v>
                </c:pt>
                <c:pt idx="212">
                  <c:v>130</c:v>
                </c:pt>
                <c:pt idx="213">
                  <c:v>130</c:v>
                </c:pt>
                <c:pt idx="214">
                  <c:v>124</c:v>
                </c:pt>
                <c:pt idx="215">
                  <c:v>144</c:v>
                </c:pt>
                <c:pt idx="216">
                  <c:v>135</c:v>
                </c:pt>
                <c:pt idx="217">
                  <c:v>125</c:v>
                </c:pt>
                <c:pt idx="218">
                  <c:v>151</c:v>
                </c:pt>
                <c:pt idx="219">
                  <c:v>114</c:v>
                </c:pt>
                <c:pt idx="220">
                  <c:v>117</c:v>
                </c:pt>
                <c:pt idx="221">
                  <c:v>109</c:v>
                </c:pt>
                <c:pt idx="222">
                  <c:v>148</c:v>
                </c:pt>
                <c:pt idx="223">
                  <c:v>132</c:v>
                </c:pt>
                <c:pt idx="224">
                  <c:v>132</c:v>
                </c:pt>
                <c:pt idx="225">
                  <c:v>124</c:v>
                </c:pt>
              </c:numCache>
            </c:numRef>
          </c:xVal>
          <c:yVal>
            <c:numRef>
              <c:f>Residuals!$W$2:$W$227</c:f>
              <c:numCache>
                <c:formatCode>0.00</c:formatCode>
                <c:ptCount val="226"/>
                <c:pt idx="0">
                  <c:v>19.848194436690449</c:v>
                </c:pt>
                <c:pt idx="1">
                  <c:v>13.99529775612109</c:v>
                </c:pt>
                <c:pt idx="2">
                  <c:v>14.405877092234959</c:v>
                </c:pt>
                <c:pt idx="3">
                  <c:v>20.127539457544515</c:v>
                </c:pt>
                <c:pt idx="4">
                  <c:v>13.02703576446271</c:v>
                </c:pt>
                <c:pt idx="5">
                  <c:v>15.722249789487591</c:v>
                </c:pt>
                <c:pt idx="6">
                  <c:v>11.508521926263427</c:v>
                </c:pt>
                <c:pt idx="7">
                  <c:v>11.508521926263427</c:v>
                </c:pt>
                <c:pt idx="8">
                  <c:v>13.237615100576534</c:v>
                </c:pt>
                <c:pt idx="9">
                  <c:v>15.61645642834884</c:v>
                </c:pt>
                <c:pt idx="10">
                  <c:v>14.94554960266197</c:v>
                </c:pt>
                <c:pt idx="11">
                  <c:v>10.595297756121056</c:v>
                </c:pt>
                <c:pt idx="12">
                  <c:v>12.490511781145983</c:v>
                </c:pt>
                <c:pt idx="13">
                  <c:v>11.384718420007175</c:v>
                </c:pt>
                <c:pt idx="14">
                  <c:v>11.540259934605047</c:v>
                </c:pt>
                <c:pt idx="15">
                  <c:v>9.6926529220926341</c:v>
                </c:pt>
                <c:pt idx="16">
                  <c:v>8.8429047686335025</c:v>
                </c:pt>
                <c:pt idx="17">
                  <c:v>8.4376151005765792</c:v>
                </c:pt>
                <c:pt idx="18">
                  <c:v>9.5010911172598185</c:v>
                </c:pt>
                <c:pt idx="19">
                  <c:v>8.1719979429466605</c:v>
                </c:pt>
                <c:pt idx="20">
                  <c:v>6.6640634408612698</c:v>
                </c:pt>
                <c:pt idx="21">
                  <c:v>6.8693531089182045</c:v>
                </c:pt>
                <c:pt idx="22">
                  <c:v>4.4587737728043351</c:v>
                </c:pt>
                <c:pt idx="23">
                  <c:v>5.5772876110035838</c:v>
                </c:pt>
                <c:pt idx="24">
                  <c:v>3.2481944366904258</c:v>
                </c:pt>
                <c:pt idx="25">
                  <c:v>1.9667082748897258</c:v>
                </c:pt>
                <c:pt idx="26">
                  <c:v>4.8693531089182045</c:v>
                </c:pt>
                <c:pt idx="27">
                  <c:v>5.0746427769751392</c:v>
                </c:pt>
                <c:pt idx="28">
                  <c:v>3.6587737728043237</c:v>
                </c:pt>
                <c:pt idx="29">
                  <c:v>3.064063440861247</c:v>
                </c:pt>
                <c:pt idx="30">
                  <c:v>1.9402599346050238</c:v>
                </c:pt>
                <c:pt idx="31">
                  <c:v>-0.3676745674803783</c:v>
                </c:pt>
                <c:pt idx="32">
                  <c:v>0.14554960266195849</c:v>
                </c:pt>
                <c:pt idx="33">
                  <c:v>-0.75180556330957415</c:v>
                </c:pt>
                <c:pt idx="34">
                  <c:v>0.25877377280431801</c:v>
                </c:pt>
                <c:pt idx="35">
                  <c:v>-0.2544503973380472</c:v>
                </c:pt>
                <c:pt idx="36">
                  <c:v>-1.7200675549679261</c:v>
                </c:pt>
                <c:pt idx="37">
                  <c:v>0.23018429157298215</c:v>
                </c:pt>
                <c:pt idx="38">
                  <c:v>0.22174609640575227</c:v>
                </c:pt>
                <c:pt idx="39">
                  <c:v>6.6799324450320512</c:v>
                </c:pt>
                <c:pt idx="40">
                  <c:v>6.2746427769751278</c:v>
                </c:pt>
                <c:pt idx="41">
                  <c:v>5.311670453373722</c:v>
                </c:pt>
                <c:pt idx="42">
                  <c:v>3.2746427769751278</c:v>
                </c:pt>
                <c:pt idx="43">
                  <c:v>6.7116704533736993</c:v>
                </c:pt>
                <c:pt idx="44">
                  <c:v>6.21960495545909</c:v>
                </c:pt>
                <c:pt idx="45">
                  <c:v>6.6905117811459718</c:v>
                </c:pt>
                <c:pt idx="46">
                  <c:v>7.2799324450320739</c:v>
                </c:pt>
                <c:pt idx="47">
                  <c:v>5.2301842915729821</c:v>
                </c:pt>
                <c:pt idx="48">
                  <c:v>2.614315287402178</c:v>
                </c:pt>
                <c:pt idx="49">
                  <c:v>1.4301842915729708</c:v>
                </c:pt>
                <c:pt idx="50">
                  <c:v>-0.5962640487117028</c:v>
                </c:pt>
                <c:pt idx="51">
                  <c:v>-2.3306468910818126</c:v>
                </c:pt>
                <c:pt idx="52">
                  <c:v>-0.12006755496793176</c:v>
                </c:pt>
                <c:pt idx="53">
                  <c:v>-2.4385813931671976</c:v>
                </c:pt>
                <c:pt idx="54">
                  <c:v>-1.1147778869110141</c:v>
                </c:pt>
                <c:pt idx="55">
                  <c:v>-3.5359365591387473</c:v>
                </c:pt>
                <c:pt idx="56">
                  <c:v>-4.5570952313665032</c:v>
                </c:pt>
                <c:pt idx="57">
                  <c:v>-2.8777502105124313</c:v>
                </c:pt>
                <c:pt idx="58">
                  <c:v>-3.5856847125978391</c:v>
                </c:pt>
                <c:pt idx="59">
                  <c:v>-4.4989088827401815</c:v>
                </c:pt>
                <c:pt idx="60">
                  <c:v>-7.1465158952526053</c:v>
                </c:pt>
                <c:pt idx="61">
                  <c:v>-6.6121330528825411</c:v>
                </c:pt>
                <c:pt idx="62">
                  <c:v>-8.3306468910818126</c:v>
                </c:pt>
                <c:pt idx="63">
                  <c:v>-7.5094882188540453</c:v>
                </c:pt>
                <c:pt idx="64">
                  <c:v>-7.8280020570533395</c:v>
                </c:pt>
                <c:pt idx="65">
                  <c:v>-2.7962640487116914</c:v>
                </c:pt>
                <c:pt idx="66">
                  <c:v>-6.0332917251102742</c:v>
                </c:pt>
                <c:pt idx="67">
                  <c:v>-6.8491607292810954</c:v>
                </c:pt>
                <c:pt idx="68">
                  <c:v>-1.7094882188540339</c:v>
                </c:pt>
                <c:pt idx="69">
                  <c:v>-5.741226227195682</c:v>
                </c:pt>
                <c:pt idx="70">
                  <c:v>-7.4280020570533338</c:v>
                </c:pt>
                <c:pt idx="71">
                  <c:v>-6.6671708743985505</c:v>
                </c:pt>
                <c:pt idx="72">
                  <c:v>-3.0332917251102742</c:v>
                </c:pt>
                <c:pt idx="73">
                  <c:v>-2.9306468910818069</c:v>
                </c:pt>
                <c:pt idx="74">
                  <c:v>-1.9412262271956706</c:v>
                </c:pt>
                <c:pt idx="75">
                  <c:v>-5.741226227195682</c:v>
                </c:pt>
                <c:pt idx="76">
                  <c:v>-7.1570952313664975</c:v>
                </c:pt>
                <c:pt idx="77">
                  <c:v>-7.2385813931672089</c:v>
                </c:pt>
                <c:pt idx="78">
                  <c:v>-8.6385813931672146</c:v>
                </c:pt>
                <c:pt idx="79">
                  <c:v>-4.2332917251102629</c:v>
                </c:pt>
                <c:pt idx="80">
                  <c:v>-3.3359365591387302</c:v>
                </c:pt>
                <c:pt idx="81">
                  <c:v>-2.1253572230248778</c:v>
                </c:pt>
                <c:pt idx="82">
                  <c:v>-6.1412262271956877</c:v>
                </c:pt>
                <c:pt idx="83">
                  <c:v>-6.4332917251102799</c:v>
                </c:pt>
                <c:pt idx="84">
                  <c:v>-4.9306468910818069</c:v>
                </c:pt>
                <c:pt idx="85">
                  <c:v>-4.0332917251102742</c:v>
                </c:pt>
                <c:pt idx="86">
                  <c:v>-0.1306468910817955</c:v>
                </c:pt>
                <c:pt idx="87">
                  <c:v>2.453484104747389</c:v>
                </c:pt>
                <c:pt idx="88">
                  <c:v>-2.2756090695657747</c:v>
                </c:pt>
                <c:pt idx="89">
                  <c:v>-2.7518055633095742</c:v>
                </c:pt>
                <c:pt idx="90">
                  <c:v>-2.1729642355373073</c:v>
                </c:pt>
                <c:pt idx="91">
                  <c:v>-1.2989088827401645</c:v>
                </c:pt>
                <c:pt idx="92">
                  <c:v>2.1010911172598412</c:v>
                </c:pt>
                <c:pt idx="93">
                  <c:v>-0.9729642355373187</c:v>
                </c:pt>
                <c:pt idx="94">
                  <c:v>-1.2227123889963991</c:v>
                </c:pt>
                <c:pt idx="95">
                  <c:v>-3.1729642355373073</c:v>
                </c:pt>
                <c:pt idx="96">
                  <c:v>-2.9676745674803726</c:v>
                </c:pt>
                <c:pt idx="97">
                  <c:v>-5.5570952313665032</c:v>
                </c:pt>
                <c:pt idx="98">
                  <c:v>-6.2650297334519109</c:v>
                </c:pt>
                <c:pt idx="99">
                  <c:v>-3.5306468910818012</c:v>
                </c:pt>
                <c:pt idx="100">
                  <c:v>-4.2332917251102629</c:v>
                </c:pt>
                <c:pt idx="101">
                  <c:v>-2.935936559138753</c:v>
                </c:pt>
                <c:pt idx="102">
                  <c:v>3.7931566151744391</c:v>
                </c:pt>
                <c:pt idx="103">
                  <c:v>0.7032322582064694</c:v>
                </c:pt>
                <c:pt idx="104">
                  <c:v>1.4640634408612812</c:v>
                </c:pt>
                <c:pt idx="105">
                  <c:v>-0.2544503973380472</c:v>
                </c:pt>
                <c:pt idx="106">
                  <c:v>-0.14651589525260533</c:v>
                </c:pt>
                <c:pt idx="107">
                  <c:v>-3.0174227209394644</c:v>
                </c:pt>
                <c:pt idx="108">
                  <c:v>-3.6068433848255665</c:v>
                </c:pt>
                <c:pt idx="109">
                  <c:v>-4.4385813931671976</c:v>
                </c:pt>
                <c:pt idx="110">
                  <c:v>-5.4227123889964162</c:v>
                </c:pt>
                <c:pt idx="111">
                  <c:v>-3.8121330528825297</c:v>
                </c:pt>
                <c:pt idx="112">
                  <c:v>-4.4650297334518996</c:v>
                </c:pt>
                <c:pt idx="113">
                  <c:v>-7.3412262271956763</c:v>
                </c:pt>
                <c:pt idx="114">
                  <c:v>-5.6068433848255665</c:v>
                </c:pt>
                <c:pt idx="115">
                  <c:v>-8.6491607292811068</c:v>
                </c:pt>
                <c:pt idx="116">
                  <c:v>-8.5412262271956649</c:v>
                </c:pt>
                <c:pt idx="117">
                  <c:v>-10.028002057053328</c:v>
                </c:pt>
                <c:pt idx="118">
                  <c:v>-11.454450397338036</c:v>
                </c:pt>
                <c:pt idx="119">
                  <c:v>-10.320067554967949</c:v>
                </c:pt>
                <c:pt idx="120">
                  <c:v>-11.265029733451911</c:v>
                </c:pt>
                <c:pt idx="121">
                  <c:v>-8.1359365591387416</c:v>
                </c:pt>
                <c:pt idx="122">
                  <c:v>-5.741226227195682</c:v>
                </c:pt>
                <c:pt idx="123">
                  <c:v>-6.6861884056796441</c:v>
                </c:pt>
                <c:pt idx="124">
                  <c:v>-2.5306468910818012</c:v>
                </c:pt>
                <c:pt idx="125">
                  <c:v>-3.3041985507971106</c:v>
                </c:pt>
                <c:pt idx="126">
                  <c:v>-2.4332917251102799</c:v>
                </c:pt>
                <c:pt idx="127">
                  <c:v>-0.92006755496794312</c:v>
                </c:pt>
                <c:pt idx="128">
                  <c:v>-2.2385813931672089</c:v>
                </c:pt>
                <c:pt idx="129">
                  <c:v>3.2958014492028838</c:v>
                </c:pt>
                <c:pt idx="130">
                  <c:v>0.38786694711745895</c:v>
                </c:pt>
                <c:pt idx="131">
                  <c:v>-0.65445039733805288</c:v>
                </c:pt>
                <c:pt idx="132">
                  <c:v>0.38257727906054129</c:v>
                </c:pt>
                <c:pt idx="133">
                  <c:v>3.5381187936584126</c:v>
                </c:pt>
                <c:pt idx="134">
                  <c:v>1.3455496026619471</c:v>
                </c:pt>
                <c:pt idx="135">
                  <c:v>2.5561289387758563</c:v>
                </c:pt>
                <c:pt idx="136">
                  <c:v>-2.5147778869109914</c:v>
                </c:pt>
                <c:pt idx="137">
                  <c:v>-4.4280020570533338</c:v>
                </c:pt>
                <c:pt idx="138">
                  <c:v>-3.1094882188540396</c:v>
                </c:pt>
                <c:pt idx="139">
                  <c:v>-5.935936559138753</c:v>
                </c:pt>
                <c:pt idx="140">
                  <c:v>-5.8015537167686375</c:v>
                </c:pt>
                <c:pt idx="141">
                  <c:v>-3.6015537167686489</c:v>
                </c:pt>
                <c:pt idx="142">
                  <c:v>-1.5200675549679374</c:v>
                </c:pt>
                <c:pt idx="143">
                  <c:v>-5.3623848994234322</c:v>
                </c:pt>
                <c:pt idx="144">
                  <c:v>-3.6703194015088343</c:v>
                </c:pt>
                <c:pt idx="145">
                  <c:v>-3.6227123889964048</c:v>
                </c:pt>
                <c:pt idx="146">
                  <c:v>-6.6597400653949705</c:v>
                </c:pt>
                <c:pt idx="147">
                  <c:v>-2.0491607292811125</c:v>
                </c:pt>
                <c:pt idx="148">
                  <c:v>0.18257727906052423</c:v>
                </c:pt>
                <c:pt idx="149">
                  <c:v>-1.9306468910818069</c:v>
                </c:pt>
                <c:pt idx="150">
                  <c:v>-0.93064689108180687</c:v>
                </c:pt>
                <c:pt idx="151">
                  <c:v>-2.4438710612241437</c:v>
                </c:pt>
                <c:pt idx="152">
                  <c:v>-3.2332917251102629</c:v>
                </c:pt>
                <c:pt idx="153">
                  <c:v>-3.8385813931672033</c:v>
                </c:pt>
                <c:pt idx="154">
                  <c:v>-7.6808987376227265</c:v>
                </c:pt>
                <c:pt idx="155">
                  <c:v>-4.1835435716511711</c:v>
                </c:pt>
                <c:pt idx="156">
                  <c:v>-3.7782539035942477</c:v>
                </c:pt>
                <c:pt idx="157">
                  <c:v>4.1719979429466605</c:v>
                </c:pt>
                <c:pt idx="158">
                  <c:v>-0.23329172511026286</c:v>
                </c:pt>
                <c:pt idx="159">
                  <c:v>-2.3359365591387302</c:v>
                </c:pt>
                <c:pt idx="160">
                  <c:v>-3.2332917251102629</c:v>
                </c:pt>
                <c:pt idx="161">
                  <c:v>-1.3623848994234322</c:v>
                </c:pt>
                <c:pt idx="162">
                  <c:v>-0.13593655913874159</c:v>
                </c:pt>
                <c:pt idx="163">
                  <c:v>-0.84916072928109543</c:v>
                </c:pt>
                <c:pt idx="164">
                  <c:v>-2.8227123889963934</c:v>
                </c:pt>
                <c:pt idx="165">
                  <c:v>5.8770922349253851E-3</c:v>
                </c:pt>
                <c:pt idx="166">
                  <c:v>1.6905117811459718</c:v>
                </c:pt>
                <c:pt idx="167">
                  <c:v>-1.8989088827401588</c:v>
                </c:pt>
                <c:pt idx="168">
                  <c:v>-6.0989088827401758</c:v>
                </c:pt>
                <c:pt idx="169">
                  <c:v>-6.3359365591387302</c:v>
                </c:pt>
                <c:pt idx="170">
                  <c:v>-5.2332917251102629</c:v>
                </c:pt>
                <c:pt idx="171">
                  <c:v>-5.0491607292811125</c:v>
                </c:pt>
                <c:pt idx="172">
                  <c:v>-2.5200675549679374</c:v>
                </c:pt>
                <c:pt idx="173">
                  <c:v>-0.56238489942344927</c:v>
                </c:pt>
                <c:pt idx="174">
                  <c:v>-0.58568471259783905</c:v>
                </c:pt>
                <c:pt idx="175">
                  <c:v>-3.8650297334519053</c:v>
                </c:pt>
                <c:pt idx="176">
                  <c:v>-5.1623848994234436</c:v>
                </c:pt>
                <c:pt idx="177">
                  <c:v>-5.7835435716511938</c:v>
                </c:pt>
                <c:pt idx="178">
                  <c:v>-2.3253572230248665</c:v>
                </c:pt>
                <c:pt idx="179">
                  <c:v>-1.0332917251102742</c:v>
                </c:pt>
                <c:pt idx="180">
                  <c:v>-2.4650297334518996</c:v>
                </c:pt>
                <c:pt idx="181">
                  <c:v>-0.84916072928109543</c:v>
                </c:pt>
                <c:pt idx="182">
                  <c:v>-2.7729642355373016</c:v>
                </c:pt>
                <c:pt idx="183">
                  <c:v>-3.0597400653949762</c:v>
                </c:pt>
                <c:pt idx="184">
                  <c:v>-4.7888332397081115</c:v>
                </c:pt>
                <c:pt idx="185">
                  <c:v>9.5801449202895128E-2</c:v>
                </c:pt>
                <c:pt idx="186">
                  <c:v>-3.2491607292811011</c:v>
                </c:pt>
                <c:pt idx="187">
                  <c:v>-2.0068433848255722</c:v>
                </c:pt>
                <c:pt idx="188">
                  <c:v>-1.5200675549679374</c:v>
                </c:pt>
                <c:pt idx="189">
                  <c:v>-2.9412262271956706</c:v>
                </c:pt>
                <c:pt idx="190">
                  <c:v>-3.5518055633095855</c:v>
                </c:pt>
                <c:pt idx="191">
                  <c:v>-4.1782539035942534</c:v>
                </c:pt>
                <c:pt idx="192">
                  <c:v>0.81431528740216663</c:v>
                </c:pt>
                <c:pt idx="193">
                  <c:v>-1.1623848994234436</c:v>
                </c:pt>
                <c:pt idx="194">
                  <c:v>5.3222497894875573</c:v>
                </c:pt>
                <c:pt idx="195">
                  <c:v>1.7010911172598355</c:v>
                </c:pt>
                <c:pt idx="196">
                  <c:v>-0.87775021051243129</c:v>
                </c:pt>
                <c:pt idx="197">
                  <c:v>0.50638078531676456</c:v>
                </c:pt>
                <c:pt idx="198">
                  <c:v>-0.3412262271956763</c:v>
                </c:pt>
                <c:pt idx="199">
                  <c:v>-0.6227123889964048</c:v>
                </c:pt>
                <c:pt idx="200">
                  <c:v>3.9984462832313739</c:v>
                </c:pt>
                <c:pt idx="201">
                  <c:v>0.96141860683277969</c:v>
                </c:pt>
                <c:pt idx="202">
                  <c:v>5.2746427769751278</c:v>
                </c:pt>
                <c:pt idx="203">
                  <c:v>8.5116704533737106</c:v>
                </c:pt>
                <c:pt idx="204">
                  <c:v>6.6090256193452319</c:v>
                </c:pt>
                <c:pt idx="205">
                  <c:v>7.8799324450320398</c:v>
                </c:pt>
                <c:pt idx="206">
                  <c:v>10.269353108918182</c:v>
                </c:pt>
                <c:pt idx="207">
                  <c:v>8.311670453373722</c:v>
                </c:pt>
                <c:pt idx="208">
                  <c:v>2.8852221130889859</c:v>
                </c:pt>
                <c:pt idx="209">
                  <c:v>0.82174609640577501</c:v>
                </c:pt>
                <c:pt idx="210">
                  <c:v>5.0481944366904372</c:v>
                </c:pt>
                <c:pt idx="211">
                  <c:v>5.2429047686334798</c:v>
                </c:pt>
                <c:pt idx="212">
                  <c:v>6.0534841047474117</c:v>
                </c:pt>
                <c:pt idx="213">
                  <c:v>7.8534841047473662</c:v>
                </c:pt>
                <c:pt idx="214">
                  <c:v>3.7615100576545046E-2</c:v>
                </c:pt>
                <c:pt idx="215">
                  <c:v>2.6905117811459718</c:v>
                </c:pt>
                <c:pt idx="216">
                  <c:v>2.9667082748897258</c:v>
                </c:pt>
                <c:pt idx="217">
                  <c:v>2.7402599346050351</c:v>
                </c:pt>
                <c:pt idx="218">
                  <c:v>5.4090256193452433</c:v>
                </c:pt>
                <c:pt idx="219">
                  <c:v>3.8111667602918828</c:v>
                </c:pt>
                <c:pt idx="220">
                  <c:v>4.3191012623772735</c:v>
                </c:pt>
                <c:pt idx="221">
                  <c:v>3.297942590149546</c:v>
                </c:pt>
                <c:pt idx="222">
                  <c:v>5.3010911172598298</c:v>
                </c:pt>
                <c:pt idx="223">
                  <c:v>3.2587737728043464</c:v>
                </c:pt>
                <c:pt idx="224">
                  <c:v>0.45877377280433507</c:v>
                </c:pt>
                <c:pt idx="225">
                  <c:v>-1.1623848994234436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1-4E6D-98CC-A62274B6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9151"/>
        <c:axId val="2117207151"/>
      </c:scatterChart>
      <c:valAx>
        <c:axId val="21172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7151"/>
        <c:crosses val="autoZero"/>
        <c:crossBetween val="midCat"/>
      </c:valAx>
      <c:valAx>
        <c:axId val="21172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Log'!$K$2:$K$227</c:f>
              <c:numCache>
                <c:formatCode>0.00</c:formatCode>
                <c:ptCount val="226"/>
                <c:pt idx="0">
                  <c:v>79</c:v>
                </c:pt>
                <c:pt idx="1">
                  <c:v>75</c:v>
                </c:pt>
                <c:pt idx="2">
                  <c:v>63</c:v>
                </c:pt>
                <c:pt idx="3">
                  <c:v>88</c:v>
                </c:pt>
                <c:pt idx="4">
                  <c:v>71</c:v>
                </c:pt>
                <c:pt idx="5">
                  <c:v>83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68</c:v>
                </c:pt>
                <c:pt idx="12">
                  <c:v>72</c:v>
                </c:pt>
                <c:pt idx="13">
                  <c:v>58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64</c:v>
                </c:pt>
                <c:pt idx="18">
                  <c:v>71</c:v>
                </c:pt>
                <c:pt idx="19">
                  <c:v>72</c:v>
                </c:pt>
                <c:pt idx="20">
                  <c:v>80</c:v>
                </c:pt>
                <c:pt idx="21">
                  <c:v>73</c:v>
                </c:pt>
                <c:pt idx="22">
                  <c:v>74</c:v>
                </c:pt>
                <c:pt idx="23">
                  <c:v>77</c:v>
                </c:pt>
                <c:pt idx="24">
                  <c:v>72</c:v>
                </c:pt>
                <c:pt idx="25">
                  <c:v>69</c:v>
                </c:pt>
                <c:pt idx="26">
                  <c:v>67</c:v>
                </c:pt>
                <c:pt idx="27">
                  <c:v>73</c:v>
                </c:pt>
                <c:pt idx="28">
                  <c:v>73</c:v>
                </c:pt>
                <c:pt idx="29">
                  <c:v>71</c:v>
                </c:pt>
                <c:pt idx="30">
                  <c:v>69</c:v>
                </c:pt>
                <c:pt idx="31">
                  <c:v>77</c:v>
                </c:pt>
                <c:pt idx="32">
                  <c:v>76</c:v>
                </c:pt>
                <c:pt idx="33">
                  <c:v>76</c:v>
                </c:pt>
                <c:pt idx="34">
                  <c:v>72</c:v>
                </c:pt>
                <c:pt idx="35">
                  <c:v>67</c:v>
                </c:pt>
                <c:pt idx="36">
                  <c:v>79</c:v>
                </c:pt>
                <c:pt idx="37">
                  <c:v>70</c:v>
                </c:pt>
                <c:pt idx="38">
                  <c:v>83</c:v>
                </c:pt>
                <c:pt idx="39">
                  <c:v>83</c:v>
                </c:pt>
                <c:pt idx="40">
                  <c:v>93</c:v>
                </c:pt>
                <c:pt idx="41">
                  <c:v>89</c:v>
                </c:pt>
                <c:pt idx="42">
                  <c:v>87</c:v>
                </c:pt>
                <c:pt idx="43">
                  <c:v>92</c:v>
                </c:pt>
                <c:pt idx="44">
                  <c:v>87</c:v>
                </c:pt>
                <c:pt idx="45">
                  <c:v>76</c:v>
                </c:pt>
                <c:pt idx="46">
                  <c:v>75</c:v>
                </c:pt>
                <c:pt idx="47">
                  <c:v>89</c:v>
                </c:pt>
                <c:pt idx="48">
                  <c:v>91</c:v>
                </c:pt>
                <c:pt idx="49">
                  <c:v>86</c:v>
                </c:pt>
                <c:pt idx="50">
                  <c:v>78</c:v>
                </c:pt>
                <c:pt idx="51">
                  <c:v>81</c:v>
                </c:pt>
                <c:pt idx="52">
                  <c:v>83</c:v>
                </c:pt>
                <c:pt idx="53">
                  <c:v>81</c:v>
                </c:pt>
                <c:pt idx="54">
                  <c:v>82</c:v>
                </c:pt>
                <c:pt idx="55">
                  <c:v>74</c:v>
                </c:pt>
                <c:pt idx="56">
                  <c:v>71</c:v>
                </c:pt>
                <c:pt idx="57">
                  <c:v>76</c:v>
                </c:pt>
                <c:pt idx="58">
                  <c:v>78</c:v>
                </c:pt>
                <c:pt idx="59">
                  <c:v>73</c:v>
                </c:pt>
                <c:pt idx="60">
                  <c:v>74</c:v>
                </c:pt>
                <c:pt idx="61">
                  <c:v>79</c:v>
                </c:pt>
                <c:pt idx="62">
                  <c:v>69</c:v>
                </c:pt>
                <c:pt idx="63">
                  <c:v>76</c:v>
                </c:pt>
                <c:pt idx="64">
                  <c:v>76</c:v>
                </c:pt>
                <c:pt idx="65">
                  <c:v>84</c:v>
                </c:pt>
                <c:pt idx="66">
                  <c:v>77</c:v>
                </c:pt>
                <c:pt idx="67">
                  <c:v>82</c:v>
                </c:pt>
                <c:pt idx="68">
                  <c:v>77</c:v>
                </c:pt>
                <c:pt idx="69">
                  <c:v>72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83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73</c:v>
                </c:pt>
                <c:pt idx="79">
                  <c:v>76</c:v>
                </c:pt>
                <c:pt idx="80">
                  <c:v>74</c:v>
                </c:pt>
                <c:pt idx="81">
                  <c:v>81</c:v>
                </c:pt>
                <c:pt idx="82">
                  <c:v>82</c:v>
                </c:pt>
                <c:pt idx="83">
                  <c:v>76</c:v>
                </c:pt>
                <c:pt idx="84">
                  <c:v>77</c:v>
                </c:pt>
                <c:pt idx="85">
                  <c:v>76</c:v>
                </c:pt>
                <c:pt idx="86">
                  <c:v>77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78</c:v>
                </c:pt>
                <c:pt idx="91">
                  <c:v>80</c:v>
                </c:pt>
                <c:pt idx="92">
                  <c:v>81</c:v>
                </c:pt>
                <c:pt idx="93">
                  <c:v>66</c:v>
                </c:pt>
                <c:pt idx="94">
                  <c:v>74</c:v>
                </c:pt>
                <c:pt idx="95">
                  <c:v>79</c:v>
                </c:pt>
                <c:pt idx="96">
                  <c:v>73</c:v>
                </c:pt>
                <c:pt idx="97">
                  <c:v>77</c:v>
                </c:pt>
                <c:pt idx="98">
                  <c:v>84</c:v>
                </c:pt>
                <c:pt idx="99">
                  <c:v>72</c:v>
                </c:pt>
                <c:pt idx="100">
                  <c:v>76</c:v>
                </c:pt>
                <c:pt idx="101">
                  <c:v>77</c:v>
                </c:pt>
                <c:pt idx="102">
                  <c:v>109</c:v>
                </c:pt>
                <c:pt idx="103">
                  <c:v>73</c:v>
                </c:pt>
                <c:pt idx="104">
                  <c:v>76</c:v>
                </c:pt>
                <c:pt idx="105">
                  <c:v>78</c:v>
                </c:pt>
                <c:pt idx="106">
                  <c:v>74</c:v>
                </c:pt>
                <c:pt idx="107">
                  <c:v>82</c:v>
                </c:pt>
                <c:pt idx="108">
                  <c:v>77</c:v>
                </c:pt>
                <c:pt idx="109">
                  <c:v>87</c:v>
                </c:pt>
                <c:pt idx="110">
                  <c:v>68</c:v>
                </c:pt>
                <c:pt idx="111">
                  <c:v>105</c:v>
                </c:pt>
                <c:pt idx="112">
                  <c:v>74</c:v>
                </c:pt>
                <c:pt idx="113">
                  <c:v>76</c:v>
                </c:pt>
                <c:pt idx="114">
                  <c:v>75</c:v>
                </c:pt>
                <c:pt idx="115">
                  <c:v>72</c:v>
                </c:pt>
                <c:pt idx="116">
                  <c:v>80</c:v>
                </c:pt>
                <c:pt idx="117">
                  <c:v>73</c:v>
                </c:pt>
                <c:pt idx="118">
                  <c:v>89</c:v>
                </c:pt>
                <c:pt idx="119">
                  <c:v>65</c:v>
                </c:pt>
                <c:pt idx="120">
                  <c:v>71</c:v>
                </c:pt>
                <c:pt idx="121">
                  <c:v>77</c:v>
                </c:pt>
                <c:pt idx="122">
                  <c:v>76</c:v>
                </c:pt>
                <c:pt idx="123">
                  <c:v>73</c:v>
                </c:pt>
                <c:pt idx="124">
                  <c:v>78</c:v>
                </c:pt>
                <c:pt idx="125">
                  <c:v>79</c:v>
                </c:pt>
                <c:pt idx="126">
                  <c:v>78</c:v>
                </c:pt>
                <c:pt idx="127">
                  <c:v>74</c:v>
                </c:pt>
                <c:pt idx="128">
                  <c:v>74</c:v>
                </c:pt>
                <c:pt idx="129">
                  <c:v>77</c:v>
                </c:pt>
                <c:pt idx="130">
                  <c:v>77</c:v>
                </c:pt>
                <c:pt idx="131">
                  <c:v>75</c:v>
                </c:pt>
                <c:pt idx="132">
                  <c:v>74</c:v>
                </c:pt>
                <c:pt idx="133">
                  <c:v>79</c:v>
                </c:pt>
                <c:pt idx="134">
                  <c:v>74</c:v>
                </c:pt>
                <c:pt idx="135">
                  <c:v>78</c:v>
                </c:pt>
                <c:pt idx="136">
                  <c:v>84</c:v>
                </c:pt>
                <c:pt idx="137">
                  <c:v>83</c:v>
                </c:pt>
                <c:pt idx="138">
                  <c:v>82</c:v>
                </c:pt>
                <c:pt idx="139">
                  <c:v>75</c:v>
                </c:pt>
                <c:pt idx="140">
                  <c:v>85</c:v>
                </c:pt>
                <c:pt idx="141">
                  <c:v>85</c:v>
                </c:pt>
                <c:pt idx="142">
                  <c:v>91</c:v>
                </c:pt>
                <c:pt idx="143">
                  <c:v>67</c:v>
                </c:pt>
                <c:pt idx="144">
                  <c:v>75</c:v>
                </c:pt>
                <c:pt idx="145">
                  <c:v>72</c:v>
                </c:pt>
                <c:pt idx="146">
                  <c:v>75</c:v>
                </c:pt>
                <c:pt idx="147">
                  <c:v>77</c:v>
                </c:pt>
                <c:pt idx="148">
                  <c:v>86</c:v>
                </c:pt>
                <c:pt idx="149">
                  <c:v>82</c:v>
                </c:pt>
                <c:pt idx="150">
                  <c:v>80</c:v>
                </c:pt>
                <c:pt idx="151">
                  <c:v>77</c:v>
                </c:pt>
                <c:pt idx="152">
                  <c:v>79</c:v>
                </c:pt>
                <c:pt idx="153">
                  <c:v>77</c:v>
                </c:pt>
                <c:pt idx="154">
                  <c:v>68</c:v>
                </c:pt>
                <c:pt idx="155">
                  <c:v>68</c:v>
                </c:pt>
                <c:pt idx="156">
                  <c:v>67</c:v>
                </c:pt>
                <c:pt idx="157">
                  <c:v>67</c:v>
                </c:pt>
                <c:pt idx="158">
                  <c:v>69</c:v>
                </c:pt>
                <c:pt idx="159">
                  <c:v>75</c:v>
                </c:pt>
                <c:pt idx="160">
                  <c:v>69</c:v>
                </c:pt>
                <c:pt idx="161">
                  <c:v>72</c:v>
                </c:pt>
                <c:pt idx="162">
                  <c:v>77</c:v>
                </c:pt>
                <c:pt idx="163">
                  <c:v>76</c:v>
                </c:pt>
                <c:pt idx="164">
                  <c:v>75</c:v>
                </c:pt>
                <c:pt idx="165">
                  <c:v>66</c:v>
                </c:pt>
                <c:pt idx="166">
                  <c:v>80</c:v>
                </c:pt>
                <c:pt idx="167">
                  <c:v>74</c:v>
                </c:pt>
                <c:pt idx="168">
                  <c:v>79</c:v>
                </c:pt>
                <c:pt idx="169">
                  <c:v>73</c:v>
                </c:pt>
                <c:pt idx="170">
                  <c:v>79</c:v>
                </c:pt>
                <c:pt idx="171">
                  <c:v>71</c:v>
                </c:pt>
                <c:pt idx="172">
                  <c:v>78</c:v>
                </c:pt>
                <c:pt idx="173">
                  <c:v>74</c:v>
                </c:pt>
                <c:pt idx="174">
                  <c:v>85</c:v>
                </c:pt>
                <c:pt idx="175">
                  <c:v>69</c:v>
                </c:pt>
                <c:pt idx="176">
                  <c:v>66</c:v>
                </c:pt>
                <c:pt idx="177">
                  <c:v>75</c:v>
                </c:pt>
                <c:pt idx="178">
                  <c:v>75</c:v>
                </c:pt>
                <c:pt idx="179">
                  <c:v>83</c:v>
                </c:pt>
                <c:pt idx="180">
                  <c:v>73</c:v>
                </c:pt>
                <c:pt idx="181">
                  <c:v>71</c:v>
                </c:pt>
                <c:pt idx="182">
                  <c:v>65</c:v>
                </c:pt>
                <c:pt idx="183">
                  <c:v>73</c:v>
                </c:pt>
                <c:pt idx="184">
                  <c:v>70</c:v>
                </c:pt>
                <c:pt idx="185">
                  <c:v>78</c:v>
                </c:pt>
                <c:pt idx="186">
                  <c:v>72</c:v>
                </c:pt>
                <c:pt idx="187">
                  <c:v>73</c:v>
                </c:pt>
                <c:pt idx="188">
                  <c:v>63</c:v>
                </c:pt>
                <c:pt idx="189">
                  <c:v>78</c:v>
                </c:pt>
                <c:pt idx="190">
                  <c:v>70</c:v>
                </c:pt>
                <c:pt idx="191">
                  <c:v>68</c:v>
                </c:pt>
                <c:pt idx="192">
                  <c:v>84</c:v>
                </c:pt>
                <c:pt idx="193">
                  <c:v>77</c:v>
                </c:pt>
                <c:pt idx="194">
                  <c:v>89</c:v>
                </c:pt>
                <c:pt idx="195">
                  <c:v>72</c:v>
                </c:pt>
                <c:pt idx="196">
                  <c:v>82</c:v>
                </c:pt>
                <c:pt idx="197">
                  <c:v>82</c:v>
                </c:pt>
                <c:pt idx="198">
                  <c:v>78</c:v>
                </c:pt>
                <c:pt idx="199">
                  <c:v>75</c:v>
                </c:pt>
                <c:pt idx="200">
                  <c:v>83</c:v>
                </c:pt>
                <c:pt idx="201">
                  <c:v>75</c:v>
                </c:pt>
                <c:pt idx="202">
                  <c:v>82</c:v>
                </c:pt>
                <c:pt idx="203">
                  <c:v>88</c:v>
                </c:pt>
                <c:pt idx="204">
                  <c:v>87</c:v>
                </c:pt>
                <c:pt idx="205">
                  <c:v>84</c:v>
                </c:pt>
                <c:pt idx="206">
                  <c:v>80</c:v>
                </c:pt>
                <c:pt idx="207">
                  <c:v>82</c:v>
                </c:pt>
                <c:pt idx="208">
                  <c:v>69</c:v>
                </c:pt>
                <c:pt idx="209">
                  <c:v>72</c:v>
                </c:pt>
                <c:pt idx="210">
                  <c:v>74</c:v>
                </c:pt>
                <c:pt idx="211">
                  <c:v>85</c:v>
                </c:pt>
                <c:pt idx="212">
                  <c:v>80</c:v>
                </c:pt>
                <c:pt idx="213">
                  <c:v>79</c:v>
                </c:pt>
                <c:pt idx="214">
                  <c:v>81</c:v>
                </c:pt>
                <c:pt idx="215">
                  <c:v>83</c:v>
                </c:pt>
                <c:pt idx="216">
                  <c:v>81</c:v>
                </c:pt>
                <c:pt idx="217">
                  <c:v>69</c:v>
                </c:pt>
                <c:pt idx="218">
                  <c:v>79</c:v>
                </c:pt>
                <c:pt idx="219">
                  <c:v>71</c:v>
                </c:pt>
                <c:pt idx="220">
                  <c:v>72</c:v>
                </c:pt>
                <c:pt idx="221">
                  <c:v>69</c:v>
                </c:pt>
                <c:pt idx="222">
                  <c:v>72</c:v>
                </c:pt>
                <c:pt idx="223">
                  <c:v>79</c:v>
                </c:pt>
                <c:pt idx="224">
                  <c:v>76</c:v>
                </c:pt>
                <c:pt idx="225">
                  <c:v>71</c:v>
                </c:pt>
              </c:numCache>
            </c:numRef>
          </c:xVal>
          <c:yVal>
            <c:numRef>
              <c:f>Residuals!$Z$2:$Z$227</c:f>
              <c:numCache>
                <c:formatCode>0.00</c:formatCode>
                <c:ptCount val="226"/>
                <c:pt idx="0">
                  <c:v>20.589215362586117</c:v>
                </c:pt>
                <c:pt idx="1">
                  <c:v>16.626151888921697</c:v>
                </c:pt>
                <c:pt idx="2">
                  <c:v>16.136961467928472</c:v>
                </c:pt>
                <c:pt idx="3">
                  <c:v>18.156108178331039</c:v>
                </c:pt>
                <c:pt idx="4">
                  <c:v>14.2630884152573</c:v>
                </c:pt>
                <c:pt idx="5">
                  <c:v>13.752278836250525</c:v>
                </c:pt>
                <c:pt idx="6">
                  <c:v>13.626151888921697</c:v>
                </c:pt>
                <c:pt idx="7">
                  <c:v>13.626151888921697</c:v>
                </c:pt>
                <c:pt idx="8">
                  <c:v>14.226151888921663</c:v>
                </c:pt>
                <c:pt idx="9">
                  <c:v>17.385386020505621</c:v>
                </c:pt>
                <c:pt idx="10">
                  <c:v>15.544620152089493</c:v>
                </c:pt>
                <c:pt idx="11">
                  <c:v>12.940790810008963</c:v>
                </c:pt>
                <c:pt idx="12">
                  <c:v>11.303854283673417</c:v>
                </c:pt>
                <c:pt idx="13">
                  <c:v>13.733132125847987</c:v>
                </c:pt>
                <c:pt idx="14">
                  <c:v>12.140790810009008</c:v>
                </c:pt>
                <c:pt idx="15">
                  <c:v>12.181556678425096</c:v>
                </c:pt>
                <c:pt idx="16">
                  <c:v>9.4223225468412011</c:v>
                </c:pt>
                <c:pt idx="17">
                  <c:v>8.9777273363446</c:v>
                </c:pt>
                <c:pt idx="18">
                  <c:v>7.8630884152572662</c:v>
                </c:pt>
                <c:pt idx="19">
                  <c:v>7.7038542836733939</c:v>
                </c:pt>
                <c:pt idx="20">
                  <c:v>6.8299812310022219</c:v>
                </c:pt>
                <c:pt idx="21">
                  <c:v>6.5446201520894931</c:v>
                </c:pt>
                <c:pt idx="22">
                  <c:v>4.5853860205056094</c:v>
                </c:pt>
                <c:pt idx="23">
                  <c:v>5.1076836257538787</c:v>
                </c:pt>
                <c:pt idx="24">
                  <c:v>3.7038542836733939</c:v>
                </c:pt>
                <c:pt idx="25">
                  <c:v>1.5815566784250734</c:v>
                </c:pt>
                <c:pt idx="26">
                  <c:v>4.3000249415928806</c:v>
                </c:pt>
                <c:pt idx="27">
                  <c:v>4.5446201520894931</c:v>
                </c:pt>
                <c:pt idx="28">
                  <c:v>3.7446201520894817</c:v>
                </c:pt>
                <c:pt idx="29">
                  <c:v>2.8630884152572662</c:v>
                </c:pt>
                <c:pt idx="30">
                  <c:v>2.5815566784250734</c:v>
                </c:pt>
                <c:pt idx="31">
                  <c:v>0.90768362575389006</c:v>
                </c:pt>
                <c:pt idx="32">
                  <c:v>0.86691775733780219</c:v>
                </c:pt>
                <c:pt idx="33">
                  <c:v>-0.13308224266219781</c:v>
                </c:pt>
                <c:pt idx="34">
                  <c:v>0.30385428367338818</c:v>
                </c:pt>
                <c:pt idx="35">
                  <c:v>0.10002494159286357</c:v>
                </c:pt>
                <c:pt idx="36">
                  <c:v>-2.2107846374138944</c:v>
                </c:pt>
                <c:pt idx="37">
                  <c:v>-2.5776774531587989</c:v>
                </c:pt>
                <c:pt idx="38">
                  <c:v>2.1522788362505025</c:v>
                </c:pt>
                <c:pt idx="39">
                  <c:v>6.3522788362504912</c:v>
                </c:pt>
                <c:pt idx="40">
                  <c:v>6.5599375204115233</c:v>
                </c:pt>
                <c:pt idx="41">
                  <c:v>3.9968740467471378</c:v>
                </c:pt>
                <c:pt idx="42">
                  <c:v>3.3153423099149109</c:v>
                </c:pt>
                <c:pt idx="43">
                  <c:v>5.5191716519954355</c:v>
                </c:pt>
                <c:pt idx="44">
                  <c:v>4.5153423099148995</c:v>
                </c:pt>
                <c:pt idx="45">
                  <c:v>5.6669177573378136</c:v>
                </c:pt>
                <c:pt idx="46">
                  <c:v>6.6261518889216973</c:v>
                </c:pt>
                <c:pt idx="47">
                  <c:v>3.1968740467471264</c:v>
                </c:pt>
                <c:pt idx="48">
                  <c:v>1.2784057835793305</c:v>
                </c:pt>
                <c:pt idx="49">
                  <c:v>-0.72542355850117701</c:v>
                </c:pt>
                <c:pt idx="50">
                  <c:v>-2.0515505058299937</c:v>
                </c:pt>
                <c:pt idx="51">
                  <c:v>-2.3292529005817073</c:v>
                </c:pt>
                <c:pt idx="52">
                  <c:v>-0.44772116374949178</c:v>
                </c:pt>
                <c:pt idx="53">
                  <c:v>-2.1292529005816903</c:v>
                </c:pt>
                <c:pt idx="54">
                  <c:v>-1.6884870321655967</c:v>
                </c:pt>
                <c:pt idx="55">
                  <c:v>-3.6146139794944077</c:v>
                </c:pt>
                <c:pt idx="56">
                  <c:v>-3.9369115847427167</c:v>
                </c:pt>
                <c:pt idx="57">
                  <c:v>-5.1330822426621978</c:v>
                </c:pt>
                <c:pt idx="58">
                  <c:v>-5.4515505058299993</c:v>
                </c:pt>
                <c:pt idx="59">
                  <c:v>-6.0553798479105296</c:v>
                </c:pt>
                <c:pt idx="60">
                  <c:v>-6.8146139794943963</c:v>
                </c:pt>
                <c:pt idx="61">
                  <c:v>-7.4107846374139115</c:v>
                </c:pt>
                <c:pt idx="62">
                  <c:v>-8.8184433215749323</c:v>
                </c:pt>
                <c:pt idx="63">
                  <c:v>-8.5330822426622035</c:v>
                </c:pt>
                <c:pt idx="64">
                  <c:v>-8.1330822426621978</c:v>
                </c:pt>
                <c:pt idx="65">
                  <c:v>-4.0069552953333698</c:v>
                </c:pt>
                <c:pt idx="66">
                  <c:v>-6.0923163742461099</c:v>
                </c:pt>
                <c:pt idx="67">
                  <c:v>-6.088487032165574</c:v>
                </c:pt>
                <c:pt idx="68">
                  <c:v>-2.6923163742461043</c:v>
                </c:pt>
                <c:pt idx="69">
                  <c:v>-5.6961457163266118</c:v>
                </c:pt>
                <c:pt idx="70">
                  <c:v>-7.7738481110783084</c:v>
                </c:pt>
                <c:pt idx="71">
                  <c:v>-9.3330822426621864</c:v>
                </c:pt>
                <c:pt idx="72">
                  <c:v>-3.1330822426621978</c:v>
                </c:pt>
                <c:pt idx="73">
                  <c:v>-3.0923163742461099</c:v>
                </c:pt>
                <c:pt idx="74">
                  <c:v>-1.4477211637494918</c:v>
                </c:pt>
                <c:pt idx="75">
                  <c:v>-5.6146139794944077</c:v>
                </c:pt>
                <c:pt idx="76">
                  <c:v>-6.3738481110783027</c:v>
                </c:pt>
                <c:pt idx="77">
                  <c:v>-7.1738481110783141</c:v>
                </c:pt>
                <c:pt idx="78">
                  <c:v>-8.6553798479105239</c:v>
                </c:pt>
                <c:pt idx="79">
                  <c:v>-4.3330822426621864</c:v>
                </c:pt>
                <c:pt idx="80">
                  <c:v>-3.4146139794943906</c:v>
                </c:pt>
                <c:pt idx="81">
                  <c:v>-2.3292529005817073</c:v>
                </c:pt>
                <c:pt idx="82">
                  <c:v>-5.6884870321655967</c:v>
                </c:pt>
                <c:pt idx="83">
                  <c:v>-6.5330822426622035</c:v>
                </c:pt>
                <c:pt idx="84">
                  <c:v>-5.0923163742461099</c:v>
                </c:pt>
                <c:pt idx="85">
                  <c:v>-4.1330822426621978</c:v>
                </c:pt>
                <c:pt idx="86">
                  <c:v>-0.29231637424609858</c:v>
                </c:pt>
                <c:pt idx="87">
                  <c:v>2.7038542836733939</c:v>
                </c:pt>
                <c:pt idx="88">
                  <c:v>-0.85537984791051258</c:v>
                </c:pt>
                <c:pt idx="89">
                  <c:v>-2.214613979494402</c:v>
                </c:pt>
                <c:pt idx="90">
                  <c:v>-0.65155050582998797</c:v>
                </c:pt>
                <c:pt idx="91">
                  <c:v>-2.5700187689977838</c:v>
                </c:pt>
                <c:pt idx="92">
                  <c:v>0.87074709941830974</c:v>
                </c:pt>
                <c:pt idx="93">
                  <c:v>5.9259073176775701E-2</c:v>
                </c:pt>
                <c:pt idx="94">
                  <c:v>-1.8146139794943963</c:v>
                </c:pt>
                <c:pt idx="95">
                  <c:v>-1.6107846374139001</c:v>
                </c:pt>
                <c:pt idx="96">
                  <c:v>-1.8553798479105126</c:v>
                </c:pt>
                <c:pt idx="97">
                  <c:v>-4.6923163742461043</c:v>
                </c:pt>
                <c:pt idx="98">
                  <c:v>-4.8069552953333812</c:v>
                </c:pt>
                <c:pt idx="99">
                  <c:v>-3.8961457163266004</c:v>
                </c:pt>
                <c:pt idx="100">
                  <c:v>-4.3330822426621864</c:v>
                </c:pt>
                <c:pt idx="101">
                  <c:v>-2.8923163742461213</c:v>
                </c:pt>
                <c:pt idx="102">
                  <c:v>4.012191415069168</c:v>
                </c:pt>
                <c:pt idx="103">
                  <c:v>2.9446201520894704</c:v>
                </c:pt>
                <c:pt idx="104">
                  <c:v>1.4669177573378249</c:v>
                </c:pt>
                <c:pt idx="105">
                  <c:v>0.54844949417000066</c:v>
                </c:pt>
                <c:pt idx="106">
                  <c:v>0.18538602050560371</c:v>
                </c:pt>
                <c:pt idx="107">
                  <c:v>-3.4884870321655796</c:v>
                </c:pt>
                <c:pt idx="108">
                  <c:v>-4.6923163742461043</c:v>
                </c:pt>
                <c:pt idx="109">
                  <c:v>-3.8846576900850778</c:v>
                </c:pt>
                <c:pt idx="110">
                  <c:v>-6.2592091899910258</c:v>
                </c:pt>
                <c:pt idx="111">
                  <c:v>-3.550872058595246</c:v>
                </c:pt>
                <c:pt idx="112">
                  <c:v>-3.4146139794943906</c:v>
                </c:pt>
                <c:pt idx="113">
                  <c:v>-7.1330822426621978</c:v>
                </c:pt>
                <c:pt idx="114">
                  <c:v>-6.7738481110783084</c:v>
                </c:pt>
                <c:pt idx="115">
                  <c:v>-8.2961457163266061</c:v>
                </c:pt>
                <c:pt idx="116">
                  <c:v>-8.1700187689977781</c:v>
                </c:pt>
                <c:pt idx="117">
                  <c:v>-10.455379847910507</c:v>
                </c:pt>
                <c:pt idx="118">
                  <c:v>-10.203125953252879</c:v>
                </c:pt>
                <c:pt idx="119">
                  <c:v>-11.381506795239346</c:v>
                </c:pt>
                <c:pt idx="120">
                  <c:v>-10.336911584742722</c:v>
                </c:pt>
                <c:pt idx="121">
                  <c:v>-8.0923163742461099</c:v>
                </c:pt>
                <c:pt idx="122">
                  <c:v>-5.5330822426622035</c:v>
                </c:pt>
                <c:pt idx="123">
                  <c:v>-4.8553798479105126</c:v>
                </c:pt>
                <c:pt idx="124">
                  <c:v>-2.651550505829988</c:v>
                </c:pt>
                <c:pt idx="125">
                  <c:v>-4.4107846374139115</c:v>
                </c:pt>
                <c:pt idx="126">
                  <c:v>-2.4515505058299993</c:v>
                </c:pt>
                <c:pt idx="127">
                  <c:v>-1.6146139794944077</c:v>
                </c:pt>
                <c:pt idx="128">
                  <c:v>-2.214613979494402</c:v>
                </c:pt>
                <c:pt idx="129">
                  <c:v>2.1076836257538787</c:v>
                </c:pt>
                <c:pt idx="130">
                  <c:v>-0.49231637424611563</c:v>
                </c:pt>
                <c:pt idx="131">
                  <c:v>2.6151888921674527E-2</c:v>
                </c:pt>
                <c:pt idx="132">
                  <c:v>-0.41461397949439061</c:v>
                </c:pt>
                <c:pt idx="133">
                  <c:v>0.78921536258610558</c:v>
                </c:pt>
                <c:pt idx="134">
                  <c:v>1.9853860205055867</c:v>
                </c:pt>
                <c:pt idx="135">
                  <c:v>2.9484494941700063</c:v>
                </c:pt>
                <c:pt idx="136">
                  <c:v>-3.0069552953333698</c:v>
                </c:pt>
                <c:pt idx="137">
                  <c:v>-4.4477211637494918</c:v>
                </c:pt>
                <c:pt idx="138">
                  <c:v>-3.8884870321655853</c:v>
                </c:pt>
                <c:pt idx="139">
                  <c:v>-5.9738481110783255</c:v>
                </c:pt>
                <c:pt idx="140">
                  <c:v>-6.7661894269172933</c:v>
                </c:pt>
                <c:pt idx="141">
                  <c:v>-4.5661894269173047</c:v>
                </c:pt>
                <c:pt idx="142">
                  <c:v>-1.5215942164206808</c:v>
                </c:pt>
                <c:pt idx="143">
                  <c:v>-4.6999750584071194</c:v>
                </c:pt>
                <c:pt idx="144">
                  <c:v>-2.3738481110783027</c:v>
                </c:pt>
                <c:pt idx="145">
                  <c:v>-4.2961457163266061</c:v>
                </c:pt>
                <c:pt idx="146">
                  <c:v>-5.7738481110783084</c:v>
                </c:pt>
                <c:pt idx="147">
                  <c:v>-1.4923163742461156</c:v>
                </c:pt>
                <c:pt idx="148">
                  <c:v>-0.1254235585011827</c:v>
                </c:pt>
                <c:pt idx="149">
                  <c:v>-1.8884870321655853</c:v>
                </c:pt>
                <c:pt idx="150">
                  <c:v>-0.97001876899778949</c:v>
                </c:pt>
                <c:pt idx="151">
                  <c:v>-2.0923163742461099</c:v>
                </c:pt>
                <c:pt idx="152">
                  <c:v>-3.2107846374138944</c:v>
                </c:pt>
                <c:pt idx="153">
                  <c:v>-3.6923163742461043</c:v>
                </c:pt>
                <c:pt idx="154">
                  <c:v>-6.2592091899910258</c:v>
                </c:pt>
                <c:pt idx="155">
                  <c:v>-2.6592091899910031</c:v>
                </c:pt>
                <c:pt idx="156">
                  <c:v>-2.4999750584071307</c:v>
                </c:pt>
                <c:pt idx="157">
                  <c:v>3.5000249415928693</c:v>
                </c:pt>
                <c:pt idx="158">
                  <c:v>-0.61844332157491522</c:v>
                </c:pt>
                <c:pt idx="159">
                  <c:v>-2.3738481110783027</c:v>
                </c:pt>
                <c:pt idx="160">
                  <c:v>-3.6184433215749152</c:v>
                </c:pt>
                <c:pt idx="161">
                  <c:v>-0.49614571632659477</c:v>
                </c:pt>
                <c:pt idx="162">
                  <c:v>-9.2316374246109945E-2</c:v>
                </c:pt>
                <c:pt idx="163">
                  <c:v>-0.33308224266218645</c:v>
                </c:pt>
                <c:pt idx="164">
                  <c:v>-3.3738481110783027</c:v>
                </c:pt>
                <c:pt idx="165">
                  <c:v>1.8592590731767586</c:v>
                </c:pt>
                <c:pt idx="166">
                  <c:v>0.82998123100222188</c:v>
                </c:pt>
                <c:pt idx="167">
                  <c:v>-3.4146139794943906</c:v>
                </c:pt>
                <c:pt idx="168">
                  <c:v>-7.4107846374139115</c:v>
                </c:pt>
                <c:pt idx="169">
                  <c:v>-6.4553798479105069</c:v>
                </c:pt>
                <c:pt idx="170">
                  <c:v>-5.2107846374138944</c:v>
                </c:pt>
                <c:pt idx="171">
                  <c:v>-4.7369115847427281</c:v>
                </c:pt>
                <c:pt idx="172">
                  <c:v>-3.0515505058299937</c:v>
                </c:pt>
                <c:pt idx="173">
                  <c:v>0.38538602050559234</c:v>
                </c:pt>
                <c:pt idx="174">
                  <c:v>-2.166189426917299</c:v>
                </c:pt>
                <c:pt idx="175">
                  <c:v>-3.0184433215749209</c:v>
                </c:pt>
                <c:pt idx="176">
                  <c:v>-4.5407409268232186</c:v>
                </c:pt>
                <c:pt idx="177">
                  <c:v>-3.9738481110783255</c:v>
                </c:pt>
                <c:pt idx="178">
                  <c:v>-2.7738481110783084</c:v>
                </c:pt>
                <c:pt idx="179">
                  <c:v>-0.84772116374949746</c:v>
                </c:pt>
                <c:pt idx="180">
                  <c:v>-1.4553798479105069</c:v>
                </c:pt>
                <c:pt idx="181">
                  <c:v>-0.53691158474271106</c:v>
                </c:pt>
                <c:pt idx="182">
                  <c:v>-1.7815067952393235</c:v>
                </c:pt>
                <c:pt idx="183">
                  <c:v>-2.2553798479105183</c:v>
                </c:pt>
                <c:pt idx="184">
                  <c:v>-2.9776774531588046</c:v>
                </c:pt>
                <c:pt idx="185">
                  <c:v>-1.0515505058299937</c:v>
                </c:pt>
                <c:pt idx="186">
                  <c:v>-2.8961457163266004</c:v>
                </c:pt>
                <c:pt idx="187">
                  <c:v>-3.2553798479105183</c:v>
                </c:pt>
                <c:pt idx="188">
                  <c:v>-2.6630385320715391</c:v>
                </c:pt>
                <c:pt idx="189">
                  <c:v>-2.651550505829988</c:v>
                </c:pt>
                <c:pt idx="190">
                  <c:v>-3.1776774531588217</c:v>
                </c:pt>
                <c:pt idx="191">
                  <c:v>-2.8592091899910201</c:v>
                </c:pt>
                <c:pt idx="192">
                  <c:v>-0.80695529533338117</c:v>
                </c:pt>
                <c:pt idx="193">
                  <c:v>-9.2316374246109945E-2</c:v>
                </c:pt>
                <c:pt idx="194">
                  <c:v>3.5968740467471036</c:v>
                </c:pt>
                <c:pt idx="195">
                  <c:v>0.10385428367339955</c:v>
                </c:pt>
                <c:pt idx="196">
                  <c:v>-2.8884870321655853</c:v>
                </c:pt>
                <c:pt idx="197">
                  <c:v>-0.88848703216558533</c:v>
                </c:pt>
                <c:pt idx="198">
                  <c:v>-5.1550505829993654E-2</c:v>
                </c:pt>
                <c:pt idx="199">
                  <c:v>-1.1738481110783141</c:v>
                </c:pt>
                <c:pt idx="200">
                  <c:v>2.9522788362505139</c:v>
                </c:pt>
                <c:pt idx="201">
                  <c:v>1.0261518889216745</c:v>
                </c:pt>
                <c:pt idx="202">
                  <c:v>5.1115129678344147</c:v>
                </c:pt>
                <c:pt idx="203">
                  <c:v>7.1561081783310385</c:v>
                </c:pt>
                <c:pt idx="204">
                  <c:v>5.3153423099149109</c:v>
                </c:pt>
                <c:pt idx="205">
                  <c:v>7.5930447046665961</c:v>
                </c:pt>
                <c:pt idx="206">
                  <c:v>10.229981231002199</c:v>
                </c:pt>
                <c:pt idx="207">
                  <c:v>6.7115129678344374</c:v>
                </c:pt>
                <c:pt idx="208">
                  <c:v>1.781556678425062</c:v>
                </c:pt>
                <c:pt idx="209">
                  <c:v>2.3038542836734166</c:v>
                </c:pt>
                <c:pt idx="210">
                  <c:v>5.5853860205056094</c:v>
                </c:pt>
                <c:pt idx="211">
                  <c:v>6.4338105730826953</c:v>
                </c:pt>
                <c:pt idx="212">
                  <c:v>6.6299812310022332</c:v>
                </c:pt>
                <c:pt idx="213">
                  <c:v>8.3892153625860715</c:v>
                </c:pt>
                <c:pt idx="214">
                  <c:v>1.270747099418287</c:v>
                </c:pt>
                <c:pt idx="215">
                  <c:v>1.9522788362505139</c:v>
                </c:pt>
                <c:pt idx="216">
                  <c:v>3.0707470994182984</c:v>
                </c:pt>
                <c:pt idx="217">
                  <c:v>3.3815566784250848</c:v>
                </c:pt>
                <c:pt idx="218">
                  <c:v>3.7892153625861056</c:v>
                </c:pt>
                <c:pt idx="219">
                  <c:v>5.6630884152572776</c:v>
                </c:pt>
                <c:pt idx="220">
                  <c:v>5.9038542836733825</c:v>
                </c:pt>
                <c:pt idx="221">
                  <c:v>5.5815566784250734</c:v>
                </c:pt>
                <c:pt idx="222">
                  <c:v>3.7038542836733939</c:v>
                </c:pt>
                <c:pt idx="223">
                  <c:v>3.589215362586117</c:v>
                </c:pt>
                <c:pt idx="224">
                  <c:v>0.66691775733781355</c:v>
                </c:pt>
                <c:pt idx="225">
                  <c:v>-0.33691158474272243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1-45ED-A2A9-AC2E719A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191"/>
        <c:axId val="2117219631"/>
      </c:scatterChart>
      <c:valAx>
        <c:axId val="2117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631"/>
        <c:crosses val="autoZero"/>
        <c:crossBetween val="midCat"/>
      </c:valAx>
      <c:valAx>
        <c:axId val="2117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Log'!$L$2:$L$227</c:f>
              <c:numCache>
                <c:formatCode>0.00</c:formatCode>
                <c:ptCount val="226"/>
                <c:pt idx="0">
                  <c:v>73</c:v>
                </c:pt>
                <c:pt idx="1">
                  <c:v>82</c:v>
                </c:pt>
                <c:pt idx="2">
                  <c:v>70</c:v>
                </c:pt>
                <c:pt idx="3">
                  <c:v>86</c:v>
                </c:pt>
                <c:pt idx="4">
                  <c:v>81</c:v>
                </c:pt>
                <c:pt idx="5">
                  <c:v>73</c:v>
                </c:pt>
                <c:pt idx="6">
                  <c:v>89</c:v>
                </c:pt>
                <c:pt idx="7">
                  <c:v>89</c:v>
                </c:pt>
                <c:pt idx="8">
                  <c:v>66</c:v>
                </c:pt>
                <c:pt idx="9">
                  <c:v>68</c:v>
                </c:pt>
                <c:pt idx="10">
                  <c:v>65</c:v>
                </c:pt>
                <c:pt idx="11">
                  <c:v>74</c:v>
                </c:pt>
                <c:pt idx="12">
                  <c:v>78</c:v>
                </c:pt>
                <c:pt idx="13">
                  <c:v>60</c:v>
                </c:pt>
                <c:pt idx="14">
                  <c:v>66</c:v>
                </c:pt>
                <c:pt idx="15">
                  <c:v>71</c:v>
                </c:pt>
                <c:pt idx="16">
                  <c:v>58</c:v>
                </c:pt>
                <c:pt idx="17">
                  <c:v>63</c:v>
                </c:pt>
                <c:pt idx="18">
                  <c:v>74</c:v>
                </c:pt>
                <c:pt idx="19">
                  <c:v>73</c:v>
                </c:pt>
                <c:pt idx="20">
                  <c:v>59</c:v>
                </c:pt>
                <c:pt idx="21">
                  <c:v>70</c:v>
                </c:pt>
                <c:pt idx="22">
                  <c:v>73</c:v>
                </c:pt>
                <c:pt idx="23">
                  <c:v>73</c:v>
                </c:pt>
                <c:pt idx="24">
                  <c:v>69</c:v>
                </c:pt>
                <c:pt idx="25">
                  <c:v>59</c:v>
                </c:pt>
                <c:pt idx="26">
                  <c:v>73</c:v>
                </c:pt>
                <c:pt idx="27">
                  <c:v>61</c:v>
                </c:pt>
                <c:pt idx="28">
                  <c:v>62</c:v>
                </c:pt>
                <c:pt idx="29">
                  <c:v>71</c:v>
                </c:pt>
                <c:pt idx="30">
                  <c:v>69</c:v>
                </c:pt>
                <c:pt idx="31">
                  <c:v>69</c:v>
                </c:pt>
                <c:pt idx="32">
                  <c:v>71</c:v>
                </c:pt>
                <c:pt idx="33">
                  <c:v>53</c:v>
                </c:pt>
                <c:pt idx="34">
                  <c:v>65</c:v>
                </c:pt>
                <c:pt idx="35">
                  <c:v>70</c:v>
                </c:pt>
                <c:pt idx="36">
                  <c:v>87</c:v>
                </c:pt>
                <c:pt idx="37">
                  <c:v>97</c:v>
                </c:pt>
                <c:pt idx="38">
                  <c:v>71</c:v>
                </c:pt>
                <c:pt idx="39">
                  <c:v>82</c:v>
                </c:pt>
                <c:pt idx="40">
                  <c:v>96</c:v>
                </c:pt>
                <c:pt idx="41">
                  <c:v>81</c:v>
                </c:pt>
                <c:pt idx="42">
                  <c:v>74</c:v>
                </c:pt>
                <c:pt idx="43">
                  <c:v>82</c:v>
                </c:pt>
                <c:pt idx="44">
                  <c:v>81</c:v>
                </c:pt>
                <c:pt idx="45">
                  <c:v>86</c:v>
                </c:pt>
                <c:pt idx="46">
                  <c:v>77</c:v>
                </c:pt>
                <c:pt idx="47">
                  <c:v>67</c:v>
                </c:pt>
                <c:pt idx="48">
                  <c:v>76</c:v>
                </c:pt>
                <c:pt idx="49">
                  <c:v>70</c:v>
                </c:pt>
                <c:pt idx="50">
                  <c:v>77</c:v>
                </c:pt>
                <c:pt idx="51">
                  <c:v>63</c:v>
                </c:pt>
                <c:pt idx="52">
                  <c:v>65</c:v>
                </c:pt>
                <c:pt idx="53">
                  <c:v>63</c:v>
                </c:pt>
                <c:pt idx="54">
                  <c:v>54</c:v>
                </c:pt>
                <c:pt idx="55">
                  <c:v>80</c:v>
                </c:pt>
                <c:pt idx="56">
                  <c:v>70</c:v>
                </c:pt>
                <c:pt idx="57">
                  <c:v>60</c:v>
                </c:pt>
                <c:pt idx="58">
                  <c:v>65</c:v>
                </c:pt>
                <c:pt idx="59">
                  <c:v>66</c:v>
                </c:pt>
                <c:pt idx="60">
                  <c:v>73</c:v>
                </c:pt>
                <c:pt idx="61">
                  <c:v>71</c:v>
                </c:pt>
                <c:pt idx="62">
                  <c:v>75</c:v>
                </c:pt>
                <c:pt idx="63">
                  <c:v>70</c:v>
                </c:pt>
                <c:pt idx="64">
                  <c:v>99</c:v>
                </c:pt>
                <c:pt idx="65">
                  <c:v>73</c:v>
                </c:pt>
                <c:pt idx="66">
                  <c:v>70</c:v>
                </c:pt>
                <c:pt idx="67">
                  <c:v>70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94</c:v>
                </c:pt>
                <c:pt idx="72">
                  <c:v>72</c:v>
                </c:pt>
                <c:pt idx="73">
                  <c:v>73</c:v>
                </c:pt>
                <c:pt idx="74">
                  <c:v>66</c:v>
                </c:pt>
                <c:pt idx="75">
                  <c:v>67</c:v>
                </c:pt>
                <c:pt idx="76">
                  <c:v>67</c:v>
                </c:pt>
                <c:pt idx="77">
                  <c:v>69</c:v>
                </c:pt>
                <c:pt idx="78">
                  <c:v>62</c:v>
                </c:pt>
                <c:pt idx="79">
                  <c:v>72</c:v>
                </c:pt>
                <c:pt idx="80">
                  <c:v>70</c:v>
                </c:pt>
                <c:pt idx="81">
                  <c:v>78</c:v>
                </c:pt>
                <c:pt idx="82">
                  <c:v>69</c:v>
                </c:pt>
                <c:pt idx="83">
                  <c:v>72</c:v>
                </c:pt>
                <c:pt idx="84">
                  <c:v>73</c:v>
                </c:pt>
                <c:pt idx="85">
                  <c:v>72</c:v>
                </c:pt>
                <c:pt idx="86">
                  <c:v>73</c:v>
                </c:pt>
                <c:pt idx="87">
                  <c:v>69</c:v>
                </c:pt>
                <c:pt idx="88">
                  <c:v>63</c:v>
                </c:pt>
                <c:pt idx="89">
                  <c:v>77</c:v>
                </c:pt>
                <c:pt idx="90">
                  <c:v>72</c:v>
                </c:pt>
                <c:pt idx="91">
                  <c:v>77</c:v>
                </c:pt>
                <c:pt idx="92">
                  <c:v>82</c:v>
                </c:pt>
                <c:pt idx="93">
                  <c:v>67</c:v>
                </c:pt>
                <c:pt idx="94">
                  <c:v>62</c:v>
                </c:pt>
                <c:pt idx="95">
                  <c:v>66</c:v>
                </c:pt>
                <c:pt idx="96">
                  <c:v>61</c:v>
                </c:pt>
                <c:pt idx="97">
                  <c:v>62</c:v>
                </c:pt>
                <c:pt idx="98">
                  <c:v>66</c:v>
                </c:pt>
                <c:pt idx="99">
                  <c:v>73</c:v>
                </c:pt>
                <c:pt idx="100">
                  <c:v>71</c:v>
                </c:pt>
                <c:pt idx="101">
                  <c:v>72</c:v>
                </c:pt>
                <c:pt idx="102">
                  <c:v>76</c:v>
                </c:pt>
                <c:pt idx="103">
                  <c:v>79</c:v>
                </c:pt>
                <c:pt idx="104">
                  <c:v>72</c:v>
                </c:pt>
                <c:pt idx="105">
                  <c:v>74</c:v>
                </c:pt>
                <c:pt idx="106">
                  <c:v>59</c:v>
                </c:pt>
                <c:pt idx="107">
                  <c:v>67</c:v>
                </c:pt>
                <c:pt idx="108">
                  <c:v>68</c:v>
                </c:pt>
                <c:pt idx="109">
                  <c:v>88</c:v>
                </c:pt>
                <c:pt idx="110">
                  <c:v>74</c:v>
                </c:pt>
                <c:pt idx="111">
                  <c:v>70</c:v>
                </c:pt>
                <c:pt idx="112">
                  <c:v>59</c:v>
                </c:pt>
                <c:pt idx="113">
                  <c:v>55</c:v>
                </c:pt>
                <c:pt idx="114">
                  <c:v>58</c:v>
                </c:pt>
                <c:pt idx="115">
                  <c:v>53</c:v>
                </c:pt>
                <c:pt idx="116">
                  <c:v>64</c:v>
                </c:pt>
                <c:pt idx="117">
                  <c:v>65</c:v>
                </c:pt>
                <c:pt idx="118">
                  <c:v>89</c:v>
                </c:pt>
                <c:pt idx="119">
                  <c:v>64</c:v>
                </c:pt>
                <c:pt idx="120">
                  <c:v>88</c:v>
                </c:pt>
                <c:pt idx="121">
                  <c:v>71</c:v>
                </c:pt>
                <c:pt idx="122">
                  <c:v>71</c:v>
                </c:pt>
                <c:pt idx="123">
                  <c:v>63</c:v>
                </c:pt>
                <c:pt idx="124">
                  <c:v>94</c:v>
                </c:pt>
                <c:pt idx="125">
                  <c:v>94</c:v>
                </c:pt>
                <c:pt idx="126">
                  <c:v>87</c:v>
                </c:pt>
                <c:pt idx="127">
                  <c:v>88</c:v>
                </c:pt>
                <c:pt idx="128">
                  <c:v>72</c:v>
                </c:pt>
                <c:pt idx="129">
                  <c:v>76</c:v>
                </c:pt>
                <c:pt idx="130">
                  <c:v>77</c:v>
                </c:pt>
                <c:pt idx="131">
                  <c:v>73</c:v>
                </c:pt>
                <c:pt idx="132">
                  <c:v>80</c:v>
                </c:pt>
                <c:pt idx="133">
                  <c:v>77</c:v>
                </c:pt>
                <c:pt idx="134">
                  <c:v>77</c:v>
                </c:pt>
                <c:pt idx="135">
                  <c:v>85</c:v>
                </c:pt>
                <c:pt idx="136">
                  <c:v>80</c:v>
                </c:pt>
                <c:pt idx="137">
                  <c:v>81</c:v>
                </c:pt>
                <c:pt idx="138">
                  <c:v>83</c:v>
                </c:pt>
                <c:pt idx="139">
                  <c:v>88</c:v>
                </c:pt>
                <c:pt idx="140">
                  <c:v>78</c:v>
                </c:pt>
                <c:pt idx="141">
                  <c:v>74</c:v>
                </c:pt>
                <c:pt idx="142">
                  <c:v>81</c:v>
                </c:pt>
                <c:pt idx="143">
                  <c:v>64</c:v>
                </c:pt>
                <c:pt idx="144">
                  <c:v>66</c:v>
                </c:pt>
                <c:pt idx="145">
                  <c:v>89</c:v>
                </c:pt>
                <c:pt idx="146">
                  <c:v>90</c:v>
                </c:pt>
                <c:pt idx="147">
                  <c:v>91</c:v>
                </c:pt>
                <c:pt idx="148">
                  <c:v>91</c:v>
                </c:pt>
                <c:pt idx="149">
                  <c:v>89</c:v>
                </c:pt>
                <c:pt idx="150">
                  <c:v>90</c:v>
                </c:pt>
                <c:pt idx="151">
                  <c:v>87</c:v>
                </c:pt>
                <c:pt idx="152">
                  <c:v>90</c:v>
                </c:pt>
                <c:pt idx="153">
                  <c:v>86</c:v>
                </c:pt>
                <c:pt idx="154">
                  <c:v>66</c:v>
                </c:pt>
                <c:pt idx="155">
                  <c:v>66</c:v>
                </c:pt>
                <c:pt idx="156">
                  <c:v>67</c:v>
                </c:pt>
                <c:pt idx="157">
                  <c:v>65</c:v>
                </c:pt>
                <c:pt idx="158">
                  <c:v>67</c:v>
                </c:pt>
                <c:pt idx="159">
                  <c:v>72</c:v>
                </c:pt>
                <c:pt idx="160">
                  <c:v>71</c:v>
                </c:pt>
                <c:pt idx="161">
                  <c:v>74</c:v>
                </c:pt>
                <c:pt idx="162">
                  <c:v>77</c:v>
                </c:pt>
                <c:pt idx="163">
                  <c:v>74</c:v>
                </c:pt>
                <c:pt idx="164">
                  <c:v>77</c:v>
                </c:pt>
                <c:pt idx="165">
                  <c:v>70</c:v>
                </c:pt>
                <c:pt idx="166">
                  <c:v>77</c:v>
                </c:pt>
                <c:pt idx="167">
                  <c:v>71</c:v>
                </c:pt>
                <c:pt idx="168">
                  <c:v>74</c:v>
                </c:pt>
                <c:pt idx="169">
                  <c:v>73</c:v>
                </c:pt>
                <c:pt idx="170">
                  <c:v>75</c:v>
                </c:pt>
                <c:pt idx="171">
                  <c:v>71</c:v>
                </c:pt>
                <c:pt idx="172">
                  <c:v>68</c:v>
                </c:pt>
                <c:pt idx="173">
                  <c:v>73</c:v>
                </c:pt>
                <c:pt idx="174">
                  <c:v>76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84</c:v>
                </c:pt>
                <c:pt idx="179">
                  <c:v>76</c:v>
                </c:pt>
                <c:pt idx="180">
                  <c:v>78</c:v>
                </c:pt>
                <c:pt idx="181">
                  <c:v>72</c:v>
                </c:pt>
                <c:pt idx="182">
                  <c:v>72</c:v>
                </c:pt>
                <c:pt idx="183">
                  <c:v>71</c:v>
                </c:pt>
                <c:pt idx="184">
                  <c:v>59</c:v>
                </c:pt>
                <c:pt idx="185">
                  <c:v>73</c:v>
                </c:pt>
                <c:pt idx="186">
                  <c:v>74</c:v>
                </c:pt>
                <c:pt idx="187">
                  <c:v>76</c:v>
                </c:pt>
                <c:pt idx="188">
                  <c:v>68</c:v>
                </c:pt>
                <c:pt idx="189">
                  <c:v>64</c:v>
                </c:pt>
                <c:pt idx="190">
                  <c:v>60</c:v>
                </c:pt>
                <c:pt idx="191">
                  <c:v>63</c:v>
                </c:pt>
                <c:pt idx="192">
                  <c:v>73</c:v>
                </c:pt>
                <c:pt idx="193">
                  <c:v>75</c:v>
                </c:pt>
                <c:pt idx="194">
                  <c:v>76</c:v>
                </c:pt>
                <c:pt idx="195">
                  <c:v>68</c:v>
                </c:pt>
                <c:pt idx="196">
                  <c:v>80</c:v>
                </c:pt>
                <c:pt idx="197">
                  <c:v>86</c:v>
                </c:pt>
                <c:pt idx="198">
                  <c:v>70</c:v>
                </c:pt>
                <c:pt idx="199">
                  <c:v>71</c:v>
                </c:pt>
                <c:pt idx="200">
                  <c:v>73</c:v>
                </c:pt>
                <c:pt idx="201">
                  <c:v>69</c:v>
                </c:pt>
                <c:pt idx="202">
                  <c:v>79</c:v>
                </c:pt>
                <c:pt idx="203">
                  <c:v>75</c:v>
                </c:pt>
                <c:pt idx="204">
                  <c:v>68</c:v>
                </c:pt>
                <c:pt idx="205">
                  <c:v>80</c:v>
                </c:pt>
                <c:pt idx="206">
                  <c:v>72</c:v>
                </c:pt>
                <c:pt idx="207">
                  <c:v>75</c:v>
                </c:pt>
                <c:pt idx="208">
                  <c:v>74</c:v>
                </c:pt>
                <c:pt idx="209">
                  <c:v>70</c:v>
                </c:pt>
                <c:pt idx="210">
                  <c:v>67</c:v>
                </c:pt>
                <c:pt idx="211">
                  <c:v>66</c:v>
                </c:pt>
                <c:pt idx="212">
                  <c:v>68</c:v>
                </c:pt>
                <c:pt idx="213">
                  <c:v>68</c:v>
                </c:pt>
                <c:pt idx="214">
                  <c:v>63</c:v>
                </c:pt>
                <c:pt idx="215">
                  <c:v>62</c:v>
                </c:pt>
                <c:pt idx="216">
                  <c:v>67</c:v>
                </c:pt>
                <c:pt idx="217">
                  <c:v>88</c:v>
                </c:pt>
                <c:pt idx="218">
                  <c:v>71</c:v>
                </c:pt>
                <c:pt idx="219">
                  <c:v>95</c:v>
                </c:pt>
                <c:pt idx="220">
                  <c:v>87</c:v>
                </c:pt>
                <c:pt idx="221">
                  <c:v>86</c:v>
                </c:pt>
                <c:pt idx="222">
                  <c:v>68</c:v>
                </c:pt>
                <c:pt idx="223">
                  <c:v>65</c:v>
                </c:pt>
                <c:pt idx="224">
                  <c:v>91</c:v>
                </c:pt>
                <c:pt idx="225">
                  <c:v>95</c:v>
                </c:pt>
              </c:numCache>
            </c:numRef>
          </c:xVal>
          <c:yVal>
            <c:numRef>
              <c:f>Residuals!$AC$2:$AC$227</c:f>
              <c:numCache>
                <c:formatCode>0.00</c:formatCode>
                <c:ptCount val="226"/>
                <c:pt idx="0">
                  <c:v>20.48984814125879</c:v>
                </c:pt>
                <c:pt idx="1">
                  <c:v>16.413428160128234</c:v>
                </c:pt>
                <c:pt idx="2">
                  <c:v>16.781988134968941</c:v>
                </c:pt>
                <c:pt idx="3">
                  <c:v>17.290574835181332</c:v>
                </c:pt>
                <c:pt idx="4">
                  <c:v>14.244141491364985</c:v>
                </c:pt>
                <c:pt idx="5">
                  <c:v>13.48984814125879</c:v>
                </c:pt>
                <c:pt idx="6">
                  <c:v>13.198434841471141</c:v>
                </c:pt>
                <c:pt idx="7">
                  <c:v>13.198434841471141</c:v>
                </c:pt>
                <c:pt idx="8">
                  <c:v>14.504841459915838</c:v>
                </c:pt>
                <c:pt idx="9">
                  <c:v>17.643414797442432</c:v>
                </c:pt>
                <c:pt idx="10">
                  <c:v>15.935554791152583</c:v>
                </c:pt>
                <c:pt idx="11">
                  <c:v>13.259134810022005</c:v>
                </c:pt>
                <c:pt idx="12">
                  <c:v>11.336281485075148</c:v>
                </c:pt>
                <c:pt idx="13">
                  <c:v>14.889121447336237</c:v>
                </c:pt>
                <c:pt idx="14">
                  <c:v>12.704841459915883</c:v>
                </c:pt>
                <c:pt idx="15">
                  <c:v>12.551274803732241</c:v>
                </c:pt>
                <c:pt idx="16">
                  <c:v>10.150548109809677</c:v>
                </c:pt>
                <c:pt idx="17">
                  <c:v>9.7969814536260458</c:v>
                </c:pt>
                <c:pt idx="18">
                  <c:v>8.0591348100220159</c:v>
                </c:pt>
                <c:pt idx="19">
                  <c:v>7.8898481412587671</c:v>
                </c:pt>
                <c:pt idx="20">
                  <c:v>7.1198347785729368</c:v>
                </c:pt>
                <c:pt idx="21">
                  <c:v>6.781988134968941</c:v>
                </c:pt>
                <c:pt idx="22">
                  <c:v>4.6898481412587785</c:v>
                </c:pt>
                <c:pt idx="23">
                  <c:v>5.0898481412587557</c:v>
                </c:pt>
                <c:pt idx="24">
                  <c:v>4.0127014662056695</c:v>
                </c:pt>
                <c:pt idx="25">
                  <c:v>2.3198347785729254</c:v>
                </c:pt>
                <c:pt idx="26">
                  <c:v>4.6898481412587785</c:v>
                </c:pt>
                <c:pt idx="27">
                  <c:v>5.0584081160994856</c:v>
                </c:pt>
                <c:pt idx="28">
                  <c:v>4.2276947848627628</c:v>
                </c:pt>
                <c:pt idx="29">
                  <c:v>3.1512748037322069</c:v>
                </c:pt>
                <c:pt idx="30">
                  <c:v>3.0127014662056695</c:v>
                </c:pt>
                <c:pt idx="31">
                  <c:v>1.0127014662056695</c:v>
                </c:pt>
                <c:pt idx="32">
                  <c:v>0.95127480373221829</c:v>
                </c:pt>
                <c:pt idx="33">
                  <c:v>0.5041147659933074</c:v>
                </c:pt>
                <c:pt idx="34">
                  <c:v>0.73555479115256617</c:v>
                </c:pt>
                <c:pt idx="35">
                  <c:v>0.58198813496892399</c:v>
                </c:pt>
                <c:pt idx="36">
                  <c:v>-2.7401384960554083</c:v>
                </c:pt>
                <c:pt idx="37">
                  <c:v>-3.0472718084226642</c:v>
                </c:pt>
                <c:pt idx="38">
                  <c:v>1.9512748037322183</c:v>
                </c:pt>
                <c:pt idx="39">
                  <c:v>5.8134281601282112</c:v>
                </c:pt>
                <c:pt idx="40">
                  <c:v>5.1834415228140642</c:v>
                </c:pt>
                <c:pt idx="41">
                  <c:v>3.2441414913649851</c:v>
                </c:pt>
                <c:pt idx="42">
                  <c:v>2.8591348100220273</c:v>
                </c:pt>
                <c:pt idx="43">
                  <c:v>4.6134281601282225</c:v>
                </c:pt>
                <c:pt idx="44">
                  <c:v>3.844141491364951</c:v>
                </c:pt>
                <c:pt idx="45">
                  <c:v>5.2905748351813315</c:v>
                </c:pt>
                <c:pt idx="46">
                  <c:v>6.5669948163118761</c:v>
                </c:pt>
                <c:pt idx="47">
                  <c:v>2.874128128679132</c:v>
                </c:pt>
                <c:pt idx="48">
                  <c:v>0.59770814754858748</c:v>
                </c:pt>
                <c:pt idx="49">
                  <c:v>-1.0180118650310703</c:v>
                </c:pt>
                <c:pt idx="50">
                  <c:v>-2.2330051836881353</c:v>
                </c:pt>
                <c:pt idx="51">
                  <c:v>-2.2030185463739826</c:v>
                </c:pt>
                <c:pt idx="52">
                  <c:v>-0.46444520884742246</c:v>
                </c:pt>
                <c:pt idx="53">
                  <c:v>-2.0030185463739656</c:v>
                </c:pt>
                <c:pt idx="54">
                  <c:v>-1.3265985652434438</c:v>
                </c:pt>
                <c:pt idx="55">
                  <c:v>-3.725145177398332</c:v>
                </c:pt>
                <c:pt idx="56">
                  <c:v>-3.6180118650310646</c:v>
                </c:pt>
                <c:pt idx="57">
                  <c:v>-4.710878552663786</c:v>
                </c:pt>
                <c:pt idx="58">
                  <c:v>-5.2644452088474338</c:v>
                </c:pt>
                <c:pt idx="59">
                  <c:v>-5.6951585400841509</c:v>
                </c:pt>
                <c:pt idx="60">
                  <c:v>-6.7101518587412272</c:v>
                </c:pt>
                <c:pt idx="61">
                  <c:v>-7.4487251962677874</c:v>
                </c:pt>
                <c:pt idx="62">
                  <c:v>-8.5715785212146898</c:v>
                </c:pt>
                <c:pt idx="63">
                  <c:v>-8.418011865031076</c:v>
                </c:pt>
                <c:pt idx="64">
                  <c:v>-8.9086984708961268</c:v>
                </c:pt>
                <c:pt idx="65">
                  <c:v>-4.3101518587412215</c:v>
                </c:pt>
                <c:pt idx="66">
                  <c:v>-6.0180118650310703</c:v>
                </c:pt>
                <c:pt idx="67">
                  <c:v>-6.218011865031059</c:v>
                </c:pt>
                <c:pt idx="68">
                  <c:v>-2.3723052151372315</c:v>
                </c:pt>
                <c:pt idx="69">
                  <c:v>-5.1723052151372428</c:v>
                </c:pt>
                <c:pt idx="70">
                  <c:v>-7.4030185463739713</c:v>
                </c:pt>
                <c:pt idx="71">
                  <c:v>-9.9551318147124732</c:v>
                </c:pt>
                <c:pt idx="72">
                  <c:v>-3.0794385275045215</c:v>
                </c:pt>
                <c:pt idx="73">
                  <c:v>-3.1101518587412329</c:v>
                </c:pt>
                <c:pt idx="74">
                  <c:v>-1.4951585400841338</c:v>
                </c:pt>
                <c:pt idx="75">
                  <c:v>-5.325871871320885</c:v>
                </c:pt>
                <c:pt idx="76">
                  <c:v>-6.125871871320868</c:v>
                </c:pt>
                <c:pt idx="77">
                  <c:v>-6.9872985337943305</c:v>
                </c:pt>
                <c:pt idx="78">
                  <c:v>-8.1723052151372428</c:v>
                </c:pt>
                <c:pt idx="79">
                  <c:v>-4.2794385275045101</c:v>
                </c:pt>
                <c:pt idx="80">
                  <c:v>-3.218011865031059</c:v>
                </c:pt>
                <c:pt idx="81">
                  <c:v>-2.6637185149248808</c:v>
                </c:pt>
                <c:pt idx="82">
                  <c:v>-5.7872985337943419</c:v>
                </c:pt>
                <c:pt idx="83">
                  <c:v>-6.4794385275045272</c:v>
                </c:pt>
                <c:pt idx="84">
                  <c:v>-5.1101518587412329</c:v>
                </c:pt>
                <c:pt idx="85">
                  <c:v>-4.0794385275045215</c:v>
                </c:pt>
                <c:pt idx="86">
                  <c:v>-0.31015185874122153</c:v>
                </c:pt>
                <c:pt idx="87">
                  <c:v>3.0127014662056695</c:v>
                </c:pt>
                <c:pt idx="88">
                  <c:v>-0.40301854637397128</c:v>
                </c:pt>
                <c:pt idx="89">
                  <c:v>-2.2330051836881353</c:v>
                </c:pt>
                <c:pt idx="90">
                  <c:v>-0.67943852750451583</c:v>
                </c:pt>
                <c:pt idx="91">
                  <c:v>-2.8330051836881296</c:v>
                </c:pt>
                <c:pt idx="92">
                  <c:v>0.41342816012823391</c:v>
                </c:pt>
                <c:pt idx="93">
                  <c:v>0.67412812867911498</c:v>
                </c:pt>
                <c:pt idx="94">
                  <c:v>-1.3723052151372315</c:v>
                </c:pt>
                <c:pt idx="95">
                  <c:v>-1.4951585400841338</c:v>
                </c:pt>
                <c:pt idx="96">
                  <c:v>-1.3415918839005201</c:v>
                </c:pt>
                <c:pt idx="97">
                  <c:v>-4.3723052151372315</c:v>
                </c:pt>
                <c:pt idx="98">
                  <c:v>-4.8951585400841395</c:v>
                </c:pt>
                <c:pt idx="99">
                  <c:v>-3.7101518587412272</c:v>
                </c:pt>
                <c:pt idx="100">
                  <c:v>-4.2487251962677703</c:v>
                </c:pt>
                <c:pt idx="101">
                  <c:v>-2.8794385275045329</c:v>
                </c:pt>
                <c:pt idx="102">
                  <c:v>2.5977081475485875</c:v>
                </c:pt>
                <c:pt idx="103">
                  <c:v>2.9055681538384022</c:v>
                </c:pt>
                <c:pt idx="104">
                  <c:v>1.5205614724955012</c:v>
                </c:pt>
                <c:pt idx="105">
                  <c:v>0.45913481002202161</c:v>
                </c:pt>
                <c:pt idx="106">
                  <c:v>0.7198347785729311</c:v>
                </c:pt>
                <c:pt idx="107">
                  <c:v>-3.5258718713208737</c:v>
                </c:pt>
                <c:pt idx="108">
                  <c:v>-4.556585202557585</c:v>
                </c:pt>
                <c:pt idx="109">
                  <c:v>-4.7708518272921197</c:v>
                </c:pt>
                <c:pt idx="110">
                  <c:v>-5.9408651899779841</c:v>
                </c:pt>
                <c:pt idx="111">
                  <c:v>-4.6180118650310646</c:v>
                </c:pt>
                <c:pt idx="112">
                  <c:v>-2.8801652214270632</c:v>
                </c:pt>
                <c:pt idx="113">
                  <c:v>-6.5573118964801438</c:v>
                </c:pt>
                <c:pt idx="114">
                  <c:v>-6.2494518901903291</c:v>
                </c:pt>
                <c:pt idx="115">
                  <c:v>-7.4958852340066926</c:v>
                </c:pt>
                <c:pt idx="116">
                  <c:v>-8.033731877610677</c:v>
                </c:pt>
                <c:pt idx="117">
                  <c:v>-10.064445208847417</c:v>
                </c:pt>
                <c:pt idx="118">
                  <c:v>-11.201565158528865</c:v>
                </c:pt>
                <c:pt idx="119">
                  <c:v>-10.6337318776107</c:v>
                </c:pt>
                <c:pt idx="120">
                  <c:v>-10.570851827292131</c:v>
                </c:pt>
                <c:pt idx="121">
                  <c:v>-8.0487251962677817</c:v>
                </c:pt>
                <c:pt idx="122">
                  <c:v>-5.4487251962677874</c:v>
                </c:pt>
                <c:pt idx="123">
                  <c:v>-4.4030185463739713</c:v>
                </c:pt>
                <c:pt idx="124">
                  <c:v>-3.3551318147124789</c:v>
                </c:pt>
                <c:pt idx="125">
                  <c:v>-5.1551318147124903</c:v>
                </c:pt>
                <c:pt idx="126">
                  <c:v>-2.9401384960554253</c:v>
                </c:pt>
                <c:pt idx="127">
                  <c:v>-1.9708518272921367</c:v>
                </c:pt>
                <c:pt idx="128">
                  <c:v>-2.0794385275045215</c:v>
                </c:pt>
                <c:pt idx="129">
                  <c:v>1.9977081475485647</c:v>
                </c:pt>
                <c:pt idx="130">
                  <c:v>-0.63300518368814096</c:v>
                </c:pt>
                <c:pt idx="131">
                  <c:v>8.9848141258755732E-2</c:v>
                </c:pt>
                <c:pt idx="132">
                  <c:v>-0.5251451773983149</c:v>
                </c:pt>
                <c:pt idx="133">
                  <c:v>0.56699481631187609</c:v>
                </c:pt>
                <c:pt idx="134">
                  <c:v>1.9669948163118534</c:v>
                </c:pt>
                <c:pt idx="135">
                  <c:v>2.5212881664180316</c:v>
                </c:pt>
                <c:pt idx="136">
                  <c:v>-3.5251451773983149</c:v>
                </c:pt>
                <c:pt idx="137">
                  <c:v>-4.955858508635032</c:v>
                </c:pt>
                <c:pt idx="138">
                  <c:v>-4.4172851711085173</c:v>
                </c:pt>
                <c:pt idx="139">
                  <c:v>-6.3708518272921424</c:v>
                </c:pt>
                <c:pt idx="140">
                  <c:v>-7.2637185149248751</c:v>
                </c:pt>
                <c:pt idx="141">
                  <c:v>-4.9408651899779841</c:v>
                </c:pt>
                <c:pt idx="142">
                  <c:v>-2.3558585086350377</c:v>
                </c:pt>
                <c:pt idx="143">
                  <c:v>-4.033731877610677</c:v>
                </c:pt>
                <c:pt idx="144">
                  <c:v>-2.0951585400841282</c:v>
                </c:pt>
                <c:pt idx="145">
                  <c:v>-4.6015651585288708</c:v>
                </c:pt>
                <c:pt idx="146">
                  <c:v>-6.2322784897655765</c:v>
                </c:pt>
                <c:pt idx="147">
                  <c:v>-2.0629918210023277</c:v>
                </c:pt>
                <c:pt idx="148">
                  <c:v>-1.0629918210023277</c:v>
                </c:pt>
                <c:pt idx="149">
                  <c:v>-2.6015651585288708</c:v>
                </c:pt>
                <c:pt idx="150">
                  <c:v>-1.6322784897655822</c:v>
                </c:pt>
                <c:pt idx="151">
                  <c:v>-2.5401384960554196</c:v>
                </c:pt>
                <c:pt idx="152">
                  <c:v>-3.8322784897655708</c:v>
                </c:pt>
                <c:pt idx="153">
                  <c:v>-4.1094251648186741</c:v>
                </c:pt>
                <c:pt idx="154">
                  <c:v>-5.6951585400841509</c:v>
                </c:pt>
                <c:pt idx="155">
                  <c:v>-2.0951585400841282</c:v>
                </c:pt>
                <c:pt idx="156">
                  <c:v>-1.9258718713208793</c:v>
                </c:pt>
                <c:pt idx="157">
                  <c:v>4.1355547911525719</c:v>
                </c:pt>
                <c:pt idx="158">
                  <c:v>-0.12587187132086797</c:v>
                </c:pt>
                <c:pt idx="159">
                  <c:v>-2.2794385275045101</c:v>
                </c:pt>
                <c:pt idx="160">
                  <c:v>-3.2487251962677703</c:v>
                </c:pt>
                <c:pt idx="161">
                  <c:v>-0.34086518997796134</c:v>
                </c:pt>
                <c:pt idx="162">
                  <c:v>-0.23300518368813528</c:v>
                </c:pt>
                <c:pt idx="163">
                  <c:v>-0.34086518997796134</c:v>
                </c:pt>
                <c:pt idx="164">
                  <c:v>-3.4330051836881239</c:v>
                </c:pt>
                <c:pt idx="165">
                  <c:v>2.3819881349689069</c:v>
                </c:pt>
                <c:pt idx="166">
                  <c:v>0.56699481631187609</c:v>
                </c:pt>
                <c:pt idx="167">
                  <c:v>-3.2487251962677703</c:v>
                </c:pt>
                <c:pt idx="168">
                  <c:v>-7.5408651899779784</c:v>
                </c:pt>
                <c:pt idx="169">
                  <c:v>-6.3101518587412215</c:v>
                </c:pt>
                <c:pt idx="170">
                  <c:v>-5.3715785212146727</c:v>
                </c:pt>
                <c:pt idx="171">
                  <c:v>-4.4487251962677874</c:v>
                </c:pt>
                <c:pt idx="172">
                  <c:v>-2.9565852025575907</c:v>
                </c:pt>
                <c:pt idx="173">
                  <c:v>0.48984814125876142</c:v>
                </c:pt>
                <c:pt idx="174">
                  <c:v>-2.6022918524514296</c:v>
                </c:pt>
                <c:pt idx="175">
                  <c:v>-2.5258718713208737</c:v>
                </c:pt>
                <c:pt idx="176">
                  <c:v>-3.9258718713208793</c:v>
                </c:pt>
                <c:pt idx="177">
                  <c:v>-3.7258718713208907</c:v>
                </c:pt>
                <c:pt idx="178">
                  <c:v>-3.047998502345223</c:v>
                </c:pt>
                <c:pt idx="179">
                  <c:v>-1.2022918524514239</c:v>
                </c:pt>
                <c:pt idx="180">
                  <c:v>-1.4637185149248637</c:v>
                </c:pt>
                <c:pt idx="181">
                  <c:v>-0.27943852750451015</c:v>
                </c:pt>
                <c:pt idx="182">
                  <c:v>-1.2794385275045101</c:v>
                </c:pt>
                <c:pt idx="183">
                  <c:v>-2.0487251962677817</c:v>
                </c:pt>
                <c:pt idx="184">
                  <c:v>-2.2801652214270689</c:v>
                </c:pt>
                <c:pt idx="185">
                  <c:v>-1.1101518587412329</c:v>
                </c:pt>
                <c:pt idx="186">
                  <c:v>-2.740865189977967</c:v>
                </c:pt>
                <c:pt idx="187">
                  <c:v>-3.2022918524514239</c:v>
                </c:pt>
                <c:pt idx="188">
                  <c:v>-1.9565852025575907</c:v>
                </c:pt>
                <c:pt idx="189">
                  <c:v>-2.4337318776106827</c:v>
                </c:pt>
                <c:pt idx="190">
                  <c:v>-2.5108785526637973</c:v>
                </c:pt>
                <c:pt idx="191">
                  <c:v>-2.2030185463739826</c:v>
                </c:pt>
                <c:pt idx="192">
                  <c:v>-1.1101518587412329</c:v>
                </c:pt>
                <c:pt idx="193">
                  <c:v>-0.17157852121468409</c:v>
                </c:pt>
                <c:pt idx="194">
                  <c:v>2.9977081475485647</c:v>
                </c:pt>
                <c:pt idx="195">
                  <c:v>0.44341479744241497</c:v>
                </c:pt>
                <c:pt idx="196">
                  <c:v>-3.3251451773983263</c:v>
                </c:pt>
                <c:pt idx="197">
                  <c:v>-1.5094251648186798</c:v>
                </c:pt>
                <c:pt idx="198">
                  <c:v>-1.8011865031070329E-2</c:v>
                </c:pt>
                <c:pt idx="199">
                  <c:v>-1.0487251962677817</c:v>
                </c:pt>
                <c:pt idx="200">
                  <c:v>2.6898481412587785</c:v>
                </c:pt>
                <c:pt idx="201">
                  <c:v>1.2127014662056581</c:v>
                </c:pt>
                <c:pt idx="202">
                  <c:v>4.7055681538384135</c:v>
                </c:pt>
                <c:pt idx="203">
                  <c:v>6.6284214787853273</c:v>
                </c:pt>
                <c:pt idx="204">
                  <c:v>5.0434147974424093</c:v>
                </c:pt>
                <c:pt idx="205">
                  <c:v>7.074854822601651</c:v>
                </c:pt>
                <c:pt idx="206">
                  <c:v>10.120561472495467</c:v>
                </c:pt>
                <c:pt idx="207">
                  <c:v>6.4284214787853386</c:v>
                </c:pt>
                <c:pt idx="208">
                  <c:v>2.0591348100220159</c:v>
                </c:pt>
                <c:pt idx="209">
                  <c:v>2.5819881349689524</c:v>
                </c:pt>
                <c:pt idx="210">
                  <c:v>5.874128128679132</c:v>
                </c:pt>
                <c:pt idx="211">
                  <c:v>6.3048414599158491</c:v>
                </c:pt>
                <c:pt idx="212">
                  <c:v>6.643414797442432</c:v>
                </c:pt>
                <c:pt idx="213">
                  <c:v>8.4434147974423865</c:v>
                </c:pt>
                <c:pt idx="214">
                  <c:v>1.3969814536260117</c:v>
                </c:pt>
                <c:pt idx="215">
                  <c:v>2.0276947848627742</c:v>
                </c:pt>
                <c:pt idx="216">
                  <c:v>3.0741281286791207</c:v>
                </c:pt>
                <c:pt idx="217">
                  <c:v>3.2291481727078803</c:v>
                </c:pt>
                <c:pt idx="218">
                  <c:v>3.7512748037322297</c:v>
                </c:pt>
                <c:pt idx="219">
                  <c:v>5.2141548540507756</c:v>
                </c:pt>
                <c:pt idx="220">
                  <c:v>5.659861503944569</c:v>
                </c:pt>
                <c:pt idx="221">
                  <c:v>5.4905748351813202</c:v>
                </c:pt>
                <c:pt idx="222">
                  <c:v>4.0434147974424093</c:v>
                </c:pt>
                <c:pt idx="223">
                  <c:v>3.7355547911525946</c:v>
                </c:pt>
                <c:pt idx="224">
                  <c:v>0.13700817899768936</c:v>
                </c:pt>
                <c:pt idx="225">
                  <c:v>-0.78584514594922439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0-41E6-8957-D5D65284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0751"/>
        <c:axId val="2117242191"/>
      </c:scatterChart>
      <c:valAx>
        <c:axId val="21172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2191"/>
        <c:crosses val="autoZero"/>
        <c:crossBetween val="midCat"/>
      </c:valAx>
      <c:valAx>
        <c:axId val="211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Log'!$M$2:$M$227</c:f>
              <c:numCache>
                <c:formatCode>0.00</c:formatCode>
                <c:ptCount val="226"/>
                <c:pt idx="0">
                  <c:v>11.5</c:v>
                </c:pt>
                <c:pt idx="1">
                  <c:v>5.5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16.5</c:v>
                </c:pt>
                <c:pt idx="9">
                  <c:v>10</c:v>
                </c:pt>
                <c:pt idx="10">
                  <c:v>8.5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7.5</c:v>
                </c:pt>
                <c:pt idx="16">
                  <c:v>11</c:v>
                </c:pt>
                <c:pt idx="17">
                  <c:v>7</c:v>
                </c:pt>
                <c:pt idx="18">
                  <c:v>10.5</c:v>
                </c:pt>
                <c:pt idx="19">
                  <c:v>2</c:v>
                </c:pt>
                <c:pt idx="20">
                  <c:v>13</c:v>
                </c:pt>
                <c:pt idx="21">
                  <c:v>7.5</c:v>
                </c:pt>
                <c:pt idx="22">
                  <c:v>11.5</c:v>
                </c:pt>
                <c:pt idx="23">
                  <c:v>10</c:v>
                </c:pt>
                <c:pt idx="24">
                  <c:v>5</c:v>
                </c:pt>
                <c:pt idx="25">
                  <c:v>12</c:v>
                </c:pt>
                <c:pt idx="26">
                  <c:v>0</c:v>
                </c:pt>
                <c:pt idx="27">
                  <c:v>8</c:v>
                </c:pt>
                <c:pt idx="28">
                  <c:v>5</c:v>
                </c:pt>
                <c:pt idx="29">
                  <c:v>10</c:v>
                </c:pt>
                <c:pt idx="30">
                  <c:v>10</c:v>
                </c:pt>
                <c:pt idx="31">
                  <c:v>7.5</c:v>
                </c:pt>
                <c:pt idx="32">
                  <c:v>9</c:v>
                </c:pt>
                <c:pt idx="33">
                  <c:v>9.5</c:v>
                </c:pt>
                <c:pt idx="34">
                  <c:v>6.5</c:v>
                </c:pt>
                <c:pt idx="35">
                  <c:v>1</c:v>
                </c:pt>
                <c:pt idx="36">
                  <c:v>9.5</c:v>
                </c:pt>
                <c:pt idx="37">
                  <c:v>2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10</c:v>
                </c:pt>
                <c:pt idx="42">
                  <c:v>6</c:v>
                </c:pt>
                <c:pt idx="43">
                  <c:v>8</c:v>
                </c:pt>
                <c:pt idx="44">
                  <c:v>12</c:v>
                </c:pt>
                <c:pt idx="45">
                  <c:v>11</c:v>
                </c:pt>
                <c:pt idx="46">
                  <c:v>8.5</c:v>
                </c:pt>
                <c:pt idx="47">
                  <c:v>5</c:v>
                </c:pt>
                <c:pt idx="48">
                  <c:v>10</c:v>
                </c:pt>
                <c:pt idx="49">
                  <c:v>11</c:v>
                </c:pt>
                <c:pt idx="50">
                  <c:v>7</c:v>
                </c:pt>
                <c:pt idx="51">
                  <c:v>7</c:v>
                </c:pt>
                <c:pt idx="52">
                  <c:v>13</c:v>
                </c:pt>
                <c:pt idx="53">
                  <c:v>3.5</c:v>
                </c:pt>
                <c:pt idx="54">
                  <c:v>12</c:v>
                </c:pt>
                <c:pt idx="55">
                  <c:v>7</c:v>
                </c:pt>
                <c:pt idx="56">
                  <c:v>9.5</c:v>
                </c:pt>
                <c:pt idx="57">
                  <c:v>7</c:v>
                </c:pt>
                <c:pt idx="58">
                  <c:v>8</c:v>
                </c:pt>
                <c:pt idx="59">
                  <c:v>8.5</c:v>
                </c:pt>
                <c:pt idx="60">
                  <c:v>0</c:v>
                </c:pt>
                <c:pt idx="61">
                  <c:v>5.5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11</c:v>
                </c:pt>
                <c:pt idx="66">
                  <c:v>1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11</c:v>
                </c:pt>
                <c:pt idx="75">
                  <c:v>9.5</c:v>
                </c:pt>
                <c:pt idx="76">
                  <c:v>3</c:v>
                </c:pt>
                <c:pt idx="77">
                  <c:v>2</c:v>
                </c:pt>
                <c:pt idx="78">
                  <c:v>0.5</c:v>
                </c:pt>
                <c:pt idx="79">
                  <c:v>3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2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7</c:v>
                </c:pt>
                <c:pt idx="94">
                  <c:v>6.5</c:v>
                </c:pt>
                <c:pt idx="95">
                  <c:v>5</c:v>
                </c:pt>
                <c:pt idx="96">
                  <c:v>2</c:v>
                </c:pt>
                <c:pt idx="97">
                  <c:v>10</c:v>
                </c:pt>
                <c:pt idx="98">
                  <c:v>8</c:v>
                </c:pt>
                <c:pt idx="99">
                  <c:v>7.5</c:v>
                </c:pt>
                <c:pt idx="100">
                  <c:v>10</c:v>
                </c:pt>
                <c:pt idx="101">
                  <c:v>12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4.5</c:v>
                </c:pt>
                <c:pt idx="106">
                  <c:v>6</c:v>
                </c:pt>
                <c:pt idx="107">
                  <c:v>12</c:v>
                </c:pt>
                <c:pt idx="108">
                  <c:v>6</c:v>
                </c:pt>
                <c:pt idx="109">
                  <c:v>4</c:v>
                </c:pt>
                <c:pt idx="110">
                  <c:v>12</c:v>
                </c:pt>
                <c:pt idx="111">
                  <c:v>4</c:v>
                </c:pt>
                <c:pt idx="112">
                  <c:v>4</c:v>
                </c:pt>
                <c:pt idx="113">
                  <c:v>13.5</c:v>
                </c:pt>
                <c:pt idx="114">
                  <c:v>7.5</c:v>
                </c:pt>
                <c:pt idx="115">
                  <c:v>10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2</c:v>
                </c:pt>
                <c:pt idx="122">
                  <c:v>19</c:v>
                </c:pt>
                <c:pt idx="123">
                  <c:v>8</c:v>
                </c:pt>
                <c:pt idx="124">
                  <c:v>2</c:v>
                </c:pt>
                <c:pt idx="125">
                  <c:v>8</c:v>
                </c:pt>
                <c:pt idx="126">
                  <c:v>9</c:v>
                </c:pt>
                <c:pt idx="127">
                  <c:v>10</c:v>
                </c:pt>
                <c:pt idx="128">
                  <c:v>14</c:v>
                </c:pt>
                <c:pt idx="129">
                  <c:v>10</c:v>
                </c:pt>
                <c:pt idx="130">
                  <c:v>1</c:v>
                </c:pt>
                <c:pt idx="131">
                  <c:v>5</c:v>
                </c:pt>
                <c:pt idx="132">
                  <c:v>10</c:v>
                </c:pt>
                <c:pt idx="133">
                  <c:v>10</c:v>
                </c:pt>
                <c:pt idx="134">
                  <c:v>6</c:v>
                </c:pt>
                <c:pt idx="135">
                  <c:v>9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9</c:v>
                </c:pt>
                <c:pt idx="140">
                  <c:v>16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3</c:v>
                </c:pt>
                <c:pt idx="149">
                  <c:v>9</c:v>
                </c:pt>
                <c:pt idx="150">
                  <c:v>12</c:v>
                </c:pt>
                <c:pt idx="151">
                  <c:v>8</c:v>
                </c:pt>
                <c:pt idx="152">
                  <c:v>6</c:v>
                </c:pt>
                <c:pt idx="153">
                  <c:v>12</c:v>
                </c:pt>
                <c:pt idx="154">
                  <c:v>14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12</c:v>
                </c:pt>
                <c:pt idx="159">
                  <c:v>8</c:v>
                </c:pt>
                <c:pt idx="160">
                  <c:v>8</c:v>
                </c:pt>
                <c:pt idx="161">
                  <c:v>6</c:v>
                </c:pt>
                <c:pt idx="162">
                  <c:v>6</c:v>
                </c:pt>
                <c:pt idx="163">
                  <c:v>19</c:v>
                </c:pt>
                <c:pt idx="164">
                  <c:v>6</c:v>
                </c:pt>
                <c:pt idx="165">
                  <c:v>8</c:v>
                </c:pt>
                <c:pt idx="166">
                  <c:v>8.5</c:v>
                </c:pt>
                <c:pt idx="167">
                  <c:v>0</c:v>
                </c:pt>
                <c:pt idx="168">
                  <c:v>16</c:v>
                </c:pt>
                <c:pt idx="169">
                  <c:v>10</c:v>
                </c:pt>
                <c:pt idx="170">
                  <c:v>8</c:v>
                </c:pt>
                <c:pt idx="171">
                  <c:v>10</c:v>
                </c:pt>
                <c:pt idx="172">
                  <c:v>8</c:v>
                </c:pt>
                <c:pt idx="173">
                  <c:v>4</c:v>
                </c:pt>
                <c:pt idx="174">
                  <c:v>12</c:v>
                </c:pt>
                <c:pt idx="175">
                  <c:v>8</c:v>
                </c:pt>
                <c:pt idx="176">
                  <c:v>8</c:v>
                </c:pt>
                <c:pt idx="177">
                  <c:v>6.5</c:v>
                </c:pt>
                <c:pt idx="178">
                  <c:v>9</c:v>
                </c:pt>
                <c:pt idx="179">
                  <c:v>7.5</c:v>
                </c:pt>
                <c:pt idx="180">
                  <c:v>10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7.5</c:v>
                </c:pt>
                <c:pt idx="185">
                  <c:v>8</c:v>
                </c:pt>
                <c:pt idx="186">
                  <c:v>0</c:v>
                </c:pt>
                <c:pt idx="187">
                  <c:v>7.5</c:v>
                </c:pt>
                <c:pt idx="188">
                  <c:v>7</c:v>
                </c:pt>
                <c:pt idx="189">
                  <c:v>8</c:v>
                </c:pt>
                <c:pt idx="190">
                  <c:v>13</c:v>
                </c:pt>
                <c:pt idx="191">
                  <c:v>7.5</c:v>
                </c:pt>
                <c:pt idx="192">
                  <c:v>6.5</c:v>
                </c:pt>
                <c:pt idx="193">
                  <c:v>14.5</c:v>
                </c:pt>
                <c:pt idx="194">
                  <c:v>8</c:v>
                </c:pt>
                <c:pt idx="195">
                  <c:v>13</c:v>
                </c:pt>
                <c:pt idx="196">
                  <c:v>0.5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14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7</c:v>
                </c:pt>
                <c:pt idx="206">
                  <c:v>9</c:v>
                </c:pt>
                <c:pt idx="207">
                  <c:v>3</c:v>
                </c:pt>
                <c:pt idx="208">
                  <c:v>13.5</c:v>
                </c:pt>
                <c:pt idx="209">
                  <c:v>6</c:v>
                </c:pt>
                <c:pt idx="210">
                  <c:v>11</c:v>
                </c:pt>
                <c:pt idx="211">
                  <c:v>8</c:v>
                </c:pt>
                <c:pt idx="212">
                  <c:v>7</c:v>
                </c:pt>
                <c:pt idx="213">
                  <c:v>12</c:v>
                </c:pt>
                <c:pt idx="214">
                  <c:v>17</c:v>
                </c:pt>
                <c:pt idx="215">
                  <c:v>1</c:v>
                </c:pt>
                <c:pt idx="216">
                  <c:v>3</c:v>
                </c:pt>
                <c:pt idx="217">
                  <c:v>9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12</c:v>
                </c:pt>
                <c:pt idx="222">
                  <c:v>12</c:v>
                </c:pt>
                <c:pt idx="223">
                  <c:v>3.5</c:v>
                </c:pt>
                <c:pt idx="224">
                  <c:v>4.5</c:v>
                </c:pt>
                <c:pt idx="225">
                  <c:v>4.5</c:v>
                </c:pt>
              </c:numCache>
            </c:numRef>
          </c:xVal>
          <c:yVal>
            <c:numRef>
              <c:f>Residuals!$AF$2:$AF$227</c:f>
              <c:numCache>
                <c:formatCode>0.00</c:formatCode>
                <c:ptCount val="226"/>
                <c:pt idx="0">
                  <c:v>19.910890451714494</c:v>
                </c:pt>
                <c:pt idx="1">
                  <c:v>17.057313001835951</c:v>
                </c:pt>
                <c:pt idx="2">
                  <c:v>16.662970272618679</c:v>
                </c:pt>
                <c:pt idx="3">
                  <c:v>17.662970272618679</c:v>
                </c:pt>
                <c:pt idx="4">
                  <c:v>14.147496089244868</c:v>
                </c:pt>
                <c:pt idx="5">
                  <c:v>13.305233180931793</c:v>
                </c:pt>
                <c:pt idx="6">
                  <c:v>13.347496089244856</c:v>
                </c:pt>
                <c:pt idx="7">
                  <c:v>14.924867006113971</c:v>
                </c:pt>
                <c:pt idx="8">
                  <c:v>12.922204993279877</c:v>
                </c:pt>
                <c:pt idx="9">
                  <c:v>17.147496089244868</c:v>
                </c:pt>
                <c:pt idx="10">
                  <c:v>15.584101726775231</c:v>
                </c:pt>
                <c:pt idx="11">
                  <c:v>13.105233180931748</c:v>
                </c:pt>
                <c:pt idx="12">
                  <c:v>11.462970272618691</c:v>
                </c:pt>
                <c:pt idx="13">
                  <c:v>14.305233180931793</c:v>
                </c:pt>
                <c:pt idx="14">
                  <c:v>12.305233180931793</c:v>
                </c:pt>
                <c:pt idx="15">
                  <c:v>12.541838818462139</c:v>
                </c:pt>
                <c:pt idx="16">
                  <c:v>9.1897589975579592</c:v>
                </c:pt>
                <c:pt idx="17">
                  <c:v>9.6207073643056162</c:v>
                </c:pt>
                <c:pt idx="18">
                  <c:v>7.6686275434013851</c:v>
                </c:pt>
                <c:pt idx="19">
                  <c:v>8.8093928227401364</c:v>
                </c:pt>
                <c:pt idx="20">
                  <c:v>5.8742848141841364</c:v>
                </c:pt>
                <c:pt idx="21">
                  <c:v>6.7418388184621278</c:v>
                </c:pt>
                <c:pt idx="22">
                  <c:v>4.1108904517144822</c:v>
                </c:pt>
                <c:pt idx="23">
                  <c:v>4.7474960892448337</c:v>
                </c:pt>
                <c:pt idx="24">
                  <c:v>4.3361815476794163</c:v>
                </c:pt>
                <c:pt idx="25">
                  <c:v>1.2320219058710222</c:v>
                </c:pt>
                <c:pt idx="26">
                  <c:v>5.9248670061139705</c:v>
                </c:pt>
                <c:pt idx="27">
                  <c:v>4.6629702726186792</c:v>
                </c:pt>
                <c:pt idx="28">
                  <c:v>4.3361815476794163</c:v>
                </c:pt>
                <c:pt idx="29">
                  <c:v>2.7474960892448337</c:v>
                </c:pt>
                <c:pt idx="30">
                  <c:v>2.5474960892448451</c:v>
                </c:pt>
                <c:pt idx="31">
                  <c:v>0.94183881846211648</c:v>
                </c:pt>
                <c:pt idx="32">
                  <c:v>0.70523318093177068</c:v>
                </c:pt>
                <c:pt idx="33">
                  <c:v>-0.37363536491170635</c:v>
                </c:pt>
                <c:pt idx="34">
                  <c:v>0.69957591014903642</c:v>
                </c:pt>
                <c:pt idx="35">
                  <c:v>1.5671299144270563</c:v>
                </c:pt>
                <c:pt idx="36">
                  <c:v>-2.573635364911695</c:v>
                </c:pt>
                <c:pt idx="37">
                  <c:v>-1.3906071772598523</c:v>
                </c:pt>
                <c:pt idx="38">
                  <c:v>1.2320219058710222</c:v>
                </c:pt>
                <c:pt idx="39">
                  <c:v>5.4320219058710109</c:v>
                </c:pt>
                <c:pt idx="40">
                  <c:v>6.3361815476794163</c:v>
                </c:pt>
                <c:pt idx="41">
                  <c:v>3.1474960892448678</c:v>
                </c:pt>
                <c:pt idx="42">
                  <c:v>3.1784444559924907</c:v>
                </c:pt>
                <c:pt idx="43">
                  <c:v>4.8629702726186679</c:v>
                </c:pt>
                <c:pt idx="44">
                  <c:v>3.4320219058710109</c:v>
                </c:pt>
                <c:pt idx="45">
                  <c:v>5.1897589975579592</c:v>
                </c:pt>
                <c:pt idx="46">
                  <c:v>6.5841017267752306</c:v>
                </c:pt>
                <c:pt idx="47">
                  <c:v>3.1361815476794277</c:v>
                </c:pt>
                <c:pt idx="48">
                  <c:v>0.34749608924485642</c:v>
                </c:pt>
                <c:pt idx="49">
                  <c:v>-1.6102410024420521</c:v>
                </c:pt>
                <c:pt idx="50">
                  <c:v>-1.9792926356944065</c:v>
                </c:pt>
                <c:pt idx="51">
                  <c:v>-2.3792926356944122</c:v>
                </c:pt>
                <c:pt idx="52">
                  <c:v>-1.5257151858158693</c:v>
                </c:pt>
                <c:pt idx="53">
                  <c:v>-1.6272128147902265</c:v>
                </c:pt>
                <c:pt idx="54">
                  <c:v>-2.5679780941289891</c:v>
                </c:pt>
                <c:pt idx="55">
                  <c:v>-3.3792926356944122</c:v>
                </c:pt>
                <c:pt idx="56">
                  <c:v>-3.9736353649117007</c:v>
                </c:pt>
                <c:pt idx="57">
                  <c:v>-4.9792926356944065</c:v>
                </c:pt>
                <c:pt idx="58">
                  <c:v>-5.5370297273813378</c:v>
                </c:pt>
                <c:pt idx="59">
                  <c:v>-6.0158982732247921</c:v>
                </c:pt>
                <c:pt idx="60">
                  <c:v>-5.4751329938860351</c:v>
                </c:pt>
                <c:pt idx="61">
                  <c:v>-7.1426869981640664</c:v>
                </c:pt>
                <c:pt idx="62">
                  <c:v>-8.694766819068235</c:v>
                </c:pt>
                <c:pt idx="63">
                  <c:v>-9.0102410024420578</c:v>
                </c:pt>
                <c:pt idx="64">
                  <c:v>-8.2947668190682293</c:v>
                </c:pt>
                <c:pt idx="65">
                  <c:v>-4.8102410024420408</c:v>
                </c:pt>
                <c:pt idx="66">
                  <c:v>-5.032870085572938</c:v>
                </c:pt>
                <c:pt idx="67">
                  <c:v>-6.3370297273813208</c:v>
                </c:pt>
                <c:pt idx="68">
                  <c:v>-3.2102410024420465</c:v>
                </c:pt>
                <c:pt idx="69">
                  <c:v>-5.5370297273813378</c:v>
                </c:pt>
                <c:pt idx="70">
                  <c:v>-7.8947668190682236</c:v>
                </c:pt>
                <c:pt idx="71">
                  <c:v>-9.1792926356943951</c:v>
                </c:pt>
                <c:pt idx="72">
                  <c:v>-2.5060813606336865</c:v>
                </c:pt>
                <c:pt idx="73">
                  <c:v>-2.5060813606336865</c:v>
                </c:pt>
                <c:pt idx="74">
                  <c:v>-2.2102410024420465</c:v>
                </c:pt>
                <c:pt idx="75">
                  <c:v>-5.773635364911712</c:v>
                </c:pt>
                <c:pt idx="76">
                  <c:v>-5.5483442689467495</c:v>
                </c:pt>
                <c:pt idx="77">
                  <c:v>-6.1906071772598636</c:v>
                </c:pt>
                <c:pt idx="78">
                  <c:v>-7.3540015397294951</c:v>
                </c:pt>
                <c:pt idx="79">
                  <c:v>-3.5483442689467495</c:v>
                </c:pt>
                <c:pt idx="80">
                  <c:v>-3.1792926356943951</c:v>
                </c:pt>
                <c:pt idx="81">
                  <c:v>-2.3792926356944122</c:v>
                </c:pt>
                <c:pt idx="82">
                  <c:v>-5.9370297273813435</c:v>
                </c:pt>
                <c:pt idx="83">
                  <c:v>-5.5906071772598693</c:v>
                </c:pt>
                <c:pt idx="84">
                  <c:v>-5.2947668190682293</c:v>
                </c:pt>
                <c:pt idx="85">
                  <c:v>-4.4525039107551549</c:v>
                </c:pt>
                <c:pt idx="86">
                  <c:v>-0.65250391075514358</c:v>
                </c:pt>
                <c:pt idx="87">
                  <c:v>2.8629702726186679</c:v>
                </c:pt>
                <c:pt idx="88">
                  <c:v>-1.0525039107551493</c:v>
                </c:pt>
                <c:pt idx="89">
                  <c:v>-1.6638184523205837</c:v>
                </c:pt>
                <c:pt idx="90">
                  <c:v>-0.57929263569440081</c:v>
                </c:pt>
                <c:pt idx="91">
                  <c:v>-2.263818452320578</c:v>
                </c:pt>
                <c:pt idx="92">
                  <c:v>0.66297027261867925</c:v>
                </c:pt>
                <c:pt idx="93">
                  <c:v>0.62070736430558782</c:v>
                </c:pt>
                <c:pt idx="94">
                  <c:v>-1.5004240898509522</c:v>
                </c:pt>
                <c:pt idx="95">
                  <c:v>-1.263818452320578</c:v>
                </c:pt>
                <c:pt idx="96">
                  <c:v>-0.79060717725985796</c:v>
                </c:pt>
                <c:pt idx="97">
                  <c:v>-5.0525039107551493</c:v>
                </c:pt>
                <c:pt idx="98">
                  <c:v>-5.1370297273813321</c:v>
                </c:pt>
                <c:pt idx="99">
                  <c:v>-3.6581611815378778</c:v>
                </c:pt>
                <c:pt idx="100">
                  <c:v>-4.6525039107551436</c:v>
                </c:pt>
                <c:pt idx="101">
                  <c:v>-3.5679780941289891</c:v>
                </c:pt>
                <c:pt idx="102">
                  <c:v>2.505233180931782</c:v>
                </c:pt>
                <c:pt idx="103">
                  <c:v>3.0629702726186565</c:v>
                </c:pt>
                <c:pt idx="104">
                  <c:v>1.4629702726186906</c:v>
                </c:pt>
                <c:pt idx="105">
                  <c:v>1.0150500935228592</c:v>
                </c:pt>
                <c:pt idx="106">
                  <c:v>0.57844445599249639</c:v>
                </c:pt>
                <c:pt idx="107">
                  <c:v>-4.3679780941289721</c:v>
                </c:pt>
                <c:pt idx="108">
                  <c:v>-4.4215555440075036</c:v>
                </c:pt>
                <c:pt idx="109">
                  <c:v>-3.7060813606336751</c:v>
                </c:pt>
                <c:pt idx="110">
                  <c:v>-6.5679780941289891</c:v>
                </c:pt>
                <c:pt idx="111">
                  <c:v>-4.1060813606336808</c:v>
                </c:pt>
                <c:pt idx="112">
                  <c:v>-2.7060813606336751</c:v>
                </c:pt>
                <c:pt idx="113">
                  <c:v>-8.004583731659352</c:v>
                </c:pt>
                <c:pt idx="114">
                  <c:v>-6.6581611815378778</c:v>
                </c:pt>
                <c:pt idx="115">
                  <c:v>-8.4525039107551549</c:v>
                </c:pt>
                <c:pt idx="116">
                  <c:v>-8.3370297273813208</c:v>
                </c:pt>
                <c:pt idx="117">
                  <c:v>-10.021555544007498</c:v>
                </c:pt>
                <c:pt idx="118">
                  <c:v>-10.737029727381326</c:v>
                </c:pt>
                <c:pt idx="119">
                  <c:v>-11.094766819068241</c:v>
                </c:pt>
                <c:pt idx="120">
                  <c:v>-9.9792926356944065</c:v>
                </c:pt>
                <c:pt idx="121">
                  <c:v>-7.1906071772598636</c:v>
                </c:pt>
                <c:pt idx="122">
                  <c:v>-7.2721377359373776</c:v>
                </c:pt>
                <c:pt idx="123">
                  <c:v>-4.7370297273813264</c:v>
                </c:pt>
                <c:pt idx="124">
                  <c:v>-1.790607177259858</c:v>
                </c:pt>
                <c:pt idx="125">
                  <c:v>-4.5370297273813378</c:v>
                </c:pt>
                <c:pt idx="126">
                  <c:v>-2.694766819068235</c:v>
                </c:pt>
                <c:pt idx="127">
                  <c:v>-1.8525039107551606</c:v>
                </c:pt>
                <c:pt idx="128">
                  <c:v>-3.0834522775027722</c:v>
                </c:pt>
                <c:pt idx="129">
                  <c:v>1.7474960892448337</c:v>
                </c:pt>
                <c:pt idx="130">
                  <c:v>0.56712991442705629</c:v>
                </c:pt>
                <c:pt idx="131">
                  <c:v>0.53618154767940496</c:v>
                </c:pt>
                <c:pt idx="132">
                  <c:v>-0.65250391075514358</c:v>
                </c:pt>
                <c:pt idx="133">
                  <c:v>0.34749608924485642</c:v>
                </c:pt>
                <c:pt idx="134">
                  <c:v>2.3784444559924793</c:v>
                </c:pt>
                <c:pt idx="135">
                  <c:v>2.7052331809317707</c:v>
                </c:pt>
                <c:pt idx="136">
                  <c:v>-2.8638184523205723</c:v>
                </c:pt>
                <c:pt idx="137">
                  <c:v>-4.1060813606336808</c:v>
                </c:pt>
                <c:pt idx="138">
                  <c:v>-3.5060813606336865</c:v>
                </c:pt>
                <c:pt idx="139">
                  <c:v>-6.0947668190682407</c:v>
                </c:pt>
                <c:pt idx="140">
                  <c:v>-8.3989264608766234</c:v>
                </c:pt>
                <c:pt idx="141">
                  <c:v>-4.7792926356944179</c:v>
                </c:pt>
                <c:pt idx="142">
                  <c:v>-2.1370297273813321</c:v>
                </c:pt>
                <c:pt idx="143">
                  <c:v>-4.3370297273813208</c:v>
                </c:pt>
                <c:pt idx="144">
                  <c:v>-2.0215555440074979</c:v>
                </c:pt>
                <c:pt idx="145">
                  <c:v>-3.5060813606336865</c:v>
                </c:pt>
                <c:pt idx="146">
                  <c:v>-5.263818452320578</c:v>
                </c:pt>
                <c:pt idx="147">
                  <c:v>-1.221555544007515</c:v>
                </c:pt>
                <c:pt idx="148">
                  <c:v>0.25165573105323347</c:v>
                </c:pt>
                <c:pt idx="149">
                  <c:v>-2.2947668190682293</c:v>
                </c:pt>
                <c:pt idx="150">
                  <c:v>-1.7679780941289778</c:v>
                </c:pt>
                <c:pt idx="151">
                  <c:v>-2.1370297273813321</c:v>
                </c:pt>
                <c:pt idx="152">
                  <c:v>-3.0215555440074979</c:v>
                </c:pt>
                <c:pt idx="153">
                  <c:v>-4.3679780941289721</c:v>
                </c:pt>
                <c:pt idx="154">
                  <c:v>-6.8834522775027835</c:v>
                </c:pt>
                <c:pt idx="155">
                  <c:v>-2.3370297273813208</c:v>
                </c:pt>
                <c:pt idx="156">
                  <c:v>-1.8215555440075093</c:v>
                </c:pt>
                <c:pt idx="157">
                  <c:v>4.1784444559924907</c:v>
                </c:pt>
                <c:pt idx="158">
                  <c:v>-0.9679780941289664</c:v>
                </c:pt>
                <c:pt idx="159">
                  <c:v>-2.3370297273813208</c:v>
                </c:pt>
                <c:pt idx="160">
                  <c:v>-3.3370297273813208</c:v>
                </c:pt>
                <c:pt idx="161">
                  <c:v>-2.1555544007497929E-2</c:v>
                </c:pt>
                <c:pt idx="162">
                  <c:v>0.1784444559924907</c:v>
                </c:pt>
                <c:pt idx="163">
                  <c:v>-2.0721377359373605</c:v>
                </c:pt>
                <c:pt idx="164">
                  <c:v>-3.0215555440074979</c:v>
                </c:pt>
                <c:pt idx="165">
                  <c:v>2.2629702726186451</c:v>
                </c:pt>
                <c:pt idx="166">
                  <c:v>0.58410172677523065</c:v>
                </c:pt>
                <c:pt idx="167">
                  <c:v>-2.0751329938860295</c:v>
                </c:pt>
                <c:pt idx="168">
                  <c:v>-8.7989264608766291</c:v>
                </c:pt>
                <c:pt idx="169">
                  <c:v>-6.6525039107551436</c:v>
                </c:pt>
                <c:pt idx="170">
                  <c:v>-5.3370297273813208</c:v>
                </c:pt>
                <c:pt idx="171">
                  <c:v>-4.8525039107551606</c:v>
                </c:pt>
                <c:pt idx="172">
                  <c:v>-3.1370297273813321</c:v>
                </c:pt>
                <c:pt idx="173">
                  <c:v>1.0939186393663078</c:v>
                </c:pt>
                <c:pt idx="174">
                  <c:v>-3.1679780941289835</c:v>
                </c:pt>
                <c:pt idx="175">
                  <c:v>-2.7370297273813264</c:v>
                </c:pt>
                <c:pt idx="176">
                  <c:v>-4.1370297273813321</c:v>
                </c:pt>
                <c:pt idx="177">
                  <c:v>-3.7004240898509693</c:v>
                </c:pt>
                <c:pt idx="178">
                  <c:v>-2.8947668190682236</c:v>
                </c:pt>
                <c:pt idx="179">
                  <c:v>-1.0581611815378835</c:v>
                </c:pt>
                <c:pt idx="180">
                  <c:v>-1.6525039107551436</c:v>
                </c:pt>
                <c:pt idx="181">
                  <c:v>-0.81024100244204078</c:v>
                </c:pt>
                <c:pt idx="182">
                  <c:v>-1.1792926356943951</c:v>
                </c:pt>
                <c:pt idx="183">
                  <c:v>-2.2947668190682293</c:v>
                </c:pt>
                <c:pt idx="184">
                  <c:v>-2.6581611815378778</c:v>
                </c:pt>
                <c:pt idx="185">
                  <c:v>-1.1370297273813321</c:v>
                </c:pt>
                <c:pt idx="186">
                  <c:v>-1.4751329938860351</c:v>
                </c:pt>
                <c:pt idx="187">
                  <c:v>-3.0581611815378835</c:v>
                </c:pt>
                <c:pt idx="188">
                  <c:v>-1.9792926356944065</c:v>
                </c:pt>
                <c:pt idx="189">
                  <c:v>-2.7370297273813264</c:v>
                </c:pt>
                <c:pt idx="190">
                  <c:v>-3.7257151858158863</c:v>
                </c:pt>
                <c:pt idx="191">
                  <c:v>-2.4581611815378892</c:v>
                </c:pt>
                <c:pt idx="192">
                  <c:v>-0.9004240898509579</c:v>
                </c:pt>
                <c:pt idx="193">
                  <c:v>-1.1623208233462492</c:v>
                </c:pt>
                <c:pt idx="194">
                  <c:v>3.0629702726186565</c:v>
                </c:pt>
                <c:pt idx="195">
                  <c:v>-0.52571518581586929</c:v>
                </c:pt>
                <c:pt idx="196">
                  <c:v>-1.9540015397294894</c:v>
                </c:pt>
                <c:pt idx="197">
                  <c:v>-1.1370297273813321</c:v>
                </c:pt>
                <c:pt idx="198">
                  <c:v>0.1784444559924907</c:v>
                </c:pt>
                <c:pt idx="199">
                  <c:v>-1.1370297273813321</c:v>
                </c:pt>
                <c:pt idx="200">
                  <c:v>3.2939186393663249</c:v>
                </c:pt>
                <c:pt idx="201">
                  <c:v>0.11654772249721645</c:v>
                </c:pt>
                <c:pt idx="202">
                  <c:v>5.0207073643055935</c:v>
                </c:pt>
                <c:pt idx="203">
                  <c:v>6.6629702726186792</c:v>
                </c:pt>
                <c:pt idx="204">
                  <c:v>4.8629702726186679</c:v>
                </c:pt>
                <c:pt idx="205">
                  <c:v>7.4207073643055708</c:v>
                </c:pt>
                <c:pt idx="206">
                  <c:v>9.9052331809317593</c:v>
                </c:pt>
                <c:pt idx="207">
                  <c:v>7.2516557310532619</c:v>
                </c:pt>
                <c:pt idx="208">
                  <c:v>1.1954162683406366</c:v>
                </c:pt>
                <c:pt idx="209">
                  <c:v>2.7784444559925134</c:v>
                </c:pt>
                <c:pt idx="210">
                  <c:v>5.1897589975579592</c:v>
                </c:pt>
                <c:pt idx="211">
                  <c:v>6.0629702726186565</c:v>
                </c:pt>
                <c:pt idx="212">
                  <c:v>6.6207073643056162</c:v>
                </c:pt>
                <c:pt idx="213">
                  <c:v>7.6320219058709995</c:v>
                </c:pt>
                <c:pt idx="214">
                  <c:v>-0.35666355256353199</c:v>
                </c:pt>
                <c:pt idx="215">
                  <c:v>2.7671299144270733</c:v>
                </c:pt>
                <c:pt idx="216">
                  <c:v>3.6516557310532392</c:v>
                </c:pt>
                <c:pt idx="217">
                  <c:v>3.505233180931782</c:v>
                </c:pt>
                <c:pt idx="218">
                  <c:v>4.1361815476794277</c:v>
                </c:pt>
                <c:pt idx="219">
                  <c:v>6.3361815476794163</c:v>
                </c:pt>
                <c:pt idx="220">
                  <c:v>6.0629702726186565</c:v>
                </c:pt>
                <c:pt idx="221">
                  <c:v>5.2320219058710222</c:v>
                </c:pt>
                <c:pt idx="222">
                  <c:v>3.2320219058710222</c:v>
                </c:pt>
                <c:pt idx="223">
                  <c:v>4.1727871852097849</c:v>
                </c:pt>
                <c:pt idx="224">
                  <c:v>1.2150500935228763</c:v>
                </c:pt>
                <c:pt idx="225">
                  <c:v>0.41505009352286493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5-45CB-8D81-C6AA0138E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1951"/>
        <c:axId val="2117217231"/>
      </c:scatterChart>
      <c:valAx>
        <c:axId val="2117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7231"/>
        <c:crosses val="autoZero"/>
        <c:crossBetween val="midCat"/>
      </c:valAx>
      <c:valAx>
        <c:axId val="2117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Log'!$H$2:$H$227</c:f>
              <c:numCache>
                <c:formatCode>0.00</c:formatCode>
                <c:ptCount val="226"/>
                <c:pt idx="0">
                  <c:v>74</c:v>
                </c:pt>
                <c:pt idx="1">
                  <c:v>67</c:v>
                </c:pt>
                <c:pt idx="2">
                  <c:v>71</c:v>
                </c:pt>
                <c:pt idx="3">
                  <c:v>76</c:v>
                </c:pt>
                <c:pt idx="4">
                  <c:v>84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76</c:v>
                </c:pt>
                <c:pt idx="9">
                  <c:v>71</c:v>
                </c:pt>
                <c:pt idx="10">
                  <c:v>67</c:v>
                </c:pt>
                <c:pt idx="11">
                  <c:v>60</c:v>
                </c:pt>
                <c:pt idx="12">
                  <c:v>67</c:v>
                </c:pt>
                <c:pt idx="13">
                  <c:v>62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67</c:v>
                </c:pt>
                <c:pt idx="18">
                  <c:v>67</c:v>
                </c:pt>
                <c:pt idx="19">
                  <c:v>60</c:v>
                </c:pt>
                <c:pt idx="20">
                  <c:v>74</c:v>
                </c:pt>
                <c:pt idx="21">
                  <c:v>61</c:v>
                </c:pt>
                <c:pt idx="22">
                  <c:v>69</c:v>
                </c:pt>
                <c:pt idx="23">
                  <c:v>58</c:v>
                </c:pt>
                <c:pt idx="24">
                  <c:v>59</c:v>
                </c:pt>
                <c:pt idx="25">
                  <c:v>62</c:v>
                </c:pt>
                <c:pt idx="26">
                  <c:v>65</c:v>
                </c:pt>
                <c:pt idx="27">
                  <c:v>73</c:v>
                </c:pt>
                <c:pt idx="28">
                  <c:v>61</c:v>
                </c:pt>
                <c:pt idx="29">
                  <c:v>72</c:v>
                </c:pt>
                <c:pt idx="30">
                  <c:v>70</c:v>
                </c:pt>
                <c:pt idx="31">
                  <c:v>70</c:v>
                </c:pt>
                <c:pt idx="32">
                  <c:v>64</c:v>
                </c:pt>
                <c:pt idx="33">
                  <c:v>55</c:v>
                </c:pt>
                <c:pt idx="34">
                  <c:v>60</c:v>
                </c:pt>
                <c:pt idx="35">
                  <c:v>64</c:v>
                </c:pt>
                <c:pt idx="36">
                  <c:v>68</c:v>
                </c:pt>
                <c:pt idx="37">
                  <c:v>73</c:v>
                </c:pt>
                <c:pt idx="38">
                  <c:v>69</c:v>
                </c:pt>
                <c:pt idx="39">
                  <c:v>76</c:v>
                </c:pt>
                <c:pt idx="40">
                  <c:v>83</c:v>
                </c:pt>
                <c:pt idx="41">
                  <c:v>81</c:v>
                </c:pt>
                <c:pt idx="42">
                  <c:v>73</c:v>
                </c:pt>
                <c:pt idx="43">
                  <c:v>72</c:v>
                </c:pt>
                <c:pt idx="44">
                  <c:v>76</c:v>
                </c:pt>
                <c:pt idx="45">
                  <c:v>74</c:v>
                </c:pt>
                <c:pt idx="46">
                  <c:v>86</c:v>
                </c:pt>
                <c:pt idx="47">
                  <c:v>70</c:v>
                </c:pt>
                <c:pt idx="48">
                  <c:v>68</c:v>
                </c:pt>
                <c:pt idx="49">
                  <c:v>67</c:v>
                </c:pt>
                <c:pt idx="50">
                  <c:v>65</c:v>
                </c:pt>
                <c:pt idx="51">
                  <c:v>71</c:v>
                </c:pt>
                <c:pt idx="52">
                  <c:v>69</c:v>
                </c:pt>
                <c:pt idx="53">
                  <c:v>64</c:v>
                </c:pt>
                <c:pt idx="54">
                  <c:v>78</c:v>
                </c:pt>
                <c:pt idx="55">
                  <c:v>64</c:v>
                </c:pt>
                <c:pt idx="56">
                  <c:v>78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65</c:v>
                </c:pt>
                <c:pt idx="61">
                  <c:v>62</c:v>
                </c:pt>
                <c:pt idx="62">
                  <c:v>64</c:v>
                </c:pt>
                <c:pt idx="63">
                  <c:v>66</c:v>
                </c:pt>
                <c:pt idx="64">
                  <c:v>65</c:v>
                </c:pt>
                <c:pt idx="65">
                  <c:v>80</c:v>
                </c:pt>
                <c:pt idx="66">
                  <c:v>79</c:v>
                </c:pt>
                <c:pt idx="67">
                  <c:v>61</c:v>
                </c:pt>
                <c:pt idx="68">
                  <c:v>70</c:v>
                </c:pt>
                <c:pt idx="69">
                  <c:v>71</c:v>
                </c:pt>
                <c:pt idx="70">
                  <c:v>69</c:v>
                </c:pt>
                <c:pt idx="71">
                  <c:v>63</c:v>
                </c:pt>
                <c:pt idx="72">
                  <c:v>68</c:v>
                </c:pt>
                <c:pt idx="73">
                  <c:v>69</c:v>
                </c:pt>
                <c:pt idx="74">
                  <c:v>63</c:v>
                </c:pt>
                <c:pt idx="75">
                  <c:v>68</c:v>
                </c:pt>
                <c:pt idx="76">
                  <c:v>61</c:v>
                </c:pt>
                <c:pt idx="77">
                  <c:v>61</c:v>
                </c:pt>
                <c:pt idx="78">
                  <c:v>70</c:v>
                </c:pt>
                <c:pt idx="79">
                  <c:v>60</c:v>
                </c:pt>
                <c:pt idx="80">
                  <c:v>86</c:v>
                </c:pt>
                <c:pt idx="81">
                  <c:v>66</c:v>
                </c:pt>
                <c:pt idx="82">
                  <c:v>65</c:v>
                </c:pt>
                <c:pt idx="83">
                  <c:v>75</c:v>
                </c:pt>
                <c:pt idx="84">
                  <c:v>66</c:v>
                </c:pt>
                <c:pt idx="85">
                  <c:v>76</c:v>
                </c:pt>
                <c:pt idx="86">
                  <c:v>68</c:v>
                </c:pt>
                <c:pt idx="87">
                  <c:v>72</c:v>
                </c:pt>
                <c:pt idx="88">
                  <c:v>64</c:v>
                </c:pt>
                <c:pt idx="89">
                  <c:v>68</c:v>
                </c:pt>
                <c:pt idx="90">
                  <c:v>72</c:v>
                </c:pt>
                <c:pt idx="91">
                  <c:v>74</c:v>
                </c:pt>
                <c:pt idx="92">
                  <c:v>87</c:v>
                </c:pt>
                <c:pt idx="93">
                  <c:v>62</c:v>
                </c:pt>
                <c:pt idx="94">
                  <c:v>62</c:v>
                </c:pt>
                <c:pt idx="95">
                  <c:v>69</c:v>
                </c:pt>
                <c:pt idx="96">
                  <c:v>76</c:v>
                </c:pt>
                <c:pt idx="97">
                  <c:v>58</c:v>
                </c:pt>
                <c:pt idx="98">
                  <c:v>61</c:v>
                </c:pt>
                <c:pt idx="99">
                  <c:v>72</c:v>
                </c:pt>
                <c:pt idx="100">
                  <c:v>65</c:v>
                </c:pt>
                <c:pt idx="101">
                  <c:v>75</c:v>
                </c:pt>
                <c:pt idx="102">
                  <c:v>68</c:v>
                </c:pt>
                <c:pt idx="103">
                  <c:v>76</c:v>
                </c:pt>
                <c:pt idx="104">
                  <c:v>68</c:v>
                </c:pt>
                <c:pt idx="105">
                  <c:v>77</c:v>
                </c:pt>
                <c:pt idx="106">
                  <c:v>69</c:v>
                </c:pt>
                <c:pt idx="107">
                  <c:v>68</c:v>
                </c:pt>
                <c:pt idx="108">
                  <c:v>67</c:v>
                </c:pt>
                <c:pt idx="109">
                  <c:v>72</c:v>
                </c:pt>
                <c:pt idx="110">
                  <c:v>78</c:v>
                </c:pt>
                <c:pt idx="111">
                  <c:v>66</c:v>
                </c:pt>
                <c:pt idx="112">
                  <c:v>76</c:v>
                </c:pt>
                <c:pt idx="113">
                  <c:v>71</c:v>
                </c:pt>
                <c:pt idx="114">
                  <c:v>66</c:v>
                </c:pt>
                <c:pt idx="115">
                  <c:v>63</c:v>
                </c:pt>
                <c:pt idx="116">
                  <c:v>68</c:v>
                </c:pt>
                <c:pt idx="117">
                  <c:v>66</c:v>
                </c:pt>
                <c:pt idx="118">
                  <c:v>65</c:v>
                </c:pt>
                <c:pt idx="119">
                  <c:v>73</c:v>
                </c:pt>
                <c:pt idx="120">
                  <c:v>71</c:v>
                </c:pt>
                <c:pt idx="121">
                  <c:v>64</c:v>
                </c:pt>
                <c:pt idx="122">
                  <c:v>96</c:v>
                </c:pt>
                <c:pt idx="123">
                  <c:v>70</c:v>
                </c:pt>
                <c:pt idx="124">
                  <c:v>76</c:v>
                </c:pt>
                <c:pt idx="125">
                  <c:v>75</c:v>
                </c:pt>
                <c:pt idx="126">
                  <c:v>63</c:v>
                </c:pt>
                <c:pt idx="127">
                  <c:v>99</c:v>
                </c:pt>
                <c:pt idx="128">
                  <c:v>67</c:v>
                </c:pt>
                <c:pt idx="129">
                  <c:v>77</c:v>
                </c:pt>
                <c:pt idx="130">
                  <c:v>73</c:v>
                </c:pt>
                <c:pt idx="131">
                  <c:v>74</c:v>
                </c:pt>
                <c:pt idx="132">
                  <c:v>86</c:v>
                </c:pt>
                <c:pt idx="133">
                  <c:v>69</c:v>
                </c:pt>
                <c:pt idx="134">
                  <c:v>74</c:v>
                </c:pt>
                <c:pt idx="135">
                  <c:v>66</c:v>
                </c:pt>
                <c:pt idx="136">
                  <c:v>69</c:v>
                </c:pt>
                <c:pt idx="137">
                  <c:v>74</c:v>
                </c:pt>
                <c:pt idx="138">
                  <c:v>71</c:v>
                </c:pt>
                <c:pt idx="139">
                  <c:v>86</c:v>
                </c:pt>
                <c:pt idx="140">
                  <c:v>74</c:v>
                </c:pt>
                <c:pt idx="141">
                  <c:v>68</c:v>
                </c:pt>
                <c:pt idx="142">
                  <c:v>72</c:v>
                </c:pt>
                <c:pt idx="143">
                  <c:v>78</c:v>
                </c:pt>
                <c:pt idx="144">
                  <c:v>63</c:v>
                </c:pt>
                <c:pt idx="145">
                  <c:v>74</c:v>
                </c:pt>
                <c:pt idx="146">
                  <c:v>75</c:v>
                </c:pt>
                <c:pt idx="147">
                  <c:v>68</c:v>
                </c:pt>
                <c:pt idx="148">
                  <c:v>75</c:v>
                </c:pt>
                <c:pt idx="149">
                  <c:v>65</c:v>
                </c:pt>
                <c:pt idx="150">
                  <c:v>76</c:v>
                </c:pt>
                <c:pt idx="151">
                  <c:v>82</c:v>
                </c:pt>
                <c:pt idx="152">
                  <c:v>75</c:v>
                </c:pt>
                <c:pt idx="153">
                  <c:v>66</c:v>
                </c:pt>
                <c:pt idx="154">
                  <c:v>85</c:v>
                </c:pt>
                <c:pt idx="155">
                  <c:v>77</c:v>
                </c:pt>
                <c:pt idx="156">
                  <c:v>78</c:v>
                </c:pt>
                <c:pt idx="157">
                  <c:v>86</c:v>
                </c:pt>
                <c:pt idx="158">
                  <c:v>70</c:v>
                </c:pt>
                <c:pt idx="159">
                  <c:v>66</c:v>
                </c:pt>
                <c:pt idx="160">
                  <c:v>69</c:v>
                </c:pt>
                <c:pt idx="161">
                  <c:v>99</c:v>
                </c:pt>
                <c:pt idx="162">
                  <c:v>76</c:v>
                </c:pt>
                <c:pt idx="163">
                  <c:v>85</c:v>
                </c:pt>
                <c:pt idx="164">
                  <c:v>74</c:v>
                </c:pt>
                <c:pt idx="165">
                  <c:v>68</c:v>
                </c:pt>
                <c:pt idx="166">
                  <c:v>56</c:v>
                </c:pt>
                <c:pt idx="167">
                  <c:v>98</c:v>
                </c:pt>
                <c:pt idx="168">
                  <c:v>99</c:v>
                </c:pt>
                <c:pt idx="169">
                  <c:v>75</c:v>
                </c:pt>
                <c:pt idx="170">
                  <c:v>83</c:v>
                </c:pt>
                <c:pt idx="171">
                  <c:v>73</c:v>
                </c:pt>
                <c:pt idx="172">
                  <c:v>73</c:v>
                </c:pt>
                <c:pt idx="173">
                  <c:v>78</c:v>
                </c:pt>
                <c:pt idx="174">
                  <c:v>64</c:v>
                </c:pt>
                <c:pt idx="175">
                  <c:v>72</c:v>
                </c:pt>
                <c:pt idx="176">
                  <c:v>69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76</c:v>
                </c:pt>
                <c:pt idx="182">
                  <c:v>83</c:v>
                </c:pt>
                <c:pt idx="183">
                  <c:v>75</c:v>
                </c:pt>
                <c:pt idx="184">
                  <c:v>69</c:v>
                </c:pt>
                <c:pt idx="185">
                  <c:v>73</c:v>
                </c:pt>
                <c:pt idx="186">
                  <c:v>74</c:v>
                </c:pt>
                <c:pt idx="187">
                  <c:v>73</c:v>
                </c:pt>
                <c:pt idx="188">
                  <c:v>78</c:v>
                </c:pt>
                <c:pt idx="189">
                  <c:v>70</c:v>
                </c:pt>
                <c:pt idx="190">
                  <c:v>57</c:v>
                </c:pt>
                <c:pt idx="191">
                  <c:v>70</c:v>
                </c:pt>
                <c:pt idx="192">
                  <c:v>82</c:v>
                </c:pt>
                <c:pt idx="193">
                  <c:v>79</c:v>
                </c:pt>
                <c:pt idx="194">
                  <c:v>75</c:v>
                </c:pt>
                <c:pt idx="195">
                  <c:v>64</c:v>
                </c:pt>
                <c:pt idx="196">
                  <c:v>83</c:v>
                </c:pt>
                <c:pt idx="197">
                  <c:v>64</c:v>
                </c:pt>
                <c:pt idx="198">
                  <c:v>91</c:v>
                </c:pt>
                <c:pt idx="199">
                  <c:v>90</c:v>
                </c:pt>
                <c:pt idx="200">
                  <c:v>80</c:v>
                </c:pt>
                <c:pt idx="201">
                  <c:v>70</c:v>
                </c:pt>
                <c:pt idx="202">
                  <c:v>79</c:v>
                </c:pt>
                <c:pt idx="203">
                  <c:v>70</c:v>
                </c:pt>
                <c:pt idx="204">
                  <c:v>76</c:v>
                </c:pt>
                <c:pt idx="205">
                  <c:v>81</c:v>
                </c:pt>
                <c:pt idx="206">
                  <c:v>80</c:v>
                </c:pt>
                <c:pt idx="207">
                  <c:v>67</c:v>
                </c:pt>
                <c:pt idx="208">
                  <c:v>74</c:v>
                </c:pt>
                <c:pt idx="209">
                  <c:v>75</c:v>
                </c:pt>
                <c:pt idx="210">
                  <c:v>75</c:v>
                </c:pt>
                <c:pt idx="211">
                  <c:v>78</c:v>
                </c:pt>
                <c:pt idx="212">
                  <c:v>71</c:v>
                </c:pt>
                <c:pt idx="213">
                  <c:v>77</c:v>
                </c:pt>
                <c:pt idx="214">
                  <c:v>82</c:v>
                </c:pt>
                <c:pt idx="215">
                  <c:v>61</c:v>
                </c:pt>
                <c:pt idx="216">
                  <c:v>79</c:v>
                </c:pt>
                <c:pt idx="217">
                  <c:v>66</c:v>
                </c:pt>
                <c:pt idx="218">
                  <c:v>83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78</c:v>
                </c:pt>
                <c:pt idx="223">
                  <c:v>60</c:v>
                </c:pt>
                <c:pt idx="224">
                  <c:v>60</c:v>
                </c:pt>
                <c:pt idx="225">
                  <c:v>63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6-4B2B-B005-30290A42E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8735"/>
        <c:axId val="2123659215"/>
      </c:scatterChart>
      <c:valAx>
        <c:axId val="2123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9215"/>
        <c:crosses val="autoZero"/>
        <c:crossBetween val="midCat"/>
      </c:valAx>
      <c:valAx>
        <c:axId val="2123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Body Mass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Log'!$N$2:$N$227</c:f>
              <c:numCache>
                <c:formatCode>0.00</c:formatCode>
                <c:ptCount val="226"/>
                <c:pt idx="0">
                  <c:v>39.540163265306127</c:v>
                </c:pt>
                <c:pt idx="1">
                  <c:v>38.994979591836739</c:v>
                </c:pt>
                <c:pt idx="2">
                  <c:v>38.994979591836739</c:v>
                </c:pt>
                <c:pt idx="3">
                  <c:v>39.138448979591836</c:v>
                </c:pt>
                <c:pt idx="4">
                  <c:v>38.679346938775517</c:v>
                </c:pt>
                <c:pt idx="5">
                  <c:v>38.535877551020413</c:v>
                </c:pt>
                <c:pt idx="6">
                  <c:v>38.564571428571433</c:v>
                </c:pt>
                <c:pt idx="7">
                  <c:v>38.564571428571433</c:v>
                </c:pt>
                <c:pt idx="8">
                  <c:v>38.650653061224489</c:v>
                </c:pt>
                <c:pt idx="9">
                  <c:v>39.109755102040822</c:v>
                </c:pt>
                <c:pt idx="10">
                  <c:v>38.851510204081634</c:v>
                </c:pt>
                <c:pt idx="11">
                  <c:v>38.507183673469385</c:v>
                </c:pt>
                <c:pt idx="12">
                  <c:v>38.248938775510204</c:v>
                </c:pt>
                <c:pt idx="13">
                  <c:v>38.679346938775517</c:v>
                </c:pt>
                <c:pt idx="14">
                  <c:v>38.392408163265308</c:v>
                </c:pt>
                <c:pt idx="15">
                  <c:v>38.392408163265308</c:v>
                </c:pt>
                <c:pt idx="16">
                  <c:v>37.990693877551024</c:v>
                </c:pt>
                <c:pt idx="17">
                  <c:v>37.962000000000003</c:v>
                </c:pt>
                <c:pt idx="18">
                  <c:v>37.761142857142858</c:v>
                </c:pt>
                <c:pt idx="19">
                  <c:v>37.732448979591837</c:v>
                </c:pt>
                <c:pt idx="20">
                  <c:v>37.560285714285712</c:v>
                </c:pt>
                <c:pt idx="21">
                  <c:v>37.560285714285712</c:v>
                </c:pt>
                <c:pt idx="22">
                  <c:v>37.273346938775511</c:v>
                </c:pt>
                <c:pt idx="23">
                  <c:v>37.330734693877552</c:v>
                </c:pt>
                <c:pt idx="24">
                  <c:v>37.158571428571427</c:v>
                </c:pt>
                <c:pt idx="25">
                  <c:v>36.871632653061219</c:v>
                </c:pt>
                <c:pt idx="26">
                  <c:v>37.273346938775511</c:v>
                </c:pt>
                <c:pt idx="27">
                  <c:v>37.273346938775511</c:v>
                </c:pt>
                <c:pt idx="28">
                  <c:v>37.158571428571427</c:v>
                </c:pt>
                <c:pt idx="29">
                  <c:v>37.043795918367344</c:v>
                </c:pt>
                <c:pt idx="30">
                  <c:v>37.015102040816323</c:v>
                </c:pt>
                <c:pt idx="31">
                  <c:v>36.728163265306122</c:v>
                </c:pt>
                <c:pt idx="32">
                  <c:v>36.728163265306122</c:v>
                </c:pt>
                <c:pt idx="33">
                  <c:v>36.584693877551018</c:v>
                </c:pt>
                <c:pt idx="34">
                  <c:v>36.670775510204081</c:v>
                </c:pt>
                <c:pt idx="35">
                  <c:v>36.670775510204081</c:v>
                </c:pt>
                <c:pt idx="36">
                  <c:v>36.269061224489796</c:v>
                </c:pt>
                <c:pt idx="37">
                  <c:v>36.269061224489796</c:v>
                </c:pt>
                <c:pt idx="38">
                  <c:v>36.871632653061219</c:v>
                </c:pt>
                <c:pt idx="39">
                  <c:v>37.474204081632649</c:v>
                </c:pt>
                <c:pt idx="40">
                  <c:v>37.445510204081636</c:v>
                </c:pt>
                <c:pt idx="41">
                  <c:v>37.101183673469393</c:v>
                </c:pt>
                <c:pt idx="42">
                  <c:v>37.015102040816323</c:v>
                </c:pt>
                <c:pt idx="43">
                  <c:v>37.302040816326532</c:v>
                </c:pt>
                <c:pt idx="44">
                  <c:v>37.187265306122448</c:v>
                </c:pt>
                <c:pt idx="45">
                  <c:v>37.416816326530615</c:v>
                </c:pt>
                <c:pt idx="46">
                  <c:v>37.560285714285712</c:v>
                </c:pt>
                <c:pt idx="47">
                  <c:v>36.98640816326531</c:v>
                </c:pt>
                <c:pt idx="48">
                  <c:v>36.699469387755101</c:v>
                </c:pt>
                <c:pt idx="49">
                  <c:v>36.441224489795914</c:v>
                </c:pt>
                <c:pt idx="50">
                  <c:v>36.297755102040817</c:v>
                </c:pt>
                <c:pt idx="51">
                  <c:v>36.240367346938775</c:v>
                </c:pt>
                <c:pt idx="52">
                  <c:v>36.498612244897963</c:v>
                </c:pt>
                <c:pt idx="53">
                  <c:v>36.269061224489796</c:v>
                </c:pt>
                <c:pt idx="54">
                  <c:v>36.326448979591831</c:v>
                </c:pt>
                <c:pt idx="55">
                  <c:v>36.096897959183678</c:v>
                </c:pt>
                <c:pt idx="56">
                  <c:v>36.068204081632651</c:v>
                </c:pt>
                <c:pt idx="57">
                  <c:v>35.867346938775512</c:v>
                </c:pt>
                <c:pt idx="58">
                  <c:v>35.80995918367347</c:v>
                </c:pt>
                <c:pt idx="59">
                  <c:v>35.752571428571429</c:v>
                </c:pt>
                <c:pt idx="60">
                  <c:v>35.637795918367345</c:v>
                </c:pt>
                <c:pt idx="61">
                  <c:v>35.523020408163262</c:v>
                </c:pt>
                <c:pt idx="62">
                  <c:v>35.379551020408158</c:v>
                </c:pt>
                <c:pt idx="63">
                  <c:v>35.379551020408158</c:v>
                </c:pt>
                <c:pt idx="64">
                  <c:v>35.436938775510207</c:v>
                </c:pt>
                <c:pt idx="65">
                  <c:v>35.982122448979595</c:v>
                </c:pt>
                <c:pt idx="66">
                  <c:v>35.723877551020408</c:v>
                </c:pt>
                <c:pt idx="67">
                  <c:v>35.695183673469387</c:v>
                </c:pt>
                <c:pt idx="68">
                  <c:v>36.211673469387755</c:v>
                </c:pt>
                <c:pt idx="69">
                  <c:v>35.80995918367347</c:v>
                </c:pt>
                <c:pt idx="70">
                  <c:v>35.494326530612248</c:v>
                </c:pt>
                <c:pt idx="71">
                  <c:v>35.264775510204082</c:v>
                </c:pt>
                <c:pt idx="72">
                  <c:v>36.154285714285713</c:v>
                </c:pt>
                <c:pt idx="73">
                  <c:v>36.154285714285713</c:v>
                </c:pt>
                <c:pt idx="74">
                  <c:v>36.355142857142859</c:v>
                </c:pt>
                <c:pt idx="75">
                  <c:v>35.80995918367347</c:v>
                </c:pt>
                <c:pt idx="76">
                  <c:v>35.695183673469387</c:v>
                </c:pt>
                <c:pt idx="77">
                  <c:v>35.580408163265311</c:v>
                </c:pt>
                <c:pt idx="78">
                  <c:v>35.379551020408158</c:v>
                </c:pt>
                <c:pt idx="79">
                  <c:v>35.982122448979595</c:v>
                </c:pt>
                <c:pt idx="80">
                  <c:v>36.125591836734699</c:v>
                </c:pt>
                <c:pt idx="81">
                  <c:v>36.240367346938775</c:v>
                </c:pt>
                <c:pt idx="82">
                  <c:v>35.752571428571429</c:v>
                </c:pt>
                <c:pt idx="83">
                  <c:v>35.666489795918366</c:v>
                </c:pt>
                <c:pt idx="84">
                  <c:v>35.867346938775512</c:v>
                </c:pt>
                <c:pt idx="85">
                  <c:v>36.010816326530609</c:v>
                </c:pt>
                <c:pt idx="86">
                  <c:v>36.556000000000004</c:v>
                </c:pt>
                <c:pt idx="87">
                  <c:v>37.015102040816323</c:v>
                </c:pt>
                <c:pt idx="88">
                  <c:v>36.498612244897963</c:v>
                </c:pt>
                <c:pt idx="89">
                  <c:v>36.297755102040817</c:v>
                </c:pt>
                <c:pt idx="90">
                  <c:v>36.498612244897963</c:v>
                </c:pt>
                <c:pt idx="91">
                  <c:v>36.211673469387755</c:v>
                </c:pt>
                <c:pt idx="92">
                  <c:v>36.699469387755101</c:v>
                </c:pt>
                <c:pt idx="93">
                  <c:v>36.670775510204081</c:v>
                </c:pt>
                <c:pt idx="94">
                  <c:v>36.355142857142859</c:v>
                </c:pt>
                <c:pt idx="95">
                  <c:v>36.355142857142859</c:v>
                </c:pt>
                <c:pt idx="96">
                  <c:v>36.355142857142859</c:v>
                </c:pt>
                <c:pt idx="97">
                  <c:v>35.924734693877546</c:v>
                </c:pt>
                <c:pt idx="98">
                  <c:v>35.867346938775512</c:v>
                </c:pt>
                <c:pt idx="99">
                  <c:v>36.068204081632651</c:v>
                </c:pt>
                <c:pt idx="100">
                  <c:v>35.982122448979595</c:v>
                </c:pt>
                <c:pt idx="101">
                  <c:v>36.182979591836734</c:v>
                </c:pt>
                <c:pt idx="102">
                  <c:v>36.98640816326531</c:v>
                </c:pt>
                <c:pt idx="103">
                  <c:v>37.043795918367344</c:v>
                </c:pt>
                <c:pt idx="104">
                  <c:v>36.814244897959192</c:v>
                </c:pt>
                <c:pt idx="105">
                  <c:v>36.670775510204081</c:v>
                </c:pt>
                <c:pt idx="106">
                  <c:v>36.642081632653067</c:v>
                </c:pt>
                <c:pt idx="107">
                  <c:v>36.068204081632651</c:v>
                </c:pt>
                <c:pt idx="108">
                  <c:v>35.924734693877546</c:v>
                </c:pt>
                <c:pt idx="109">
                  <c:v>35.982122448979595</c:v>
                </c:pt>
                <c:pt idx="110">
                  <c:v>35.752571428571429</c:v>
                </c:pt>
                <c:pt idx="111">
                  <c:v>35.924734693877546</c:v>
                </c:pt>
                <c:pt idx="112">
                  <c:v>36.125591836734699</c:v>
                </c:pt>
                <c:pt idx="113">
                  <c:v>35.580408163265311</c:v>
                </c:pt>
                <c:pt idx="114">
                  <c:v>35.637795918367345</c:v>
                </c:pt>
                <c:pt idx="115">
                  <c:v>35.436938775510207</c:v>
                </c:pt>
                <c:pt idx="116">
                  <c:v>35.408244897959186</c:v>
                </c:pt>
                <c:pt idx="117">
                  <c:v>35.121306122448978</c:v>
                </c:pt>
                <c:pt idx="118">
                  <c:v>35.063918367346943</c:v>
                </c:pt>
                <c:pt idx="119">
                  <c:v>35.035224489795915</c:v>
                </c:pt>
                <c:pt idx="120">
                  <c:v>35.15</c:v>
                </c:pt>
                <c:pt idx="121">
                  <c:v>35.436938775510207</c:v>
                </c:pt>
                <c:pt idx="122">
                  <c:v>35.80995918367347</c:v>
                </c:pt>
                <c:pt idx="123">
                  <c:v>35.924734693877546</c:v>
                </c:pt>
                <c:pt idx="124">
                  <c:v>36.211673469387755</c:v>
                </c:pt>
                <c:pt idx="125">
                  <c:v>35.953428571428574</c:v>
                </c:pt>
                <c:pt idx="126">
                  <c:v>36.240367346938775</c:v>
                </c:pt>
                <c:pt idx="127">
                  <c:v>36.38383673469388</c:v>
                </c:pt>
                <c:pt idx="128">
                  <c:v>36.297755102040817</c:v>
                </c:pt>
                <c:pt idx="129">
                  <c:v>36.900326530612247</c:v>
                </c:pt>
                <c:pt idx="130">
                  <c:v>36.527306122448977</c:v>
                </c:pt>
                <c:pt idx="131">
                  <c:v>36.613387755102039</c:v>
                </c:pt>
                <c:pt idx="132">
                  <c:v>36.556000000000004</c:v>
                </c:pt>
                <c:pt idx="133">
                  <c:v>36.699469387755101</c:v>
                </c:pt>
                <c:pt idx="134">
                  <c:v>36.900326530612247</c:v>
                </c:pt>
                <c:pt idx="135">
                  <c:v>37.015102040816323</c:v>
                </c:pt>
                <c:pt idx="136">
                  <c:v>36.125591836734699</c:v>
                </c:pt>
                <c:pt idx="137">
                  <c:v>35.924734693877546</c:v>
                </c:pt>
                <c:pt idx="138">
                  <c:v>36.010816326530609</c:v>
                </c:pt>
                <c:pt idx="139">
                  <c:v>35.752571428571429</c:v>
                </c:pt>
                <c:pt idx="140">
                  <c:v>35.580408163265311</c:v>
                </c:pt>
                <c:pt idx="141">
                  <c:v>35.896040816326526</c:v>
                </c:pt>
                <c:pt idx="142">
                  <c:v>36.297755102040817</c:v>
                </c:pt>
                <c:pt idx="143">
                  <c:v>35.982122448979595</c:v>
                </c:pt>
                <c:pt idx="144">
                  <c:v>36.269061224489796</c:v>
                </c:pt>
                <c:pt idx="145">
                  <c:v>36.010816326530609</c:v>
                </c:pt>
                <c:pt idx="146">
                  <c:v>35.781265306122449</c:v>
                </c:pt>
                <c:pt idx="147">
                  <c:v>36.38383673469388</c:v>
                </c:pt>
                <c:pt idx="148">
                  <c:v>36.527306122448977</c:v>
                </c:pt>
                <c:pt idx="149">
                  <c:v>36.297755102040817</c:v>
                </c:pt>
                <c:pt idx="150">
                  <c:v>36.441224489795914</c:v>
                </c:pt>
                <c:pt idx="151">
                  <c:v>36.297755102040817</c:v>
                </c:pt>
                <c:pt idx="152">
                  <c:v>36.125591836734699</c:v>
                </c:pt>
                <c:pt idx="153">
                  <c:v>36.068204081632651</c:v>
                </c:pt>
                <c:pt idx="154">
                  <c:v>35.752571428571429</c:v>
                </c:pt>
                <c:pt idx="155">
                  <c:v>36.269061224489796</c:v>
                </c:pt>
                <c:pt idx="156">
                  <c:v>36.297755102040817</c:v>
                </c:pt>
                <c:pt idx="157">
                  <c:v>37.158571428571427</c:v>
                </c:pt>
                <c:pt idx="158">
                  <c:v>36.556000000000004</c:v>
                </c:pt>
                <c:pt idx="159">
                  <c:v>36.269061224489796</c:v>
                </c:pt>
                <c:pt idx="160">
                  <c:v>36.125591836734699</c:v>
                </c:pt>
                <c:pt idx="161">
                  <c:v>36.556000000000004</c:v>
                </c:pt>
                <c:pt idx="162">
                  <c:v>36.584693877551018</c:v>
                </c:pt>
                <c:pt idx="163">
                  <c:v>36.556000000000004</c:v>
                </c:pt>
                <c:pt idx="164">
                  <c:v>36.125591836734699</c:v>
                </c:pt>
                <c:pt idx="165">
                  <c:v>36.929020408163261</c:v>
                </c:pt>
                <c:pt idx="166">
                  <c:v>36.699469387755101</c:v>
                </c:pt>
                <c:pt idx="167">
                  <c:v>36.125591836734699</c:v>
                </c:pt>
                <c:pt idx="168">
                  <c:v>35.523020408163262</c:v>
                </c:pt>
                <c:pt idx="169">
                  <c:v>35.695183673469387</c:v>
                </c:pt>
                <c:pt idx="170">
                  <c:v>35.838653061224491</c:v>
                </c:pt>
                <c:pt idx="171">
                  <c:v>35.953428571428574</c:v>
                </c:pt>
                <c:pt idx="172">
                  <c:v>36.154285714285713</c:v>
                </c:pt>
                <c:pt idx="173">
                  <c:v>36.670775510204081</c:v>
                </c:pt>
                <c:pt idx="174">
                  <c:v>36.240367346938775</c:v>
                </c:pt>
                <c:pt idx="175">
                  <c:v>36.211673469387755</c:v>
                </c:pt>
                <c:pt idx="176">
                  <c:v>36.010816326530609</c:v>
                </c:pt>
                <c:pt idx="177">
                  <c:v>36.03951020408163</c:v>
                </c:pt>
                <c:pt idx="178">
                  <c:v>36.211673469387755</c:v>
                </c:pt>
                <c:pt idx="179">
                  <c:v>36.441224489795914</c:v>
                </c:pt>
                <c:pt idx="180">
                  <c:v>36.4125306122449</c:v>
                </c:pt>
                <c:pt idx="181">
                  <c:v>36.556000000000004</c:v>
                </c:pt>
                <c:pt idx="182">
                  <c:v>36.4125306122449</c:v>
                </c:pt>
                <c:pt idx="183">
                  <c:v>36.297755102040817</c:v>
                </c:pt>
                <c:pt idx="184">
                  <c:v>36.211673469387755</c:v>
                </c:pt>
                <c:pt idx="185">
                  <c:v>36.441224489795914</c:v>
                </c:pt>
                <c:pt idx="186">
                  <c:v>36.211673469387755</c:v>
                </c:pt>
                <c:pt idx="187">
                  <c:v>36.154285714285713</c:v>
                </c:pt>
                <c:pt idx="188">
                  <c:v>36.297755102040817</c:v>
                </c:pt>
                <c:pt idx="189">
                  <c:v>36.211673469387755</c:v>
                </c:pt>
                <c:pt idx="190">
                  <c:v>36.182979591836734</c:v>
                </c:pt>
                <c:pt idx="191">
                  <c:v>36.240367346938775</c:v>
                </c:pt>
                <c:pt idx="192">
                  <c:v>36.441224489795914</c:v>
                </c:pt>
                <c:pt idx="193">
                  <c:v>36.584693877551018</c:v>
                </c:pt>
                <c:pt idx="194">
                  <c:v>37.043795918367344</c:v>
                </c:pt>
                <c:pt idx="195">
                  <c:v>36.642081632653067</c:v>
                </c:pt>
                <c:pt idx="196">
                  <c:v>36.154285714285713</c:v>
                </c:pt>
                <c:pt idx="197">
                  <c:v>36.441224489795914</c:v>
                </c:pt>
                <c:pt idx="198">
                  <c:v>36.584693877551018</c:v>
                </c:pt>
                <c:pt idx="199">
                  <c:v>36.441224489795914</c:v>
                </c:pt>
                <c:pt idx="200">
                  <c:v>36.98640816326531</c:v>
                </c:pt>
                <c:pt idx="201">
                  <c:v>36.756857142857143</c:v>
                </c:pt>
                <c:pt idx="202">
                  <c:v>37.302040816326532</c:v>
                </c:pt>
                <c:pt idx="203">
                  <c:v>37.560285714285712</c:v>
                </c:pt>
                <c:pt idx="204">
                  <c:v>37.302040816326532</c:v>
                </c:pt>
                <c:pt idx="205">
                  <c:v>37.646367346938767</c:v>
                </c:pt>
                <c:pt idx="206">
                  <c:v>38.048081632653059</c:v>
                </c:pt>
                <c:pt idx="207">
                  <c:v>37.531591836734698</c:v>
                </c:pt>
                <c:pt idx="208">
                  <c:v>36.900326530612247</c:v>
                </c:pt>
                <c:pt idx="209">
                  <c:v>36.957714285714289</c:v>
                </c:pt>
                <c:pt idx="210">
                  <c:v>37.416816326530615</c:v>
                </c:pt>
                <c:pt idx="211">
                  <c:v>37.474204081632649</c:v>
                </c:pt>
                <c:pt idx="212">
                  <c:v>37.531591836734698</c:v>
                </c:pt>
                <c:pt idx="213">
                  <c:v>37.789836734693871</c:v>
                </c:pt>
                <c:pt idx="214">
                  <c:v>36.756857142857143</c:v>
                </c:pt>
                <c:pt idx="215">
                  <c:v>36.842938775510206</c:v>
                </c:pt>
                <c:pt idx="216">
                  <c:v>37.015102040816323</c:v>
                </c:pt>
                <c:pt idx="217">
                  <c:v>37.129877551020407</c:v>
                </c:pt>
                <c:pt idx="218">
                  <c:v>37.129877551020407</c:v>
                </c:pt>
                <c:pt idx="219">
                  <c:v>37.445510204081636</c:v>
                </c:pt>
                <c:pt idx="220">
                  <c:v>37.474204081632649</c:v>
                </c:pt>
                <c:pt idx="221">
                  <c:v>37.445510204081636</c:v>
                </c:pt>
                <c:pt idx="222">
                  <c:v>37.158571428571427</c:v>
                </c:pt>
                <c:pt idx="223">
                  <c:v>37.101183673469393</c:v>
                </c:pt>
                <c:pt idx="224">
                  <c:v>36.699469387755101</c:v>
                </c:pt>
                <c:pt idx="225">
                  <c:v>36.584693877551018</c:v>
                </c:pt>
              </c:numCache>
            </c:numRef>
          </c:xVal>
          <c:yVal>
            <c:numRef>
              <c:f>Residuals!$AI$2:$AI$227</c:f>
              <c:numCache>
                <c:formatCode>0.00</c:formatCode>
                <c:ptCount val="226"/>
                <c:pt idx="0">
                  <c:v>4.5702108764089644E-11</c:v>
                </c:pt>
                <c:pt idx="1">
                  <c:v>3.723243935382925E-11</c:v>
                </c:pt>
                <c:pt idx="2">
                  <c:v>3.723243935382925E-11</c:v>
                </c:pt>
                <c:pt idx="3">
                  <c:v>3.950617610826157E-11</c:v>
                </c:pt>
                <c:pt idx="4">
                  <c:v>3.2287061912938952E-11</c:v>
                </c:pt>
                <c:pt idx="5">
                  <c:v>3.0127011996228248E-11</c:v>
                </c:pt>
                <c:pt idx="6">
                  <c:v>3.0524915928253904E-11</c:v>
                </c:pt>
                <c:pt idx="7">
                  <c:v>3.0524915928253904E-11</c:v>
                </c:pt>
                <c:pt idx="8">
                  <c:v>3.1832314562052488E-11</c:v>
                </c:pt>
                <c:pt idx="9">
                  <c:v>3.8994585338514298E-11</c:v>
                </c:pt>
                <c:pt idx="10">
                  <c:v>3.5072389437118545E-11</c:v>
                </c:pt>
                <c:pt idx="11">
                  <c:v>2.9672264645341784E-11</c:v>
                </c:pt>
                <c:pt idx="12">
                  <c:v>2.5693225325085223E-11</c:v>
                </c:pt>
                <c:pt idx="13">
                  <c:v>3.2287061912938952E-11</c:v>
                </c:pt>
                <c:pt idx="14">
                  <c:v>2.7853275241795927E-11</c:v>
                </c:pt>
                <c:pt idx="15">
                  <c:v>2.7853275241795927E-11</c:v>
                </c:pt>
                <c:pt idx="16">
                  <c:v>2.1657342585967854E-11</c:v>
                </c:pt>
                <c:pt idx="17">
                  <c:v>2.1145751816220582E-11</c:v>
                </c:pt>
                <c:pt idx="18">
                  <c:v>1.8019363778876141E-11</c:v>
                </c:pt>
                <c:pt idx="19">
                  <c:v>1.7621459846850485E-11</c:v>
                </c:pt>
                <c:pt idx="20">
                  <c:v>1.4949819160392508E-11</c:v>
                </c:pt>
                <c:pt idx="21">
                  <c:v>1.4949819160392508E-11</c:v>
                </c:pt>
                <c:pt idx="22">
                  <c:v>1.0402345651527867E-11</c:v>
                </c:pt>
                <c:pt idx="23">
                  <c:v>1.1311840353300795E-11</c:v>
                </c:pt>
                <c:pt idx="24">
                  <c:v>8.6401996668428183E-12</c:v>
                </c:pt>
                <c:pt idx="25">
                  <c:v>4.2064129956997931E-12</c:v>
                </c:pt>
                <c:pt idx="26">
                  <c:v>1.0402345651527867E-11</c:v>
                </c:pt>
                <c:pt idx="27">
                  <c:v>1.0402345651527867E-11</c:v>
                </c:pt>
                <c:pt idx="28">
                  <c:v>8.6401996668428183E-12</c:v>
                </c:pt>
                <c:pt idx="29">
                  <c:v>6.8780536821577698E-12</c:v>
                </c:pt>
                <c:pt idx="30">
                  <c:v>6.4801497501321137E-12</c:v>
                </c:pt>
                <c:pt idx="31">
                  <c:v>1.9610979506978765E-12</c:v>
                </c:pt>
                <c:pt idx="32">
                  <c:v>1.9610979506978765E-12</c:v>
                </c:pt>
                <c:pt idx="33">
                  <c:v>-2.5579538487363607E-13</c:v>
                </c:pt>
                <c:pt idx="34">
                  <c:v>1.0516032489249483E-12</c:v>
                </c:pt>
                <c:pt idx="35">
                  <c:v>1.0516032489249483E-12</c:v>
                </c:pt>
                <c:pt idx="36">
                  <c:v>-5.2011728257639334E-12</c:v>
                </c:pt>
                <c:pt idx="37">
                  <c:v>-5.2011728257639334E-12</c:v>
                </c:pt>
                <c:pt idx="38">
                  <c:v>4.2064129956997931E-12</c:v>
                </c:pt>
                <c:pt idx="39">
                  <c:v>1.3585577107733116E-11</c:v>
                </c:pt>
                <c:pt idx="40">
                  <c:v>1.3073986337985843E-11</c:v>
                </c:pt>
                <c:pt idx="41">
                  <c:v>7.73070496506989E-12</c:v>
                </c:pt>
                <c:pt idx="42">
                  <c:v>6.4801497501321137E-12</c:v>
                </c:pt>
                <c:pt idx="43">
                  <c:v>1.0913936421275139E-11</c:v>
                </c:pt>
                <c:pt idx="44">
                  <c:v>9.1517904365900904E-12</c:v>
                </c:pt>
                <c:pt idx="45">
                  <c:v>1.2676082405960187E-11</c:v>
                </c:pt>
                <c:pt idx="46">
                  <c:v>1.4949819160392508E-11</c:v>
                </c:pt>
                <c:pt idx="47">
                  <c:v>5.9685589803848416E-12</c:v>
                </c:pt>
                <c:pt idx="48">
                  <c:v>1.5347723092418164E-12</c:v>
                </c:pt>
                <c:pt idx="49">
                  <c:v>-2.5011104298755527E-12</c:v>
                </c:pt>
                <c:pt idx="50">
                  <c:v>-4.7464254748774692E-12</c:v>
                </c:pt>
                <c:pt idx="51">
                  <c:v>-5.6559201766503975E-12</c:v>
                </c:pt>
                <c:pt idx="52">
                  <c:v>-1.6484591469634324E-12</c:v>
                </c:pt>
                <c:pt idx="53">
                  <c:v>-5.2011728257639334E-12</c:v>
                </c:pt>
                <c:pt idx="54">
                  <c:v>-4.2632564145606011E-12</c:v>
                </c:pt>
                <c:pt idx="55">
                  <c:v>-7.9296569310827181E-12</c:v>
                </c:pt>
                <c:pt idx="56">
                  <c:v>-8.2991391536779702E-12</c:v>
                </c:pt>
                <c:pt idx="57">
                  <c:v>-1.1453948900452815E-11</c:v>
                </c:pt>
                <c:pt idx="58">
                  <c:v>-1.2363443602225743E-11</c:v>
                </c:pt>
                <c:pt idx="59">
                  <c:v>-1.3244516594568267E-11</c:v>
                </c:pt>
                <c:pt idx="60">
                  <c:v>-1.5006662579253316E-11</c:v>
                </c:pt>
                <c:pt idx="61">
                  <c:v>-1.6797230273368768E-11</c:v>
                </c:pt>
                <c:pt idx="62">
                  <c:v>-1.9014123608940281E-11</c:v>
                </c:pt>
                <c:pt idx="63">
                  <c:v>-1.9014123608940281E-11</c:v>
                </c:pt>
                <c:pt idx="64">
                  <c:v>-1.8189894035458565E-11</c:v>
                </c:pt>
                <c:pt idx="65">
                  <c:v>-9.6918029157677665E-12</c:v>
                </c:pt>
                <c:pt idx="66">
                  <c:v>-1.3699263945454732E-11</c:v>
                </c:pt>
                <c:pt idx="67">
                  <c:v>-1.4125589586910792E-11</c:v>
                </c:pt>
                <c:pt idx="68">
                  <c:v>-6.0822458181064576E-12</c:v>
                </c:pt>
                <c:pt idx="69">
                  <c:v>-1.2363443602225743E-11</c:v>
                </c:pt>
                <c:pt idx="70">
                  <c:v>-1.7280399333685637E-11</c:v>
                </c:pt>
                <c:pt idx="71">
                  <c:v>-2.0833113012486137E-11</c:v>
                </c:pt>
                <c:pt idx="72">
                  <c:v>-6.9633188104489818E-12</c:v>
                </c:pt>
                <c:pt idx="73">
                  <c:v>-6.9633188104489818E-12</c:v>
                </c:pt>
                <c:pt idx="74">
                  <c:v>-3.865352482534945E-12</c:v>
                </c:pt>
                <c:pt idx="75">
                  <c:v>-1.2363443602225743E-11</c:v>
                </c:pt>
                <c:pt idx="76">
                  <c:v>-1.4125589586910792E-11</c:v>
                </c:pt>
                <c:pt idx="77">
                  <c:v>-1.5944578990456648E-11</c:v>
                </c:pt>
                <c:pt idx="78">
                  <c:v>-1.9014123608940281E-11</c:v>
                </c:pt>
                <c:pt idx="79">
                  <c:v>-9.6918029157677665E-12</c:v>
                </c:pt>
                <c:pt idx="80">
                  <c:v>-7.4464878707658499E-12</c:v>
                </c:pt>
                <c:pt idx="81">
                  <c:v>-5.6559201766503975E-12</c:v>
                </c:pt>
                <c:pt idx="82">
                  <c:v>-1.3244516594568267E-11</c:v>
                </c:pt>
                <c:pt idx="83">
                  <c:v>-1.4580336937797256E-11</c:v>
                </c:pt>
                <c:pt idx="84">
                  <c:v>-1.1453948900452815E-11</c:v>
                </c:pt>
                <c:pt idx="85">
                  <c:v>-9.2086338554508984E-12</c:v>
                </c:pt>
                <c:pt idx="86">
                  <c:v>-7.3896444519050419E-13</c:v>
                </c:pt>
                <c:pt idx="87">
                  <c:v>6.4801497501321137E-12</c:v>
                </c:pt>
                <c:pt idx="88">
                  <c:v>-1.6484591469634324E-12</c:v>
                </c:pt>
                <c:pt idx="89">
                  <c:v>-4.7464254748774692E-12</c:v>
                </c:pt>
                <c:pt idx="90">
                  <c:v>-1.6484591469634324E-12</c:v>
                </c:pt>
                <c:pt idx="91">
                  <c:v>-6.0822458181064576E-12</c:v>
                </c:pt>
                <c:pt idx="92">
                  <c:v>1.5347723092418164E-12</c:v>
                </c:pt>
                <c:pt idx="93">
                  <c:v>1.0516032489249483E-12</c:v>
                </c:pt>
                <c:pt idx="94">
                  <c:v>-3.865352482534945E-12</c:v>
                </c:pt>
                <c:pt idx="95">
                  <c:v>-3.865352482534945E-12</c:v>
                </c:pt>
                <c:pt idx="96">
                  <c:v>-3.865352482534945E-12</c:v>
                </c:pt>
                <c:pt idx="97">
                  <c:v>-1.0516032489249483E-11</c:v>
                </c:pt>
                <c:pt idx="98">
                  <c:v>-1.1453948900452815E-11</c:v>
                </c:pt>
                <c:pt idx="99">
                  <c:v>-8.2991391536779702E-12</c:v>
                </c:pt>
                <c:pt idx="100">
                  <c:v>-9.6918029157677665E-12</c:v>
                </c:pt>
                <c:pt idx="101">
                  <c:v>-6.5369931689929217E-12</c:v>
                </c:pt>
                <c:pt idx="102">
                  <c:v>5.9685589803848416E-12</c:v>
                </c:pt>
                <c:pt idx="103">
                  <c:v>6.8780536821577698E-12</c:v>
                </c:pt>
                <c:pt idx="104">
                  <c:v>3.2969182939268649E-12</c:v>
                </c:pt>
                <c:pt idx="105">
                  <c:v>1.0516032489249483E-12</c:v>
                </c:pt>
                <c:pt idx="106">
                  <c:v>5.6843418860808015E-13</c:v>
                </c:pt>
                <c:pt idx="107">
                  <c:v>-8.2991391536779702E-12</c:v>
                </c:pt>
                <c:pt idx="108">
                  <c:v>-1.0516032489249483E-11</c:v>
                </c:pt>
                <c:pt idx="109">
                  <c:v>-9.6918029157677665E-12</c:v>
                </c:pt>
                <c:pt idx="110">
                  <c:v>-1.3244516594568267E-11</c:v>
                </c:pt>
                <c:pt idx="111">
                  <c:v>-1.0516032489249483E-11</c:v>
                </c:pt>
                <c:pt idx="112">
                  <c:v>-7.4464878707658499E-12</c:v>
                </c:pt>
                <c:pt idx="113">
                  <c:v>-1.5944578990456648E-11</c:v>
                </c:pt>
                <c:pt idx="114">
                  <c:v>-1.5006662579253316E-11</c:v>
                </c:pt>
                <c:pt idx="115">
                  <c:v>-1.8189894035458565E-11</c:v>
                </c:pt>
                <c:pt idx="116">
                  <c:v>-1.8616219676914625E-11</c:v>
                </c:pt>
                <c:pt idx="117">
                  <c:v>-2.305000634805765E-11</c:v>
                </c:pt>
                <c:pt idx="118">
                  <c:v>-2.3987922759260982E-11</c:v>
                </c:pt>
                <c:pt idx="119">
                  <c:v>-2.4414248400717042E-11</c:v>
                </c:pt>
                <c:pt idx="120">
                  <c:v>-2.262368070660159E-11</c:v>
                </c:pt>
                <c:pt idx="121">
                  <c:v>-1.8189894035458565E-11</c:v>
                </c:pt>
                <c:pt idx="122">
                  <c:v>-1.2363443602225743E-11</c:v>
                </c:pt>
                <c:pt idx="123">
                  <c:v>-1.0516032489249483E-11</c:v>
                </c:pt>
                <c:pt idx="124">
                  <c:v>-6.0822458181064576E-12</c:v>
                </c:pt>
                <c:pt idx="125">
                  <c:v>-1.0146550266654231E-11</c:v>
                </c:pt>
                <c:pt idx="126">
                  <c:v>-5.6559201766503975E-12</c:v>
                </c:pt>
                <c:pt idx="127">
                  <c:v>-3.4390268410788849E-12</c:v>
                </c:pt>
                <c:pt idx="128">
                  <c:v>-4.7464254748774692E-12</c:v>
                </c:pt>
                <c:pt idx="129">
                  <c:v>4.6043169277254492E-12</c:v>
                </c:pt>
                <c:pt idx="130">
                  <c:v>-1.1652900866465643E-12</c:v>
                </c:pt>
                <c:pt idx="131">
                  <c:v>0</c:v>
                </c:pt>
                <c:pt idx="132">
                  <c:v>-7.3896444519050419E-13</c:v>
                </c:pt>
                <c:pt idx="133">
                  <c:v>1.5347723092418164E-12</c:v>
                </c:pt>
                <c:pt idx="134">
                  <c:v>4.6043169277254492E-12</c:v>
                </c:pt>
                <c:pt idx="135">
                  <c:v>6.4801497501321137E-12</c:v>
                </c:pt>
                <c:pt idx="136">
                  <c:v>-7.4464878707658499E-12</c:v>
                </c:pt>
                <c:pt idx="137">
                  <c:v>-1.0516032489249483E-11</c:v>
                </c:pt>
                <c:pt idx="138">
                  <c:v>-9.2086338554508984E-12</c:v>
                </c:pt>
                <c:pt idx="139">
                  <c:v>-1.3244516594568267E-11</c:v>
                </c:pt>
                <c:pt idx="140">
                  <c:v>-1.5944578990456648E-11</c:v>
                </c:pt>
                <c:pt idx="141">
                  <c:v>-1.0999201549566351E-11</c:v>
                </c:pt>
                <c:pt idx="142">
                  <c:v>-4.7464254748774692E-12</c:v>
                </c:pt>
                <c:pt idx="143">
                  <c:v>-9.6918029157677665E-12</c:v>
                </c:pt>
                <c:pt idx="144">
                  <c:v>-5.2011728257639334E-12</c:v>
                </c:pt>
                <c:pt idx="145">
                  <c:v>-9.2086338554508984E-12</c:v>
                </c:pt>
                <c:pt idx="146">
                  <c:v>-1.2789769243681803E-11</c:v>
                </c:pt>
                <c:pt idx="147">
                  <c:v>-3.4390268410788849E-12</c:v>
                </c:pt>
                <c:pt idx="148">
                  <c:v>-1.1652900866465643E-12</c:v>
                </c:pt>
                <c:pt idx="149">
                  <c:v>-4.7464254748774692E-12</c:v>
                </c:pt>
                <c:pt idx="150">
                  <c:v>-2.5011104298755527E-12</c:v>
                </c:pt>
                <c:pt idx="151">
                  <c:v>-4.7464254748774692E-12</c:v>
                </c:pt>
                <c:pt idx="152">
                  <c:v>-7.4464878707658499E-12</c:v>
                </c:pt>
                <c:pt idx="153">
                  <c:v>-8.2991391536779702E-12</c:v>
                </c:pt>
                <c:pt idx="154">
                  <c:v>-1.3244516594568267E-11</c:v>
                </c:pt>
                <c:pt idx="155">
                  <c:v>-5.2011728257639334E-12</c:v>
                </c:pt>
                <c:pt idx="156">
                  <c:v>-4.7464254748774692E-12</c:v>
                </c:pt>
                <c:pt idx="157">
                  <c:v>8.6401996668428183E-12</c:v>
                </c:pt>
                <c:pt idx="158">
                  <c:v>-7.3896444519050419E-13</c:v>
                </c:pt>
                <c:pt idx="159">
                  <c:v>-5.2011728257639334E-12</c:v>
                </c:pt>
                <c:pt idx="160">
                  <c:v>-7.4464878707658499E-12</c:v>
                </c:pt>
                <c:pt idx="161">
                  <c:v>-7.3896444519050419E-13</c:v>
                </c:pt>
                <c:pt idx="162">
                  <c:v>-2.5579538487363607E-13</c:v>
                </c:pt>
                <c:pt idx="163">
                  <c:v>-7.3896444519050419E-13</c:v>
                </c:pt>
                <c:pt idx="164">
                  <c:v>-7.4464878707658499E-12</c:v>
                </c:pt>
                <c:pt idx="165">
                  <c:v>5.1159076974727213E-12</c:v>
                </c:pt>
                <c:pt idx="166">
                  <c:v>1.5347723092418164E-12</c:v>
                </c:pt>
                <c:pt idx="167">
                  <c:v>-7.4464878707658499E-12</c:v>
                </c:pt>
                <c:pt idx="168">
                  <c:v>-1.6797230273368768E-11</c:v>
                </c:pt>
                <c:pt idx="169">
                  <c:v>-1.4125589586910792E-11</c:v>
                </c:pt>
                <c:pt idx="170">
                  <c:v>-1.1908696251339279E-11</c:v>
                </c:pt>
                <c:pt idx="171">
                  <c:v>-1.0146550266654231E-11</c:v>
                </c:pt>
                <c:pt idx="172">
                  <c:v>-6.9633188104489818E-12</c:v>
                </c:pt>
                <c:pt idx="173">
                  <c:v>1.0516032489249483E-12</c:v>
                </c:pt>
                <c:pt idx="174">
                  <c:v>-5.6559201766503975E-12</c:v>
                </c:pt>
                <c:pt idx="175">
                  <c:v>-6.0822458181064576E-12</c:v>
                </c:pt>
                <c:pt idx="176">
                  <c:v>-9.2086338554508984E-12</c:v>
                </c:pt>
                <c:pt idx="177">
                  <c:v>-8.7538865045644343E-12</c:v>
                </c:pt>
                <c:pt idx="178">
                  <c:v>-6.0822458181064576E-12</c:v>
                </c:pt>
                <c:pt idx="179">
                  <c:v>-2.5011104298755527E-12</c:v>
                </c:pt>
                <c:pt idx="180">
                  <c:v>-2.9558577807620168E-12</c:v>
                </c:pt>
                <c:pt idx="181">
                  <c:v>-7.3896444519050419E-13</c:v>
                </c:pt>
                <c:pt idx="182">
                  <c:v>-2.9558577807620168E-12</c:v>
                </c:pt>
                <c:pt idx="183">
                  <c:v>-4.7464254748774692E-12</c:v>
                </c:pt>
                <c:pt idx="184">
                  <c:v>-6.0822458181064576E-12</c:v>
                </c:pt>
                <c:pt idx="185">
                  <c:v>-2.5011104298755527E-12</c:v>
                </c:pt>
                <c:pt idx="186">
                  <c:v>-6.0822458181064576E-12</c:v>
                </c:pt>
                <c:pt idx="187">
                  <c:v>-6.9633188104489818E-12</c:v>
                </c:pt>
                <c:pt idx="188">
                  <c:v>-4.7464254748774692E-12</c:v>
                </c:pt>
                <c:pt idx="189">
                  <c:v>-6.0822458181064576E-12</c:v>
                </c:pt>
                <c:pt idx="190">
                  <c:v>-6.5369931689929217E-12</c:v>
                </c:pt>
                <c:pt idx="191">
                  <c:v>-5.6559201766503975E-12</c:v>
                </c:pt>
                <c:pt idx="192">
                  <c:v>-2.5011104298755527E-12</c:v>
                </c:pt>
                <c:pt idx="193">
                  <c:v>-2.5579538487363607E-13</c:v>
                </c:pt>
                <c:pt idx="194">
                  <c:v>6.8780536821577698E-12</c:v>
                </c:pt>
                <c:pt idx="195">
                  <c:v>5.6843418860808015E-13</c:v>
                </c:pt>
                <c:pt idx="196">
                  <c:v>-6.9633188104489818E-12</c:v>
                </c:pt>
                <c:pt idx="197">
                  <c:v>-2.5011104298755527E-12</c:v>
                </c:pt>
                <c:pt idx="198">
                  <c:v>-2.5579538487363607E-13</c:v>
                </c:pt>
                <c:pt idx="199">
                  <c:v>-2.5011104298755527E-12</c:v>
                </c:pt>
                <c:pt idx="200">
                  <c:v>5.9685589803848416E-12</c:v>
                </c:pt>
                <c:pt idx="201">
                  <c:v>2.3305801732931286E-12</c:v>
                </c:pt>
                <c:pt idx="202">
                  <c:v>1.0913936421275139E-11</c:v>
                </c:pt>
                <c:pt idx="203">
                  <c:v>1.4949819160392508E-11</c:v>
                </c:pt>
                <c:pt idx="204">
                  <c:v>1.0913936421275139E-11</c:v>
                </c:pt>
                <c:pt idx="205">
                  <c:v>1.6257217794191092E-11</c:v>
                </c:pt>
                <c:pt idx="206">
                  <c:v>2.2566837287740782E-11</c:v>
                </c:pt>
                <c:pt idx="207">
                  <c:v>1.4438228390645236E-11</c:v>
                </c:pt>
                <c:pt idx="208">
                  <c:v>4.6043169277254492E-12</c:v>
                </c:pt>
                <c:pt idx="209">
                  <c:v>5.5706550483591855E-12</c:v>
                </c:pt>
                <c:pt idx="210">
                  <c:v>1.2676082405960187E-11</c:v>
                </c:pt>
                <c:pt idx="211">
                  <c:v>1.3585577107733116E-11</c:v>
                </c:pt>
                <c:pt idx="212">
                  <c:v>1.4438228390645236E-11</c:v>
                </c:pt>
                <c:pt idx="213">
                  <c:v>1.8530954548623413E-11</c:v>
                </c:pt>
                <c:pt idx="214">
                  <c:v>2.3305801732931286E-12</c:v>
                </c:pt>
                <c:pt idx="215">
                  <c:v>3.694822225952521E-12</c:v>
                </c:pt>
                <c:pt idx="216">
                  <c:v>6.4801497501321137E-12</c:v>
                </c:pt>
                <c:pt idx="217">
                  <c:v>8.2422957348171622E-12</c:v>
                </c:pt>
                <c:pt idx="218">
                  <c:v>8.2422957348171622E-12</c:v>
                </c:pt>
                <c:pt idx="219">
                  <c:v>1.3073986337985843E-11</c:v>
                </c:pt>
                <c:pt idx="220">
                  <c:v>1.3585577107733116E-11</c:v>
                </c:pt>
                <c:pt idx="221">
                  <c:v>1.3073986337985843E-11</c:v>
                </c:pt>
                <c:pt idx="222">
                  <c:v>8.6401996668428183E-12</c:v>
                </c:pt>
                <c:pt idx="223">
                  <c:v>7.73070496506989E-12</c:v>
                </c:pt>
                <c:pt idx="224">
                  <c:v>1.5347723092418164E-12</c:v>
                </c:pt>
                <c:pt idx="225">
                  <c:v>-2.5579538487363607E-13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B-4DCD-863C-6B9A76C9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80591"/>
        <c:axId val="2117272911"/>
      </c:scatterChart>
      <c:valAx>
        <c:axId val="21172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2911"/>
        <c:crosses val="autoZero"/>
        <c:crossBetween val="midCat"/>
      </c:valAx>
      <c:valAx>
        <c:axId val="21172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Gym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Log'!$P$2:$P$227</c:f>
              <c:numCache>
                <c:formatCode>General</c:formatCode>
                <c:ptCount val="22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xVal>
          <c:yVal>
            <c:numRef>
              <c:f>Residuals!$AO$2:$AO$227</c:f>
              <c:numCache>
                <c:formatCode>0.00</c:formatCode>
                <c:ptCount val="226"/>
                <c:pt idx="0">
                  <c:v>20.132203389830494</c:v>
                </c:pt>
                <c:pt idx="1">
                  <c:v>16.332203389830482</c:v>
                </c:pt>
                <c:pt idx="2">
                  <c:v>17.070370370370028</c:v>
                </c:pt>
                <c:pt idx="3">
                  <c:v>17.332203389830482</c:v>
                </c:pt>
                <c:pt idx="4">
                  <c:v>14.132203389830494</c:v>
                </c:pt>
                <c:pt idx="5">
                  <c:v>13.132203389830494</c:v>
                </c:pt>
                <c:pt idx="6">
                  <c:v>13.332203389830482</c:v>
                </c:pt>
                <c:pt idx="7">
                  <c:v>14.070370370370028</c:v>
                </c:pt>
                <c:pt idx="8">
                  <c:v>13.932203389830448</c:v>
                </c:pt>
                <c:pt idx="9">
                  <c:v>17.132203389830494</c:v>
                </c:pt>
                <c:pt idx="10">
                  <c:v>15.332203389830482</c:v>
                </c:pt>
                <c:pt idx="11">
                  <c:v>12.932203389830448</c:v>
                </c:pt>
                <c:pt idx="12">
                  <c:v>11.132203389830494</c:v>
                </c:pt>
                <c:pt idx="13">
                  <c:v>14.132203389830494</c:v>
                </c:pt>
                <c:pt idx="14">
                  <c:v>12.87037037037004</c:v>
                </c:pt>
                <c:pt idx="15">
                  <c:v>12.132203389830494</c:v>
                </c:pt>
                <c:pt idx="16">
                  <c:v>9.3322033898304824</c:v>
                </c:pt>
                <c:pt idx="17">
                  <c:v>9.1322033898304937</c:v>
                </c:pt>
                <c:pt idx="18">
                  <c:v>7.7322033898304596</c:v>
                </c:pt>
                <c:pt idx="19">
                  <c:v>7.532203389830471</c:v>
                </c:pt>
                <c:pt idx="20">
                  <c:v>6.3322033898304824</c:v>
                </c:pt>
                <c:pt idx="21">
                  <c:v>6.3322033898304824</c:v>
                </c:pt>
                <c:pt idx="22">
                  <c:v>4.3322033898304824</c:v>
                </c:pt>
                <c:pt idx="23">
                  <c:v>4.7322033898304596</c:v>
                </c:pt>
                <c:pt idx="24">
                  <c:v>4.2703703703700171</c:v>
                </c:pt>
                <c:pt idx="25">
                  <c:v>1.532203389830471</c:v>
                </c:pt>
                <c:pt idx="26">
                  <c:v>4.3322033898304824</c:v>
                </c:pt>
                <c:pt idx="27">
                  <c:v>4.3322033898304824</c:v>
                </c:pt>
                <c:pt idx="28">
                  <c:v>4.2703703703700171</c:v>
                </c:pt>
                <c:pt idx="29">
                  <c:v>2.7322033898304596</c:v>
                </c:pt>
                <c:pt idx="30">
                  <c:v>2.532203389830471</c:v>
                </c:pt>
                <c:pt idx="31">
                  <c:v>0.532203389830471</c:v>
                </c:pt>
                <c:pt idx="32">
                  <c:v>0.532203389830471</c:v>
                </c:pt>
                <c:pt idx="33">
                  <c:v>-0.467796610169529</c:v>
                </c:pt>
                <c:pt idx="34">
                  <c:v>0.13220338983046531</c:v>
                </c:pt>
                <c:pt idx="35">
                  <c:v>0.13220338983046531</c:v>
                </c:pt>
                <c:pt idx="36">
                  <c:v>-2.6677966101695176</c:v>
                </c:pt>
                <c:pt idx="37">
                  <c:v>-2.6677966101695176</c:v>
                </c:pt>
                <c:pt idx="38">
                  <c:v>2.2703703703700171</c:v>
                </c:pt>
                <c:pt idx="39">
                  <c:v>6.4703703703700057</c:v>
                </c:pt>
                <c:pt idx="40">
                  <c:v>6.2703703703700171</c:v>
                </c:pt>
                <c:pt idx="41">
                  <c:v>3.1322033898304937</c:v>
                </c:pt>
                <c:pt idx="42">
                  <c:v>3.2703703703700171</c:v>
                </c:pt>
                <c:pt idx="43">
                  <c:v>5.2703703703700171</c:v>
                </c:pt>
                <c:pt idx="44">
                  <c:v>4.4703703703700057</c:v>
                </c:pt>
                <c:pt idx="45">
                  <c:v>6.0703703703700285</c:v>
                </c:pt>
                <c:pt idx="46">
                  <c:v>6.3322033898304824</c:v>
                </c:pt>
                <c:pt idx="47">
                  <c:v>2.3322033898304824</c:v>
                </c:pt>
                <c:pt idx="48">
                  <c:v>0.33220338983048237</c:v>
                </c:pt>
                <c:pt idx="49">
                  <c:v>-1.467796610169529</c:v>
                </c:pt>
                <c:pt idx="50">
                  <c:v>-2.467796610169529</c:v>
                </c:pt>
                <c:pt idx="51">
                  <c:v>-2.8677966101695347</c:v>
                </c:pt>
                <c:pt idx="52">
                  <c:v>-1.0677966101695233</c:v>
                </c:pt>
                <c:pt idx="53">
                  <c:v>-2.6677966101695176</c:v>
                </c:pt>
                <c:pt idx="54">
                  <c:v>-2.2677966101695404</c:v>
                </c:pt>
                <c:pt idx="55">
                  <c:v>-3.8677966101695347</c:v>
                </c:pt>
                <c:pt idx="56">
                  <c:v>-4.0677966101695233</c:v>
                </c:pt>
                <c:pt idx="57">
                  <c:v>-5.467796610169529</c:v>
                </c:pt>
                <c:pt idx="58">
                  <c:v>-5.8677966101695347</c:v>
                </c:pt>
                <c:pt idx="59">
                  <c:v>-6.2677966101695404</c:v>
                </c:pt>
                <c:pt idx="60">
                  <c:v>-7.0677966101695233</c:v>
                </c:pt>
                <c:pt idx="61">
                  <c:v>-7.8677966101695347</c:v>
                </c:pt>
                <c:pt idx="62">
                  <c:v>-8.8677966101695347</c:v>
                </c:pt>
                <c:pt idx="63">
                  <c:v>-8.8677966101695347</c:v>
                </c:pt>
                <c:pt idx="64">
                  <c:v>-7.7296296296299829</c:v>
                </c:pt>
                <c:pt idx="65">
                  <c:v>-4.6677966101695176</c:v>
                </c:pt>
                <c:pt idx="66">
                  <c:v>-6.467796610169529</c:v>
                </c:pt>
                <c:pt idx="67">
                  <c:v>-6.6677966101695176</c:v>
                </c:pt>
                <c:pt idx="68">
                  <c:v>-3.0677966101695233</c:v>
                </c:pt>
                <c:pt idx="69">
                  <c:v>-5.8677966101695347</c:v>
                </c:pt>
                <c:pt idx="70">
                  <c:v>-8.0677966101695233</c:v>
                </c:pt>
                <c:pt idx="71">
                  <c:v>-8.9296296296299715</c:v>
                </c:pt>
                <c:pt idx="72">
                  <c:v>-2.7296296296299829</c:v>
                </c:pt>
                <c:pt idx="73">
                  <c:v>-2.7296296296299829</c:v>
                </c:pt>
                <c:pt idx="74">
                  <c:v>-2.0677966101695233</c:v>
                </c:pt>
                <c:pt idx="75">
                  <c:v>-5.8677966101695347</c:v>
                </c:pt>
                <c:pt idx="76">
                  <c:v>-6.6677966101695176</c:v>
                </c:pt>
                <c:pt idx="77">
                  <c:v>-7.467796610169529</c:v>
                </c:pt>
                <c:pt idx="78">
                  <c:v>-8.8677966101695347</c:v>
                </c:pt>
                <c:pt idx="79">
                  <c:v>-3.9296296296299715</c:v>
                </c:pt>
                <c:pt idx="80">
                  <c:v>-3.6677966101695176</c:v>
                </c:pt>
                <c:pt idx="81">
                  <c:v>-2.8677966101695347</c:v>
                </c:pt>
                <c:pt idx="82">
                  <c:v>-6.2677966101695404</c:v>
                </c:pt>
                <c:pt idx="83">
                  <c:v>-6.1296296296299886</c:v>
                </c:pt>
                <c:pt idx="84">
                  <c:v>-5.467796610169529</c:v>
                </c:pt>
                <c:pt idx="85">
                  <c:v>-3.7296296296299829</c:v>
                </c:pt>
                <c:pt idx="86">
                  <c:v>7.0370370370028468E-2</c:v>
                </c:pt>
                <c:pt idx="87">
                  <c:v>3.2703703703700171</c:v>
                </c:pt>
                <c:pt idx="88">
                  <c:v>-1.0677966101695233</c:v>
                </c:pt>
                <c:pt idx="89">
                  <c:v>-2.467796610169529</c:v>
                </c:pt>
                <c:pt idx="90">
                  <c:v>-1.0677966101695233</c:v>
                </c:pt>
                <c:pt idx="91">
                  <c:v>-2.3296296296299772</c:v>
                </c:pt>
                <c:pt idx="92">
                  <c:v>1.0703703703700285</c:v>
                </c:pt>
                <c:pt idx="93">
                  <c:v>0.13220338983046531</c:v>
                </c:pt>
                <c:pt idx="94">
                  <c:v>-2.0677966101695233</c:v>
                </c:pt>
                <c:pt idx="95">
                  <c:v>-2.0677966101695233</c:v>
                </c:pt>
                <c:pt idx="96">
                  <c:v>-2.0677966101695233</c:v>
                </c:pt>
                <c:pt idx="97">
                  <c:v>-5.0677966101695233</c:v>
                </c:pt>
                <c:pt idx="98">
                  <c:v>-4.7296296296299829</c:v>
                </c:pt>
                <c:pt idx="99">
                  <c:v>-3.3296296296299772</c:v>
                </c:pt>
                <c:pt idx="100">
                  <c:v>-3.9296296296299715</c:v>
                </c:pt>
                <c:pt idx="101">
                  <c:v>-2.5296296296299943</c:v>
                </c:pt>
                <c:pt idx="102">
                  <c:v>2.3322033898304824</c:v>
                </c:pt>
                <c:pt idx="103">
                  <c:v>3.4703703703700057</c:v>
                </c:pt>
                <c:pt idx="104">
                  <c:v>1.1322033898304937</c:v>
                </c:pt>
                <c:pt idx="105">
                  <c:v>0.87037037037001141</c:v>
                </c:pt>
                <c:pt idx="106">
                  <c:v>-6.7796610169523319E-2</c:v>
                </c:pt>
                <c:pt idx="107">
                  <c:v>-4.0677966101695233</c:v>
                </c:pt>
                <c:pt idx="108">
                  <c:v>-5.0677966101695233</c:v>
                </c:pt>
                <c:pt idx="109">
                  <c:v>-3.9296296296299715</c:v>
                </c:pt>
                <c:pt idx="110">
                  <c:v>-6.2677966101695404</c:v>
                </c:pt>
                <c:pt idx="111">
                  <c:v>-4.3296296296299772</c:v>
                </c:pt>
                <c:pt idx="112">
                  <c:v>-3.6677966101695176</c:v>
                </c:pt>
                <c:pt idx="113">
                  <c:v>-7.467796610169529</c:v>
                </c:pt>
                <c:pt idx="114">
                  <c:v>-7.0677966101695233</c:v>
                </c:pt>
                <c:pt idx="115">
                  <c:v>-8.467796610169529</c:v>
                </c:pt>
                <c:pt idx="116">
                  <c:v>-8.6677966101695176</c:v>
                </c:pt>
                <c:pt idx="117">
                  <c:v>-10.667796610169518</c:v>
                </c:pt>
                <c:pt idx="118">
                  <c:v>-11.067796610169523</c:v>
                </c:pt>
                <c:pt idx="119">
                  <c:v>-11.26779661016954</c:v>
                </c:pt>
                <c:pt idx="120">
                  <c:v>-9.7296296296299829</c:v>
                </c:pt>
                <c:pt idx="121">
                  <c:v>-7.7296296296299829</c:v>
                </c:pt>
                <c:pt idx="122">
                  <c:v>-5.1296296296299886</c:v>
                </c:pt>
                <c:pt idx="123">
                  <c:v>-4.3296296296299772</c:v>
                </c:pt>
                <c:pt idx="124">
                  <c:v>-2.3296296296299772</c:v>
                </c:pt>
                <c:pt idx="125">
                  <c:v>-4.1296296296299886</c:v>
                </c:pt>
                <c:pt idx="126">
                  <c:v>-2.1296296296299886</c:v>
                </c:pt>
                <c:pt idx="127">
                  <c:v>-1.1296296296299886</c:v>
                </c:pt>
                <c:pt idx="128">
                  <c:v>-1.7296296296299829</c:v>
                </c:pt>
                <c:pt idx="129">
                  <c:v>2.4703703703700057</c:v>
                </c:pt>
                <c:pt idx="130">
                  <c:v>-0.12962962962998859</c:v>
                </c:pt>
                <c:pt idx="131">
                  <c:v>0.47037037037000573</c:v>
                </c:pt>
                <c:pt idx="132">
                  <c:v>7.0370370370028468E-2</c:v>
                </c:pt>
                <c:pt idx="133">
                  <c:v>1.0703703703700285</c:v>
                </c:pt>
                <c:pt idx="134">
                  <c:v>2.4703703703700057</c:v>
                </c:pt>
                <c:pt idx="135">
                  <c:v>2.532203389830471</c:v>
                </c:pt>
                <c:pt idx="136">
                  <c:v>-2.9296296296299715</c:v>
                </c:pt>
                <c:pt idx="137">
                  <c:v>-4.3296296296299772</c:v>
                </c:pt>
                <c:pt idx="138">
                  <c:v>-3.7296296296299829</c:v>
                </c:pt>
                <c:pt idx="139">
                  <c:v>-5.5296296296299943</c:v>
                </c:pt>
                <c:pt idx="140">
                  <c:v>-7.467796610169529</c:v>
                </c:pt>
                <c:pt idx="141">
                  <c:v>-4.5296296296299943</c:v>
                </c:pt>
                <c:pt idx="142">
                  <c:v>-2.467796610169529</c:v>
                </c:pt>
                <c:pt idx="143">
                  <c:v>-4.6677966101695176</c:v>
                </c:pt>
                <c:pt idx="144">
                  <c:v>-2.6677966101695176</c:v>
                </c:pt>
                <c:pt idx="145">
                  <c:v>-3.7296296296299829</c:v>
                </c:pt>
                <c:pt idx="146">
                  <c:v>-6.0677966101695233</c:v>
                </c:pt>
                <c:pt idx="147">
                  <c:v>-1.1296296296299886</c:v>
                </c:pt>
                <c:pt idx="148">
                  <c:v>-0.12962962962998859</c:v>
                </c:pt>
                <c:pt idx="149">
                  <c:v>-2.467796610169529</c:v>
                </c:pt>
                <c:pt idx="150">
                  <c:v>-0.7296296296299829</c:v>
                </c:pt>
                <c:pt idx="151">
                  <c:v>-1.7296296296299829</c:v>
                </c:pt>
                <c:pt idx="152">
                  <c:v>-2.9296296296299715</c:v>
                </c:pt>
                <c:pt idx="153">
                  <c:v>-3.3296296296299772</c:v>
                </c:pt>
                <c:pt idx="154">
                  <c:v>-5.5296296296299943</c:v>
                </c:pt>
                <c:pt idx="155">
                  <c:v>-1.9296296296299715</c:v>
                </c:pt>
                <c:pt idx="156">
                  <c:v>-1.7296296296299829</c:v>
                </c:pt>
                <c:pt idx="157">
                  <c:v>4.2703703703700171</c:v>
                </c:pt>
                <c:pt idx="158">
                  <c:v>7.0370370370028468E-2</c:v>
                </c:pt>
                <c:pt idx="159">
                  <c:v>-2.6677966101695176</c:v>
                </c:pt>
                <c:pt idx="160">
                  <c:v>-2.9296296296299715</c:v>
                </c:pt>
                <c:pt idx="161">
                  <c:v>7.0370370370028468E-2</c:v>
                </c:pt>
                <c:pt idx="162">
                  <c:v>0.2703703703700171</c:v>
                </c:pt>
                <c:pt idx="163">
                  <c:v>-0.66779661016951763</c:v>
                </c:pt>
                <c:pt idx="164">
                  <c:v>-2.9296296296299715</c:v>
                </c:pt>
                <c:pt idx="165">
                  <c:v>2.6703703703699944</c:v>
                </c:pt>
                <c:pt idx="166">
                  <c:v>1.0703703703700285</c:v>
                </c:pt>
                <c:pt idx="167">
                  <c:v>-2.9296296296299715</c:v>
                </c:pt>
                <c:pt idx="168">
                  <c:v>-7.1296296296299886</c:v>
                </c:pt>
                <c:pt idx="169">
                  <c:v>-5.9296296296299715</c:v>
                </c:pt>
                <c:pt idx="170">
                  <c:v>-4.9296296296299715</c:v>
                </c:pt>
                <c:pt idx="171">
                  <c:v>-4.1296296296299886</c:v>
                </c:pt>
                <c:pt idx="172">
                  <c:v>-2.7296296296299829</c:v>
                </c:pt>
                <c:pt idx="173">
                  <c:v>0.87037037037001141</c:v>
                </c:pt>
                <c:pt idx="174">
                  <c:v>-2.1296296296299886</c:v>
                </c:pt>
                <c:pt idx="175">
                  <c:v>-3.0677966101695233</c:v>
                </c:pt>
                <c:pt idx="176">
                  <c:v>-4.467796610169529</c:v>
                </c:pt>
                <c:pt idx="177">
                  <c:v>-4.2677966101695404</c:v>
                </c:pt>
                <c:pt idx="178">
                  <c:v>-2.3296296296299772</c:v>
                </c:pt>
                <c:pt idx="179">
                  <c:v>-1.467796610169529</c:v>
                </c:pt>
                <c:pt idx="180">
                  <c:v>-0.92962962962997153</c:v>
                </c:pt>
                <c:pt idx="181">
                  <c:v>-0.66779661016951763</c:v>
                </c:pt>
                <c:pt idx="182">
                  <c:v>-1.6677966101695176</c:v>
                </c:pt>
                <c:pt idx="183">
                  <c:v>-2.467796610169529</c:v>
                </c:pt>
                <c:pt idx="184">
                  <c:v>-3.0677966101695233</c:v>
                </c:pt>
                <c:pt idx="185">
                  <c:v>-1.467796610169529</c:v>
                </c:pt>
                <c:pt idx="186">
                  <c:v>-2.3296296296299772</c:v>
                </c:pt>
                <c:pt idx="187">
                  <c:v>-2.7296296296299829</c:v>
                </c:pt>
                <c:pt idx="188">
                  <c:v>-1.7296296296299829</c:v>
                </c:pt>
                <c:pt idx="189">
                  <c:v>-2.3296296296299772</c:v>
                </c:pt>
                <c:pt idx="190">
                  <c:v>-2.5296296296299943</c:v>
                </c:pt>
                <c:pt idx="191">
                  <c:v>-2.1296296296299886</c:v>
                </c:pt>
                <c:pt idx="192">
                  <c:v>-0.7296296296299829</c:v>
                </c:pt>
                <c:pt idx="193">
                  <c:v>0.2703703703700171</c:v>
                </c:pt>
                <c:pt idx="194">
                  <c:v>3.4703703703700057</c:v>
                </c:pt>
                <c:pt idx="195">
                  <c:v>-6.7796610169523319E-2</c:v>
                </c:pt>
                <c:pt idx="196">
                  <c:v>-2.7296296296299829</c:v>
                </c:pt>
                <c:pt idx="197">
                  <c:v>-0.7296296296299829</c:v>
                </c:pt>
                <c:pt idx="198">
                  <c:v>0.2703703703700171</c:v>
                </c:pt>
                <c:pt idx="199">
                  <c:v>-0.7296296296299829</c:v>
                </c:pt>
                <c:pt idx="200">
                  <c:v>3.0703703703700285</c:v>
                </c:pt>
                <c:pt idx="201">
                  <c:v>1.4703703703700057</c:v>
                </c:pt>
                <c:pt idx="202">
                  <c:v>5.2703703703700171</c:v>
                </c:pt>
                <c:pt idx="203">
                  <c:v>7.0703703703700285</c:v>
                </c:pt>
                <c:pt idx="204">
                  <c:v>4.532203389830471</c:v>
                </c:pt>
                <c:pt idx="205">
                  <c:v>7.6703703703699944</c:v>
                </c:pt>
                <c:pt idx="206">
                  <c:v>10.470370370370006</c:v>
                </c:pt>
                <c:pt idx="207">
                  <c:v>6.1322033898304937</c:v>
                </c:pt>
                <c:pt idx="208">
                  <c:v>1.7322033898304596</c:v>
                </c:pt>
                <c:pt idx="209">
                  <c:v>2.8703703703700398</c:v>
                </c:pt>
                <c:pt idx="210">
                  <c:v>6.0703703703700285</c:v>
                </c:pt>
                <c:pt idx="211">
                  <c:v>6.4703703703700057</c:v>
                </c:pt>
                <c:pt idx="212">
                  <c:v>6.8703703703700398</c:v>
                </c:pt>
                <c:pt idx="213">
                  <c:v>7.9322033898304483</c:v>
                </c:pt>
                <c:pt idx="214">
                  <c:v>1.4703703703700057</c:v>
                </c:pt>
                <c:pt idx="215">
                  <c:v>1.3322033898304824</c:v>
                </c:pt>
                <c:pt idx="216">
                  <c:v>2.532203389830471</c:v>
                </c:pt>
                <c:pt idx="217">
                  <c:v>4.0703703703700285</c:v>
                </c:pt>
                <c:pt idx="218">
                  <c:v>4.0703703703700285</c:v>
                </c:pt>
                <c:pt idx="219">
                  <c:v>6.2703703703700171</c:v>
                </c:pt>
                <c:pt idx="220">
                  <c:v>6.4703703703700057</c:v>
                </c:pt>
                <c:pt idx="221">
                  <c:v>6.2703703703700171</c:v>
                </c:pt>
                <c:pt idx="222">
                  <c:v>3.532203389830471</c:v>
                </c:pt>
                <c:pt idx="223">
                  <c:v>3.1322033898304937</c:v>
                </c:pt>
                <c:pt idx="224">
                  <c:v>0.33220338983048237</c:v>
                </c:pt>
                <c:pt idx="225">
                  <c:v>-0.467796610169529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A-4E86-8FC5-6A7109C0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363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3631"/>
        <c:crosses val="autoZero"/>
        <c:crossBetween val="midCat"/>
      </c:valAx>
      <c:valAx>
        <c:axId val="2117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Log'!$O$2:$O$227</c:f>
              <c:numCache>
                <c:formatCode>0.00</c:formatCode>
                <c:ptCount val="226"/>
                <c:pt idx="0">
                  <c:v>35.192117361578489</c:v>
                </c:pt>
                <c:pt idx="1">
                  <c:v>34.574687297799606</c:v>
                </c:pt>
                <c:pt idx="2">
                  <c:v>34.574687297799606</c:v>
                </c:pt>
                <c:pt idx="3">
                  <c:v>34.574687297799606</c:v>
                </c:pt>
                <c:pt idx="4">
                  <c:v>33.946879773643239</c:v>
                </c:pt>
                <c:pt idx="5">
                  <c:v>34.574687297799606</c:v>
                </c:pt>
                <c:pt idx="6">
                  <c:v>33.946879773643239</c:v>
                </c:pt>
                <c:pt idx="7">
                  <c:v>33.946879773643239</c:v>
                </c:pt>
                <c:pt idx="8">
                  <c:v>34.574687297799606</c:v>
                </c:pt>
                <c:pt idx="9">
                  <c:v>34.574687297799606</c:v>
                </c:pt>
                <c:pt idx="10">
                  <c:v>33.946879773643239</c:v>
                </c:pt>
                <c:pt idx="11">
                  <c:v>33.308339978650658</c:v>
                </c:pt>
                <c:pt idx="12">
                  <c:v>33.946879773643239</c:v>
                </c:pt>
                <c:pt idx="13">
                  <c:v>33.308339978650658</c:v>
                </c:pt>
                <c:pt idx="14">
                  <c:v>33.308339978650658</c:v>
                </c:pt>
                <c:pt idx="15">
                  <c:v>33.308339978650658</c:v>
                </c:pt>
                <c:pt idx="16">
                  <c:v>33.308339978650658</c:v>
                </c:pt>
                <c:pt idx="17">
                  <c:v>33.308339978650658</c:v>
                </c:pt>
                <c:pt idx="18">
                  <c:v>33.308339978650658</c:v>
                </c:pt>
                <c:pt idx="19">
                  <c:v>33.308339978650658</c:v>
                </c:pt>
                <c:pt idx="20">
                  <c:v>33.308339978650658</c:v>
                </c:pt>
                <c:pt idx="21">
                  <c:v>32.6586945886934</c:v>
                </c:pt>
                <c:pt idx="22">
                  <c:v>32.6586945886934</c:v>
                </c:pt>
                <c:pt idx="23">
                  <c:v>31.997550455105717</c:v>
                </c:pt>
                <c:pt idx="24">
                  <c:v>32.6586945886934</c:v>
                </c:pt>
                <c:pt idx="25">
                  <c:v>31.997550455105717</c:v>
                </c:pt>
                <c:pt idx="26">
                  <c:v>33.308339978650658</c:v>
                </c:pt>
                <c:pt idx="27">
                  <c:v>31.997550455105717</c:v>
                </c:pt>
                <c:pt idx="28">
                  <c:v>31.997550455105717</c:v>
                </c:pt>
                <c:pt idx="29">
                  <c:v>31.997550455105717</c:v>
                </c:pt>
                <c:pt idx="30">
                  <c:v>31.997550455105717</c:v>
                </c:pt>
                <c:pt idx="31">
                  <c:v>31.997550455105717</c:v>
                </c:pt>
                <c:pt idx="32">
                  <c:v>31.324493175702337</c:v>
                </c:pt>
                <c:pt idx="33">
                  <c:v>31.324493175702337</c:v>
                </c:pt>
                <c:pt idx="34">
                  <c:v>31.324493175702337</c:v>
                </c:pt>
                <c:pt idx="35">
                  <c:v>31.324493175702337</c:v>
                </c:pt>
                <c:pt idx="36">
                  <c:v>31.324493175702337</c:v>
                </c:pt>
                <c:pt idx="37">
                  <c:v>31.324493175702337</c:v>
                </c:pt>
                <c:pt idx="38">
                  <c:v>31.997550455105717</c:v>
                </c:pt>
                <c:pt idx="39">
                  <c:v>31.997550455105717</c:v>
                </c:pt>
                <c:pt idx="40">
                  <c:v>30.639085534675949</c:v>
                </c:pt>
                <c:pt idx="41">
                  <c:v>31.324493175702337</c:v>
                </c:pt>
                <c:pt idx="42">
                  <c:v>31.324493175702337</c:v>
                </c:pt>
                <c:pt idx="43">
                  <c:v>31.324493175702337</c:v>
                </c:pt>
                <c:pt idx="44">
                  <c:v>31.324493175702337</c:v>
                </c:pt>
                <c:pt idx="45">
                  <c:v>31.997550455105717</c:v>
                </c:pt>
                <c:pt idx="46">
                  <c:v>31.997550455105717</c:v>
                </c:pt>
                <c:pt idx="47">
                  <c:v>31.324493175702337</c:v>
                </c:pt>
                <c:pt idx="48">
                  <c:v>31.324493175702337</c:v>
                </c:pt>
                <c:pt idx="49">
                  <c:v>31.324493175702337</c:v>
                </c:pt>
                <c:pt idx="50">
                  <c:v>31.324493175702337</c:v>
                </c:pt>
                <c:pt idx="51">
                  <c:v>31.324493175702337</c:v>
                </c:pt>
                <c:pt idx="52">
                  <c:v>31.324493175702337</c:v>
                </c:pt>
                <c:pt idx="53">
                  <c:v>31.324493175702337</c:v>
                </c:pt>
                <c:pt idx="54">
                  <c:v>30.639085534675949</c:v>
                </c:pt>
                <c:pt idx="55">
                  <c:v>30.639085534675949</c:v>
                </c:pt>
                <c:pt idx="56">
                  <c:v>30.639085534675949</c:v>
                </c:pt>
                <c:pt idx="57">
                  <c:v>30.639085534675949</c:v>
                </c:pt>
                <c:pt idx="58">
                  <c:v>30.639085534675949</c:v>
                </c:pt>
                <c:pt idx="59">
                  <c:v>29.940865796666294</c:v>
                </c:pt>
                <c:pt idx="60">
                  <c:v>29.940865796666294</c:v>
                </c:pt>
                <c:pt idx="61">
                  <c:v>30.639085534675949</c:v>
                </c:pt>
                <c:pt idx="62">
                  <c:v>31.324493175702337</c:v>
                </c:pt>
                <c:pt idx="63">
                  <c:v>30.639085534675949</c:v>
                </c:pt>
                <c:pt idx="64">
                  <c:v>30.639085534675949</c:v>
                </c:pt>
                <c:pt idx="65">
                  <c:v>30.639085534675949</c:v>
                </c:pt>
                <c:pt idx="66">
                  <c:v>30.639085534675949</c:v>
                </c:pt>
                <c:pt idx="67">
                  <c:v>30.639085534675949</c:v>
                </c:pt>
                <c:pt idx="68">
                  <c:v>31.324493175702337</c:v>
                </c:pt>
                <c:pt idx="69">
                  <c:v>30.639085534675949</c:v>
                </c:pt>
                <c:pt idx="70">
                  <c:v>30.639085534675949</c:v>
                </c:pt>
                <c:pt idx="71">
                  <c:v>29.940865796666294</c:v>
                </c:pt>
                <c:pt idx="72">
                  <c:v>29.940865796666294</c:v>
                </c:pt>
                <c:pt idx="73">
                  <c:v>29.940865796666294</c:v>
                </c:pt>
                <c:pt idx="74">
                  <c:v>31.324493175702337</c:v>
                </c:pt>
                <c:pt idx="75">
                  <c:v>30.639085534675949</c:v>
                </c:pt>
                <c:pt idx="76">
                  <c:v>29.940865796666294</c:v>
                </c:pt>
                <c:pt idx="77">
                  <c:v>30.639085534675949</c:v>
                </c:pt>
                <c:pt idx="78">
                  <c:v>30.639085534675949</c:v>
                </c:pt>
                <c:pt idx="79">
                  <c:v>30.639085534675949</c:v>
                </c:pt>
                <c:pt idx="80">
                  <c:v>30.639085534675949</c:v>
                </c:pt>
                <c:pt idx="81">
                  <c:v>29.940865796666294</c:v>
                </c:pt>
                <c:pt idx="82">
                  <c:v>30.639085534675949</c:v>
                </c:pt>
                <c:pt idx="83">
                  <c:v>30.639085534675949</c:v>
                </c:pt>
                <c:pt idx="84">
                  <c:v>30.639085534675949</c:v>
                </c:pt>
                <c:pt idx="85">
                  <c:v>30.639085534675949</c:v>
                </c:pt>
                <c:pt idx="86">
                  <c:v>30.639085534675949</c:v>
                </c:pt>
                <c:pt idx="87">
                  <c:v>30.639085534675949</c:v>
                </c:pt>
                <c:pt idx="88">
                  <c:v>30.639085534675949</c:v>
                </c:pt>
                <c:pt idx="89">
                  <c:v>31.324493175702337</c:v>
                </c:pt>
                <c:pt idx="90">
                  <c:v>30.639085534675949</c:v>
                </c:pt>
                <c:pt idx="91">
                  <c:v>30.639085534675949</c:v>
                </c:pt>
                <c:pt idx="92">
                  <c:v>31.324493175702337</c:v>
                </c:pt>
                <c:pt idx="93">
                  <c:v>31.997550455105717</c:v>
                </c:pt>
                <c:pt idx="94">
                  <c:v>31.997550455105717</c:v>
                </c:pt>
                <c:pt idx="95">
                  <c:v>31.324493175702337</c:v>
                </c:pt>
                <c:pt idx="96">
                  <c:v>31.324493175702337</c:v>
                </c:pt>
                <c:pt idx="97">
                  <c:v>31.324493175702337</c:v>
                </c:pt>
                <c:pt idx="98">
                  <c:v>30.639085534675949</c:v>
                </c:pt>
                <c:pt idx="99">
                  <c:v>29.940865796666294</c:v>
                </c:pt>
                <c:pt idx="100">
                  <c:v>30.639085534675949</c:v>
                </c:pt>
                <c:pt idx="101">
                  <c:v>29.940865796666294</c:v>
                </c:pt>
                <c:pt idx="102">
                  <c:v>31.324493175702337</c:v>
                </c:pt>
                <c:pt idx="103">
                  <c:v>31.997550455105717</c:v>
                </c:pt>
                <c:pt idx="104">
                  <c:v>31.997550455105717</c:v>
                </c:pt>
                <c:pt idx="105">
                  <c:v>31.997550455105717</c:v>
                </c:pt>
                <c:pt idx="106">
                  <c:v>31.324493175702337</c:v>
                </c:pt>
                <c:pt idx="107">
                  <c:v>31.324493175702337</c:v>
                </c:pt>
                <c:pt idx="108">
                  <c:v>30.639085534675949</c:v>
                </c:pt>
                <c:pt idx="109">
                  <c:v>30.639085534675949</c:v>
                </c:pt>
                <c:pt idx="110">
                  <c:v>30.639085534675949</c:v>
                </c:pt>
                <c:pt idx="111">
                  <c:v>31.324493175702337</c:v>
                </c:pt>
                <c:pt idx="112">
                  <c:v>30.639085534675949</c:v>
                </c:pt>
                <c:pt idx="113">
                  <c:v>30.639085534675949</c:v>
                </c:pt>
                <c:pt idx="114">
                  <c:v>30.639085534675949</c:v>
                </c:pt>
                <c:pt idx="115">
                  <c:v>30.639085534675949</c:v>
                </c:pt>
                <c:pt idx="116">
                  <c:v>30.639085534675949</c:v>
                </c:pt>
                <c:pt idx="117">
                  <c:v>29.940865796666294</c:v>
                </c:pt>
                <c:pt idx="118">
                  <c:v>29.940865796666294</c:v>
                </c:pt>
                <c:pt idx="119">
                  <c:v>29.940865796666294</c:v>
                </c:pt>
                <c:pt idx="120">
                  <c:v>29.940865796666294</c:v>
                </c:pt>
                <c:pt idx="121">
                  <c:v>30.639085534675949</c:v>
                </c:pt>
                <c:pt idx="122">
                  <c:v>30.639085534675949</c:v>
                </c:pt>
                <c:pt idx="123">
                  <c:v>30.639085534675949</c:v>
                </c:pt>
                <c:pt idx="124">
                  <c:v>30.639085534675949</c:v>
                </c:pt>
                <c:pt idx="125">
                  <c:v>30.639085534675949</c:v>
                </c:pt>
                <c:pt idx="126">
                  <c:v>30.639085534675949</c:v>
                </c:pt>
                <c:pt idx="127">
                  <c:v>30.639085534675949</c:v>
                </c:pt>
                <c:pt idx="128">
                  <c:v>30.639085534675949</c:v>
                </c:pt>
                <c:pt idx="129">
                  <c:v>31.324493175702337</c:v>
                </c:pt>
                <c:pt idx="130">
                  <c:v>31.324493175702337</c:v>
                </c:pt>
                <c:pt idx="131">
                  <c:v>31.324493175702337</c:v>
                </c:pt>
                <c:pt idx="132">
                  <c:v>31.324493175702337</c:v>
                </c:pt>
                <c:pt idx="133">
                  <c:v>31.324493175702337</c:v>
                </c:pt>
                <c:pt idx="134">
                  <c:v>31.997550455105717</c:v>
                </c:pt>
                <c:pt idx="135">
                  <c:v>31.997550455105717</c:v>
                </c:pt>
                <c:pt idx="136">
                  <c:v>31.997550455105717</c:v>
                </c:pt>
                <c:pt idx="137">
                  <c:v>31.997550455105717</c:v>
                </c:pt>
                <c:pt idx="138">
                  <c:v>31.997550455105717</c:v>
                </c:pt>
                <c:pt idx="139">
                  <c:v>31.324493175702337</c:v>
                </c:pt>
                <c:pt idx="140">
                  <c:v>31.324493175702337</c:v>
                </c:pt>
                <c:pt idx="141">
                  <c:v>31.324493175702337</c:v>
                </c:pt>
                <c:pt idx="142">
                  <c:v>31.324493175702337</c:v>
                </c:pt>
                <c:pt idx="143">
                  <c:v>31.324493175702337</c:v>
                </c:pt>
                <c:pt idx="144">
                  <c:v>31.324493175702337</c:v>
                </c:pt>
                <c:pt idx="145">
                  <c:v>31.324493175702337</c:v>
                </c:pt>
                <c:pt idx="146">
                  <c:v>31.324493175702337</c:v>
                </c:pt>
                <c:pt idx="147">
                  <c:v>31.324493175702337</c:v>
                </c:pt>
                <c:pt idx="148">
                  <c:v>31.324493175702337</c:v>
                </c:pt>
                <c:pt idx="149">
                  <c:v>31.324493175702337</c:v>
                </c:pt>
                <c:pt idx="150">
                  <c:v>31.324493175702337</c:v>
                </c:pt>
                <c:pt idx="151">
                  <c:v>31.324493175702337</c:v>
                </c:pt>
                <c:pt idx="152">
                  <c:v>31.324493175702337</c:v>
                </c:pt>
                <c:pt idx="153">
                  <c:v>31.324493175702337</c:v>
                </c:pt>
                <c:pt idx="154">
                  <c:v>31.324493175702337</c:v>
                </c:pt>
                <c:pt idx="155">
                  <c:v>31.324493175702337</c:v>
                </c:pt>
                <c:pt idx="156">
                  <c:v>31.324493175702337</c:v>
                </c:pt>
                <c:pt idx="157">
                  <c:v>31.997550455105717</c:v>
                </c:pt>
                <c:pt idx="158">
                  <c:v>31.997550455105717</c:v>
                </c:pt>
                <c:pt idx="159">
                  <c:v>31.997550455105717</c:v>
                </c:pt>
                <c:pt idx="160">
                  <c:v>31.997550455105717</c:v>
                </c:pt>
                <c:pt idx="161">
                  <c:v>31.997550455105717</c:v>
                </c:pt>
                <c:pt idx="162">
                  <c:v>31.997550455105717</c:v>
                </c:pt>
                <c:pt idx="163">
                  <c:v>31.997550455105717</c:v>
                </c:pt>
                <c:pt idx="164">
                  <c:v>31.997550455105717</c:v>
                </c:pt>
                <c:pt idx="165">
                  <c:v>32.6586945886934</c:v>
                </c:pt>
                <c:pt idx="166">
                  <c:v>32.6586945886934</c:v>
                </c:pt>
                <c:pt idx="167">
                  <c:v>31.997550455105717</c:v>
                </c:pt>
                <c:pt idx="168">
                  <c:v>31.997550455105717</c:v>
                </c:pt>
                <c:pt idx="169">
                  <c:v>31.997550455105717</c:v>
                </c:pt>
                <c:pt idx="170">
                  <c:v>31.997550455105717</c:v>
                </c:pt>
                <c:pt idx="171">
                  <c:v>31.997550455105717</c:v>
                </c:pt>
                <c:pt idx="172">
                  <c:v>31.997550455105717</c:v>
                </c:pt>
                <c:pt idx="173">
                  <c:v>31.997550455105717</c:v>
                </c:pt>
                <c:pt idx="174">
                  <c:v>31.997550455105717</c:v>
                </c:pt>
                <c:pt idx="175">
                  <c:v>31.997550455105717</c:v>
                </c:pt>
                <c:pt idx="176">
                  <c:v>31.324493175702337</c:v>
                </c:pt>
                <c:pt idx="177">
                  <c:v>31.324493175702337</c:v>
                </c:pt>
                <c:pt idx="178">
                  <c:v>31.324493175702337</c:v>
                </c:pt>
                <c:pt idx="179">
                  <c:v>31.997550455105717</c:v>
                </c:pt>
                <c:pt idx="180">
                  <c:v>31.997550455105717</c:v>
                </c:pt>
                <c:pt idx="181">
                  <c:v>32.6586945886934</c:v>
                </c:pt>
                <c:pt idx="182">
                  <c:v>32.6586945886934</c:v>
                </c:pt>
                <c:pt idx="183">
                  <c:v>32.6586945886934</c:v>
                </c:pt>
                <c:pt idx="184">
                  <c:v>32.6586945886934</c:v>
                </c:pt>
                <c:pt idx="185">
                  <c:v>31.997550455105717</c:v>
                </c:pt>
                <c:pt idx="186">
                  <c:v>31.997550455105717</c:v>
                </c:pt>
                <c:pt idx="187">
                  <c:v>31.997550455105717</c:v>
                </c:pt>
                <c:pt idx="188">
                  <c:v>31.997550455105717</c:v>
                </c:pt>
                <c:pt idx="189">
                  <c:v>31.997550455105717</c:v>
                </c:pt>
                <c:pt idx="190">
                  <c:v>32.6586945886934</c:v>
                </c:pt>
                <c:pt idx="191">
                  <c:v>32.6586945886934</c:v>
                </c:pt>
                <c:pt idx="192">
                  <c:v>31.997550455105717</c:v>
                </c:pt>
                <c:pt idx="193">
                  <c:v>31.997550455105717</c:v>
                </c:pt>
                <c:pt idx="194">
                  <c:v>31.997550455105717</c:v>
                </c:pt>
                <c:pt idx="195">
                  <c:v>31.997550455105717</c:v>
                </c:pt>
                <c:pt idx="196">
                  <c:v>31.997550455105717</c:v>
                </c:pt>
                <c:pt idx="197">
                  <c:v>31.997550455105717</c:v>
                </c:pt>
                <c:pt idx="198">
                  <c:v>32.6586945886934</c:v>
                </c:pt>
                <c:pt idx="199">
                  <c:v>32.6586945886934</c:v>
                </c:pt>
                <c:pt idx="200">
                  <c:v>32.6586945886934</c:v>
                </c:pt>
                <c:pt idx="201">
                  <c:v>32.6586945886934</c:v>
                </c:pt>
                <c:pt idx="202">
                  <c:v>32.6586945886934</c:v>
                </c:pt>
                <c:pt idx="203">
                  <c:v>33.308339978650658</c:v>
                </c:pt>
                <c:pt idx="204">
                  <c:v>32.6586945886934</c:v>
                </c:pt>
                <c:pt idx="205">
                  <c:v>33.308339978650658</c:v>
                </c:pt>
                <c:pt idx="206">
                  <c:v>33.946879773643239</c:v>
                </c:pt>
                <c:pt idx="207">
                  <c:v>33.308339978650658</c:v>
                </c:pt>
                <c:pt idx="208">
                  <c:v>32.6586945886934</c:v>
                </c:pt>
                <c:pt idx="209">
                  <c:v>33.308339978650658</c:v>
                </c:pt>
                <c:pt idx="210">
                  <c:v>32.6586945886934</c:v>
                </c:pt>
                <c:pt idx="211">
                  <c:v>33.308339978650658</c:v>
                </c:pt>
                <c:pt idx="212">
                  <c:v>33.308339978650658</c:v>
                </c:pt>
                <c:pt idx="213">
                  <c:v>32.6586945886934</c:v>
                </c:pt>
                <c:pt idx="214">
                  <c:v>31.997550455105717</c:v>
                </c:pt>
                <c:pt idx="215">
                  <c:v>31.997550455105717</c:v>
                </c:pt>
                <c:pt idx="216">
                  <c:v>32.6586945886934</c:v>
                </c:pt>
                <c:pt idx="217">
                  <c:v>31.997550455105717</c:v>
                </c:pt>
                <c:pt idx="218">
                  <c:v>31.997550455105717</c:v>
                </c:pt>
                <c:pt idx="219">
                  <c:v>32.6586945886934</c:v>
                </c:pt>
                <c:pt idx="220">
                  <c:v>32.6586945886934</c:v>
                </c:pt>
                <c:pt idx="221">
                  <c:v>31.997550455105717</c:v>
                </c:pt>
                <c:pt idx="222">
                  <c:v>33.308339978650658</c:v>
                </c:pt>
                <c:pt idx="223">
                  <c:v>32.6586945886934</c:v>
                </c:pt>
                <c:pt idx="224">
                  <c:v>32.6586945886934</c:v>
                </c:pt>
                <c:pt idx="225">
                  <c:v>32.6586945886934</c:v>
                </c:pt>
              </c:numCache>
            </c:numRef>
          </c:xVal>
          <c:yVal>
            <c:numRef>
              <c:f>Residuals!$AL$2:$AL$227</c:f>
              <c:numCache>
                <c:formatCode>0.00</c:formatCode>
                <c:ptCount val="226"/>
                <c:pt idx="0">
                  <c:v>4.7419999778376791</c:v>
                </c:pt>
                <c:pt idx="1">
                  <c:v>3.7641833258124393</c:v>
                </c:pt>
                <c:pt idx="2">
                  <c:v>3.7641833258124393</c:v>
                </c:pt>
                <c:pt idx="3">
                  <c:v>4.7641833258124393</c:v>
                </c:pt>
                <c:pt idx="4">
                  <c:v>4.4338005413451356</c:v>
                </c:pt>
                <c:pt idx="5">
                  <c:v>0.56418332581245068</c:v>
                </c:pt>
                <c:pt idx="6">
                  <c:v>3.6338005413451242</c:v>
                </c:pt>
                <c:pt idx="7">
                  <c:v>3.6338005413451242</c:v>
                </c:pt>
                <c:pt idx="8">
                  <c:v>1.3641833258124052</c:v>
                </c:pt>
                <c:pt idx="9">
                  <c:v>4.5641833258124507</c:v>
                </c:pt>
                <c:pt idx="10">
                  <c:v>5.6338005413451242</c:v>
                </c:pt>
                <c:pt idx="11">
                  <c:v>6.1524734116260333</c:v>
                </c:pt>
                <c:pt idx="12">
                  <c:v>1.4338005413451356</c:v>
                </c:pt>
                <c:pt idx="13">
                  <c:v>7.3524734116260788</c:v>
                </c:pt>
                <c:pt idx="14">
                  <c:v>5.3524734116260788</c:v>
                </c:pt>
                <c:pt idx="15">
                  <c:v>5.3524734116260788</c:v>
                </c:pt>
                <c:pt idx="16">
                  <c:v>2.5524734116260674</c:v>
                </c:pt>
                <c:pt idx="17">
                  <c:v>2.3524734116260788</c:v>
                </c:pt>
                <c:pt idx="18">
                  <c:v>0.95247341162604471</c:v>
                </c:pt>
                <c:pt idx="19">
                  <c:v>0.75247341162605608</c:v>
                </c:pt>
                <c:pt idx="20">
                  <c:v>-0.44752658837393255</c:v>
                </c:pt>
                <c:pt idx="21">
                  <c:v>2.5219083471470753</c:v>
                </c:pt>
                <c:pt idx="22">
                  <c:v>0.52190834714707535</c:v>
                </c:pt>
                <c:pt idx="23">
                  <c:v>3.9439023734867646</c:v>
                </c:pt>
                <c:pt idx="24">
                  <c:v>-0.27809165285293602</c:v>
                </c:pt>
                <c:pt idx="25">
                  <c:v>0.74390237348677601</c:v>
                </c:pt>
                <c:pt idx="26">
                  <c:v>-2.4475265883739326</c:v>
                </c:pt>
                <c:pt idx="27">
                  <c:v>3.5439023734867874</c:v>
                </c:pt>
                <c:pt idx="28">
                  <c:v>2.743902373486776</c:v>
                </c:pt>
                <c:pt idx="29">
                  <c:v>1.9439023734867646</c:v>
                </c:pt>
                <c:pt idx="30">
                  <c:v>1.743902373486776</c:v>
                </c:pt>
                <c:pt idx="31">
                  <c:v>-0.25609762651322399</c:v>
                </c:pt>
                <c:pt idx="32">
                  <c:v>2.8203496629819824</c:v>
                </c:pt>
                <c:pt idx="33">
                  <c:v>1.8203496629819824</c:v>
                </c:pt>
                <c:pt idx="34">
                  <c:v>2.4203496629819767</c:v>
                </c:pt>
                <c:pt idx="35">
                  <c:v>2.4203496629819767</c:v>
                </c:pt>
                <c:pt idx="36">
                  <c:v>-0.37965033701800621</c:v>
                </c:pt>
                <c:pt idx="37">
                  <c:v>-0.37965033701800621</c:v>
                </c:pt>
                <c:pt idx="38">
                  <c:v>0.74390237348677601</c:v>
                </c:pt>
                <c:pt idx="39">
                  <c:v>4.9439023734867646</c:v>
                </c:pt>
                <c:pt idx="40">
                  <c:v>10.953248665729689</c:v>
                </c:pt>
                <c:pt idx="41">
                  <c:v>5.4203496629820052</c:v>
                </c:pt>
                <c:pt idx="42">
                  <c:v>4.8203496629819824</c:v>
                </c:pt>
                <c:pt idx="43">
                  <c:v>6.8203496629819824</c:v>
                </c:pt>
                <c:pt idx="44">
                  <c:v>6.0203496629819711</c:v>
                </c:pt>
                <c:pt idx="45">
                  <c:v>4.5439023734867874</c:v>
                </c:pt>
                <c:pt idx="46">
                  <c:v>5.5439023734867874</c:v>
                </c:pt>
                <c:pt idx="47">
                  <c:v>4.6203496629819938</c:v>
                </c:pt>
                <c:pt idx="48">
                  <c:v>2.6203496629819938</c:v>
                </c:pt>
                <c:pt idx="49">
                  <c:v>0.82034966298198242</c:v>
                </c:pt>
                <c:pt idx="50">
                  <c:v>-0.17965033701801758</c:v>
                </c:pt>
                <c:pt idx="51">
                  <c:v>-0.57965033701802327</c:v>
                </c:pt>
                <c:pt idx="52">
                  <c:v>1.2203496629819881</c:v>
                </c:pt>
                <c:pt idx="53">
                  <c:v>-0.37965033701800621</c:v>
                </c:pt>
                <c:pt idx="54">
                  <c:v>3.1532486657296772</c:v>
                </c:pt>
                <c:pt idx="55">
                  <c:v>1.5532486657296829</c:v>
                </c:pt>
                <c:pt idx="56">
                  <c:v>1.3532486657296943</c:v>
                </c:pt>
                <c:pt idx="57">
                  <c:v>-4.6751334270311418E-2</c:v>
                </c:pt>
                <c:pt idx="58">
                  <c:v>-0.4467513342703171</c:v>
                </c:pt>
                <c:pt idx="59">
                  <c:v>2.3447099071502464</c:v>
                </c:pt>
                <c:pt idx="60">
                  <c:v>1.5447099071502635</c:v>
                </c:pt>
                <c:pt idx="61">
                  <c:v>-2.4467513342703171</c:v>
                </c:pt>
                <c:pt idx="62">
                  <c:v>-6.5796503370180233</c:v>
                </c:pt>
                <c:pt idx="63">
                  <c:v>-3.4467513342703171</c:v>
                </c:pt>
                <c:pt idx="64">
                  <c:v>-3.0467513342703114</c:v>
                </c:pt>
                <c:pt idx="65">
                  <c:v>0.75324866572969995</c:v>
                </c:pt>
                <c:pt idx="66">
                  <c:v>-1.0467513342703114</c:v>
                </c:pt>
                <c:pt idx="67">
                  <c:v>-1.2467513342703</c:v>
                </c:pt>
                <c:pt idx="68">
                  <c:v>-0.7796503370180119</c:v>
                </c:pt>
                <c:pt idx="69">
                  <c:v>-0.4467513342703171</c:v>
                </c:pt>
                <c:pt idx="70">
                  <c:v>-2.6467513342703057</c:v>
                </c:pt>
                <c:pt idx="71">
                  <c:v>-1.0552900928497309</c:v>
                </c:pt>
                <c:pt idx="72">
                  <c:v>5.1447099071502578</c:v>
                </c:pt>
                <c:pt idx="73">
                  <c:v>5.1447099071502578</c:v>
                </c:pt>
                <c:pt idx="74">
                  <c:v>0.2203496629819881</c:v>
                </c:pt>
                <c:pt idx="75">
                  <c:v>-0.4467513342703171</c:v>
                </c:pt>
                <c:pt idx="76">
                  <c:v>1.9447099071502691</c:v>
                </c:pt>
                <c:pt idx="77">
                  <c:v>-2.0467513342703114</c:v>
                </c:pt>
                <c:pt idx="78">
                  <c:v>-3.4467513342703171</c:v>
                </c:pt>
                <c:pt idx="79">
                  <c:v>0.75324866572969995</c:v>
                </c:pt>
                <c:pt idx="80">
                  <c:v>1.7532486657297</c:v>
                </c:pt>
                <c:pt idx="81">
                  <c:v>5.7447099071502521</c:v>
                </c:pt>
                <c:pt idx="82">
                  <c:v>-0.84675133427032279</c:v>
                </c:pt>
                <c:pt idx="83">
                  <c:v>-1.4467513342703171</c:v>
                </c:pt>
                <c:pt idx="84">
                  <c:v>-4.6751334270311418E-2</c:v>
                </c:pt>
                <c:pt idx="85">
                  <c:v>0.95324866572968858</c:v>
                </c:pt>
                <c:pt idx="86">
                  <c:v>4.7532486657297</c:v>
                </c:pt>
                <c:pt idx="87">
                  <c:v>7.9532486657296886</c:v>
                </c:pt>
                <c:pt idx="88">
                  <c:v>4.3532486657296943</c:v>
                </c:pt>
                <c:pt idx="89">
                  <c:v>-0.17965033701801758</c:v>
                </c:pt>
                <c:pt idx="90">
                  <c:v>4.3532486657296943</c:v>
                </c:pt>
                <c:pt idx="91">
                  <c:v>2.3532486657296943</c:v>
                </c:pt>
                <c:pt idx="92">
                  <c:v>2.6203496629819938</c:v>
                </c:pt>
                <c:pt idx="93">
                  <c:v>-0.65609762651322967</c:v>
                </c:pt>
                <c:pt idx="94">
                  <c:v>-2.8560976265132183</c:v>
                </c:pt>
                <c:pt idx="95">
                  <c:v>0.2203496629819881</c:v>
                </c:pt>
                <c:pt idx="96">
                  <c:v>0.2203496629819881</c:v>
                </c:pt>
                <c:pt idx="97">
                  <c:v>-2.7796503370180119</c:v>
                </c:pt>
                <c:pt idx="98">
                  <c:v>-4.6751334270311418E-2</c:v>
                </c:pt>
                <c:pt idx="99">
                  <c:v>4.5447099071502635</c:v>
                </c:pt>
                <c:pt idx="100">
                  <c:v>0.75324866572969995</c:v>
                </c:pt>
                <c:pt idx="101">
                  <c:v>5.3447099071502464</c:v>
                </c:pt>
                <c:pt idx="102">
                  <c:v>4.6203496629819938</c:v>
                </c:pt>
                <c:pt idx="103">
                  <c:v>1.9439023734867646</c:v>
                </c:pt>
                <c:pt idx="104">
                  <c:v>0.34390237348679875</c:v>
                </c:pt>
                <c:pt idx="105">
                  <c:v>-0.65609762651322967</c:v>
                </c:pt>
                <c:pt idx="106">
                  <c:v>2.2203496629819881</c:v>
                </c:pt>
                <c:pt idx="107">
                  <c:v>-1.7796503370180119</c:v>
                </c:pt>
                <c:pt idx="108">
                  <c:v>0.35324866572969427</c:v>
                </c:pt>
                <c:pt idx="109">
                  <c:v>0.75324866572969995</c:v>
                </c:pt>
                <c:pt idx="110">
                  <c:v>-0.84675133427032279</c:v>
                </c:pt>
                <c:pt idx="111">
                  <c:v>-2.7796503370180119</c:v>
                </c:pt>
                <c:pt idx="112">
                  <c:v>1.7532486657297</c:v>
                </c:pt>
                <c:pt idx="113">
                  <c:v>-2.0467513342703114</c:v>
                </c:pt>
                <c:pt idx="114">
                  <c:v>-1.6467513342703057</c:v>
                </c:pt>
                <c:pt idx="115">
                  <c:v>-3.0467513342703114</c:v>
                </c:pt>
                <c:pt idx="116">
                  <c:v>-3.2467513342703</c:v>
                </c:pt>
                <c:pt idx="117">
                  <c:v>-2.0552900928497309</c:v>
                </c:pt>
                <c:pt idx="118">
                  <c:v>-2.4552900928497365</c:v>
                </c:pt>
                <c:pt idx="119">
                  <c:v>-2.6552900928497536</c:v>
                </c:pt>
                <c:pt idx="120">
                  <c:v>-1.8552900928497422</c:v>
                </c:pt>
                <c:pt idx="121">
                  <c:v>-3.0467513342703114</c:v>
                </c:pt>
                <c:pt idx="122">
                  <c:v>-0.4467513342703171</c:v>
                </c:pt>
                <c:pt idx="123">
                  <c:v>0.35324866572969427</c:v>
                </c:pt>
                <c:pt idx="124">
                  <c:v>2.3532486657296943</c:v>
                </c:pt>
                <c:pt idx="125">
                  <c:v>0.5532486657296829</c:v>
                </c:pt>
                <c:pt idx="126">
                  <c:v>2.5532486657296829</c:v>
                </c:pt>
                <c:pt idx="127">
                  <c:v>3.5532486657296829</c:v>
                </c:pt>
                <c:pt idx="128">
                  <c:v>2.9532486657296886</c:v>
                </c:pt>
                <c:pt idx="129">
                  <c:v>4.0203496629819711</c:v>
                </c:pt>
                <c:pt idx="130">
                  <c:v>1.4203496629819767</c:v>
                </c:pt>
                <c:pt idx="131">
                  <c:v>2.0203496629819711</c:v>
                </c:pt>
                <c:pt idx="132">
                  <c:v>1.6203496629819938</c:v>
                </c:pt>
                <c:pt idx="133">
                  <c:v>2.6203496629819938</c:v>
                </c:pt>
                <c:pt idx="134">
                  <c:v>0.94390237348676465</c:v>
                </c:pt>
                <c:pt idx="135">
                  <c:v>1.743902373486776</c:v>
                </c:pt>
                <c:pt idx="136">
                  <c:v>-4.4560976265132126</c:v>
                </c:pt>
                <c:pt idx="137">
                  <c:v>-5.8560976265132183</c:v>
                </c:pt>
                <c:pt idx="138">
                  <c:v>-5.256097626513224</c:v>
                </c:pt>
                <c:pt idx="139">
                  <c:v>-3.9796503370180289</c:v>
                </c:pt>
                <c:pt idx="140">
                  <c:v>-5.1796503370180176</c:v>
                </c:pt>
                <c:pt idx="141">
                  <c:v>-2.9796503370180289</c:v>
                </c:pt>
                <c:pt idx="142">
                  <c:v>-0.17965033701801758</c:v>
                </c:pt>
                <c:pt idx="143">
                  <c:v>-2.3796503370180062</c:v>
                </c:pt>
                <c:pt idx="144">
                  <c:v>-0.37965033701800621</c:v>
                </c:pt>
                <c:pt idx="145">
                  <c:v>-2.1796503370180176</c:v>
                </c:pt>
                <c:pt idx="146">
                  <c:v>-3.7796503370180119</c:v>
                </c:pt>
                <c:pt idx="147">
                  <c:v>0.42034966298197673</c:v>
                </c:pt>
                <c:pt idx="148">
                  <c:v>1.4203496629819767</c:v>
                </c:pt>
                <c:pt idx="149">
                  <c:v>-0.17965033701801758</c:v>
                </c:pt>
                <c:pt idx="150">
                  <c:v>0.82034966298198242</c:v>
                </c:pt>
                <c:pt idx="151">
                  <c:v>-0.17965033701801758</c:v>
                </c:pt>
                <c:pt idx="152">
                  <c:v>-1.3796503370180062</c:v>
                </c:pt>
                <c:pt idx="153">
                  <c:v>-1.7796503370180119</c:v>
                </c:pt>
                <c:pt idx="154">
                  <c:v>-3.9796503370180289</c:v>
                </c:pt>
                <c:pt idx="155">
                  <c:v>-0.37965033701800621</c:v>
                </c:pt>
                <c:pt idx="156">
                  <c:v>-0.17965033701801758</c:v>
                </c:pt>
                <c:pt idx="157">
                  <c:v>2.743902373486776</c:v>
                </c:pt>
                <c:pt idx="158">
                  <c:v>-1.4560976265132126</c:v>
                </c:pt>
                <c:pt idx="159">
                  <c:v>-3.4560976265132126</c:v>
                </c:pt>
                <c:pt idx="160">
                  <c:v>-4.4560976265132126</c:v>
                </c:pt>
                <c:pt idx="161">
                  <c:v>-1.4560976265132126</c:v>
                </c:pt>
                <c:pt idx="162">
                  <c:v>-1.256097626513224</c:v>
                </c:pt>
                <c:pt idx="163">
                  <c:v>-1.4560976265132126</c:v>
                </c:pt>
                <c:pt idx="164">
                  <c:v>-4.4560976265132126</c:v>
                </c:pt>
                <c:pt idx="165">
                  <c:v>-1.8780916528529588</c:v>
                </c:pt>
                <c:pt idx="166">
                  <c:v>-3.4780916528529247</c:v>
                </c:pt>
                <c:pt idx="167">
                  <c:v>-4.4560976265132126</c:v>
                </c:pt>
                <c:pt idx="168">
                  <c:v>-8.6560976265132297</c:v>
                </c:pt>
                <c:pt idx="169">
                  <c:v>-7.4560976265132126</c:v>
                </c:pt>
                <c:pt idx="170">
                  <c:v>-6.4560976265132126</c:v>
                </c:pt>
                <c:pt idx="171">
                  <c:v>-5.6560976265132297</c:v>
                </c:pt>
                <c:pt idx="172">
                  <c:v>-4.256097626513224</c:v>
                </c:pt>
                <c:pt idx="173">
                  <c:v>-0.65609762651322967</c:v>
                </c:pt>
                <c:pt idx="174">
                  <c:v>-3.6560976265132297</c:v>
                </c:pt>
                <c:pt idx="175">
                  <c:v>-3.8560976265132183</c:v>
                </c:pt>
                <c:pt idx="176">
                  <c:v>-2.1796503370180176</c:v>
                </c:pt>
                <c:pt idx="177">
                  <c:v>-1.9796503370180289</c:v>
                </c:pt>
                <c:pt idx="178">
                  <c:v>-0.7796503370180119</c:v>
                </c:pt>
                <c:pt idx="179">
                  <c:v>-2.256097626513224</c:v>
                </c:pt>
                <c:pt idx="180">
                  <c:v>-2.4560976265132126</c:v>
                </c:pt>
                <c:pt idx="181">
                  <c:v>-4.4780916528529247</c:v>
                </c:pt>
                <c:pt idx="182">
                  <c:v>-5.4780916528529247</c:v>
                </c:pt>
                <c:pt idx="183">
                  <c:v>-6.278091652852936</c:v>
                </c:pt>
                <c:pt idx="184">
                  <c:v>-6.8780916528529303</c:v>
                </c:pt>
                <c:pt idx="185">
                  <c:v>-2.256097626513224</c:v>
                </c:pt>
                <c:pt idx="186">
                  <c:v>-3.8560976265132183</c:v>
                </c:pt>
                <c:pt idx="187">
                  <c:v>-4.256097626513224</c:v>
                </c:pt>
                <c:pt idx="188">
                  <c:v>-3.256097626513224</c:v>
                </c:pt>
                <c:pt idx="189">
                  <c:v>-3.8560976265132183</c:v>
                </c:pt>
                <c:pt idx="190">
                  <c:v>-7.0780916528529474</c:v>
                </c:pt>
                <c:pt idx="191">
                  <c:v>-6.6780916528529417</c:v>
                </c:pt>
                <c:pt idx="192">
                  <c:v>-2.256097626513224</c:v>
                </c:pt>
                <c:pt idx="193">
                  <c:v>-1.256097626513224</c:v>
                </c:pt>
                <c:pt idx="194">
                  <c:v>1.9439023734867646</c:v>
                </c:pt>
                <c:pt idx="195">
                  <c:v>-0.8560976265132183</c:v>
                </c:pt>
                <c:pt idx="196">
                  <c:v>-4.256097626513224</c:v>
                </c:pt>
                <c:pt idx="197">
                  <c:v>-2.256097626513224</c:v>
                </c:pt>
                <c:pt idx="198">
                  <c:v>-4.278091652852936</c:v>
                </c:pt>
                <c:pt idx="199">
                  <c:v>-5.278091652852936</c:v>
                </c:pt>
                <c:pt idx="200">
                  <c:v>-1.4780916528529247</c:v>
                </c:pt>
                <c:pt idx="201">
                  <c:v>-3.0780916528529474</c:v>
                </c:pt>
                <c:pt idx="202">
                  <c:v>0.72190834714706398</c:v>
                </c:pt>
                <c:pt idx="203">
                  <c:v>-0.44752658837393255</c:v>
                </c:pt>
                <c:pt idx="204">
                  <c:v>0.72190834714706398</c:v>
                </c:pt>
                <c:pt idx="205">
                  <c:v>0.15247341162603334</c:v>
                </c:pt>
                <c:pt idx="206">
                  <c:v>3.3800541345101465E-2</c:v>
                </c:pt>
                <c:pt idx="207">
                  <c:v>-0.64752658837392119</c:v>
                </c:pt>
                <c:pt idx="208">
                  <c:v>-2.0780916528529474</c:v>
                </c:pt>
                <c:pt idx="209">
                  <c:v>-4.6475265883739212</c:v>
                </c:pt>
                <c:pt idx="210">
                  <c:v>1.5219083471470753</c:v>
                </c:pt>
                <c:pt idx="211">
                  <c:v>-1.0475265883739553</c:v>
                </c:pt>
                <c:pt idx="212">
                  <c:v>-0.64752658837392119</c:v>
                </c:pt>
                <c:pt idx="213">
                  <c:v>4.1219083471470412</c:v>
                </c:pt>
                <c:pt idx="214">
                  <c:v>-5.6097626513235355E-2</c:v>
                </c:pt>
                <c:pt idx="215">
                  <c:v>0.54390237348678738</c:v>
                </c:pt>
                <c:pt idx="216">
                  <c:v>-1.278091652852936</c:v>
                </c:pt>
                <c:pt idx="217">
                  <c:v>2.5439023734867874</c:v>
                </c:pt>
                <c:pt idx="218">
                  <c:v>2.5439023734867874</c:v>
                </c:pt>
                <c:pt idx="219">
                  <c:v>1.721908347147064</c:v>
                </c:pt>
                <c:pt idx="220">
                  <c:v>1.9219083471470526</c:v>
                </c:pt>
                <c:pt idx="221">
                  <c:v>4.743902373486776</c:v>
                </c:pt>
                <c:pt idx="222">
                  <c:v>-3.2475265883739439</c:v>
                </c:pt>
                <c:pt idx="223">
                  <c:v>-0.67809165285291328</c:v>
                </c:pt>
                <c:pt idx="224">
                  <c:v>-3.4780916528529247</c:v>
                </c:pt>
                <c:pt idx="225">
                  <c:v>-4.278091652852936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8-4B67-9B36-9C467592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9375"/>
        <c:axId val="2123675535"/>
      </c:scatterChart>
      <c:valAx>
        <c:axId val="2123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5535"/>
        <c:crosses val="autoZero"/>
        <c:crossBetween val="midCat"/>
      </c:valAx>
      <c:valAx>
        <c:axId val="2123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Log'!$Q$2:$Q$227</c:f>
              <c:numCache>
                <c:formatCode>General</c:formatCode>
                <c:ptCount val="2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xVal>
          <c:yVal>
            <c:numRef>
              <c:f>Residuals!$AR$2:$AR$227</c:f>
              <c:numCache>
                <c:formatCode>0.00</c:formatCode>
                <c:ptCount val="226"/>
                <c:pt idx="0">
                  <c:v>19.189361702127712</c:v>
                </c:pt>
                <c:pt idx="1">
                  <c:v>17.607575757575404</c:v>
                </c:pt>
                <c:pt idx="2">
                  <c:v>17.607575757575404</c:v>
                </c:pt>
                <c:pt idx="3">
                  <c:v>18.607575757575404</c:v>
                </c:pt>
                <c:pt idx="4">
                  <c:v>13.189361702127712</c:v>
                </c:pt>
                <c:pt idx="5">
                  <c:v>14.407575757575415</c:v>
                </c:pt>
                <c:pt idx="6">
                  <c:v>12.389361702127701</c:v>
                </c:pt>
                <c:pt idx="7">
                  <c:v>14.607575757575404</c:v>
                </c:pt>
                <c:pt idx="8">
                  <c:v>15.20757575757537</c:v>
                </c:pt>
                <c:pt idx="9">
                  <c:v>18.407575757575415</c:v>
                </c:pt>
                <c:pt idx="10">
                  <c:v>16.607575757575404</c:v>
                </c:pt>
                <c:pt idx="11">
                  <c:v>11.989361702127667</c:v>
                </c:pt>
                <c:pt idx="12">
                  <c:v>10.189361702127712</c:v>
                </c:pt>
                <c:pt idx="13">
                  <c:v>13.189361702127712</c:v>
                </c:pt>
                <c:pt idx="14">
                  <c:v>13.407575757575415</c:v>
                </c:pt>
                <c:pt idx="15">
                  <c:v>11.189361702127712</c:v>
                </c:pt>
                <c:pt idx="16">
                  <c:v>8.3893617021277009</c:v>
                </c:pt>
                <c:pt idx="17">
                  <c:v>8.1893617021277123</c:v>
                </c:pt>
                <c:pt idx="18">
                  <c:v>6.7893617021276782</c:v>
                </c:pt>
                <c:pt idx="19">
                  <c:v>6.5893617021276896</c:v>
                </c:pt>
                <c:pt idx="20">
                  <c:v>5.3893617021277009</c:v>
                </c:pt>
                <c:pt idx="21">
                  <c:v>5.3893617021277009</c:v>
                </c:pt>
                <c:pt idx="22">
                  <c:v>3.3893617021277009</c:v>
                </c:pt>
                <c:pt idx="23">
                  <c:v>3.7893617021276782</c:v>
                </c:pt>
                <c:pt idx="24">
                  <c:v>2.5893617021276896</c:v>
                </c:pt>
                <c:pt idx="25">
                  <c:v>0.58936170212768957</c:v>
                </c:pt>
                <c:pt idx="26">
                  <c:v>3.3893617021277009</c:v>
                </c:pt>
                <c:pt idx="27">
                  <c:v>3.3893617021277009</c:v>
                </c:pt>
                <c:pt idx="28">
                  <c:v>4.8075757575753926</c:v>
                </c:pt>
                <c:pt idx="29">
                  <c:v>1.7893617021276782</c:v>
                </c:pt>
                <c:pt idx="30">
                  <c:v>1.5893617021276896</c:v>
                </c:pt>
                <c:pt idx="31">
                  <c:v>-0.41063829787231043</c:v>
                </c:pt>
                <c:pt idx="32">
                  <c:v>-0.41063829787231043</c:v>
                </c:pt>
                <c:pt idx="33">
                  <c:v>-1.4106382978723104</c:v>
                </c:pt>
                <c:pt idx="34">
                  <c:v>-0.81063829787231612</c:v>
                </c:pt>
                <c:pt idx="35">
                  <c:v>1.4075757575753869</c:v>
                </c:pt>
                <c:pt idx="36">
                  <c:v>-3.6106382978722991</c:v>
                </c:pt>
                <c:pt idx="37">
                  <c:v>-3.6106382978722991</c:v>
                </c:pt>
                <c:pt idx="38">
                  <c:v>2.8075757575753926</c:v>
                </c:pt>
                <c:pt idx="39">
                  <c:v>7.0075757575753812</c:v>
                </c:pt>
                <c:pt idx="40">
                  <c:v>6.8075757575753926</c:v>
                </c:pt>
                <c:pt idx="41">
                  <c:v>4.4075757575754153</c:v>
                </c:pt>
                <c:pt idx="42">
                  <c:v>3.8075757575753926</c:v>
                </c:pt>
                <c:pt idx="43">
                  <c:v>5.8075757575753926</c:v>
                </c:pt>
                <c:pt idx="44">
                  <c:v>5.0075757575753812</c:v>
                </c:pt>
                <c:pt idx="45">
                  <c:v>6.6075757575754039</c:v>
                </c:pt>
                <c:pt idx="46">
                  <c:v>5.3893617021277009</c:v>
                </c:pt>
                <c:pt idx="47">
                  <c:v>1.3893617021277009</c:v>
                </c:pt>
                <c:pt idx="48">
                  <c:v>1.6075757575754039</c:v>
                </c:pt>
                <c:pt idx="49">
                  <c:v>-0.19242424242460743</c:v>
                </c:pt>
                <c:pt idx="50">
                  <c:v>-1.1924242424246074</c:v>
                </c:pt>
                <c:pt idx="51">
                  <c:v>-1.5924242424246131</c:v>
                </c:pt>
                <c:pt idx="52">
                  <c:v>0.20757575757539826</c:v>
                </c:pt>
                <c:pt idx="53">
                  <c:v>-1.3924242424245961</c:v>
                </c:pt>
                <c:pt idx="54">
                  <c:v>-0.9924242424246188</c:v>
                </c:pt>
                <c:pt idx="55">
                  <c:v>-2.5924242424246131</c:v>
                </c:pt>
                <c:pt idx="56">
                  <c:v>-5.0106382978723047</c:v>
                </c:pt>
                <c:pt idx="57">
                  <c:v>-4.1924242424246074</c:v>
                </c:pt>
                <c:pt idx="58">
                  <c:v>-4.5924242424246131</c:v>
                </c:pt>
                <c:pt idx="59">
                  <c:v>-4.9924242424246188</c:v>
                </c:pt>
                <c:pt idx="60">
                  <c:v>-5.7924242424246017</c:v>
                </c:pt>
                <c:pt idx="61">
                  <c:v>-6.5924242424246131</c:v>
                </c:pt>
                <c:pt idx="62">
                  <c:v>-7.5924242424246131</c:v>
                </c:pt>
                <c:pt idx="63">
                  <c:v>-7.5924242424246131</c:v>
                </c:pt>
                <c:pt idx="64">
                  <c:v>-7.1924242424246074</c:v>
                </c:pt>
                <c:pt idx="65">
                  <c:v>-5.6106382978722991</c:v>
                </c:pt>
                <c:pt idx="66">
                  <c:v>-7.4106382978723104</c:v>
                </c:pt>
                <c:pt idx="67">
                  <c:v>-7.6106382978722991</c:v>
                </c:pt>
                <c:pt idx="68">
                  <c:v>-1.7924242424246017</c:v>
                </c:pt>
                <c:pt idx="69">
                  <c:v>-4.5924242424246131</c:v>
                </c:pt>
                <c:pt idx="70">
                  <c:v>-6.7924242424246017</c:v>
                </c:pt>
                <c:pt idx="71">
                  <c:v>-8.3924242424245961</c:v>
                </c:pt>
                <c:pt idx="72">
                  <c:v>-2.1924242424246074</c:v>
                </c:pt>
                <c:pt idx="73">
                  <c:v>-2.1924242424246074</c:v>
                </c:pt>
                <c:pt idx="74">
                  <c:v>-3.0106382978723047</c:v>
                </c:pt>
                <c:pt idx="75">
                  <c:v>-6.8106382978723161</c:v>
                </c:pt>
                <c:pt idx="76">
                  <c:v>-5.3924242424245961</c:v>
                </c:pt>
                <c:pt idx="77">
                  <c:v>-8.4106382978723104</c:v>
                </c:pt>
                <c:pt idx="78">
                  <c:v>-7.5924242424246131</c:v>
                </c:pt>
                <c:pt idx="79">
                  <c:v>-3.3924242424245961</c:v>
                </c:pt>
                <c:pt idx="80">
                  <c:v>-2.3924242424245961</c:v>
                </c:pt>
                <c:pt idx="81">
                  <c:v>-1.5924242424246131</c:v>
                </c:pt>
                <c:pt idx="82">
                  <c:v>-4.9924242424246188</c:v>
                </c:pt>
                <c:pt idx="83">
                  <c:v>-5.5924242424246131</c:v>
                </c:pt>
                <c:pt idx="84">
                  <c:v>-6.4106382978723104</c:v>
                </c:pt>
                <c:pt idx="85">
                  <c:v>-3.1924242424246074</c:v>
                </c:pt>
                <c:pt idx="86">
                  <c:v>0.60757575757540394</c:v>
                </c:pt>
                <c:pt idx="87">
                  <c:v>3.8075757575753926</c:v>
                </c:pt>
                <c:pt idx="88">
                  <c:v>-2.0106382978723047</c:v>
                </c:pt>
                <c:pt idx="89">
                  <c:v>-3.4106382978723104</c:v>
                </c:pt>
                <c:pt idx="90">
                  <c:v>0.20757575757539826</c:v>
                </c:pt>
                <c:pt idx="91">
                  <c:v>-1.7924242424246017</c:v>
                </c:pt>
                <c:pt idx="92">
                  <c:v>1.6075757575754039</c:v>
                </c:pt>
                <c:pt idx="93">
                  <c:v>-0.81063829787231612</c:v>
                </c:pt>
                <c:pt idx="94">
                  <c:v>-3.0106382978723047</c:v>
                </c:pt>
                <c:pt idx="95">
                  <c:v>-3.0106382978723047</c:v>
                </c:pt>
                <c:pt idx="96">
                  <c:v>-3.0106382978723047</c:v>
                </c:pt>
                <c:pt idx="97">
                  <c:v>-6.0106382978723047</c:v>
                </c:pt>
                <c:pt idx="98">
                  <c:v>-4.1924242424246074</c:v>
                </c:pt>
                <c:pt idx="99">
                  <c:v>-2.7924242424246017</c:v>
                </c:pt>
                <c:pt idx="100">
                  <c:v>-3.3924242424245961</c:v>
                </c:pt>
                <c:pt idx="101">
                  <c:v>-1.9924242424246188</c:v>
                </c:pt>
                <c:pt idx="102">
                  <c:v>1.3893617021277009</c:v>
                </c:pt>
                <c:pt idx="103">
                  <c:v>4.0075757575753812</c:v>
                </c:pt>
                <c:pt idx="104">
                  <c:v>0.18936170212771231</c:v>
                </c:pt>
                <c:pt idx="105">
                  <c:v>-0.81063829787231612</c:v>
                </c:pt>
                <c:pt idx="106">
                  <c:v>-1.0106382978723047</c:v>
                </c:pt>
                <c:pt idx="107">
                  <c:v>-2.7924242424246017</c:v>
                </c:pt>
                <c:pt idx="108">
                  <c:v>-3.7924242424246017</c:v>
                </c:pt>
                <c:pt idx="109">
                  <c:v>-5.6106382978722991</c:v>
                </c:pt>
                <c:pt idx="110">
                  <c:v>-4.9924242424246188</c:v>
                </c:pt>
                <c:pt idx="111">
                  <c:v>-3.7924242424246017</c:v>
                </c:pt>
                <c:pt idx="112">
                  <c:v>-4.6106382978722991</c:v>
                </c:pt>
                <c:pt idx="113">
                  <c:v>-6.1924242424246074</c:v>
                </c:pt>
                <c:pt idx="114">
                  <c:v>-5.7924242424246017</c:v>
                </c:pt>
                <c:pt idx="115">
                  <c:v>-7.1924242424246074</c:v>
                </c:pt>
                <c:pt idx="116">
                  <c:v>-9.6106382978722991</c:v>
                </c:pt>
                <c:pt idx="117">
                  <c:v>-11.610638297872299</c:v>
                </c:pt>
                <c:pt idx="118">
                  <c:v>-9.7924242424246017</c:v>
                </c:pt>
                <c:pt idx="119">
                  <c:v>-9.9924242424246188</c:v>
                </c:pt>
                <c:pt idx="120">
                  <c:v>-9.1924242424246074</c:v>
                </c:pt>
                <c:pt idx="121">
                  <c:v>-9.4106382978723104</c:v>
                </c:pt>
                <c:pt idx="122">
                  <c:v>-6.8106382978723161</c:v>
                </c:pt>
                <c:pt idx="123">
                  <c:v>-6.0106382978723047</c:v>
                </c:pt>
                <c:pt idx="124">
                  <c:v>-1.7924242424246017</c:v>
                </c:pt>
                <c:pt idx="125">
                  <c:v>-3.5924242424246131</c:v>
                </c:pt>
                <c:pt idx="126">
                  <c:v>-1.5924242424246131</c:v>
                </c:pt>
                <c:pt idx="127">
                  <c:v>-2.8106382978723161</c:v>
                </c:pt>
                <c:pt idx="128">
                  <c:v>-3.4106382978723104</c:v>
                </c:pt>
                <c:pt idx="129">
                  <c:v>0.7893617021276782</c:v>
                </c:pt>
                <c:pt idx="130">
                  <c:v>-1.8106382978723161</c:v>
                </c:pt>
                <c:pt idx="131">
                  <c:v>1.0075757575753812</c:v>
                </c:pt>
                <c:pt idx="132">
                  <c:v>-1.6106382978722991</c:v>
                </c:pt>
                <c:pt idx="133">
                  <c:v>1.6075757575754039</c:v>
                </c:pt>
                <c:pt idx="134">
                  <c:v>3.0075757575753812</c:v>
                </c:pt>
                <c:pt idx="135">
                  <c:v>1.5893617021276896</c:v>
                </c:pt>
                <c:pt idx="136">
                  <c:v>-4.6106382978722991</c:v>
                </c:pt>
                <c:pt idx="137">
                  <c:v>-6.0106382978723047</c:v>
                </c:pt>
                <c:pt idx="138">
                  <c:v>-5.4106382978723104</c:v>
                </c:pt>
                <c:pt idx="139">
                  <c:v>-4.9924242424246188</c:v>
                </c:pt>
                <c:pt idx="140">
                  <c:v>-6.1924242424246074</c:v>
                </c:pt>
                <c:pt idx="141">
                  <c:v>-3.9924242424246188</c:v>
                </c:pt>
                <c:pt idx="142">
                  <c:v>-1.1924242424246074</c:v>
                </c:pt>
                <c:pt idx="143">
                  <c:v>-3.3924242424245961</c:v>
                </c:pt>
                <c:pt idx="144">
                  <c:v>-1.3924242424245961</c:v>
                </c:pt>
                <c:pt idx="145">
                  <c:v>-3.1924242424246074</c:v>
                </c:pt>
                <c:pt idx="146">
                  <c:v>-4.7924242424246017</c:v>
                </c:pt>
                <c:pt idx="147">
                  <c:v>-0.59242424242461311</c:v>
                </c:pt>
                <c:pt idx="148">
                  <c:v>0.40757575757538689</c:v>
                </c:pt>
                <c:pt idx="149">
                  <c:v>-1.1924242424246074</c:v>
                </c:pt>
                <c:pt idx="150">
                  <c:v>-0.19242424242460743</c:v>
                </c:pt>
                <c:pt idx="151">
                  <c:v>-1.1924242424246074</c:v>
                </c:pt>
                <c:pt idx="152">
                  <c:v>-2.3924242424245961</c:v>
                </c:pt>
                <c:pt idx="153">
                  <c:v>-2.7924242424246017</c:v>
                </c:pt>
                <c:pt idx="154">
                  <c:v>-4.9924242424246188</c:v>
                </c:pt>
                <c:pt idx="155">
                  <c:v>-1.3924242424245961</c:v>
                </c:pt>
                <c:pt idx="156">
                  <c:v>-1.1924242424246074</c:v>
                </c:pt>
                <c:pt idx="157">
                  <c:v>4.8075757575753926</c:v>
                </c:pt>
                <c:pt idx="158">
                  <c:v>0.60757575757540394</c:v>
                </c:pt>
                <c:pt idx="159">
                  <c:v>-3.6106382978722991</c:v>
                </c:pt>
                <c:pt idx="160">
                  <c:v>-2.3924242424245961</c:v>
                </c:pt>
                <c:pt idx="161">
                  <c:v>0.60757575757540394</c:v>
                </c:pt>
                <c:pt idx="162">
                  <c:v>0.80757575757539257</c:v>
                </c:pt>
                <c:pt idx="163">
                  <c:v>-1.6106382978722991</c:v>
                </c:pt>
                <c:pt idx="164">
                  <c:v>-2.3924242424245961</c:v>
                </c:pt>
                <c:pt idx="165">
                  <c:v>3.2075757575753698</c:v>
                </c:pt>
                <c:pt idx="166">
                  <c:v>1.6075757575754039</c:v>
                </c:pt>
                <c:pt idx="167">
                  <c:v>-2.3924242424245961</c:v>
                </c:pt>
                <c:pt idx="168">
                  <c:v>-6.5924242424246131</c:v>
                </c:pt>
                <c:pt idx="169">
                  <c:v>-5.3924242424245961</c:v>
                </c:pt>
                <c:pt idx="170">
                  <c:v>-4.3924242424245961</c:v>
                </c:pt>
                <c:pt idx="171">
                  <c:v>-3.5924242424246131</c:v>
                </c:pt>
                <c:pt idx="172">
                  <c:v>-2.1924242424246074</c:v>
                </c:pt>
                <c:pt idx="173">
                  <c:v>1.4075757575753869</c:v>
                </c:pt>
                <c:pt idx="174">
                  <c:v>-1.5924242424246131</c:v>
                </c:pt>
                <c:pt idx="175">
                  <c:v>-1.7924242424246017</c:v>
                </c:pt>
                <c:pt idx="176">
                  <c:v>-3.1924242424246074</c:v>
                </c:pt>
                <c:pt idx="177">
                  <c:v>-5.2106382978723218</c:v>
                </c:pt>
                <c:pt idx="178">
                  <c:v>-1.7924242424246017</c:v>
                </c:pt>
                <c:pt idx="179">
                  <c:v>-0.19242424242460743</c:v>
                </c:pt>
                <c:pt idx="180">
                  <c:v>-0.39242424242459606</c:v>
                </c:pt>
                <c:pt idx="181">
                  <c:v>0.60757575757540394</c:v>
                </c:pt>
                <c:pt idx="182">
                  <c:v>-0.39242424242459606</c:v>
                </c:pt>
                <c:pt idx="183">
                  <c:v>-1.1924242424246074</c:v>
                </c:pt>
                <c:pt idx="184">
                  <c:v>-1.7924242424246017</c:v>
                </c:pt>
                <c:pt idx="185">
                  <c:v>-0.19242424242460743</c:v>
                </c:pt>
                <c:pt idx="186">
                  <c:v>-4.0106382978723047</c:v>
                </c:pt>
                <c:pt idx="187">
                  <c:v>-4.4106382978723104</c:v>
                </c:pt>
                <c:pt idx="188">
                  <c:v>-3.4106382978723104</c:v>
                </c:pt>
                <c:pt idx="189">
                  <c:v>-4.0106382978723047</c:v>
                </c:pt>
                <c:pt idx="190">
                  <c:v>-4.2106382978723218</c:v>
                </c:pt>
                <c:pt idx="191">
                  <c:v>-3.8106382978723161</c:v>
                </c:pt>
                <c:pt idx="192">
                  <c:v>-2.4106382978723104</c:v>
                </c:pt>
                <c:pt idx="193">
                  <c:v>0.80757575757539257</c:v>
                </c:pt>
                <c:pt idx="194">
                  <c:v>4.0075757575753812</c:v>
                </c:pt>
                <c:pt idx="195">
                  <c:v>1.2075757575753983</c:v>
                </c:pt>
                <c:pt idx="196">
                  <c:v>-2.1924242424246074</c:v>
                </c:pt>
                <c:pt idx="197">
                  <c:v>-2.4106382978723104</c:v>
                </c:pt>
                <c:pt idx="198">
                  <c:v>-1.4106382978723104</c:v>
                </c:pt>
                <c:pt idx="199">
                  <c:v>-2.4106382978723104</c:v>
                </c:pt>
                <c:pt idx="200">
                  <c:v>3.6075757575754039</c:v>
                </c:pt>
                <c:pt idx="201">
                  <c:v>-0.2106382978723218</c:v>
                </c:pt>
                <c:pt idx="202">
                  <c:v>3.5893617021276896</c:v>
                </c:pt>
                <c:pt idx="203">
                  <c:v>7.6075757575754039</c:v>
                </c:pt>
                <c:pt idx="204">
                  <c:v>5.8075757575753926</c:v>
                </c:pt>
                <c:pt idx="205">
                  <c:v>8.2075757575753698</c:v>
                </c:pt>
                <c:pt idx="206">
                  <c:v>11.007575757575381</c:v>
                </c:pt>
                <c:pt idx="207">
                  <c:v>5.1893617021277123</c:v>
                </c:pt>
                <c:pt idx="208">
                  <c:v>0.7893617021276782</c:v>
                </c:pt>
                <c:pt idx="209">
                  <c:v>1.1893617021277123</c:v>
                </c:pt>
                <c:pt idx="210">
                  <c:v>4.3893617021277009</c:v>
                </c:pt>
                <c:pt idx="211">
                  <c:v>4.7893617021276782</c:v>
                </c:pt>
                <c:pt idx="212">
                  <c:v>7.4075757575754153</c:v>
                </c:pt>
                <c:pt idx="213">
                  <c:v>6.9893617021276668</c:v>
                </c:pt>
                <c:pt idx="214">
                  <c:v>-0.2106382978723218</c:v>
                </c:pt>
                <c:pt idx="215">
                  <c:v>0.38936170212770094</c:v>
                </c:pt>
                <c:pt idx="216">
                  <c:v>1.5893617021276896</c:v>
                </c:pt>
                <c:pt idx="217">
                  <c:v>4.6075757575754039</c:v>
                </c:pt>
                <c:pt idx="218">
                  <c:v>4.6075757575754039</c:v>
                </c:pt>
                <c:pt idx="219">
                  <c:v>4.5893617021276896</c:v>
                </c:pt>
                <c:pt idx="220">
                  <c:v>4.7893617021276782</c:v>
                </c:pt>
                <c:pt idx="221">
                  <c:v>4.5893617021276896</c:v>
                </c:pt>
                <c:pt idx="222">
                  <c:v>4.8075757575753926</c:v>
                </c:pt>
                <c:pt idx="223">
                  <c:v>2.1893617021277123</c:v>
                </c:pt>
                <c:pt idx="224">
                  <c:v>-0.61063829787229906</c:v>
                </c:pt>
                <c:pt idx="225">
                  <c:v>-1.4106382978723104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8-4849-8FAF-E6E1A176A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56175"/>
        <c:axId val="2123757135"/>
      </c:scatterChart>
      <c:valAx>
        <c:axId val="21237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7135"/>
        <c:crosses val="autoZero"/>
        <c:crossBetween val="midCat"/>
      </c:valAx>
      <c:valAx>
        <c:axId val="2123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Log'!$R$2:$R$227</c:f>
              <c:numCache>
                <c:formatCode>0.00</c:formatCode>
                <c:ptCount val="226"/>
                <c:pt idx="0">
                  <c:v>1465</c:v>
                </c:pt>
                <c:pt idx="1">
                  <c:v>2521</c:v>
                </c:pt>
                <c:pt idx="2">
                  <c:v>1385.1916666666666</c:v>
                </c:pt>
                <c:pt idx="3">
                  <c:v>570</c:v>
                </c:pt>
                <c:pt idx="4">
                  <c:v>1946.3333333333301</c:v>
                </c:pt>
                <c:pt idx="5">
                  <c:v>1265.2333333333333</c:v>
                </c:pt>
                <c:pt idx="6">
                  <c:v>2167.3333333333335</c:v>
                </c:pt>
                <c:pt idx="7">
                  <c:v>4080</c:v>
                </c:pt>
                <c:pt idx="8">
                  <c:v>2535.9333333333334</c:v>
                </c:pt>
                <c:pt idx="9">
                  <c:v>1635.9333333333334</c:v>
                </c:pt>
                <c:pt idx="10">
                  <c:v>1645.3333333333333</c:v>
                </c:pt>
                <c:pt idx="11">
                  <c:v>1216.2666666666669</c:v>
                </c:pt>
                <c:pt idx="12">
                  <c:v>2812.3583333333336</c:v>
                </c:pt>
                <c:pt idx="13">
                  <c:v>1805.45</c:v>
                </c:pt>
                <c:pt idx="14">
                  <c:v>1547.6925000000001</c:v>
                </c:pt>
                <c:pt idx="15">
                  <c:v>2194.1925000000001</c:v>
                </c:pt>
                <c:pt idx="16">
                  <c:v>954.40000000000009</c:v>
                </c:pt>
                <c:pt idx="17">
                  <c:v>1094.4000000000001</c:v>
                </c:pt>
                <c:pt idx="18">
                  <c:v>952.90000000000009</c:v>
                </c:pt>
                <c:pt idx="19">
                  <c:v>2076.0425</c:v>
                </c:pt>
                <c:pt idx="20">
                  <c:v>1171.1500000000001</c:v>
                </c:pt>
                <c:pt idx="21">
                  <c:v>1103.1424999999999</c:v>
                </c:pt>
                <c:pt idx="22">
                  <c:v>1099.3403333333333</c:v>
                </c:pt>
                <c:pt idx="23">
                  <c:v>929.57666666666671</c:v>
                </c:pt>
                <c:pt idx="24">
                  <c:v>1264.6766666666667</c:v>
                </c:pt>
                <c:pt idx="25">
                  <c:v>1016.4766666666667</c:v>
                </c:pt>
                <c:pt idx="26">
                  <c:v>1494.2766666666666</c:v>
                </c:pt>
                <c:pt idx="27">
                  <c:v>1373.0766666666666</c:v>
                </c:pt>
                <c:pt idx="28">
                  <c:v>1208.0766666666666</c:v>
                </c:pt>
                <c:pt idx="29">
                  <c:v>1084.4850000000001</c:v>
                </c:pt>
                <c:pt idx="30">
                  <c:v>838.5150000000001</c:v>
                </c:pt>
                <c:pt idx="31">
                  <c:v>1120.8966666666668</c:v>
                </c:pt>
                <c:pt idx="32">
                  <c:v>961.5150000000001</c:v>
                </c:pt>
                <c:pt idx="33">
                  <c:v>1679.0300000000002</c:v>
                </c:pt>
                <c:pt idx="34">
                  <c:v>910.89666666666676</c:v>
                </c:pt>
                <c:pt idx="35">
                  <c:v>1913</c:v>
                </c:pt>
                <c:pt idx="36">
                  <c:v>660.31500000000005</c:v>
                </c:pt>
                <c:pt idx="37">
                  <c:v>8729</c:v>
                </c:pt>
                <c:pt idx="38">
                  <c:v>5246</c:v>
                </c:pt>
                <c:pt idx="39">
                  <c:v>4250</c:v>
                </c:pt>
                <c:pt idx="40">
                  <c:v>3910</c:v>
                </c:pt>
                <c:pt idx="41">
                  <c:v>2672</c:v>
                </c:pt>
                <c:pt idx="42">
                  <c:v>2990</c:v>
                </c:pt>
                <c:pt idx="43">
                  <c:v>4480</c:v>
                </c:pt>
                <c:pt idx="44">
                  <c:v>4097.0910000000003</c:v>
                </c:pt>
                <c:pt idx="45">
                  <c:v>4807.8961428571429</c:v>
                </c:pt>
                <c:pt idx="46">
                  <c:v>1731.8363095238096</c:v>
                </c:pt>
                <c:pt idx="47">
                  <c:v>1426.5876015289059</c:v>
                </c:pt>
                <c:pt idx="48">
                  <c:v>1383.4785714285715</c:v>
                </c:pt>
                <c:pt idx="49">
                  <c:v>1320.5876015289059</c:v>
                </c:pt>
                <c:pt idx="50">
                  <c:v>1420.5876015289059</c:v>
                </c:pt>
                <c:pt idx="51">
                  <c:v>2715.5266666666666</c:v>
                </c:pt>
                <c:pt idx="52">
                  <c:v>1360.5876015289059</c:v>
                </c:pt>
                <c:pt idx="53">
                  <c:v>1806.7666666666669</c:v>
                </c:pt>
                <c:pt idx="54">
                  <c:v>1420.5876015289059</c:v>
                </c:pt>
                <c:pt idx="55">
                  <c:v>2139.6756967670008</c:v>
                </c:pt>
                <c:pt idx="56">
                  <c:v>1865.945238095238</c:v>
                </c:pt>
                <c:pt idx="57">
                  <c:v>950.84523809523807</c:v>
                </c:pt>
                <c:pt idx="58">
                  <c:v>1500.1</c:v>
                </c:pt>
                <c:pt idx="59">
                  <c:v>947.84523809523807</c:v>
                </c:pt>
                <c:pt idx="60">
                  <c:v>1579.1</c:v>
                </c:pt>
                <c:pt idx="61">
                  <c:v>1396.8452380952381</c:v>
                </c:pt>
                <c:pt idx="62">
                  <c:v>1535.945238095238</c:v>
                </c:pt>
                <c:pt idx="63">
                  <c:v>917.09999999999991</c:v>
                </c:pt>
                <c:pt idx="64">
                  <c:v>5571</c:v>
                </c:pt>
                <c:pt idx="65">
                  <c:v>563</c:v>
                </c:pt>
                <c:pt idx="66">
                  <c:v>1751.8452380952381</c:v>
                </c:pt>
                <c:pt idx="67">
                  <c:v>6805.1</c:v>
                </c:pt>
                <c:pt idx="68">
                  <c:v>1611.3416666666667</c:v>
                </c:pt>
                <c:pt idx="69">
                  <c:v>1531.4642857142858</c:v>
                </c:pt>
                <c:pt idx="70">
                  <c:v>1168.6833333333334</c:v>
                </c:pt>
                <c:pt idx="71">
                  <c:v>5765.9809523809527</c:v>
                </c:pt>
                <c:pt idx="72">
                  <c:v>1465</c:v>
                </c:pt>
                <c:pt idx="73">
                  <c:v>5250</c:v>
                </c:pt>
                <c:pt idx="74">
                  <c:v>1052.6833333333334</c:v>
                </c:pt>
                <c:pt idx="75">
                  <c:v>1256.7809523809524</c:v>
                </c:pt>
                <c:pt idx="76">
                  <c:v>1981.3666666666666</c:v>
                </c:pt>
                <c:pt idx="77">
                  <c:v>1446.7809523809524</c:v>
                </c:pt>
                <c:pt idx="78">
                  <c:v>6761.2809523809519</c:v>
                </c:pt>
                <c:pt idx="79">
                  <c:v>3475</c:v>
                </c:pt>
                <c:pt idx="80">
                  <c:v>1697.6833333333334</c:v>
                </c:pt>
                <c:pt idx="81">
                  <c:v>2614.1476190476192</c:v>
                </c:pt>
                <c:pt idx="82">
                  <c:v>2384.9333333333334</c:v>
                </c:pt>
                <c:pt idx="83">
                  <c:v>1826.8833333333332</c:v>
                </c:pt>
                <c:pt idx="84">
                  <c:v>3227.333333333333</c:v>
                </c:pt>
                <c:pt idx="85">
                  <c:v>5149.2775000000001</c:v>
                </c:pt>
                <c:pt idx="86">
                  <c:v>6937.7775000000001</c:v>
                </c:pt>
                <c:pt idx="87">
                  <c:v>1985.5549999999998</c:v>
                </c:pt>
                <c:pt idx="88">
                  <c:v>2473.7108333333331</c:v>
                </c:pt>
                <c:pt idx="89">
                  <c:v>3155.1333333333332</c:v>
                </c:pt>
                <c:pt idx="90">
                  <c:v>2717.6</c:v>
                </c:pt>
                <c:pt idx="91">
                  <c:v>7706.8</c:v>
                </c:pt>
                <c:pt idx="92">
                  <c:v>6005.7866666666669</c:v>
                </c:pt>
                <c:pt idx="93">
                  <c:v>1501.3583333333331</c:v>
                </c:pt>
                <c:pt idx="94">
                  <c:v>1293.1566666666668</c:v>
                </c:pt>
                <c:pt idx="95">
                  <c:v>2740.1949999999997</c:v>
                </c:pt>
                <c:pt idx="96">
                  <c:v>1731.3566666666666</c:v>
                </c:pt>
                <c:pt idx="97">
                  <c:v>2851.8975</c:v>
                </c:pt>
                <c:pt idx="98">
                  <c:v>3982.0666666666666</c:v>
                </c:pt>
                <c:pt idx="99">
                  <c:v>4340.2266666666665</c:v>
                </c:pt>
                <c:pt idx="100">
                  <c:v>6197.8975</c:v>
                </c:pt>
                <c:pt idx="101">
                  <c:v>7687</c:v>
                </c:pt>
                <c:pt idx="102">
                  <c:v>1855.9666666666667</c:v>
                </c:pt>
                <c:pt idx="103">
                  <c:v>1957.58</c:v>
                </c:pt>
                <c:pt idx="104">
                  <c:v>1957.58</c:v>
                </c:pt>
                <c:pt idx="105">
                  <c:v>2466.2033333333334</c:v>
                </c:pt>
                <c:pt idx="106">
                  <c:v>2987.55</c:v>
                </c:pt>
                <c:pt idx="107">
                  <c:v>1735.0233333333333</c:v>
                </c:pt>
                <c:pt idx="108">
                  <c:v>1204.9933333333333</c:v>
                </c:pt>
                <c:pt idx="109">
                  <c:v>2981.1</c:v>
                </c:pt>
                <c:pt idx="110">
                  <c:v>2506.7633333333333</c:v>
                </c:pt>
                <c:pt idx="111">
                  <c:v>3673.7</c:v>
                </c:pt>
                <c:pt idx="112">
                  <c:v>2366.0533333333333</c:v>
                </c:pt>
                <c:pt idx="113">
                  <c:v>1635.9233333333332</c:v>
                </c:pt>
                <c:pt idx="114">
                  <c:v>1498.1</c:v>
                </c:pt>
                <c:pt idx="115">
                  <c:v>1605.0633333333333</c:v>
                </c:pt>
                <c:pt idx="116">
                  <c:v>1748.55</c:v>
                </c:pt>
                <c:pt idx="117">
                  <c:v>1548.4</c:v>
                </c:pt>
                <c:pt idx="118">
                  <c:v>1562</c:v>
                </c:pt>
                <c:pt idx="119">
                  <c:v>1366</c:v>
                </c:pt>
                <c:pt idx="120">
                  <c:v>1257.0999999999999</c:v>
                </c:pt>
                <c:pt idx="121">
                  <c:v>8222</c:v>
                </c:pt>
                <c:pt idx="122">
                  <c:v>4515.8237499999996</c:v>
                </c:pt>
                <c:pt idx="123">
                  <c:v>5192.6812499999996</c:v>
                </c:pt>
                <c:pt idx="124">
                  <c:v>560</c:v>
                </c:pt>
                <c:pt idx="125">
                  <c:v>4345.1558333333342</c:v>
                </c:pt>
                <c:pt idx="126">
                  <c:v>5061.466071428571</c:v>
                </c:pt>
                <c:pt idx="127">
                  <c:v>7330.8238095238103</c:v>
                </c:pt>
                <c:pt idx="128">
                  <c:v>6810.4339285714286</c:v>
                </c:pt>
                <c:pt idx="129">
                  <c:v>5391.7351190476193</c:v>
                </c:pt>
                <c:pt idx="130">
                  <c:v>4849.4448214285712</c:v>
                </c:pt>
                <c:pt idx="131">
                  <c:v>500</c:v>
                </c:pt>
                <c:pt idx="132">
                  <c:v>5525</c:v>
                </c:pt>
                <c:pt idx="133">
                  <c:v>4857.2833333333328</c:v>
                </c:pt>
                <c:pt idx="134">
                  <c:v>4762.6833333333334</c:v>
                </c:pt>
                <c:pt idx="135">
                  <c:v>4631.3</c:v>
                </c:pt>
                <c:pt idx="136">
                  <c:v>3025.2295833333337</c:v>
                </c:pt>
                <c:pt idx="137">
                  <c:v>3309.7843750000002</c:v>
                </c:pt>
                <c:pt idx="138">
                  <c:v>692</c:v>
                </c:pt>
                <c:pt idx="139">
                  <c:v>3776.5233333333335</c:v>
                </c:pt>
                <c:pt idx="140">
                  <c:v>4886.0414583333331</c:v>
                </c:pt>
                <c:pt idx="141">
                  <c:v>3312.8814583333333</c:v>
                </c:pt>
                <c:pt idx="142">
                  <c:v>3113.3677083333332</c:v>
                </c:pt>
                <c:pt idx="143">
                  <c:v>4050.583333333333</c:v>
                </c:pt>
                <c:pt idx="144">
                  <c:v>2263.6781249999999</c:v>
                </c:pt>
                <c:pt idx="145">
                  <c:v>10</c:v>
                </c:pt>
                <c:pt idx="146">
                  <c:v>2235.6781249999999</c:v>
                </c:pt>
                <c:pt idx="147">
                  <c:v>6047</c:v>
                </c:pt>
                <c:pt idx="148">
                  <c:v>2667</c:v>
                </c:pt>
                <c:pt idx="149">
                  <c:v>2940</c:v>
                </c:pt>
                <c:pt idx="150">
                  <c:v>1592</c:v>
                </c:pt>
                <c:pt idx="151">
                  <c:v>5802.7849999999999</c:v>
                </c:pt>
                <c:pt idx="152">
                  <c:v>1316.9749999999999</c:v>
                </c:pt>
                <c:pt idx="153">
                  <c:v>1219.3699999999999</c:v>
                </c:pt>
                <c:pt idx="154">
                  <c:v>2270.0566666666668</c:v>
                </c:pt>
                <c:pt idx="155">
                  <c:v>2812.5150000000003</c:v>
                </c:pt>
                <c:pt idx="156">
                  <c:v>7104.37</c:v>
                </c:pt>
                <c:pt idx="157">
                  <c:v>1995.5166666666667</c:v>
                </c:pt>
                <c:pt idx="158">
                  <c:v>2392.7399999999998</c:v>
                </c:pt>
                <c:pt idx="159">
                  <c:v>1908.2166666666665</c:v>
                </c:pt>
                <c:pt idx="160">
                  <c:v>4115.6466666666665</c:v>
                </c:pt>
                <c:pt idx="161">
                  <c:v>2253.5166666666664</c:v>
                </c:pt>
                <c:pt idx="162">
                  <c:v>4339.55</c:v>
                </c:pt>
                <c:pt idx="163">
                  <c:v>2963.74</c:v>
                </c:pt>
                <c:pt idx="164">
                  <c:v>5194.74</c:v>
                </c:pt>
                <c:pt idx="165">
                  <c:v>2174</c:v>
                </c:pt>
                <c:pt idx="166">
                  <c:v>2046.3866666666668</c:v>
                </c:pt>
                <c:pt idx="167">
                  <c:v>1417.494375</c:v>
                </c:pt>
                <c:pt idx="168">
                  <c:v>2175.2666666666664</c:v>
                </c:pt>
                <c:pt idx="169">
                  <c:v>2027.547619047619</c:v>
                </c:pt>
                <c:pt idx="170">
                  <c:v>3443.7610416666666</c:v>
                </c:pt>
                <c:pt idx="171">
                  <c:v>3056.2666666666664</c:v>
                </c:pt>
                <c:pt idx="172">
                  <c:v>6201.5</c:v>
                </c:pt>
                <c:pt idx="173">
                  <c:v>3067.041994047619</c:v>
                </c:pt>
                <c:pt idx="174">
                  <c:v>2795.8586607142856</c:v>
                </c:pt>
                <c:pt idx="175">
                  <c:v>2490.5476190476193</c:v>
                </c:pt>
                <c:pt idx="176">
                  <c:v>2392.6666666666665</c:v>
                </c:pt>
                <c:pt idx="177">
                  <c:v>1220.4000000000001</c:v>
                </c:pt>
                <c:pt idx="178">
                  <c:v>4894.0476190476193</c:v>
                </c:pt>
                <c:pt idx="179">
                  <c:v>2821.5142857142855</c:v>
                </c:pt>
                <c:pt idx="180">
                  <c:v>2853.2666666666664</c:v>
                </c:pt>
                <c:pt idx="181">
                  <c:v>1625.2666666666667</c:v>
                </c:pt>
                <c:pt idx="182">
                  <c:v>3921.0125595238096</c:v>
                </c:pt>
                <c:pt idx="183">
                  <c:v>2820.7610416666666</c:v>
                </c:pt>
                <c:pt idx="184">
                  <c:v>1694.2666666666667</c:v>
                </c:pt>
                <c:pt idx="185">
                  <c:v>963.26666666666665</c:v>
                </c:pt>
                <c:pt idx="186">
                  <c:v>2564.7571428571428</c:v>
                </c:pt>
                <c:pt idx="187">
                  <c:v>3749.5142857142855</c:v>
                </c:pt>
                <c:pt idx="188">
                  <c:v>2080.6566666666668</c:v>
                </c:pt>
                <c:pt idx="189">
                  <c:v>6100.4210416666665</c:v>
                </c:pt>
                <c:pt idx="190">
                  <c:v>4590.5896130952387</c:v>
                </c:pt>
                <c:pt idx="191">
                  <c:v>4289.8196130952383</c:v>
                </c:pt>
                <c:pt idx="192">
                  <c:v>5915</c:v>
                </c:pt>
                <c:pt idx="193">
                  <c:v>5619.666666666667</c:v>
                </c:pt>
                <c:pt idx="194">
                  <c:v>2403.3229464285714</c:v>
                </c:pt>
                <c:pt idx="195">
                  <c:v>2964.7252380952382</c:v>
                </c:pt>
                <c:pt idx="196">
                  <c:v>3016.4285714285716</c:v>
                </c:pt>
                <c:pt idx="197">
                  <c:v>2835.166666666667</c:v>
                </c:pt>
                <c:pt idx="198">
                  <c:v>3105.8571428571431</c:v>
                </c:pt>
                <c:pt idx="199">
                  <c:v>4711.3943749999999</c:v>
                </c:pt>
                <c:pt idx="200">
                  <c:v>5535.3943749999999</c:v>
                </c:pt>
                <c:pt idx="201">
                  <c:v>6639</c:v>
                </c:pt>
                <c:pt idx="202">
                  <c:v>4938.1818750000002</c:v>
                </c:pt>
                <c:pt idx="203">
                  <c:v>6715.1818750000002</c:v>
                </c:pt>
                <c:pt idx="204">
                  <c:v>6197</c:v>
                </c:pt>
                <c:pt idx="205">
                  <c:v>5768.4333333333334</c:v>
                </c:pt>
                <c:pt idx="206">
                  <c:v>1053.2833333333333</c:v>
                </c:pt>
                <c:pt idx="207">
                  <c:v>3000.2233333333334</c:v>
                </c:pt>
                <c:pt idx="208">
                  <c:v>3526.6766666666667</c:v>
                </c:pt>
                <c:pt idx="209">
                  <c:v>4550.4666666666662</c:v>
                </c:pt>
                <c:pt idx="210">
                  <c:v>1650.7433333333333</c:v>
                </c:pt>
                <c:pt idx="211">
                  <c:v>2914.3553395667836</c:v>
                </c:pt>
                <c:pt idx="212">
                  <c:v>2914.3553395667836</c:v>
                </c:pt>
                <c:pt idx="213">
                  <c:v>2914.3553395667836</c:v>
                </c:pt>
                <c:pt idx="214">
                  <c:v>2914.3553395667836</c:v>
                </c:pt>
                <c:pt idx="215">
                  <c:v>2914.3553395667836</c:v>
                </c:pt>
                <c:pt idx="216">
                  <c:v>2914.3553395667836</c:v>
                </c:pt>
                <c:pt idx="217">
                  <c:v>2914.3553395667836</c:v>
                </c:pt>
                <c:pt idx="218">
                  <c:v>3404.6666666666665</c:v>
                </c:pt>
                <c:pt idx="219">
                  <c:v>3011</c:v>
                </c:pt>
                <c:pt idx="220">
                  <c:v>1508</c:v>
                </c:pt>
                <c:pt idx="221">
                  <c:v>4368</c:v>
                </c:pt>
                <c:pt idx="222">
                  <c:v>1983.9</c:v>
                </c:pt>
                <c:pt idx="223">
                  <c:v>1723.8200000000002</c:v>
                </c:pt>
                <c:pt idx="224">
                  <c:v>2553.94</c:v>
                </c:pt>
                <c:pt idx="225">
                  <c:v>8019</c:v>
                </c:pt>
              </c:numCache>
            </c:numRef>
          </c:xVal>
          <c:yVal>
            <c:numRef>
              <c:f>Residuals!$AU$2:$AU$227</c:f>
              <c:numCache>
                <c:formatCode>0.00</c:formatCode>
                <c:ptCount val="226"/>
                <c:pt idx="0">
                  <c:v>19.892580310812122</c:v>
                </c:pt>
                <c:pt idx="1">
                  <c:v>16.524184934634377</c:v>
                </c:pt>
                <c:pt idx="2">
                  <c:v>16.059961328154714</c:v>
                </c:pt>
                <c:pt idx="3">
                  <c:v>16.726779043462727</c:v>
                </c:pt>
                <c:pt idx="4">
                  <c:v>14.08930918606444</c:v>
                </c:pt>
                <c:pt idx="5">
                  <c:v>12.810932378029065</c:v>
                </c:pt>
                <c:pt idx="6">
                  <c:v>13.379635532527232</c:v>
                </c:pt>
                <c:pt idx="7">
                  <c:v>14.161373957872001</c:v>
                </c:pt>
                <c:pt idx="8">
                  <c:v>14.130288434365156</c:v>
                </c:pt>
                <c:pt idx="9">
                  <c:v>16.962443584516677</c:v>
                </c:pt>
                <c:pt idx="10">
                  <c:v>15.166285519615087</c:v>
                </c:pt>
                <c:pt idx="11">
                  <c:v>12.590918893420593</c:v>
                </c:pt>
                <c:pt idx="12">
                  <c:v>11.443267892831187</c:v>
                </c:pt>
                <c:pt idx="13">
                  <c:v>14.031727843179823</c:v>
                </c:pt>
                <c:pt idx="14">
                  <c:v>11.926378099974443</c:v>
                </c:pt>
                <c:pt idx="15">
                  <c:v>12.190613317115634</c:v>
                </c:pt>
                <c:pt idx="16">
                  <c:v>8.8838896659980549</c:v>
                </c:pt>
                <c:pt idx="17">
                  <c:v>8.7411099759744957</c:v>
                </c:pt>
                <c:pt idx="18">
                  <c:v>7.2832765912482671</c:v>
                </c:pt>
                <c:pt idx="19">
                  <c:v>7.5423234626605051</c:v>
                </c:pt>
                <c:pt idx="20">
                  <c:v>5.9724789673365706</c:v>
                </c:pt>
                <c:pt idx="21">
                  <c:v>5.9446831799742483</c:v>
                </c:pt>
                <c:pt idx="22">
                  <c:v>3.9431291717224894</c:v>
                </c:pt>
                <c:pt idx="23">
                  <c:v>4.2737439600838627</c:v>
                </c:pt>
                <c:pt idx="24">
                  <c:v>3.2107048591774685</c:v>
                </c:pt>
                <c:pt idx="25">
                  <c:v>1.1092614239192642</c:v>
                </c:pt>
                <c:pt idx="26">
                  <c:v>4.1045461675388424</c:v>
                </c:pt>
                <c:pt idx="27">
                  <c:v>4.0550097277592556</c:v>
                </c:pt>
                <c:pt idx="28">
                  <c:v>3.1875715052869964</c:v>
                </c:pt>
                <c:pt idx="29">
                  <c:v>2.3370575518786154</c:v>
                </c:pt>
                <c:pt idx="30">
                  <c:v>2.03652555441505</c:v>
                </c:pt>
                <c:pt idx="31">
                  <c:v>0.15193960083166758</c:v>
                </c:pt>
                <c:pt idx="32">
                  <c:v>8.6797683894332067E-2</c:v>
                </c:pt>
                <c:pt idx="33">
                  <c:v>-0.61994209672891998</c:v>
                </c:pt>
                <c:pt idx="34">
                  <c:v>-0.33389086413299651</c:v>
                </c:pt>
                <c:pt idx="35">
                  <c:v>7.5685302736701487E-2</c:v>
                </c:pt>
                <c:pt idx="36">
                  <c:v>-3.2363077258549424</c:v>
                </c:pt>
                <c:pt idx="37">
                  <c:v>6.1496965589554975E-2</c:v>
                </c:pt>
                <c:pt idx="38">
                  <c:v>2.8379373966757555</c:v>
                </c:pt>
                <c:pt idx="39">
                  <c:v>6.6308557628433675</c:v>
                </c:pt>
                <c:pt idx="40">
                  <c:v>6.2918921529006013</c:v>
                </c:pt>
                <c:pt idx="41">
                  <c:v>3.3859011261089904</c:v>
                </c:pt>
                <c:pt idx="42">
                  <c:v>2.9158729730554285</c:v>
                </c:pt>
                <c:pt idx="43">
                  <c:v>5.5248605578046579</c:v>
                </c:pt>
                <c:pt idx="44">
                  <c:v>4.5683593315706048</c:v>
                </c:pt>
                <c:pt idx="45">
                  <c:v>6.4588771216215548</c:v>
                </c:pt>
                <c:pt idx="46">
                  <c:v>6.2016407132686879</c:v>
                </c:pt>
                <c:pt idx="47">
                  <c:v>2.0768805297588528</c:v>
                </c:pt>
                <c:pt idx="48">
                  <c:v>5.9261157865108771E-2</c:v>
                </c:pt>
                <c:pt idx="49">
                  <c:v>-1.7664434192233216</c:v>
                </c:pt>
                <c:pt idx="50">
                  <c:v>-2.7255717692401333</c:v>
                </c:pt>
                <c:pt idx="51">
                  <c:v>-2.5963088070417086</c:v>
                </c:pt>
                <c:pt idx="52">
                  <c:v>-1.3500947592300463</c:v>
                </c:pt>
                <c:pt idx="53">
                  <c:v>-2.7677340134287363</c:v>
                </c:pt>
                <c:pt idx="54">
                  <c:v>-2.5255717692401447</c:v>
                </c:pt>
                <c:pt idx="55">
                  <c:v>-3.8316685998837841</c:v>
                </c:pt>
                <c:pt idx="56">
                  <c:v>-4.1435467548494103</c:v>
                </c:pt>
                <c:pt idx="57">
                  <c:v>-5.9175632238454057</c:v>
                </c:pt>
                <c:pt idx="58">
                  <c:v>-6.0930737400438204</c:v>
                </c:pt>
                <c:pt idx="59">
                  <c:v>-6.7187893733449187</c:v>
                </c:pt>
                <c:pt idx="60">
                  <c:v>-7.2607851365571037</c:v>
                </c:pt>
                <c:pt idx="61">
                  <c:v>-8.1352756649204991</c:v>
                </c:pt>
                <c:pt idx="62">
                  <c:v>-9.0784231997938889</c:v>
                </c:pt>
                <c:pt idx="63">
                  <c:v>-9.3313554594456889</c:v>
                </c:pt>
                <c:pt idx="64">
                  <c:v>-7.0292297408789466</c:v>
                </c:pt>
                <c:pt idx="65">
                  <c:v>-5.2760819720360814</c:v>
                </c:pt>
                <c:pt idx="66">
                  <c:v>-6.5901813074802362</c:v>
                </c:pt>
                <c:pt idx="67">
                  <c:v>-4.7248327084366508</c:v>
                </c:pt>
                <c:pt idx="68">
                  <c:v>-3.2476074354083551</c:v>
                </c:pt>
                <c:pt idx="69">
                  <c:v>-6.0802546389669487</c:v>
                </c:pt>
                <c:pt idx="70">
                  <c:v>-8.4285292000296863</c:v>
                </c:pt>
                <c:pt idx="71">
                  <c:v>-8.1495378084879349</c:v>
                </c:pt>
                <c:pt idx="72">
                  <c:v>-3.7074196891879012</c:v>
                </c:pt>
                <c:pt idx="73">
                  <c:v>-2.1604277373249374</c:v>
                </c:pt>
                <c:pt idx="74">
                  <c:v>-2.4759403140101597</c:v>
                </c:pt>
                <c:pt idx="75">
                  <c:v>-6.1925222495290484</c:v>
                </c:pt>
                <c:pt idx="76">
                  <c:v>-6.696372112558123</c:v>
                </c:pt>
                <c:pt idx="77">
                  <c:v>-7.7148661145610333</c:v>
                </c:pt>
                <c:pt idx="78">
                  <c:v>-6.9427422762054789</c:v>
                </c:pt>
                <c:pt idx="79">
                  <c:v>-4.0858995245261838</c:v>
                </c:pt>
                <c:pt idx="80">
                  <c:v>-3.8123181716187275</c:v>
                </c:pt>
                <c:pt idx="81">
                  <c:v>-2.6377440965408425</c:v>
                </c:pt>
                <c:pt idx="82">
                  <c:v>-6.1314277571094067</c:v>
                </c:pt>
                <c:pt idx="83">
                  <c:v>-6.9595119998404869</c:v>
                </c:pt>
                <c:pt idx="84">
                  <c:v>-4.9871249776511775</c:v>
                </c:pt>
                <c:pt idx="85">
                  <c:v>-3.2015946849792272</c:v>
                </c:pt>
                <c:pt idx="86">
                  <c:v>1.329394774969785</c:v>
                </c:pt>
                <c:pt idx="87">
                  <c:v>2.5053397283819834</c:v>
                </c:pt>
                <c:pt idx="88">
                  <c:v>-0.89514292804557272</c:v>
                </c:pt>
                <c:pt idx="89">
                  <c:v>-2.0166343089390182</c:v>
                </c:pt>
                <c:pt idx="90">
                  <c:v>-0.79546140149869871</c:v>
                </c:pt>
                <c:pt idx="91">
                  <c:v>-0.75629304053839519</c:v>
                </c:pt>
                <c:pt idx="92">
                  <c:v>1.9484747436945611</c:v>
                </c:pt>
                <c:pt idx="93">
                  <c:v>-9.2559438448205356E-2</c:v>
                </c:pt>
                <c:pt idx="94">
                  <c:v>-2.3776548949072946</c:v>
                </c:pt>
                <c:pt idx="95">
                  <c:v>-1.7862264521850193</c:v>
                </c:pt>
                <c:pt idx="96">
                  <c:v>-2.1985553246810525</c:v>
                </c:pt>
                <c:pt idx="97">
                  <c:v>-4.7405717973625769</c:v>
                </c:pt>
                <c:pt idx="98">
                  <c:v>-4.6786530113448634</c:v>
                </c:pt>
                <c:pt idx="99">
                  <c:v>-3.132267109765138</c:v>
                </c:pt>
                <c:pt idx="100">
                  <c:v>-2.9730063889256826</c:v>
                </c:pt>
                <c:pt idx="101">
                  <c:v>-0.9643856272350888</c:v>
                </c:pt>
                <c:pt idx="102">
                  <c:v>2.2523748383629822</c:v>
                </c:pt>
                <c:pt idx="103">
                  <c:v>2.6939058842991699</c:v>
                </c:pt>
                <c:pt idx="104">
                  <c:v>1.093905884299204</c:v>
                </c:pt>
                <c:pt idx="105">
                  <c:v>0.30178863283191504</c:v>
                </c:pt>
                <c:pt idx="106">
                  <c:v>0.31487161763084259</c:v>
                </c:pt>
                <c:pt idx="107">
                  <c:v>-4.197056697514995</c:v>
                </c:pt>
                <c:pt idx="108">
                  <c:v>-5.4136887039207977</c:v>
                </c:pt>
                <c:pt idx="109">
                  <c:v>-4.2877646037930504</c:v>
                </c:pt>
                <c:pt idx="110">
                  <c:v>-6.0816338259349152</c:v>
                </c:pt>
                <c:pt idx="111">
                  <c:v>-4.4046875560096339</c:v>
                </c:pt>
                <c:pt idx="112">
                  <c:v>-3.5391443246261929</c:v>
                </c:pt>
                <c:pt idx="113">
                  <c:v>-7.6375605026483413</c:v>
                </c:pt>
                <c:pt idx="114">
                  <c:v>-7.2938911730434768</c:v>
                </c:pt>
                <c:pt idx="115">
                  <c:v>-8.6501734938331367</c:v>
                </c:pt>
                <c:pt idx="116">
                  <c:v>-8.7915281256606193</c:v>
                </c:pt>
                <c:pt idx="117">
                  <c:v>-10.873332733101932</c:v>
                </c:pt>
                <c:pt idx="118">
                  <c:v>-11.267774188704209</c:v>
                </c:pt>
                <c:pt idx="119">
                  <c:v>-11.547882622671239</c:v>
                </c:pt>
                <c:pt idx="120">
                  <c:v>-10.792391849502906</c:v>
                </c:pt>
                <c:pt idx="121">
                  <c:v>-5.9457222998251211</c:v>
                </c:pt>
                <c:pt idx="122">
                  <c:v>-4.8604976844844998</c:v>
                </c:pt>
                <c:pt idx="123">
                  <c:v>-3.783854856199639</c:v>
                </c:pt>
                <c:pt idx="124">
                  <c:v>-3.6773081215355603</c:v>
                </c:pt>
                <c:pt idx="125">
                  <c:v>-3.9302524780180477</c:v>
                </c:pt>
                <c:pt idx="126">
                  <c:v>-1.637484664710172</c:v>
                </c:pt>
                <c:pt idx="127">
                  <c:v>0.29003928687009761</c:v>
                </c:pt>
                <c:pt idx="128">
                  <c:v>-0.52265264382057808</c:v>
                </c:pt>
                <c:pt idx="129">
                  <c:v>3.0975017444354478</c:v>
                </c:pt>
                <c:pt idx="130">
                  <c:v>0.27585875209990718</c:v>
                </c:pt>
                <c:pt idx="131">
                  <c:v>-0.901831111525496</c:v>
                </c:pt>
                <c:pt idx="132">
                  <c:v>0.75196930012879193</c:v>
                </c:pt>
                <c:pt idx="133">
                  <c:v>1.4790624812495139</c:v>
                </c:pt>
                <c:pt idx="134">
                  <c:v>2.8403979003654172</c:v>
                </c:pt>
                <c:pt idx="135">
                  <c:v>3.5866993642292186</c:v>
                </c:pt>
                <c:pt idx="136">
                  <c:v>-3.2697281149540345</c:v>
                </c:pt>
                <c:pt idx="137">
                  <c:v>-4.5534258764936908</c:v>
                </c:pt>
                <c:pt idx="138">
                  <c:v>-5.0233575435577791</c:v>
                </c:pt>
                <c:pt idx="139">
                  <c:v>-5.5626619631086101</c:v>
                </c:pt>
                <c:pt idx="140">
                  <c:v>-6.309183598558775</c:v>
                </c:pt>
                <c:pt idx="141">
                  <c:v>-4.7521600474340175</c:v>
                </c:pt>
                <c:pt idx="142">
                  <c:v>-2.0337046090023136</c:v>
                </c:pt>
                <c:pt idx="143">
                  <c:v>-3.8506491191647285</c:v>
                </c:pt>
                <c:pt idx="144">
                  <c:v>-2.5809867614457573</c:v>
                </c:pt>
                <c:pt idx="145">
                  <c:v>-5.302102196443002</c:v>
                </c:pt>
                <c:pt idx="146">
                  <c:v>-5.9924308234410546</c:v>
                </c:pt>
                <c:pt idx="147">
                  <c:v>-0.23468068695905231</c:v>
                </c:pt>
                <c:pt idx="148">
                  <c:v>-0.61614245639020737</c:v>
                </c:pt>
                <c:pt idx="149">
                  <c:v>-2.1045628519361514</c:v>
                </c:pt>
                <c:pt idx="150">
                  <c:v>-1.6555126937092837</c:v>
                </c:pt>
                <c:pt idx="151">
                  <c:v>-0.93449538696546597</c:v>
                </c:pt>
                <c:pt idx="152">
                  <c:v>-3.9679199490754797</c:v>
                </c:pt>
                <c:pt idx="153">
                  <c:v>-4.4078127230415589</c:v>
                </c:pt>
                <c:pt idx="154">
                  <c:v>-6.1783797462217365</c:v>
                </c:pt>
                <c:pt idx="155">
                  <c:v>-2.3566680749171667</c:v>
                </c:pt>
                <c:pt idx="156">
                  <c:v>-0.40251612153201677</c:v>
                </c:pt>
                <c:pt idx="157">
                  <c:v>3.5094112259144765</c:v>
                </c:pt>
                <c:pt idx="158">
                  <c:v>-0.52823704363402157</c:v>
                </c:pt>
                <c:pt idx="159">
                  <c:v>-2.7262697245208187</c:v>
                </c:pt>
                <c:pt idx="160">
                  <c:v>-2.8240566612973339</c:v>
                </c:pt>
                <c:pt idx="161">
                  <c:v>-0.58513991712894153</c:v>
                </c:pt>
                <c:pt idx="162">
                  <c:v>0.46745632540330462</c:v>
                </c:pt>
                <c:pt idx="163">
                  <c:v>-0.29485992223013113</c:v>
                </c:pt>
                <c:pt idx="164">
                  <c:v>-2.3830134111056225</c:v>
                </c:pt>
                <c:pt idx="165">
                  <c:v>1.9823603091927566</c:v>
                </c:pt>
                <c:pt idx="166">
                  <c:v>0.33020263426092811</c:v>
                </c:pt>
                <c:pt idx="167">
                  <c:v>-3.926836021960213</c:v>
                </c:pt>
                <c:pt idx="168">
                  <c:v>-7.8171219832407814</c:v>
                </c:pt>
                <c:pt idx="169">
                  <c:v>-6.6774971953420845</c:v>
                </c:pt>
                <c:pt idx="170">
                  <c:v>-5.0986674022345539</c:v>
                </c:pt>
                <c:pt idx="171">
                  <c:v>-4.4570427468890443</c:v>
                </c:pt>
                <c:pt idx="172">
                  <c:v>-1.7715339877350686</c:v>
                </c:pt>
                <c:pt idx="173">
                  <c:v>0.54736130720263532</c:v>
                </c:pt>
                <c:pt idx="174">
                  <c:v>-2.56347579561006</c:v>
                </c:pt>
                <c:pt idx="175">
                  <c:v>-2.8882614559200306</c:v>
                </c:pt>
                <c:pt idx="176">
                  <c:v>-4.3282670161773638</c:v>
                </c:pt>
                <c:pt idx="177">
                  <c:v>-4.6073917450467547</c:v>
                </c:pt>
                <c:pt idx="178">
                  <c:v>-1.9059113485745343</c:v>
                </c:pt>
                <c:pt idx="179">
                  <c:v>-1.1529899183590544</c:v>
                </c:pt>
                <c:pt idx="180">
                  <c:v>-1.340012196354877</c:v>
                </c:pt>
                <c:pt idx="181">
                  <c:v>-0.84191605814820036</c:v>
                </c:pt>
                <c:pt idx="182">
                  <c:v>-0.9036068323166262</c:v>
                </c:pt>
                <c:pt idx="183">
                  <c:v>-2.1532977816297318</c:v>
                </c:pt>
                <c:pt idx="184">
                  <c:v>-3.213714619659811</c:v>
                </c:pt>
                <c:pt idx="185">
                  <c:v>-1.9124863810367856</c:v>
                </c:pt>
                <c:pt idx="186">
                  <c:v>-2.8579307990944187</c:v>
                </c:pt>
                <c:pt idx="187">
                  <c:v>-2.773701006515239</c:v>
                </c:pt>
                <c:pt idx="188">
                  <c:v>-2.4557906512898455</c:v>
                </c:pt>
                <c:pt idx="189">
                  <c:v>-1.4128466257917012</c:v>
                </c:pt>
                <c:pt idx="190">
                  <c:v>-2.2299396426133171</c:v>
                </c:pt>
                <c:pt idx="191">
                  <c:v>-1.9528693042676935</c:v>
                </c:pt>
                <c:pt idx="192">
                  <c:v>0.11136873506316647</c:v>
                </c:pt>
                <c:pt idx="193">
                  <c:v>0.9906611287795215</c:v>
                </c:pt>
                <c:pt idx="194">
                  <c:v>2.8760883811881399</c:v>
                </c:pt>
                <c:pt idx="195">
                  <c:v>0.30554276083566378</c:v>
                </c:pt>
                <c:pt idx="196">
                  <c:v>-3.073325233734721</c:v>
                </c:pt>
                <c:pt idx="197">
                  <c:v>-1.1474099650018275</c:v>
                </c:pt>
                <c:pt idx="198">
                  <c:v>-3.6774301035478629E-2</c:v>
                </c:pt>
                <c:pt idx="199">
                  <c:v>-0.38056474316459799</c:v>
                </c:pt>
                <c:pt idx="200">
                  <c:v>3.7562176526967335</c:v>
                </c:pt>
                <c:pt idx="201">
                  <c:v>2.6072794809412869</c:v>
                </c:pt>
                <c:pt idx="202">
                  <c:v>5.7121270500410048</c:v>
                </c:pt>
                <c:pt idx="203">
                  <c:v>8.2384162702419417</c:v>
                </c:pt>
                <c:pt idx="204">
                  <c:v>6.2266267880156931</c:v>
                </c:pt>
                <c:pt idx="205">
                  <c:v>8.4514645200711414</c:v>
                </c:pt>
                <c:pt idx="206">
                  <c:v>9.3243049158897122</c:v>
                </c:pt>
                <c:pt idx="207">
                  <c:v>6.5200514180720859</c:v>
                </c:pt>
                <c:pt idx="208">
                  <c:v>2.335221581796759</c:v>
                </c:pt>
                <c:pt idx="209">
                  <c:v>3.153661447159493</c:v>
                </c:pt>
                <c:pt idx="210">
                  <c:v>5.1684966758791688</c:v>
                </c:pt>
                <c:pt idx="211">
                  <c:v>6.0849557522122097</c:v>
                </c:pt>
                <c:pt idx="212">
                  <c:v>6.4849557522122439</c:v>
                </c:pt>
                <c:pt idx="213">
                  <c:v>8.2849557522121984</c:v>
                </c:pt>
                <c:pt idx="214">
                  <c:v>1.0849557522122097</c:v>
                </c:pt>
                <c:pt idx="215">
                  <c:v>1.6849557522122325</c:v>
                </c:pt>
                <c:pt idx="216">
                  <c:v>2.8849557522122211</c:v>
                </c:pt>
                <c:pt idx="217">
                  <c:v>3.6849557522122325</c:v>
                </c:pt>
                <c:pt idx="218">
                  <c:v>3.8853540816523378</c:v>
                </c:pt>
                <c:pt idx="219">
                  <c:v>5.9244560195519114</c:v>
                </c:pt>
                <c:pt idx="220">
                  <c:v>5.5101551203048587</c:v>
                </c:pt>
                <c:pt idx="221">
                  <c:v>6.47908430982352</c:v>
                </c:pt>
                <c:pt idx="222">
                  <c:v>3.5046633025747553</c:v>
                </c:pt>
                <c:pt idx="223">
                  <c:v>2.9983643152985735</c:v>
                </c:pt>
                <c:pt idx="224">
                  <c:v>0.53764805613883482</c:v>
                </c:pt>
                <c:pt idx="225">
                  <c:v>1.9713082507090576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5-46F8-97FC-5218A727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6255"/>
        <c:axId val="2123707215"/>
      </c:scatterChart>
      <c:valAx>
        <c:axId val="212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7215"/>
        <c:crosses val="autoZero"/>
        <c:crossBetween val="midCat"/>
      </c:valAx>
      <c:valAx>
        <c:axId val="2123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Log'!$S$2:$S$227</c:f>
              <c:numCache>
                <c:formatCode>0.00</c:formatCode>
                <c:ptCount val="226"/>
                <c:pt idx="0">
                  <c:v>189.5</c:v>
                </c:pt>
                <c:pt idx="1">
                  <c:v>499.95</c:v>
                </c:pt>
                <c:pt idx="2">
                  <c:v>172.41208333333333</c:v>
                </c:pt>
                <c:pt idx="3">
                  <c:v>108</c:v>
                </c:pt>
                <c:pt idx="4">
                  <c:v>259.04000000000002</c:v>
                </c:pt>
                <c:pt idx="5">
                  <c:v>195.20333333333332</c:v>
                </c:pt>
                <c:pt idx="6">
                  <c:v>309.47333333333336</c:v>
                </c:pt>
                <c:pt idx="7">
                  <c:v>349</c:v>
                </c:pt>
                <c:pt idx="8">
                  <c:v>235.18333333333331</c:v>
                </c:pt>
                <c:pt idx="9">
                  <c:v>139.18333333333331</c:v>
                </c:pt>
                <c:pt idx="10">
                  <c:v>119.54166666666666</c:v>
                </c:pt>
                <c:pt idx="11">
                  <c:v>111.93333333333332</c:v>
                </c:pt>
                <c:pt idx="12">
                  <c:v>287.93333333333334</c:v>
                </c:pt>
                <c:pt idx="13">
                  <c:v>206.88333333333333</c:v>
                </c:pt>
                <c:pt idx="14">
                  <c:v>204.06225000000001</c:v>
                </c:pt>
                <c:pt idx="15">
                  <c:v>280.62708333333336</c:v>
                </c:pt>
                <c:pt idx="16">
                  <c:v>116.63333333333333</c:v>
                </c:pt>
                <c:pt idx="17">
                  <c:v>142.63333333333333</c:v>
                </c:pt>
                <c:pt idx="18">
                  <c:v>116.42333333333333</c:v>
                </c:pt>
                <c:pt idx="19">
                  <c:v>293.27308333333337</c:v>
                </c:pt>
                <c:pt idx="20">
                  <c:v>124.89999999999998</c:v>
                </c:pt>
                <c:pt idx="21">
                  <c:v>126.84975</c:v>
                </c:pt>
                <c:pt idx="22">
                  <c:v>136.31986666666666</c:v>
                </c:pt>
                <c:pt idx="23">
                  <c:v>119.70183333333333</c:v>
                </c:pt>
                <c:pt idx="24">
                  <c:v>131.39683333333335</c:v>
                </c:pt>
                <c:pt idx="25">
                  <c:v>129.08183333333335</c:v>
                </c:pt>
                <c:pt idx="26">
                  <c:v>168.80183333333335</c:v>
                </c:pt>
                <c:pt idx="27">
                  <c:v>150.42183333333332</c:v>
                </c:pt>
                <c:pt idx="28">
                  <c:v>172.42183333333332</c:v>
                </c:pt>
                <c:pt idx="29">
                  <c:v>112.8995</c:v>
                </c:pt>
                <c:pt idx="30">
                  <c:v>90.527500000000003</c:v>
                </c:pt>
                <c:pt idx="31">
                  <c:v>68.50333333333333</c:v>
                </c:pt>
                <c:pt idx="32">
                  <c:v>99.227499999999992</c:v>
                </c:pt>
                <c:pt idx="33">
                  <c:v>119.35499999999999</c:v>
                </c:pt>
                <c:pt idx="34">
                  <c:v>43.003333333333337</c:v>
                </c:pt>
                <c:pt idx="35">
                  <c:v>146.79999999999998</c:v>
                </c:pt>
                <c:pt idx="36">
                  <c:v>48.047499999999999</c:v>
                </c:pt>
                <c:pt idx="37">
                  <c:v>908.85000000000014</c:v>
                </c:pt>
                <c:pt idx="38">
                  <c:v>622.20000000000005</c:v>
                </c:pt>
                <c:pt idx="39">
                  <c:v>572.5</c:v>
                </c:pt>
                <c:pt idx="40">
                  <c:v>655</c:v>
                </c:pt>
                <c:pt idx="41">
                  <c:v>340.8</c:v>
                </c:pt>
                <c:pt idx="42">
                  <c:v>364</c:v>
                </c:pt>
                <c:pt idx="43">
                  <c:v>575</c:v>
                </c:pt>
                <c:pt idx="44">
                  <c:v>628.79999999999995</c:v>
                </c:pt>
                <c:pt idx="45">
                  <c:v>631.78571428571422</c:v>
                </c:pt>
                <c:pt idx="46">
                  <c:v>303.92931547619042</c:v>
                </c:pt>
                <c:pt idx="47">
                  <c:v>66.84253132133567</c:v>
                </c:pt>
                <c:pt idx="48">
                  <c:v>63.817261904761914</c:v>
                </c:pt>
                <c:pt idx="49">
                  <c:v>70.942531321335665</c:v>
                </c:pt>
                <c:pt idx="50">
                  <c:v>71.442531321335665</c:v>
                </c:pt>
                <c:pt idx="51">
                  <c:v>346.685</c:v>
                </c:pt>
                <c:pt idx="52">
                  <c:v>71.442531321335665</c:v>
                </c:pt>
                <c:pt idx="53">
                  <c:v>151.16</c:v>
                </c:pt>
                <c:pt idx="54">
                  <c:v>72.442531321335665</c:v>
                </c:pt>
                <c:pt idx="55">
                  <c:v>215.71526941657376</c:v>
                </c:pt>
                <c:pt idx="56">
                  <c:v>178.92202380952378</c:v>
                </c:pt>
                <c:pt idx="57">
                  <c:v>44.072023809523806</c:v>
                </c:pt>
                <c:pt idx="58">
                  <c:v>73.849999999999994</c:v>
                </c:pt>
                <c:pt idx="59">
                  <c:v>47.87202380952381</c:v>
                </c:pt>
                <c:pt idx="60">
                  <c:v>51.45</c:v>
                </c:pt>
                <c:pt idx="61">
                  <c:v>103.9720238095238</c:v>
                </c:pt>
                <c:pt idx="62">
                  <c:v>50.922023809523814</c:v>
                </c:pt>
                <c:pt idx="63">
                  <c:v>86.149999999999991</c:v>
                </c:pt>
                <c:pt idx="64">
                  <c:v>731.84999999999991</c:v>
                </c:pt>
                <c:pt idx="65">
                  <c:v>80.800000000000011</c:v>
                </c:pt>
                <c:pt idx="66">
                  <c:v>236.07202380952378</c:v>
                </c:pt>
                <c:pt idx="67">
                  <c:v>837.35000000000014</c:v>
                </c:pt>
                <c:pt idx="68">
                  <c:v>114.51944444444445</c:v>
                </c:pt>
                <c:pt idx="69">
                  <c:v>61.185317460317457</c:v>
                </c:pt>
                <c:pt idx="70">
                  <c:v>116.63888888888889</c:v>
                </c:pt>
                <c:pt idx="71">
                  <c:v>818.50642857142861</c:v>
                </c:pt>
                <c:pt idx="72">
                  <c:v>148.1</c:v>
                </c:pt>
                <c:pt idx="73">
                  <c:v>756</c:v>
                </c:pt>
                <c:pt idx="74">
                  <c:v>92.538888888888891</c:v>
                </c:pt>
                <c:pt idx="75">
                  <c:v>66.046428571428578</c:v>
                </c:pt>
                <c:pt idx="76">
                  <c:v>122.57777777777777</c:v>
                </c:pt>
                <c:pt idx="77">
                  <c:v>140.54642857142855</c:v>
                </c:pt>
                <c:pt idx="78">
                  <c:v>936.84642857142853</c:v>
                </c:pt>
                <c:pt idx="79">
                  <c:v>342.6</c:v>
                </c:pt>
                <c:pt idx="80">
                  <c:v>241.83888888888887</c:v>
                </c:pt>
                <c:pt idx="81">
                  <c:v>412.20642857142855</c:v>
                </c:pt>
                <c:pt idx="82">
                  <c:v>390.66500000000002</c:v>
                </c:pt>
                <c:pt idx="83">
                  <c:v>321.42</c:v>
                </c:pt>
                <c:pt idx="84">
                  <c:v>466.72500000000002</c:v>
                </c:pt>
                <c:pt idx="85">
                  <c:v>797.06784722222221</c:v>
                </c:pt>
                <c:pt idx="86">
                  <c:v>989.93312500000002</c:v>
                </c:pt>
                <c:pt idx="87">
                  <c:v>303.86625000000004</c:v>
                </c:pt>
                <c:pt idx="88">
                  <c:v>310.198125</c:v>
                </c:pt>
                <c:pt idx="89">
                  <c:v>326.05972222222221</c:v>
                </c:pt>
                <c:pt idx="90">
                  <c:v>268.66944444444448</c:v>
                </c:pt>
                <c:pt idx="91">
                  <c:v>934.53472222222229</c:v>
                </c:pt>
                <c:pt idx="92">
                  <c:v>970.16666666666674</c:v>
                </c:pt>
                <c:pt idx="93">
                  <c:v>99.205555555555549</c:v>
                </c:pt>
                <c:pt idx="94">
                  <c:v>101.54700000000001</c:v>
                </c:pt>
                <c:pt idx="95">
                  <c:v>193.24499999999998</c:v>
                </c:pt>
                <c:pt idx="96">
                  <c:v>208.52799999999999</c:v>
                </c:pt>
                <c:pt idx="97">
                  <c:v>267.30999999999995</c:v>
                </c:pt>
                <c:pt idx="98">
                  <c:v>648.2940000000001</c:v>
                </c:pt>
                <c:pt idx="99">
                  <c:v>671.29300000000012</c:v>
                </c:pt>
                <c:pt idx="100">
                  <c:v>850.51</c:v>
                </c:pt>
                <c:pt idx="101">
                  <c:v>1192.5999999999999</c:v>
                </c:pt>
                <c:pt idx="102">
                  <c:v>290.07400000000001</c:v>
                </c:pt>
                <c:pt idx="103">
                  <c:v>233.24</c:v>
                </c:pt>
                <c:pt idx="104">
                  <c:v>233.24</c:v>
                </c:pt>
                <c:pt idx="105">
                  <c:v>299.18766666666664</c:v>
                </c:pt>
                <c:pt idx="106">
                  <c:v>461.82499999999999</c:v>
                </c:pt>
                <c:pt idx="107">
                  <c:v>171.67666666666665</c:v>
                </c:pt>
                <c:pt idx="108">
                  <c:v>131.89766666666668</c:v>
                </c:pt>
                <c:pt idx="109">
                  <c:v>485.65000000000003</c:v>
                </c:pt>
                <c:pt idx="110">
                  <c:v>408.57266666666663</c:v>
                </c:pt>
                <c:pt idx="111">
                  <c:v>676.7</c:v>
                </c:pt>
                <c:pt idx="112">
                  <c:v>410.00766666666669</c:v>
                </c:pt>
                <c:pt idx="113">
                  <c:v>268.26966666666664</c:v>
                </c:pt>
                <c:pt idx="114">
                  <c:v>139.85</c:v>
                </c:pt>
                <c:pt idx="115">
                  <c:v>267.9496666666667</c:v>
                </c:pt>
                <c:pt idx="116">
                  <c:v>287.77500000000003</c:v>
                </c:pt>
                <c:pt idx="117">
                  <c:v>284.02999999999997</c:v>
                </c:pt>
                <c:pt idx="118">
                  <c:v>304.09999999999997</c:v>
                </c:pt>
                <c:pt idx="119">
                  <c:v>278.7</c:v>
                </c:pt>
                <c:pt idx="120">
                  <c:v>281.8</c:v>
                </c:pt>
                <c:pt idx="121">
                  <c:v>1273.9000000000001</c:v>
                </c:pt>
                <c:pt idx="122">
                  <c:v>873.69037500000002</c:v>
                </c:pt>
                <c:pt idx="123">
                  <c:v>717.67062499999997</c:v>
                </c:pt>
                <c:pt idx="124">
                  <c:v>152</c:v>
                </c:pt>
                <c:pt idx="125">
                  <c:v>606.38508333333334</c:v>
                </c:pt>
                <c:pt idx="126">
                  <c:v>708.60833333333335</c:v>
                </c:pt>
                <c:pt idx="127">
                  <c:v>1146.0858333333333</c:v>
                </c:pt>
                <c:pt idx="128">
                  <c:v>947.95781250000005</c:v>
                </c:pt>
                <c:pt idx="129">
                  <c:v>746.953125</c:v>
                </c:pt>
                <c:pt idx="130">
                  <c:v>581.27920833333326</c:v>
                </c:pt>
                <c:pt idx="131">
                  <c:v>130</c:v>
                </c:pt>
                <c:pt idx="132">
                  <c:v>761.80000000000007</c:v>
                </c:pt>
                <c:pt idx="133">
                  <c:v>656.09333333333336</c:v>
                </c:pt>
                <c:pt idx="134">
                  <c:v>648.98333333333335</c:v>
                </c:pt>
                <c:pt idx="135">
                  <c:v>742.88333333333333</c:v>
                </c:pt>
                <c:pt idx="136">
                  <c:v>520.81616666666662</c:v>
                </c:pt>
                <c:pt idx="137">
                  <c:v>587.67520833333333</c:v>
                </c:pt>
                <c:pt idx="138">
                  <c:v>138.4</c:v>
                </c:pt>
                <c:pt idx="139">
                  <c:v>640.2836666666667</c:v>
                </c:pt>
                <c:pt idx="140">
                  <c:v>730.48337500000002</c:v>
                </c:pt>
                <c:pt idx="141">
                  <c:v>511.657375</c:v>
                </c:pt>
                <c:pt idx="142">
                  <c:v>361.111875</c:v>
                </c:pt>
                <c:pt idx="143">
                  <c:v>644.8366666666667</c:v>
                </c:pt>
                <c:pt idx="144">
                  <c:v>391.88270833333331</c:v>
                </c:pt>
                <c:pt idx="145">
                  <c:v>3</c:v>
                </c:pt>
                <c:pt idx="146">
                  <c:v>412.28270833333335</c:v>
                </c:pt>
                <c:pt idx="147">
                  <c:v>759.4</c:v>
                </c:pt>
                <c:pt idx="148">
                  <c:v>441.4</c:v>
                </c:pt>
                <c:pt idx="149">
                  <c:v>420.5</c:v>
                </c:pt>
                <c:pt idx="150">
                  <c:v>244.8</c:v>
                </c:pt>
                <c:pt idx="151">
                  <c:v>833.42620370370378</c:v>
                </c:pt>
                <c:pt idx="152">
                  <c:v>186.535</c:v>
                </c:pt>
                <c:pt idx="153">
                  <c:v>127.9124074074074</c:v>
                </c:pt>
                <c:pt idx="154">
                  <c:v>329.8830740740741</c:v>
                </c:pt>
                <c:pt idx="155">
                  <c:v>441.84981481481475</c:v>
                </c:pt>
                <c:pt idx="156">
                  <c:v>816.91240740740739</c:v>
                </c:pt>
                <c:pt idx="157">
                  <c:v>299.86666666666667</c:v>
                </c:pt>
                <c:pt idx="158">
                  <c:v>133.42481481481479</c:v>
                </c:pt>
                <c:pt idx="159">
                  <c:v>213.73666666666668</c:v>
                </c:pt>
                <c:pt idx="160">
                  <c:v>463.25366666666667</c:v>
                </c:pt>
                <c:pt idx="161">
                  <c:v>285.66666666666663</c:v>
                </c:pt>
                <c:pt idx="162">
                  <c:v>871.2</c:v>
                </c:pt>
                <c:pt idx="163">
                  <c:v>434.82481481481477</c:v>
                </c:pt>
                <c:pt idx="164">
                  <c:v>666.82481481481477</c:v>
                </c:pt>
                <c:pt idx="165">
                  <c:v>437.6</c:v>
                </c:pt>
                <c:pt idx="166">
                  <c:v>419.45266666666669</c:v>
                </c:pt>
                <c:pt idx="167">
                  <c:v>267.525125</c:v>
                </c:pt>
                <c:pt idx="168">
                  <c:v>376.66666666666669</c:v>
                </c:pt>
                <c:pt idx="169">
                  <c:v>304.3630952380953</c:v>
                </c:pt>
                <c:pt idx="170">
                  <c:v>644.09179166666672</c:v>
                </c:pt>
                <c:pt idx="171">
                  <c:v>601.56666666666661</c:v>
                </c:pt>
                <c:pt idx="172">
                  <c:v>872.35</c:v>
                </c:pt>
                <c:pt idx="173">
                  <c:v>431.28822023809528</c:v>
                </c:pt>
                <c:pt idx="174">
                  <c:v>317.82588690476189</c:v>
                </c:pt>
                <c:pt idx="175">
                  <c:v>300.51309523809522</c:v>
                </c:pt>
                <c:pt idx="176">
                  <c:v>267.20166666666665</c:v>
                </c:pt>
                <c:pt idx="177">
                  <c:v>224.97499999999999</c:v>
                </c:pt>
                <c:pt idx="178">
                  <c:v>812.71309523809532</c:v>
                </c:pt>
                <c:pt idx="179">
                  <c:v>486.04285714285714</c:v>
                </c:pt>
                <c:pt idx="180">
                  <c:v>408.86666666666667</c:v>
                </c:pt>
                <c:pt idx="181">
                  <c:v>146.31666666666666</c:v>
                </c:pt>
                <c:pt idx="182">
                  <c:v>470.13834523809527</c:v>
                </c:pt>
                <c:pt idx="183">
                  <c:v>399.39179166666668</c:v>
                </c:pt>
                <c:pt idx="184">
                  <c:v>165.76666666666668</c:v>
                </c:pt>
                <c:pt idx="185">
                  <c:v>112.86666666666666</c:v>
                </c:pt>
                <c:pt idx="186">
                  <c:v>445.17142857142858</c:v>
                </c:pt>
                <c:pt idx="187">
                  <c:v>587.79285714285709</c:v>
                </c:pt>
                <c:pt idx="188">
                  <c:v>303.20566666666673</c:v>
                </c:pt>
                <c:pt idx="189">
                  <c:v>816.2897916666667</c:v>
                </c:pt>
                <c:pt idx="190">
                  <c:v>709.21607738095236</c:v>
                </c:pt>
                <c:pt idx="191">
                  <c:v>730.96207738095245</c:v>
                </c:pt>
                <c:pt idx="192">
                  <c:v>935</c:v>
                </c:pt>
                <c:pt idx="193">
                  <c:v>794.51666666666665</c:v>
                </c:pt>
                <c:pt idx="194">
                  <c:v>256.10441071428568</c:v>
                </c:pt>
                <c:pt idx="195">
                  <c:v>386.71695238095236</c:v>
                </c:pt>
                <c:pt idx="196">
                  <c:v>546.00428571428574</c:v>
                </c:pt>
                <c:pt idx="197">
                  <c:v>456.7166666666667</c:v>
                </c:pt>
                <c:pt idx="198">
                  <c:v>472.20857142857142</c:v>
                </c:pt>
                <c:pt idx="199">
                  <c:v>600.400125</c:v>
                </c:pt>
                <c:pt idx="200">
                  <c:v>785.00012500000003</c:v>
                </c:pt>
                <c:pt idx="201">
                  <c:v>808.33285714285716</c:v>
                </c:pt>
                <c:pt idx="202">
                  <c:v>646.775125</c:v>
                </c:pt>
                <c:pt idx="203">
                  <c:v>871.47512499999993</c:v>
                </c:pt>
                <c:pt idx="204">
                  <c:v>882.4</c:v>
                </c:pt>
                <c:pt idx="205">
                  <c:v>865</c:v>
                </c:pt>
                <c:pt idx="206">
                  <c:v>99.310333333333318</c:v>
                </c:pt>
                <c:pt idx="207">
                  <c:v>477.03699999999998</c:v>
                </c:pt>
                <c:pt idx="208">
                  <c:v>522.94133333333332</c:v>
                </c:pt>
                <c:pt idx="209">
                  <c:v>650.78666666666675</c:v>
                </c:pt>
                <c:pt idx="210">
                  <c:v>302.88833333333332</c:v>
                </c:pt>
                <c:pt idx="211">
                  <c:v>397.84503909680592</c:v>
                </c:pt>
                <c:pt idx="212">
                  <c:v>397.84503909680592</c:v>
                </c:pt>
                <c:pt idx="213">
                  <c:v>397.84503909680592</c:v>
                </c:pt>
                <c:pt idx="214">
                  <c:v>397.84503909680592</c:v>
                </c:pt>
                <c:pt idx="215">
                  <c:v>397.84503909680592</c:v>
                </c:pt>
                <c:pt idx="216">
                  <c:v>397.84503909680592</c:v>
                </c:pt>
                <c:pt idx="217">
                  <c:v>397.84503909680592</c:v>
                </c:pt>
                <c:pt idx="218">
                  <c:v>638.76666666666665</c:v>
                </c:pt>
                <c:pt idx="219">
                  <c:v>478.1</c:v>
                </c:pt>
                <c:pt idx="220">
                  <c:v>238.3</c:v>
                </c:pt>
                <c:pt idx="221">
                  <c:v>526.29999999999995</c:v>
                </c:pt>
                <c:pt idx="222">
                  <c:v>341.87333333333328</c:v>
                </c:pt>
                <c:pt idx="223">
                  <c:v>269.86933333333332</c:v>
                </c:pt>
                <c:pt idx="224">
                  <c:v>452.02033333333333</c:v>
                </c:pt>
                <c:pt idx="225">
                  <c:v>976.6</c:v>
                </c:pt>
              </c:numCache>
            </c:numRef>
          </c:xVal>
          <c:yVal>
            <c:numRef>
              <c:f>Residuals!$AX$2:$AX$227</c:f>
              <c:numCache>
                <c:formatCode>0.00</c:formatCode>
                <c:ptCount val="226"/>
                <c:pt idx="0">
                  <c:v>19.829409062950475</c:v>
                </c:pt>
                <c:pt idx="1">
                  <c:v>17.006223632491299</c:v>
                </c:pt>
                <c:pt idx="2">
                  <c:v>15.975642833402702</c:v>
                </c:pt>
                <c:pt idx="3">
                  <c:v>16.772973606620667</c:v>
                </c:pt>
                <c:pt idx="4">
                  <c:v>14.048213009369761</c:v>
                </c:pt>
                <c:pt idx="5">
                  <c:v>12.847354300814686</c:v>
                </c:pt>
                <c:pt idx="6">
                  <c:v>13.406898835720256</c:v>
                </c:pt>
                <c:pt idx="7">
                  <c:v>13.531267410000765</c:v>
                </c:pt>
                <c:pt idx="8">
                  <c:v>13.773149264545509</c:v>
                </c:pt>
                <c:pt idx="9">
                  <c:v>16.671090322120278</c:v>
                </c:pt>
                <c:pt idx="10">
                  <c:v>14.809288852736927</c:v>
                </c:pt>
                <c:pt idx="11">
                  <c:v>12.385349632733892</c:v>
                </c:pt>
                <c:pt idx="12">
                  <c:v>11.139124360513591</c:v>
                </c:pt>
                <c:pt idx="13">
                  <c:v>13.884104805476426</c:v>
                </c:pt>
                <c:pt idx="14">
                  <c:v>11.875228415391433</c:v>
                </c:pt>
                <c:pt idx="15">
                  <c:v>12.116135629804262</c:v>
                </c:pt>
                <c:pt idx="16">
                  <c:v>8.8001379351235016</c:v>
                </c:pt>
                <c:pt idx="17">
                  <c:v>8.6819455653636908</c:v>
                </c:pt>
                <c:pt idx="18">
                  <c:v>7.1994771811869214</c:v>
                </c:pt>
                <c:pt idx="19">
                  <c:v>7.555925602574149</c:v>
                </c:pt>
                <c:pt idx="20">
                  <c:v>5.8261485662767996</c:v>
                </c:pt>
                <c:pt idx="21">
                  <c:v>5.832283351932972</c:v>
                </c:pt>
                <c:pt idx="22">
                  <c:v>3.8620805751098146</c:v>
                </c:pt>
                <c:pt idx="23">
                  <c:v>4.2097928087154912</c:v>
                </c:pt>
                <c:pt idx="24">
                  <c:v>3.0465905100869861</c:v>
                </c:pt>
                <c:pt idx="25">
                  <c:v>1.0393064845482911</c:v>
                </c:pt>
                <c:pt idx="26">
                  <c:v>3.9642833719767623</c:v>
                </c:pt>
                <c:pt idx="27">
                  <c:v>3.9064516702916023</c:v>
                </c:pt>
                <c:pt idx="28">
                  <c:v>3.1756735112640229</c:v>
                </c:pt>
                <c:pt idx="29">
                  <c:v>2.188389625249954</c:v>
                </c:pt>
                <c:pt idx="30">
                  <c:v>1.9179973058755877</c:v>
                </c:pt>
                <c:pt idx="31">
                  <c:v>-0.15130057424033794</c:v>
                </c:pt>
                <c:pt idx="32">
                  <c:v>-5.4628602467118981E-2</c:v>
                </c:pt>
                <c:pt idx="33">
                  <c:v>-0.99129848409558008</c:v>
                </c:pt>
                <c:pt idx="34">
                  <c:v>-0.63153498082206738</c:v>
                </c:pt>
                <c:pt idx="35">
                  <c:v>-0.30494423748245936</c:v>
                </c:pt>
                <c:pt idx="36">
                  <c:v>-3.4156637761475395</c:v>
                </c:pt>
                <c:pt idx="37">
                  <c:v>-0.70719405961611415</c:v>
                </c:pt>
                <c:pt idx="38">
                  <c:v>2.5908768169859684</c:v>
                </c:pt>
                <c:pt idx="39">
                  <c:v>6.6344983853345241</c:v>
                </c:pt>
                <c:pt idx="40">
                  <c:v>6.6940802889812403</c:v>
                </c:pt>
                <c:pt idx="41">
                  <c:v>3.3054665420019376</c:v>
                </c:pt>
                <c:pt idx="42">
                  <c:v>2.7784641197546875</c:v>
                </c:pt>
                <c:pt idx="43">
                  <c:v>5.4423645036268624</c:v>
                </c:pt>
                <c:pt idx="44">
                  <c:v>4.8116433692776752</c:v>
                </c:pt>
                <c:pt idx="45">
                  <c:v>6.421037761981097</c:v>
                </c:pt>
                <c:pt idx="46">
                  <c:v>6.3894548756086351</c:v>
                </c:pt>
                <c:pt idx="47">
                  <c:v>1.6434737997250863</c:v>
                </c:pt>
                <c:pt idx="48">
                  <c:v>-0.36604505111370145</c:v>
                </c:pt>
                <c:pt idx="49">
                  <c:v>-2.1436257662755338</c:v>
                </c:pt>
                <c:pt idx="50">
                  <c:v>-3.1420525426170798</c:v>
                </c:pt>
                <c:pt idx="51">
                  <c:v>-2.6760166155379466</c:v>
                </c:pt>
                <c:pt idx="52">
                  <c:v>-1.7420525426170741</c:v>
                </c:pt>
                <c:pt idx="53">
                  <c:v>-3.0912257271806425</c:v>
                </c:pt>
                <c:pt idx="54">
                  <c:v>-2.9389060953001263</c:v>
                </c:pt>
                <c:pt idx="55">
                  <c:v>-4.0881059729312028</c:v>
                </c:pt>
                <c:pt idx="56">
                  <c:v>-4.4038739818526267</c:v>
                </c:pt>
                <c:pt idx="57">
                  <c:v>-6.228172402540622</c:v>
                </c:pt>
                <c:pt idx="58">
                  <c:v>-6.5344775692524593</c:v>
                </c:pt>
                <c:pt idx="59">
                  <c:v>-7.0162159027362918</c:v>
                </c:pt>
                <c:pt idx="60">
                  <c:v>-7.8049579891516885</c:v>
                </c:pt>
                <c:pt idx="61">
                  <c:v>-8.4397002082565393</c:v>
                </c:pt>
                <c:pt idx="62">
                  <c:v>-9.606619238419654</c:v>
                </c:pt>
                <c:pt idx="63">
                  <c:v>-9.4957762672542287</c:v>
                </c:pt>
                <c:pt idx="64">
                  <c:v>-7.0641152347126877</c:v>
                </c:pt>
                <c:pt idx="65">
                  <c:v>-5.3126097603998232</c:v>
                </c:pt>
                <c:pt idx="66">
                  <c:v>-6.624054517690098</c:v>
                </c:pt>
                <c:pt idx="67">
                  <c:v>-4.9321650427766031</c:v>
                </c:pt>
                <c:pt idx="68">
                  <c:v>-3.6065133048992095</c:v>
                </c:pt>
                <c:pt idx="69">
                  <c:v>-6.5743263256492526</c:v>
                </c:pt>
                <c:pt idx="70">
                  <c:v>-8.5998445846136349</c:v>
                </c:pt>
                <c:pt idx="71">
                  <c:v>-7.9914553475393859</c:v>
                </c:pt>
                <c:pt idx="72">
                  <c:v>-3.9008538559704391</c:v>
                </c:pt>
                <c:pt idx="73">
                  <c:v>-1.9881285320088296</c:v>
                </c:pt>
                <c:pt idx="74">
                  <c:v>-2.6756739649516419</c:v>
                </c:pt>
                <c:pt idx="75">
                  <c:v>-6.5590310956364135</c:v>
                </c:pt>
                <c:pt idx="76">
                  <c:v>-7.1811581836036282</c:v>
                </c:pt>
                <c:pt idx="77">
                  <c:v>-7.9246207705251095</c:v>
                </c:pt>
                <c:pt idx="78">
                  <c:v>-6.8191047720539473</c:v>
                </c:pt>
                <c:pt idx="79">
                  <c:v>-4.4888698528276052</c:v>
                </c:pt>
                <c:pt idx="80">
                  <c:v>-3.8059093805340183</c:v>
                </c:pt>
                <c:pt idx="81">
                  <c:v>-2.4698568924079893</c:v>
                </c:pt>
                <c:pt idx="82">
                  <c:v>-5.9376358625393948</c:v>
                </c:pt>
                <c:pt idx="83">
                  <c:v>-6.7555116070001873</c:v>
                </c:pt>
                <c:pt idx="84">
                  <c:v>-4.8983170796136903</c:v>
                </c:pt>
                <c:pt idx="85">
                  <c:v>-2.8589107143043861</c:v>
                </c:pt>
                <c:pt idx="86">
                  <c:v>1.5479297214884298</c:v>
                </c:pt>
                <c:pt idx="87">
                  <c:v>2.5892564434102781</c:v>
                </c:pt>
                <c:pt idx="88">
                  <c:v>-0.99082064548483118</c:v>
                </c:pt>
                <c:pt idx="89">
                  <c:v>-2.3409129654627634</c:v>
                </c:pt>
                <c:pt idx="90">
                  <c:v>-1.1214884509944909</c:v>
                </c:pt>
                <c:pt idx="91">
                  <c:v>-1.0263784342939175</c:v>
                </c:pt>
                <c:pt idx="92">
                  <c:v>2.4857356017002985</c:v>
                </c:pt>
                <c:pt idx="93">
                  <c:v>-0.454697649505448</c:v>
                </c:pt>
                <c:pt idx="94">
                  <c:v>-2.6473304179154695</c:v>
                </c:pt>
                <c:pt idx="95">
                  <c:v>-2.3588074918476423</c:v>
                </c:pt>
                <c:pt idx="96">
                  <c:v>-2.3107203375029997</c:v>
                </c:pt>
                <c:pt idx="97">
                  <c:v>-5.1257658713192313</c:v>
                </c:pt>
                <c:pt idx="98">
                  <c:v>-4.3270197867260833</c:v>
                </c:pt>
                <c:pt idx="99">
                  <c:v>-2.8546546448839933</c:v>
                </c:pt>
                <c:pt idx="100">
                  <c:v>-2.8907577960858077</c:v>
                </c:pt>
                <c:pt idx="101">
                  <c:v>-0.41438963343730961</c:v>
                </c:pt>
                <c:pt idx="102">
                  <c:v>2.3458598554033472</c:v>
                </c:pt>
                <c:pt idx="103">
                  <c:v>2.567034668592953</c:v>
                </c:pt>
                <c:pt idx="104">
                  <c:v>0.96703466859298715</c:v>
                </c:pt>
                <c:pt idx="105">
                  <c:v>0.17453552743407386</c:v>
                </c:pt>
                <c:pt idx="106">
                  <c:v>0.48626532853336357</c:v>
                </c:pt>
                <c:pt idx="107">
                  <c:v>-4.4266711163949708</c:v>
                </c:pt>
                <c:pt idx="108">
                  <c:v>-5.5518336442151224</c:v>
                </c:pt>
                <c:pt idx="109">
                  <c:v>-4.0387705641408047</c:v>
                </c:pt>
                <c:pt idx="110">
                  <c:v>-5.8812903328035873</c:v>
                </c:pt>
                <c:pt idx="111">
                  <c:v>-3.8376418042413718</c:v>
                </c:pt>
                <c:pt idx="112">
                  <c:v>-3.2767751809037691</c:v>
                </c:pt>
                <c:pt idx="113">
                  <c:v>-7.5227463307107598</c:v>
                </c:pt>
                <c:pt idx="114">
                  <c:v>-7.5268120463351238</c:v>
                </c:pt>
                <c:pt idx="115">
                  <c:v>-8.5237531938521727</c:v>
                </c:pt>
                <c:pt idx="116">
                  <c:v>-8.661373826978263</c:v>
                </c:pt>
                <c:pt idx="117">
                  <c:v>-10.673157272180163</c:v>
                </c:pt>
                <c:pt idx="118">
                  <c:v>-11.010008074529395</c:v>
                </c:pt>
                <c:pt idx="119">
                  <c:v>-11.289927836379434</c:v>
                </c:pt>
                <c:pt idx="120">
                  <c:v>-10.480173849696939</c:v>
                </c:pt>
                <c:pt idx="121">
                  <c:v>-5.3585834665709058</c:v>
                </c:pt>
                <c:pt idx="122">
                  <c:v>-4.0178219673616411</c:v>
                </c:pt>
                <c:pt idx="123">
                  <c:v>-3.7087298911371818</c:v>
                </c:pt>
                <c:pt idx="124">
                  <c:v>-3.4885827114344181</c:v>
                </c:pt>
                <c:pt idx="125">
                  <c:v>-3.8588839851273349</c:v>
                </c:pt>
                <c:pt idx="126">
                  <c:v>-1.5372439144369991</c:v>
                </c:pt>
                <c:pt idx="127">
                  <c:v>0.83925599165513631</c:v>
                </c:pt>
                <c:pt idx="128">
                  <c:v>-0.38414338790451552</c:v>
                </c:pt>
                <c:pt idx="129">
                  <c:v>3.1834059524207987</c:v>
                </c:pt>
                <c:pt idx="130">
                  <c:v>6.212170183971466E-2</c:v>
                </c:pt>
                <c:pt idx="131">
                  <c:v>-0.75780455240689548</c:v>
                </c:pt>
                <c:pt idx="132">
                  <c:v>0.83012086242936789</c:v>
                </c:pt>
                <c:pt idx="133">
                  <c:v>1.4975204047144359</c:v>
                </c:pt>
                <c:pt idx="134">
                  <c:v>2.8751491642910594</c:v>
                </c:pt>
                <c:pt idx="135">
                  <c:v>3.9706005673507718</c:v>
                </c:pt>
                <c:pt idx="136">
                  <c:v>-2.9281220733857651</c:v>
                </c:pt>
                <c:pt idx="137">
                  <c:v>-4.1177536211211816</c:v>
                </c:pt>
                <c:pt idx="138">
                  <c:v>-4.9313743949446689</c:v>
                </c:pt>
                <c:pt idx="139">
                  <c:v>-5.1522238785504726</c:v>
                </c:pt>
                <c:pt idx="140">
                  <c:v>-6.0684152482772049</c:v>
                </c:pt>
                <c:pt idx="141">
                  <c:v>-4.5569397288516882</c:v>
                </c:pt>
                <c:pt idx="142">
                  <c:v>-2.2306232134025095</c:v>
                </c:pt>
                <c:pt idx="143">
                  <c:v>-3.5378981039164614</c:v>
                </c:pt>
                <c:pt idx="144">
                  <c:v>-2.3338044074211552</c:v>
                </c:pt>
                <c:pt idx="145">
                  <c:v>-5.3574033616569636</c:v>
                </c:pt>
                <c:pt idx="146">
                  <c:v>-5.6696168821557933</c:v>
                </c:pt>
                <c:pt idx="147">
                  <c:v>-0.37743061113127396</c:v>
                </c:pt>
                <c:pt idx="148">
                  <c:v>-0.37800085791494098</c:v>
                </c:pt>
                <c:pt idx="149">
                  <c:v>-2.0437616068387854</c:v>
                </c:pt>
                <c:pt idx="150">
                  <c:v>-1.5965924004233329</c:v>
                </c:pt>
                <c:pt idx="151">
                  <c:v>-0.74451106110527121</c:v>
                </c:pt>
                <c:pt idx="152">
                  <c:v>-3.9799201533442385</c:v>
                </c:pt>
                <c:pt idx="153">
                  <c:v>-4.5643730525186754</c:v>
                </c:pt>
                <c:pt idx="154">
                  <c:v>-6.1288829902868542</c:v>
                </c:pt>
                <c:pt idx="155">
                  <c:v>-2.1765855392977471</c:v>
                </c:pt>
                <c:pt idx="156">
                  <c:v>-0.79647085115405503</c:v>
                </c:pt>
                <c:pt idx="157">
                  <c:v>3.5766719651622623</c:v>
                </c:pt>
                <c:pt idx="158">
                  <c:v>-1.1470285530218121</c:v>
                </c:pt>
                <c:pt idx="159">
                  <c:v>-2.8943315422448848</c:v>
                </c:pt>
                <c:pt idx="160">
                  <c:v>-3.1092394470665283</c:v>
                </c:pt>
                <c:pt idx="161">
                  <c:v>-0.66800758673812766</c:v>
                </c:pt>
                <c:pt idx="162">
                  <c:v>1.3743421989014735</c:v>
                </c:pt>
                <c:pt idx="163">
                  <c:v>-0.19868933169917113</c:v>
                </c:pt>
                <c:pt idx="164">
                  <c:v>-2.4687135541714724</c:v>
                </c:pt>
                <c:pt idx="165">
                  <c:v>2.4100426422807004</c:v>
                </c:pt>
                <c:pt idx="166">
                  <c:v>0.75294301400464292</c:v>
                </c:pt>
                <c:pt idx="167">
                  <c:v>-3.7250889918401811</c:v>
                </c:pt>
                <c:pt idx="168">
                  <c:v>-7.5816808808975509</c:v>
                </c:pt>
                <c:pt idx="169">
                  <c:v>-6.6091802592233933</c:v>
                </c:pt>
                <c:pt idx="170">
                  <c:v>-4.5402418138616554</c:v>
                </c:pt>
                <c:pt idx="171">
                  <c:v>-3.8740448793200244</c:v>
                </c:pt>
                <c:pt idx="172">
                  <c:v>-1.6220393866840652</c:v>
                </c:pt>
                <c:pt idx="173">
                  <c:v>0.5901829597838173</c:v>
                </c:pt>
                <c:pt idx="174">
                  <c:v>-2.7668202945054361</c:v>
                </c:pt>
                <c:pt idx="175">
                  <c:v>-3.0212940813935631</c:v>
                </c:pt>
                <c:pt idx="176">
                  <c:v>-4.5261067364452572</c:v>
                </c:pt>
                <c:pt idx="177">
                  <c:v>-4.4589707184814813</c:v>
                </c:pt>
                <c:pt idx="178">
                  <c:v>-1.4096837656621517</c:v>
                </c:pt>
                <c:pt idx="179">
                  <c:v>-0.83753445983771257</c:v>
                </c:pt>
                <c:pt idx="180">
                  <c:v>-1.2803652772923897</c:v>
                </c:pt>
                <c:pt idx="181">
                  <c:v>-1.1064650203522888</c:v>
                </c:pt>
                <c:pt idx="182">
                  <c:v>-1.0875771686475275</c:v>
                </c:pt>
                <c:pt idx="183">
                  <c:v>-2.1101774723143762</c:v>
                </c:pt>
                <c:pt idx="184">
                  <c:v>-3.4452666200380122</c:v>
                </c:pt>
                <c:pt idx="185">
                  <c:v>-2.0117136831036078</c:v>
                </c:pt>
                <c:pt idx="186">
                  <c:v>-2.5661342566053804</c:v>
                </c:pt>
                <c:pt idx="187">
                  <c:v>-2.5173834453401298</c:v>
                </c:pt>
                <c:pt idx="188">
                  <c:v>-2.4128220472465216</c:v>
                </c:pt>
                <c:pt idx="189">
                  <c:v>-1.3984298787810019</c:v>
                </c:pt>
                <c:pt idx="190">
                  <c:v>-1.9353316798089963</c:v>
                </c:pt>
                <c:pt idx="191">
                  <c:v>-1.4669090364550357</c:v>
                </c:pt>
                <c:pt idx="192">
                  <c:v>0.57508553772157711</c:v>
                </c:pt>
                <c:pt idx="193">
                  <c:v>1.1330621304815622</c:v>
                </c:pt>
                <c:pt idx="194">
                  <c:v>2.6389763323380748</c:v>
                </c:pt>
                <c:pt idx="195">
                  <c:v>0.24994181362256995</c:v>
                </c:pt>
                <c:pt idx="196">
                  <c:v>-2.6488689837898676</c:v>
                </c:pt>
                <c:pt idx="197">
                  <c:v>-0.92980777317731622</c:v>
                </c:pt>
                <c:pt idx="198">
                  <c:v>0.11893668899492127</c:v>
                </c:pt>
                <c:pt idx="199">
                  <c:v>-0.47771534121719128</c:v>
                </c:pt>
                <c:pt idx="200">
                  <c:v>3.9031188334880369</c:v>
                </c:pt>
                <c:pt idx="201">
                  <c:v>2.3765340459355571</c:v>
                </c:pt>
                <c:pt idx="202">
                  <c:v>5.6682011531054286</c:v>
                </c:pt>
                <c:pt idx="203">
                  <c:v>8.1752078652195621</c:v>
                </c:pt>
                <c:pt idx="204">
                  <c:v>6.4095824088510938</c:v>
                </c:pt>
                <c:pt idx="205">
                  <c:v>8.7548342255364844</c:v>
                </c:pt>
                <c:pt idx="206">
                  <c:v>9.1456320282522938</c:v>
                </c:pt>
                <c:pt idx="207">
                  <c:v>6.7341290851184965</c:v>
                </c:pt>
                <c:pt idx="208">
                  <c:v>2.4785646515705935</c:v>
                </c:pt>
                <c:pt idx="209">
                  <c:v>3.2808232576192893</c:v>
                </c:pt>
                <c:pt idx="210">
                  <c:v>5.386179480138253</c:v>
                </c:pt>
                <c:pt idx="211">
                  <c:v>6.0849557522122097</c:v>
                </c:pt>
                <c:pt idx="212">
                  <c:v>6.4849557522122439</c:v>
                </c:pt>
                <c:pt idx="213">
                  <c:v>8.2849557522121984</c:v>
                </c:pt>
                <c:pt idx="214">
                  <c:v>1.0849557522122097</c:v>
                </c:pt>
                <c:pt idx="215">
                  <c:v>1.6849557522122325</c:v>
                </c:pt>
                <c:pt idx="216">
                  <c:v>2.8849557522122211</c:v>
                </c:pt>
                <c:pt idx="217">
                  <c:v>3.6849557522122325</c:v>
                </c:pt>
                <c:pt idx="218">
                  <c:v>4.4430029608697623</c:v>
                </c:pt>
                <c:pt idx="219">
                  <c:v>6.1374737586163803</c:v>
                </c:pt>
                <c:pt idx="220">
                  <c:v>5.5829556920166112</c:v>
                </c:pt>
                <c:pt idx="221">
                  <c:v>6.2891325192923944</c:v>
                </c:pt>
                <c:pt idx="222">
                  <c:v>3.7088437287887643</c:v>
                </c:pt>
                <c:pt idx="223">
                  <c:v>3.0822869361805658</c:v>
                </c:pt>
                <c:pt idx="224">
                  <c:v>0.85541546140663627</c:v>
                </c:pt>
                <c:pt idx="225">
                  <c:v>1.7059777461058729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C-4010-B713-97917E19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4385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3855"/>
        <c:crosses val="autoZero"/>
        <c:crossBetween val="midCat"/>
      </c:valAx>
      <c:valAx>
        <c:axId val="2123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Log'!$T$2:$T$227</c:f>
              <c:numCache>
                <c:formatCode>0.00</c:formatCode>
                <c:ptCount val="226"/>
                <c:pt idx="0">
                  <c:v>50.5</c:v>
                </c:pt>
                <c:pt idx="1">
                  <c:v>85</c:v>
                </c:pt>
                <c:pt idx="2">
                  <c:v>39.075833333333335</c:v>
                </c:pt>
                <c:pt idx="3">
                  <c:v>12</c:v>
                </c:pt>
                <c:pt idx="4">
                  <c:v>60.098333333333343</c:v>
                </c:pt>
                <c:pt idx="5">
                  <c:v>34.861666666666672</c:v>
                </c:pt>
                <c:pt idx="6">
                  <c:v>70.801666666666662</c:v>
                </c:pt>
                <c:pt idx="7">
                  <c:v>229</c:v>
                </c:pt>
                <c:pt idx="8">
                  <c:v>120.44166666666668</c:v>
                </c:pt>
                <c:pt idx="9">
                  <c:v>82.441666666666677</c:v>
                </c:pt>
                <c:pt idx="10">
                  <c:v>76.603333333333339</c:v>
                </c:pt>
                <c:pt idx="11">
                  <c:v>55.379166666666663</c:v>
                </c:pt>
                <c:pt idx="12">
                  <c:v>127.2</c:v>
                </c:pt>
                <c:pt idx="13">
                  <c:v>83.064583333333331</c:v>
                </c:pt>
                <c:pt idx="14">
                  <c:v>56.902499999999996</c:v>
                </c:pt>
                <c:pt idx="15">
                  <c:v>82.025833333333338</c:v>
                </c:pt>
                <c:pt idx="16">
                  <c:v>34.75833333333334</c:v>
                </c:pt>
                <c:pt idx="17">
                  <c:v>37.75833333333334</c:v>
                </c:pt>
                <c:pt idx="18">
                  <c:v>34.708333333333336</c:v>
                </c:pt>
                <c:pt idx="19">
                  <c:v>59.710833333333341</c:v>
                </c:pt>
                <c:pt idx="20">
                  <c:v>43.975000000000001</c:v>
                </c:pt>
                <c:pt idx="21">
                  <c:v>45.002499999999998</c:v>
                </c:pt>
                <c:pt idx="22">
                  <c:v>36.88773333333333</c:v>
                </c:pt>
                <c:pt idx="23">
                  <c:v>29.758666666666667</c:v>
                </c:pt>
                <c:pt idx="24">
                  <c:v>55.948666666666668</c:v>
                </c:pt>
                <c:pt idx="25">
                  <c:v>34.86866666666667</c:v>
                </c:pt>
                <c:pt idx="26">
                  <c:v>64.888666666666666</c:v>
                </c:pt>
                <c:pt idx="27">
                  <c:v>56.808666666666667</c:v>
                </c:pt>
                <c:pt idx="28">
                  <c:v>31.808666666666667</c:v>
                </c:pt>
                <c:pt idx="29">
                  <c:v>44.83</c:v>
                </c:pt>
                <c:pt idx="30">
                  <c:v>35.345666666666673</c:v>
                </c:pt>
                <c:pt idx="31">
                  <c:v>65.075666666666677</c:v>
                </c:pt>
                <c:pt idx="32">
                  <c:v>42.745666666666679</c:v>
                </c:pt>
                <c:pt idx="33">
                  <c:v>89.591333333333353</c:v>
                </c:pt>
                <c:pt idx="34">
                  <c:v>52.075666666666677</c:v>
                </c:pt>
                <c:pt idx="35">
                  <c:v>93.5</c:v>
                </c:pt>
                <c:pt idx="36">
                  <c:v>29.865666666666673</c:v>
                </c:pt>
                <c:pt idx="37">
                  <c:v>275.95</c:v>
                </c:pt>
                <c:pt idx="38">
                  <c:v>233.5</c:v>
                </c:pt>
                <c:pt idx="39">
                  <c:v>165</c:v>
                </c:pt>
                <c:pt idx="40">
                  <c:v>99.25</c:v>
                </c:pt>
                <c:pt idx="41">
                  <c:v>119.6</c:v>
                </c:pt>
                <c:pt idx="42">
                  <c:v>135</c:v>
                </c:pt>
                <c:pt idx="43">
                  <c:v>198</c:v>
                </c:pt>
                <c:pt idx="44">
                  <c:v>116.2924</c:v>
                </c:pt>
                <c:pt idx="45">
                  <c:v>189.84674285714286</c:v>
                </c:pt>
                <c:pt idx="46">
                  <c:v>49.472916666666663</c:v>
                </c:pt>
                <c:pt idx="47">
                  <c:v>75.686984392419191</c:v>
                </c:pt>
                <c:pt idx="48">
                  <c:v>76.954999999999998</c:v>
                </c:pt>
                <c:pt idx="49">
                  <c:v>65.986984392419188</c:v>
                </c:pt>
                <c:pt idx="50">
                  <c:v>74.486984392419188</c:v>
                </c:pt>
                <c:pt idx="51">
                  <c:v>114.53066666666666</c:v>
                </c:pt>
                <c:pt idx="52">
                  <c:v>68.986984392419188</c:v>
                </c:pt>
                <c:pt idx="53">
                  <c:v>95.526666666666657</c:v>
                </c:pt>
                <c:pt idx="54">
                  <c:v>72.486984392419188</c:v>
                </c:pt>
                <c:pt idx="55">
                  <c:v>86.228651059085863</c:v>
                </c:pt>
                <c:pt idx="56">
                  <c:v>79.477380952380969</c:v>
                </c:pt>
                <c:pt idx="57">
                  <c:v>57.210714285714296</c:v>
                </c:pt>
                <c:pt idx="58">
                  <c:v>91.766666666666666</c:v>
                </c:pt>
                <c:pt idx="59">
                  <c:v>54.210714285714296</c:v>
                </c:pt>
                <c:pt idx="60">
                  <c:v>107.96666666666667</c:v>
                </c:pt>
                <c:pt idx="61">
                  <c:v>76.5107142857143</c:v>
                </c:pt>
                <c:pt idx="62">
                  <c:v>93.977380952380969</c:v>
                </c:pt>
                <c:pt idx="63">
                  <c:v>38.466666666666669</c:v>
                </c:pt>
                <c:pt idx="64">
                  <c:v>251.6</c:v>
                </c:pt>
                <c:pt idx="65">
                  <c:v>19.900000000000002</c:v>
                </c:pt>
                <c:pt idx="66">
                  <c:v>61.510714285714293</c:v>
                </c:pt>
                <c:pt idx="67">
                  <c:v>310.46666666666664</c:v>
                </c:pt>
                <c:pt idx="68">
                  <c:v>84.974999999999994</c:v>
                </c:pt>
                <c:pt idx="69">
                  <c:v>88.759523809523827</c:v>
                </c:pt>
                <c:pt idx="70">
                  <c:v>48.45</c:v>
                </c:pt>
                <c:pt idx="71">
                  <c:v>242.8095238095238</c:v>
                </c:pt>
                <c:pt idx="72">
                  <c:v>71.2</c:v>
                </c:pt>
                <c:pt idx="73">
                  <c:v>209</c:v>
                </c:pt>
                <c:pt idx="74">
                  <c:v>47.050000000000004</c:v>
                </c:pt>
                <c:pt idx="75">
                  <c:v>67.80952380952381</c:v>
                </c:pt>
                <c:pt idx="76">
                  <c:v>102.10000000000001</c:v>
                </c:pt>
                <c:pt idx="77">
                  <c:v>62.80952380952381</c:v>
                </c:pt>
                <c:pt idx="78">
                  <c:v>240.2095238095238</c:v>
                </c:pt>
                <c:pt idx="79">
                  <c:v>127.5</c:v>
                </c:pt>
                <c:pt idx="80">
                  <c:v>54.45</c:v>
                </c:pt>
                <c:pt idx="81">
                  <c:v>73.624523809523808</c:v>
                </c:pt>
                <c:pt idx="82">
                  <c:v>63.115000000000002</c:v>
                </c:pt>
                <c:pt idx="83">
                  <c:v>38.720000000000006</c:v>
                </c:pt>
                <c:pt idx="84">
                  <c:v>73.174999999999997</c:v>
                </c:pt>
                <c:pt idx="85">
                  <c:v>134.22624999999999</c:v>
                </c:pt>
                <c:pt idx="86">
                  <c:v>266.45125000000002</c:v>
                </c:pt>
                <c:pt idx="87">
                  <c:v>64.902500000000003</c:v>
                </c:pt>
                <c:pt idx="88">
                  <c:v>86.866250000000008</c:v>
                </c:pt>
                <c:pt idx="89">
                  <c:v>128.44999999999999</c:v>
                </c:pt>
                <c:pt idx="90">
                  <c:v>125.25000000000001</c:v>
                </c:pt>
                <c:pt idx="91">
                  <c:v>327.47499999999997</c:v>
                </c:pt>
                <c:pt idx="92">
                  <c:v>195.5</c:v>
                </c:pt>
                <c:pt idx="93">
                  <c:v>76.7</c:v>
                </c:pt>
                <c:pt idx="94">
                  <c:v>63.729333333333336</c:v>
                </c:pt>
                <c:pt idx="95">
                  <c:v>153.24</c:v>
                </c:pt>
                <c:pt idx="96">
                  <c:v>59.829333333333338</c:v>
                </c:pt>
                <c:pt idx="97">
                  <c:v>141.79500000000002</c:v>
                </c:pt>
                <c:pt idx="98">
                  <c:v>113.22833333333335</c:v>
                </c:pt>
                <c:pt idx="99">
                  <c:v>139.17233333333334</c:v>
                </c:pt>
                <c:pt idx="100">
                  <c:v>259.79499999999996</c:v>
                </c:pt>
                <c:pt idx="101">
                  <c:v>255.2</c:v>
                </c:pt>
                <c:pt idx="102">
                  <c:v>42.768333333333331</c:v>
                </c:pt>
                <c:pt idx="103">
                  <c:v>77.650000000000006</c:v>
                </c:pt>
                <c:pt idx="104">
                  <c:v>77.650000000000006</c:v>
                </c:pt>
                <c:pt idx="105">
                  <c:v>90.930500000000009</c:v>
                </c:pt>
                <c:pt idx="106">
                  <c:v>98.037500000000009</c:v>
                </c:pt>
                <c:pt idx="107">
                  <c:v>65.988500000000002</c:v>
                </c:pt>
                <c:pt idx="108">
                  <c:v>41.879000000000005</c:v>
                </c:pt>
                <c:pt idx="109">
                  <c:v>76.875000000000014</c:v>
                </c:pt>
                <c:pt idx="110">
                  <c:v>65.162000000000006</c:v>
                </c:pt>
                <c:pt idx="111">
                  <c:v>87.5</c:v>
                </c:pt>
                <c:pt idx="112">
                  <c:v>58.052999999999997</c:v>
                </c:pt>
                <c:pt idx="113">
                  <c:v>37.066000000000003</c:v>
                </c:pt>
                <c:pt idx="114">
                  <c:v>64.875000000000014</c:v>
                </c:pt>
                <c:pt idx="115">
                  <c:v>36.171999999999997</c:v>
                </c:pt>
                <c:pt idx="116">
                  <c:v>52.537500000000009</c:v>
                </c:pt>
                <c:pt idx="117">
                  <c:v>25.599999999999998</c:v>
                </c:pt>
                <c:pt idx="118">
                  <c:v>20.8</c:v>
                </c:pt>
                <c:pt idx="119">
                  <c:v>9.5</c:v>
                </c:pt>
                <c:pt idx="120">
                  <c:v>11</c:v>
                </c:pt>
                <c:pt idx="121">
                  <c:v>288</c:v>
                </c:pt>
                <c:pt idx="122">
                  <c:v>94.364999999999995</c:v>
                </c:pt>
                <c:pt idx="123">
                  <c:v>203.45</c:v>
                </c:pt>
                <c:pt idx="124">
                  <c:v>0</c:v>
                </c:pt>
                <c:pt idx="125">
                  <c:v>138.87399999999997</c:v>
                </c:pt>
                <c:pt idx="126">
                  <c:v>179.23839285714286</c:v>
                </c:pt>
                <c:pt idx="127">
                  <c:v>246.7717857142857</c:v>
                </c:pt>
                <c:pt idx="128">
                  <c:v>253.04129464285711</c:v>
                </c:pt>
                <c:pt idx="129">
                  <c:v>223.14419642857143</c:v>
                </c:pt>
                <c:pt idx="130">
                  <c:v>204.39239285714285</c:v>
                </c:pt>
                <c:pt idx="131">
                  <c:v>0</c:v>
                </c:pt>
                <c:pt idx="132">
                  <c:v>214.7</c:v>
                </c:pt>
                <c:pt idx="133">
                  <c:v>183.95499999999998</c:v>
                </c:pt>
                <c:pt idx="134">
                  <c:v>250.35499999999999</c:v>
                </c:pt>
                <c:pt idx="135">
                  <c:v>151.15875</c:v>
                </c:pt>
                <c:pt idx="136">
                  <c:v>74.574875000000006</c:v>
                </c:pt>
                <c:pt idx="137">
                  <c:v>82.926937499999994</c:v>
                </c:pt>
                <c:pt idx="138">
                  <c:v>17</c:v>
                </c:pt>
                <c:pt idx="139">
                  <c:v>99.191000000000003</c:v>
                </c:pt>
                <c:pt idx="140">
                  <c:v>148.85006249999998</c:v>
                </c:pt>
                <c:pt idx="141">
                  <c:v>93.966062500000007</c:v>
                </c:pt>
                <c:pt idx="142">
                  <c:v>111.4519375</c:v>
                </c:pt>
                <c:pt idx="143">
                  <c:v>105.22500000000001</c:v>
                </c:pt>
                <c:pt idx="144">
                  <c:v>52.483062500000003</c:v>
                </c:pt>
                <c:pt idx="145">
                  <c:v>0</c:v>
                </c:pt>
                <c:pt idx="146">
                  <c:v>47.483062500000003</c:v>
                </c:pt>
                <c:pt idx="147">
                  <c:v>264.5</c:v>
                </c:pt>
                <c:pt idx="148">
                  <c:v>82.5</c:v>
                </c:pt>
                <c:pt idx="149">
                  <c:v>99.2</c:v>
                </c:pt>
                <c:pt idx="150">
                  <c:v>47</c:v>
                </c:pt>
                <c:pt idx="151">
                  <c:v>216.76972222222221</c:v>
                </c:pt>
                <c:pt idx="152">
                  <c:v>56.275000000000006</c:v>
                </c:pt>
                <c:pt idx="153">
                  <c:v>54.449444444444445</c:v>
                </c:pt>
                <c:pt idx="154">
                  <c:v>57.797444444444444</c:v>
                </c:pt>
                <c:pt idx="155">
                  <c:v>74.048888888888882</c:v>
                </c:pt>
                <c:pt idx="156">
                  <c:v>277.44944444444445</c:v>
                </c:pt>
                <c:pt idx="157">
                  <c:v>55.525000000000006</c:v>
                </c:pt>
                <c:pt idx="158">
                  <c:v>135.09888888888889</c:v>
                </c:pt>
                <c:pt idx="159">
                  <c:v>173.85499999999999</c:v>
                </c:pt>
                <c:pt idx="160">
                  <c:v>172.392</c:v>
                </c:pt>
                <c:pt idx="161">
                  <c:v>74.325000000000003</c:v>
                </c:pt>
                <c:pt idx="162">
                  <c:v>39.975000000000001</c:v>
                </c:pt>
                <c:pt idx="163">
                  <c:v>88.898888888888891</c:v>
                </c:pt>
                <c:pt idx="164">
                  <c:v>211.09888888888889</c:v>
                </c:pt>
                <c:pt idx="165">
                  <c:v>142.5</c:v>
                </c:pt>
                <c:pt idx="166">
                  <c:v>27.042999999999999</c:v>
                </c:pt>
                <c:pt idx="167">
                  <c:v>26.328375000000001</c:v>
                </c:pt>
                <c:pt idx="168">
                  <c:v>45.075000000000003</c:v>
                </c:pt>
                <c:pt idx="169">
                  <c:v>60.359523809523822</c:v>
                </c:pt>
                <c:pt idx="170">
                  <c:v>66.703374999999994</c:v>
                </c:pt>
                <c:pt idx="171">
                  <c:v>50.875</c:v>
                </c:pt>
                <c:pt idx="172">
                  <c:v>224.2</c:v>
                </c:pt>
                <c:pt idx="173">
                  <c:v>109.68789880952382</c:v>
                </c:pt>
                <c:pt idx="174">
                  <c:v>104.82789880952382</c:v>
                </c:pt>
                <c:pt idx="175">
                  <c:v>97.509523809523827</c:v>
                </c:pt>
                <c:pt idx="176">
                  <c:v>97.130000000000024</c:v>
                </c:pt>
                <c:pt idx="177">
                  <c:v>30.3</c:v>
                </c:pt>
                <c:pt idx="178">
                  <c:v>145.65952380952382</c:v>
                </c:pt>
                <c:pt idx="179">
                  <c:v>65.01428571428572</c:v>
                </c:pt>
                <c:pt idx="180">
                  <c:v>105.075</c:v>
                </c:pt>
                <c:pt idx="181">
                  <c:v>87.275000000000006</c:v>
                </c:pt>
                <c:pt idx="182">
                  <c:v>163.58889285714284</c:v>
                </c:pt>
                <c:pt idx="183">
                  <c:v>103.903375</c:v>
                </c:pt>
                <c:pt idx="184">
                  <c:v>91.875000000000014</c:v>
                </c:pt>
                <c:pt idx="185">
                  <c:v>35.075000000000003</c:v>
                </c:pt>
                <c:pt idx="186">
                  <c:v>71.357142857142861</c:v>
                </c:pt>
                <c:pt idx="187">
                  <c:v>122.51428571428572</c:v>
                </c:pt>
                <c:pt idx="188">
                  <c:v>72.089333333333329</c:v>
                </c:pt>
                <c:pt idx="189">
                  <c:v>235.14070833333332</c:v>
                </c:pt>
                <c:pt idx="190">
                  <c:v>143.6438511904762</c:v>
                </c:pt>
                <c:pt idx="191">
                  <c:v>108.5808511904762</c:v>
                </c:pt>
                <c:pt idx="192">
                  <c:v>249</c:v>
                </c:pt>
                <c:pt idx="193">
                  <c:v>200.4083333333333</c:v>
                </c:pt>
                <c:pt idx="194">
                  <c:v>102.29551785714285</c:v>
                </c:pt>
                <c:pt idx="195">
                  <c:v>100.37247619047619</c:v>
                </c:pt>
                <c:pt idx="196">
                  <c:v>80.817142857142869</c:v>
                </c:pt>
                <c:pt idx="197">
                  <c:v>89.608333333333334</c:v>
                </c:pt>
                <c:pt idx="198">
                  <c:v>82.934285714285721</c:v>
                </c:pt>
                <c:pt idx="199">
                  <c:v>204.87837500000001</c:v>
                </c:pt>
                <c:pt idx="200">
                  <c:v>228.07837499999999</c:v>
                </c:pt>
                <c:pt idx="201">
                  <c:v>171.74571428571429</c:v>
                </c:pt>
                <c:pt idx="202">
                  <c:v>200.34087500000001</c:v>
                </c:pt>
                <c:pt idx="203">
                  <c:v>238.79087499999997</c:v>
                </c:pt>
                <c:pt idx="204">
                  <c:v>200.2</c:v>
                </c:pt>
                <c:pt idx="205">
                  <c:v>215.96666666666667</c:v>
                </c:pt>
                <c:pt idx="206">
                  <c:v>48.72</c:v>
                </c:pt>
                <c:pt idx="207">
                  <c:v>82.99766666666666</c:v>
                </c:pt>
                <c:pt idx="208">
                  <c:v>117.39066666666668</c:v>
                </c:pt>
                <c:pt idx="209">
                  <c:v>151.51999999999998</c:v>
                </c:pt>
                <c:pt idx="210">
                  <c:v>33.814</c:v>
                </c:pt>
                <c:pt idx="211">
                  <c:v>105.42853820488766</c:v>
                </c:pt>
                <c:pt idx="212">
                  <c:v>105.42853820488766</c:v>
                </c:pt>
                <c:pt idx="213">
                  <c:v>105.42853820488766</c:v>
                </c:pt>
                <c:pt idx="214">
                  <c:v>105.42853820488766</c:v>
                </c:pt>
                <c:pt idx="215">
                  <c:v>105.42853820488766</c:v>
                </c:pt>
                <c:pt idx="216">
                  <c:v>105.42853820488766</c:v>
                </c:pt>
                <c:pt idx="217">
                  <c:v>105.42853820488766</c:v>
                </c:pt>
                <c:pt idx="218">
                  <c:v>62.25</c:v>
                </c:pt>
                <c:pt idx="219">
                  <c:v>91.25</c:v>
                </c:pt>
                <c:pt idx="220">
                  <c:v>52</c:v>
                </c:pt>
                <c:pt idx="221">
                  <c:v>200.5</c:v>
                </c:pt>
                <c:pt idx="222">
                  <c:v>49.655000000000001</c:v>
                </c:pt>
                <c:pt idx="223">
                  <c:v>44.442999999999998</c:v>
                </c:pt>
                <c:pt idx="224">
                  <c:v>58.711000000000006</c:v>
                </c:pt>
                <c:pt idx="225">
                  <c:v>282.3</c:v>
                </c:pt>
              </c:numCache>
            </c:numRef>
          </c:xVal>
          <c:yVal>
            <c:numRef>
              <c:f>Residuals!$BA$2:$BA$227</c:f>
              <c:numCache>
                <c:formatCode>0.00</c:formatCode>
                <c:ptCount val="226"/>
                <c:pt idx="0">
                  <c:v>20.15483454671687</c:v>
                </c:pt>
                <c:pt idx="1">
                  <c:v>16.562179980653355</c:v>
                </c:pt>
                <c:pt idx="2">
                  <c:v>16.286175161358528</c:v>
                </c:pt>
                <c:pt idx="3">
                  <c:v>17.123449062468922</c:v>
                </c:pt>
                <c:pt idx="4">
                  <c:v>14.212520650776781</c:v>
                </c:pt>
                <c:pt idx="5">
                  <c:v>13.060847966686651</c:v>
                </c:pt>
                <c:pt idx="6">
                  <c:v>13.476847818735251</c:v>
                </c:pt>
                <c:pt idx="7">
                  <c:v>14.4276217918665</c:v>
                </c:pt>
                <c:pt idx="8">
                  <c:v>14.375184843100641</c:v>
                </c:pt>
                <c:pt idx="9">
                  <c:v>17.346804365141651</c:v>
                </c:pt>
                <c:pt idx="10">
                  <c:v>15.511715908374498</c:v>
                </c:pt>
                <c:pt idx="11">
                  <c:v>12.984158399753028</c:v>
                </c:pt>
                <c:pt idx="12">
                  <c:v>11.615802511439426</c:v>
                </c:pt>
                <c:pt idx="13">
                  <c:v>14.350548102143279</c:v>
                </c:pt>
                <c:pt idx="14">
                  <c:v>12.193313652246701</c:v>
                </c:pt>
                <c:pt idx="15">
                  <c:v>12.34430520157801</c:v>
                </c:pt>
                <c:pt idx="16">
                  <c:v>9.2602269320535697</c:v>
                </c:pt>
                <c:pt idx="17">
                  <c:v>9.0782569697871907</c:v>
                </c:pt>
                <c:pt idx="18">
                  <c:v>7.6599264314246795</c:v>
                </c:pt>
                <c:pt idx="19">
                  <c:v>7.6101917709028442</c:v>
                </c:pt>
                <c:pt idx="20">
                  <c:v>6.3156192146462615</c:v>
                </c:pt>
                <c:pt idx="21">
                  <c:v>6.3217945025700431</c:v>
                </c:pt>
                <c:pt idx="22">
                  <c:v>4.2730246528369094</c:v>
                </c:pt>
                <c:pt idx="23">
                  <c:v>4.6301788725017445</c:v>
                </c:pt>
                <c:pt idx="24">
                  <c:v>3.587581101916129</c:v>
                </c:pt>
                <c:pt idx="25">
                  <c:v>1.4608900367746571</c:v>
                </c:pt>
                <c:pt idx="26">
                  <c:v>4.441310614362294</c:v>
                </c:pt>
                <c:pt idx="27">
                  <c:v>4.3927497127331208</c:v>
                </c:pt>
                <c:pt idx="28">
                  <c:v>3.4424993982863725</c:v>
                </c:pt>
                <c:pt idx="29">
                  <c:v>2.7207577754003296</c:v>
                </c:pt>
                <c:pt idx="30">
                  <c:v>2.4637568127743066</c:v>
                </c:pt>
                <c:pt idx="31">
                  <c:v>0.64243448671436454</c:v>
                </c:pt>
                <c:pt idx="32">
                  <c:v>0.50823090585052455</c:v>
                </c:pt>
                <c:pt idx="33">
                  <c:v>-0.21022604826413271</c:v>
                </c:pt>
                <c:pt idx="34">
                  <c:v>0.16430432320206023</c:v>
                </c:pt>
                <c:pt idx="35">
                  <c:v>0.41326508756523594</c:v>
                </c:pt>
                <c:pt idx="36">
                  <c:v>-2.7691780561524126</c:v>
                </c:pt>
                <c:pt idx="37">
                  <c:v>-1.2902081176025604</c:v>
                </c:pt>
                <c:pt idx="38">
                  <c:v>2.6546668484668885</c:v>
                </c:pt>
                <c:pt idx="39">
                  <c:v>6.4429809868828443</c:v>
                </c:pt>
                <c:pt idx="40">
                  <c:v>5.8478226598879814</c:v>
                </c:pt>
                <c:pt idx="41">
                  <c:v>3.5701264158476249</c:v>
                </c:pt>
                <c:pt idx="42">
                  <c:v>3.0626806095467884</c:v>
                </c:pt>
                <c:pt idx="43">
                  <c:v>5.4413114019525324</c:v>
                </c:pt>
                <c:pt idx="44">
                  <c:v>4.1502476982450389</c:v>
                </c:pt>
                <c:pt idx="45">
                  <c:v>6.1923102239733794</c:v>
                </c:pt>
                <c:pt idx="46">
                  <c:v>6.3486617629650084</c:v>
                </c:pt>
                <c:pt idx="47">
                  <c:v>2.5062086397138899</c:v>
                </c:pt>
                <c:pt idx="48">
                  <c:v>0.51382942946440835</c:v>
                </c:pt>
                <c:pt idx="49">
                  <c:v>-1.3520884822914354</c:v>
                </c:pt>
                <c:pt idx="50">
                  <c:v>-2.3010033753795653</c:v>
                </c:pt>
                <c:pt idx="51">
                  <c:v>-2.4603403412471323</c:v>
                </c:pt>
                <c:pt idx="52">
                  <c:v>-0.93405844455782017</c:v>
                </c:pt>
                <c:pt idx="53">
                  <c:v>-2.374554620276939</c:v>
                </c:pt>
                <c:pt idx="54">
                  <c:v>-2.1130234005352975</c:v>
                </c:pt>
                <c:pt idx="55">
                  <c:v>-3.6304358110277519</c:v>
                </c:pt>
                <c:pt idx="56">
                  <c:v>-3.8710110292856257</c:v>
                </c:pt>
                <c:pt idx="57">
                  <c:v>-5.4048339760195176</c:v>
                </c:pt>
                <c:pt idx="58">
                  <c:v>-5.5971522675697543</c:v>
                </c:pt>
                <c:pt idx="59">
                  <c:v>-6.2228640137531386</c:v>
                </c:pt>
                <c:pt idx="60">
                  <c:v>-6.6997900638082513</c:v>
                </c:pt>
                <c:pt idx="61">
                  <c:v>-7.6888407332666588</c:v>
                </c:pt>
                <c:pt idx="62">
                  <c:v>-8.5838658469065194</c:v>
                </c:pt>
                <c:pt idx="63">
                  <c:v>-8.9174859379701843</c:v>
                </c:pt>
                <c:pt idx="64">
                  <c:v>-7.2365519238736624</c:v>
                </c:pt>
                <c:pt idx="65">
                  <c:v>-4.8290718381659303</c:v>
                </c:pt>
                <c:pt idx="66">
                  <c:v>-6.3789909219346725</c:v>
                </c:pt>
                <c:pt idx="67">
                  <c:v>-5.082762516789785</c:v>
                </c:pt>
                <c:pt idx="68">
                  <c:v>-2.8379702696610991</c:v>
                </c:pt>
                <c:pt idx="69">
                  <c:v>-5.6152252339646225</c:v>
                </c:pt>
                <c:pt idx="70">
                  <c:v>-8.0574859790677635</c:v>
                </c:pt>
                <c:pt idx="71">
                  <c:v>-8.4893827963438753</c:v>
                </c:pt>
                <c:pt idx="72">
                  <c:v>-3.3207581929212608</c:v>
                </c:pt>
                <c:pt idx="73">
                  <c:v>-2.4925784596908898</c:v>
                </c:pt>
                <c:pt idx="74">
                  <c:v>-2.0658999966767908</c:v>
                </c:pt>
                <c:pt idx="75">
                  <c:v>-5.7411349974709935</c:v>
                </c:pt>
                <c:pt idx="76">
                  <c:v>-6.3350488042650852</c:v>
                </c:pt>
                <c:pt idx="77">
                  <c:v>-7.3711850603603182</c:v>
                </c:pt>
                <c:pt idx="78">
                  <c:v>-7.7050088290463634</c:v>
                </c:pt>
                <c:pt idx="79">
                  <c:v>-4.1823944847872099</c:v>
                </c:pt>
                <c:pt idx="80">
                  <c:v>-3.6214259036005387</c:v>
                </c:pt>
                <c:pt idx="81">
                  <c:v>-2.7061867743306891</c:v>
                </c:pt>
                <c:pt idx="82">
                  <c:v>-6.1693491446133351</c:v>
                </c:pt>
                <c:pt idx="83">
                  <c:v>-6.9159634014504547</c:v>
                </c:pt>
                <c:pt idx="84">
                  <c:v>-5.3088884180799596</c:v>
                </c:pt>
                <c:pt idx="85">
                  <c:v>-3.9419696376853324</c:v>
                </c:pt>
                <c:pt idx="86">
                  <c:v>0.65270427542341736</c:v>
                </c:pt>
                <c:pt idx="87">
                  <c:v>2.6413937528696181</c:v>
                </c:pt>
                <c:pt idx="88">
                  <c:v>-0.82660383337321264</c:v>
                </c:pt>
                <c:pt idx="89">
                  <c:v>-1.9766849728382567</c:v>
                </c:pt>
                <c:pt idx="90">
                  <c:v>-0.59591701308741563</c:v>
                </c:pt>
                <c:pt idx="91">
                  <c:v>-1.3805422195278538</c:v>
                </c:pt>
                <c:pt idx="92">
                  <c:v>1.2262863705078928</c:v>
                </c:pt>
                <c:pt idx="93">
                  <c:v>0.3122968762570224</c:v>
                </c:pt>
                <c:pt idx="94">
                  <c:v>-1.9656569935529831</c:v>
                </c:pt>
                <c:pt idx="95">
                  <c:v>-1.4276967610328768</c:v>
                </c:pt>
                <c:pt idx="96">
                  <c:v>-1.9890960426066613</c:v>
                </c:pt>
                <c:pt idx="97">
                  <c:v>-4.496481354986571</c:v>
                </c:pt>
                <c:pt idx="98">
                  <c:v>-5.0681673809610572</c:v>
                </c:pt>
                <c:pt idx="99">
                  <c:v>-3.5122436146407949</c:v>
                </c:pt>
                <c:pt idx="100">
                  <c:v>-3.3872998707980173</c:v>
                </c:pt>
                <c:pt idx="101">
                  <c:v>-2.0149158785933707</c:v>
                </c:pt>
                <c:pt idx="102">
                  <c:v>2.3083671328023172</c:v>
                </c:pt>
                <c:pt idx="103">
                  <c:v>2.9180063882059812</c:v>
                </c:pt>
                <c:pt idx="104">
                  <c:v>1.3180063882060153</c:v>
                </c:pt>
                <c:pt idx="105">
                  <c:v>0.39782236024637996</c:v>
                </c:pt>
                <c:pt idx="106">
                  <c:v>0.24053551963731934</c:v>
                </c:pt>
                <c:pt idx="107">
                  <c:v>-3.9520793734708093</c:v>
                </c:pt>
                <c:pt idx="108">
                  <c:v>-5.0969777717169507</c:v>
                </c:pt>
                <c:pt idx="109">
                  <c:v>-4.486651371541825</c:v>
                </c:pt>
                <c:pt idx="110">
                  <c:v>-6.1570466488664408</c:v>
                </c:pt>
                <c:pt idx="111">
                  <c:v>-4.8227949879019718</c:v>
                </c:pt>
                <c:pt idx="112">
                  <c:v>-3.5997718282824849</c:v>
                </c:pt>
                <c:pt idx="113">
                  <c:v>-7.5259039622542332</c:v>
                </c:pt>
                <c:pt idx="114">
                  <c:v>-6.958771522476269</c:v>
                </c:pt>
                <c:pt idx="115">
                  <c:v>-8.5312769134988571</c:v>
                </c:pt>
                <c:pt idx="116">
                  <c:v>-8.6329200526557202</c:v>
                </c:pt>
                <c:pt idx="117">
                  <c:v>-10.794814766472058</c:v>
                </c:pt>
                <c:pt idx="118">
                  <c:v>-11.223662826845839</c:v>
                </c:pt>
                <c:pt idx="119">
                  <c:v>-11.491575968975781</c:v>
                </c:pt>
                <c:pt idx="120">
                  <c:v>-10.682560950108979</c:v>
                </c:pt>
                <c:pt idx="121">
                  <c:v>-7.0177874660392376</c:v>
                </c:pt>
                <c:pt idx="122">
                  <c:v>-5.5815362515549225</c:v>
                </c:pt>
                <c:pt idx="123">
                  <c:v>-4.1259340294980689</c:v>
                </c:pt>
                <c:pt idx="124">
                  <c:v>-3.3486710884655224</c:v>
                </c:pt>
                <c:pt idx="125">
                  <c:v>-4.3140366017265421</c:v>
                </c:pt>
                <c:pt idx="126">
                  <c:v>-2.0714460929570748</c:v>
                </c:pt>
                <c:pt idx="127">
                  <c:v>-0.66556955245945915</c:v>
                </c:pt>
                <c:pt idx="128">
                  <c:v>-1.22788972494169</c:v>
                </c:pt>
                <c:pt idx="129">
                  <c:v>2.7924283387486639</c:v>
                </c:pt>
                <c:pt idx="130">
                  <c:v>7.9729763426655609E-2</c:v>
                </c:pt>
                <c:pt idx="131">
                  <c:v>-0.54867108846553947</c:v>
                </c:pt>
                <c:pt idx="132">
                  <c:v>0.34167861200296556</c:v>
                </c:pt>
                <c:pt idx="133">
                  <c:v>1.1569007752963785</c:v>
                </c:pt>
                <c:pt idx="134">
                  <c:v>2.9559656104668761</c:v>
                </c:pt>
                <c:pt idx="135">
                  <c:v>3.1597949002894268</c:v>
                </c:pt>
                <c:pt idx="136">
                  <c:v>-3.5004751517224975</c:v>
                </c:pt>
                <c:pt idx="137">
                  <c:v>-4.850279151046351</c:v>
                </c:pt>
                <c:pt idx="138">
                  <c:v>-4.6465008746417595</c:v>
                </c:pt>
                <c:pt idx="139">
                  <c:v>-5.9525319308541214</c:v>
                </c:pt>
                <c:pt idx="140">
                  <c:v>-6.8540803406239377</c:v>
                </c:pt>
                <c:pt idx="141">
                  <c:v>-4.983933870947709</c:v>
                </c:pt>
                <c:pt idx="142">
                  <c:v>-2.0788435422626605</c:v>
                </c:pt>
                <c:pt idx="143">
                  <c:v>-4.316267514959236</c:v>
                </c:pt>
                <c:pt idx="144">
                  <c:v>-2.6332472227154256</c:v>
                </c:pt>
                <c:pt idx="145">
                  <c:v>-4.7486710884655281</c:v>
                </c:pt>
                <c:pt idx="146">
                  <c:v>-6.06329728560479</c:v>
                </c:pt>
                <c:pt idx="147">
                  <c:v>-0.5590227616191612</c:v>
                </c:pt>
                <c:pt idx="148">
                  <c:v>-0.65284505079134192</c:v>
                </c:pt>
                <c:pt idx="149">
                  <c:v>-2.1524778407409144</c:v>
                </c:pt>
                <c:pt idx="150">
                  <c:v>-1.4662004973056924</c:v>
                </c:pt>
                <c:pt idx="151">
                  <c:v>-1.4458823314087965</c:v>
                </c:pt>
                <c:pt idx="152">
                  <c:v>-3.6104576306459251</c:v>
                </c:pt>
                <c:pt idx="153">
                  <c:v>-4.0214292424964242</c:v>
                </c:pt>
                <c:pt idx="154">
                  <c:v>-6.2013077203857279</c:v>
                </c:pt>
                <c:pt idx="155">
                  <c:v>-2.5036363348660586</c:v>
                </c:pt>
                <c:pt idx="156">
                  <c:v>-1.0811964376316325</c:v>
                </c:pt>
                <c:pt idx="157">
                  <c:v>3.5850348599206541</c:v>
                </c:pt>
                <c:pt idx="158">
                  <c:v>-0.13672506698716802</c:v>
                </c:pt>
                <c:pt idx="159">
                  <c:v>-1.9038003517401023</c:v>
                </c:pt>
                <c:pt idx="160">
                  <c:v>-2.912593000141527</c:v>
                </c:pt>
                <c:pt idx="161">
                  <c:v>-0.50197690361540026</c:v>
                </c:pt>
                <c:pt idx="162">
                  <c:v>-0.50842083566521978</c:v>
                </c:pt>
                <c:pt idx="163">
                  <c:v>-0.41438764808469841</c:v>
                </c:pt>
                <c:pt idx="164">
                  <c:v>-2.6799641110691255</c:v>
                </c:pt>
                <c:pt idx="165">
                  <c:v>2.5077557038807754</c:v>
                </c:pt>
                <c:pt idx="166">
                  <c:v>0.21385768167780839</c:v>
                </c:pt>
                <c:pt idx="167">
                  <c:v>-3.7904372235606729</c:v>
                </c:pt>
                <c:pt idx="168">
                  <c:v>-7.877769771518075</c:v>
                </c:pt>
                <c:pt idx="169">
                  <c:v>-6.5859095911760903</c:v>
                </c:pt>
                <c:pt idx="170">
                  <c:v>-5.5477829657291977</c:v>
                </c:pt>
                <c:pt idx="171">
                  <c:v>-4.8429116985664393</c:v>
                </c:pt>
                <c:pt idx="172">
                  <c:v>-2.4012262685072869</c:v>
                </c:pt>
                <c:pt idx="173">
                  <c:v>0.51055456301972413</c:v>
                </c:pt>
                <c:pt idx="174">
                  <c:v>-2.5186540981087262</c:v>
                </c:pt>
                <c:pt idx="175">
                  <c:v>-2.7626376239082617</c:v>
                </c:pt>
                <c:pt idx="176">
                  <c:v>-4.1649185667771178</c:v>
                </c:pt>
                <c:pt idx="177">
                  <c:v>-4.3665677073560971</c:v>
                </c:pt>
                <c:pt idx="178">
                  <c:v>-2.473255518283878</c:v>
                </c:pt>
                <c:pt idx="179">
                  <c:v>-1.3579344135814893</c:v>
                </c:pt>
                <c:pt idx="180">
                  <c:v>-1.3171690168459236</c:v>
                </c:pt>
                <c:pt idx="181">
                  <c:v>-0.4241472407319975</c:v>
                </c:pt>
                <c:pt idx="182">
                  <c:v>-0.96549978479441734</c:v>
                </c:pt>
                <c:pt idx="183">
                  <c:v>-2.1242104978324789</c:v>
                </c:pt>
                <c:pt idx="184">
                  <c:v>-2.7965011828738113</c:v>
                </c:pt>
                <c:pt idx="185">
                  <c:v>-1.5378698972967584</c:v>
                </c:pt>
                <c:pt idx="186">
                  <c:v>-2.9198137623733089</c:v>
                </c:pt>
                <c:pt idx="187">
                  <c:v>-3.0123586903540343</c:v>
                </c:pt>
                <c:pt idx="188">
                  <c:v>-2.3154132884019987</c:v>
                </c:pt>
                <c:pt idx="189">
                  <c:v>-1.9354724738131495</c:v>
                </c:pt>
                <c:pt idx="190">
                  <c:v>-2.6853697360772344</c:v>
                </c:pt>
                <c:pt idx="191">
                  <c:v>-2.4960988070950521</c:v>
                </c:pt>
                <c:pt idx="192">
                  <c:v>-0.25217795657613351</c:v>
                </c:pt>
                <c:pt idx="193">
                  <c:v>0.45578551557758828</c:v>
                </c:pt>
                <c:pt idx="194">
                  <c:v>3.0661262605155173</c:v>
                </c:pt>
                <c:pt idx="195">
                  <c:v>0.25456875591109451</c:v>
                </c:pt>
                <c:pt idx="196">
                  <c:v>-3.2629590433866724</c:v>
                </c:pt>
                <c:pt idx="197">
                  <c:v>-1.2101238780503252</c:v>
                </c:pt>
                <c:pt idx="198">
                  <c:v>-0.25023498818609369</c:v>
                </c:pt>
                <c:pt idx="199">
                  <c:v>-0.51734947778214746</c:v>
                </c:pt>
                <c:pt idx="200">
                  <c:v>3.4220828140244066</c:v>
                </c:pt>
                <c:pt idx="201">
                  <c:v>1.4835228145867063</c:v>
                </c:pt>
                <c:pt idx="202">
                  <c:v>5.4553800901457521</c:v>
                </c:pt>
                <c:pt idx="203">
                  <c:v>7.4864650737648333</c:v>
                </c:pt>
                <c:pt idx="204">
                  <c:v>5.454533429623865</c:v>
                </c:pt>
                <c:pt idx="205">
                  <c:v>7.9492912946015792</c:v>
                </c:pt>
                <c:pt idx="206">
                  <c:v>9.7441367243282286</c:v>
                </c:pt>
                <c:pt idx="207">
                  <c:v>6.35014593213495</c:v>
                </c:pt>
                <c:pt idx="208">
                  <c:v>2.1568482947255632</c:v>
                </c:pt>
                <c:pt idx="209">
                  <c:v>2.7619660173332079</c:v>
                </c:pt>
                <c:pt idx="210">
                  <c:v>5.2545514768425505</c:v>
                </c:pt>
                <c:pt idx="211">
                  <c:v>6.0849557522121813</c:v>
                </c:pt>
                <c:pt idx="212">
                  <c:v>6.4849557522122154</c:v>
                </c:pt>
                <c:pt idx="213">
                  <c:v>8.28495575221217</c:v>
                </c:pt>
                <c:pt idx="214">
                  <c:v>1.0849557522121813</c:v>
                </c:pt>
                <c:pt idx="215">
                  <c:v>1.6849557522122041</c:v>
                </c:pt>
                <c:pt idx="216">
                  <c:v>2.8849557522121927</c:v>
                </c:pt>
                <c:pt idx="217">
                  <c:v>3.6849557522122041</c:v>
                </c:pt>
                <c:pt idx="218">
                  <c:v>3.4254521945068177</c:v>
                </c:pt>
                <c:pt idx="219">
                  <c:v>5.7997425592650131</c:v>
                </c:pt>
                <c:pt idx="220">
                  <c:v>5.763849565583655</c:v>
                </c:pt>
                <c:pt idx="221">
                  <c:v>6.4563364333972117</c:v>
                </c:pt>
                <c:pt idx="222">
                  <c:v>3.5497560860885642</c:v>
                </c:pt>
                <c:pt idx="223">
                  <c:v>3.1184319005327268</c:v>
                </c:pt>
                <c:pt idx="224">
                  <c:v>0.40418275999374487</c:v>
                </c:pt>
                <c:pt idx="225">
                  <c:v>0.94795546226688998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5-4727-B49D-28F32E88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2415"/>
        <c:axId val="2123649615"/>
      </c:scatterChart>
      <c:valAx>
        <c:axId val="21236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9615"/>
        <c:crosses val="autoZero"/>
        <c:crossBetween val="midCat"/>
      </c:valAx>
      <c:valAx>
        <c:axId val="2123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Log'!$U$2:$U$227</c:f>
              <c:numCache>
                <c:formatCode>0.00</c:formatCode>
                <c:ptCount val="226"/>
                <c:pt idx="0">
                  <c:v>73</c:v>
                </c:pt>
                <c:pt idx="1">
                  <c:v>71.5</c:v>
                </c:pt>
                <c:pt idx="2">
                  <c:v>74.289583333333354</c:v>
                </c:pt>
                <c:pt idx="3">
                  <c:v>4</c:v>
                </c:pt>
                <c:pt idx="4">
                  <c:v>104.32666666666668</c:v>
                </c:pt>
                <c:pt idx="5">
                  <c:v>69.580000000000013</c:v>
                </c:pt>
                <c:pt idx="6">
                  <c:v>67.880000000000024</c:v>
                </c:pt>
                <c:pt idx="7">
                  <c:v>163</c:v>
                </c:pt>
                <c:pt idx="8">
                  <c:v>99.950000000000031</c:v>
                </c:pt>
                <c:pt idx="9">
                  <c:v>78.450000000000017</c:v>
                </c:pt>
                <c:pt idx="10">
                  <c:v>108.05500000000001</c:v>
                </c:pt>
                <c:pt idx="11">
                  <c:v>75.029166666666669</c:v>
                </c:pt>
                <c:pt idx="12">
                  <c:v>119.9875</c:v>
                </c:pt>
                <c:pt idx="13">
                  <c:v>56.15</c:v>
                </c:pt>
                <c:pt idx="14">
                  <c:v>50.186</c:v>
                </c:pt>
                <c:pt idx="15">
                  <c:v>99.683000000000007</c:v>
                </c:pt>
                <c:pt idx="16">
                  <c:v>62.6</c:v>
                </c:pt>
                <c:pt idx="17">
                  <c:v>63.6</c:v>
                </c:pt>
                <c:pt idx="18">
                  <c:v>62.42</c:v>
                </c:pt>
                <c:pt idx="19">
                  <c:v>85.606000000000009</c:v>
                </c:pt>
                <c:pt idx="20">
                  <c:v>63.933333333333337</c:v>
                </c:pt>
                <c:pt idx="21">
                  <c:v>45.186</c:v>
                </c:pt>
                <c:pt idx="22">
                  <c:v>50.2958</c:v>
                </c:pt>
                <c:pt idx="23">
                  <c:v>61.1265</c:v>
                </c:pt>
                <c:pt idx="24">
                  <c:v>74.95150000000001</c:v>
                </c:pt>
                <c:pt idx="25">
                  <c:v>62.576499999999996</c:v>
                </c:pt>
                <c:pt idx="26">
                  <c:v>75.656499999999994</c:v>
                </c:pt>
                <c:pt idx="27">
                  <c:v>58.336499999999994</c:v>
                </c:pt>
                <c:pt idx="28">
                  <c:v>53.336499999999994</c:v>
                </c:pt>
                <c:pt idx="29">
                  <c:v>55.384499999999996</c:v>
                </c:pt>
                <c:pt idx="30">
                  <c:v>56.428166666666677</c:v>
                </c:pt>
                <c:pt idx="31">
                  <c:v>67.36966666666666</c:v>
                </c:pt>
                <c:pt idx="32">
                  <c:v>58.128166666666672</c:v>
                </c:pt>
                <c:pt idx="33">
                  <c:v>122.55633333333336</c:v>
                </c:pt>
                <c:pt idx="34">
                  <c:v>70.36966666666666</c:v>
                </c:pt>
                <c:pt idx="35">
                  <c:v>60.4</c:v>
                </c:pt>
                <c:pt idx="36">
                  <c:v>45.608166666666669</c:v>
                </c:pt>
                <c:pt idx="37">
                  <c:v>182.9</c:v>
                </c:pt>
                <c:pt idx="38">
                  <c:v>172</c:v>
                </c:pt>
                <c:pt idx="39">
                  <c:v>133.5</c:v>
                </c:pt>
                <c:pt idx="40">
                  <c:v>117</c:v>
                </c:pt>
                <c:pt idx="41">
                  <c:v>93.2</c:v>
                </c:pt>
                <c:pt idx="42">
                  <c:v>57</c:v>
                </c:pt>
                <c:pt idx="43">
                  <c:v>120</c:v>
                </c:pt>
                <c:pt idx="44">
                  <c:v>166.13659999999999</c:v>
                </c:pt>
                <c:pt idx="45">
                  <c:v>158.75139999999999</c:v>
                </c:pt>
                <c:pt idx="46">
                  <c:v>23.972023809523812</c:v>
                </c:pt>
                <c:pt idx="47">
                  <c:v>121.90903540903541</c:v>
                </c:pt>
                <c:pt idx="48">
                  <c:v>108.60142857142858</c:v>
                </c:pt>
                <c:pt idx="49">
                  <c:v>114.00903540903542</c:v>
                </c:pt>
                <c:pt idx="50">
                  <c:v>121.00903540903542</c:v>
                </c:pt>
                <c:pt idx="51">
                  <c:v>131.61566666666667</c:v>
                </c:pt>
                <c:pt idx="52">
                  <c:v>118.00903540903542</c:v>
                </c:pt>
                <c:pt idx="53">
                  <c:v>125.10666666666668</c:v>
                </c:pt>
                <c:pt idx="54">
                  <c:v>118.50903540903542</c:v>
                </c:pt>
                <c:pt idx="55">
                  <c:v>124.3742735042735</c:v>
                </c:pt>
                <c:pt idx="56">
                  <c:v>118.11428571428573</c:v>
                </c:pt>
                <c:pt idx="57">
                  <c:v>61.680952380952384</c:v>
                </c:pt>
                <c:pt idx="58">
                  <c:v>98.933333333333337</c:v>
                </c:pt>
                <c:pt idx="59">
                  <c:v>68.180952380952391</c:v>
                </c:pt>
                <c:pt idx="60">
                  <c:v>110.33333333333334</c:v>
                </c:pt>
                <c:pt idx="61">
                  <c:v>72.280952380952385</c:v>
                </c:pt>
                <c:pt idx="62">
                  <c:v>124.61428571428573</c:v>
                </c:pt>
                <c:pt idx="63">
                  <c:v>62.333333333333336</c:v>
                </c:pt>
                <c:pt idx="64">
                  <c:v>95.1</c:v>
                </c:pt>
                <c:pt idx="65">
                  <c:v>14.4</c:v>
                </c:pt>
                <c:pt idx="66">
                  <c:v>65.180952380952391</c:v>
                </c:pt>
                <c:pt idx="67">
                  <c:v>226.33333333333334</c:v>
                </c:pt>
                <c:pt idx="68">
                  <c:v>80.822222222222223</c:v>
                </c:pt>
                <c:pt idx="69">
                  <c:v>138.28492063492064</c:v>
                </c:pt>
                <c:pt idx="70">
                  <c:v>80.64444444444446</c:v>
                </c:pt>
                <c:pt idx="71">
                  <c:v>182.32047619047617</c:v>
                </c:pt>
                <c:pt idx="72">
                  <c:v>62.4</c:v>
                </c:pt>
                <c:pt idx="73">
                  <c:v>123</c:v>
                </c:pt>
                <c:pt idx="74">
                  <c:v>74.544444444444451</c:v>
                </c:pt>
                <c:pt idx="75">
                  <c:v>102.74047619047619</c:v>
                </c:pt>
                <c:pt idx="76">
                  <c:v>155.48888888888891</c:v>
                </c:pt>
                <c:pt idx="77">
                  <c:v>77.740476190476187</c:v>
                </c:pt>
                <c:pt idx="78">
                  <c:v>210.04047619047617</c:v>
                </c:pt>
                <c:pt idx="79">
                  <c:v>92.100000000000009</c:v>
                </c:pt>
                <c:pt idx="80">
                  <c:v>74.044444444444451</c:v>
                </c:pt>
                <c:pt idx="81">
                  <c:v>102.20380952380953</c:v>
                </c:pt>
                <c:pt idx="82">
                  <c:v>73.701666666666682</c:v>
                </c:pt>
                <c:pt idx="83">
                  <c:v>74.12166666666667</c:v>
                </c:pt>
                <c:pt idx="84">
                  <c:v>90.541666666666671</c:v>
                </c:pt>
                <c:pt idx="85">
                  <c:v>136.32965277777777</c:v>
                </c:pt>
                <c:pt idx="86">
                  <c:v>192.764375</c:v>
                </c:pt>
                <c:pt idx="87">
                  <c:v>49.528750000000002</c:v>
                </c:pt>
                <c:pt idx="88">
                  <c:v>96.066041666666663</c:v>
                </c:pt>
                <c:pt idx="89">
                  <c:v>157.00694444444446</c:v>
                </c:pt>
                <c:pt idx="90">
                  <c:v>165.53055555555559</c:v>
                </c:pt>
                <c:pt idx="91">
                  <c:v>276.46527777777777</c:v>
                </c:pt>
                <c:pt idx="92">
                  <c:v>95.833333333333343</c:v>
                </c:pt>
                <c:pt idx="93">
                  <c:v>110.48611111111113</c:v>
                </c:pt>
                <c:pt idx="94">
                  <c:v>79.132000000000005</c:v>
                </c:pt>
                <c:pt idx="95">
                  <c:v>148.85499999999999</c:v>
                </c:pt>
                <c:pt idx="96">
                  <c:v>86.525000000000006</c:v>
                </c:pt>
                <c:pt idx="97">
                  <c:v>125.465</c:v>
                </c:pt>
                <c:pt idx="98">
                  <c:v>120.35200000000002</c:v>
                </c:pt>
                <c:pt idx="99">
                  <c:v>134.52300000000002</c:v>
                </c:pt>
                <c:pt idx="100">
                  <c:v>149.46500000000003</c:v>
                </c:pt>
                <c:pt idx="101">
                  <c:v>206.4</c:v>
                </c:pt>
                <c:pt idx="102">
                  <c:v>64.282000000000011</c:v>
                </c:pt>
                <c:pt idx="103">
                  <c:v>78.52</c:v>
                </c:pt>
                <c:pt idx="104">
                  <c:v>78.52</c:v>
                </c:pt>
                <c:pt idx="105">
                  <c:v>123.55766666666668</c:v>
                </c:pt>
                <c:pt idx="106">
                  <c:v>81.975000000000009</c:v>
                </c:pt>
                <c:pt idx="107">
                  <c:v>118.19266666666668</c:v>
                </c:pt>
                <c:pt idx="108">
                  <c:v>71.543666666666681</c:v>
                </c:pt>
                <c:pt idx="109">
                  <c:v>104.85000000000001</c:v>
                </c:pt>
                <c:pt idx="110">
                  <c:v>88.26166666666667</c:v>
                </c:pt>
                <c:pt idx="111">
                  <c:v>81</c:v>
                </c:pt>
                <c:pt idx="112">
                  <c:v>67.227666666666678</c:v>
                </c:pt>
                <c:pt idx="113">
                  <c:v>70.88666666666667</c:v>
                </c:pt>
                <c:pt idx="114">
                  <c:v>99.550000000000011</c:v>
                </c:pt>
                <c:pt idx="115">
                  <c:v>67.75266666666667</c:v>
                </c:pt>
                <c:pt idx="116">
                  <c:v>54.975000000000001</c:v>
                </c:pt>
                <c:pt idx="117">
                  <c:v>73.13</c:v>
                </c:pt>
                <c:pt idx="118">
                  <c:v>59.1</c:v>
                </c:pt>
                <c:pt idx="119">
                  <c:v>61.5</c:v>
                </c:pt>
                <c:pt idx="120">
                  <c:v>17.174999999999997</c:v>
                </c:pt>
                <c:pt idx="121">
                  <c:v>172</c:v>
                </c:pt>
                <c:pt idx="122">
                  <c:v>95.332875000000001</c:v>
                </c:pt>
                <c:pt idx="123">
                  <c:v>111.640625</c:v>
                </c:pt>
                <c:pt idx="124">
                  <c:v>0</c:v>
                </c:pt>
                <c:pt idx="125">
                  <c:v>206.44258333333335</c:v>
                </c:pt>
                <c:pt idx="126">
                  <c:v>192.45416666666668</c:v>
                </c:pt>
                <c:pt idx="127">
                  <c:v>150.10249999999999</c:v>
                </c:pt>
                <c:pt idx="128">
                  <c:v>209.50156250000001</c:v>
                </c:pt>
                <c:pt idx="129">
                  <c:v>129.65729166666665</c:v>
                </c:pt>
                <c:pt idx="130">
                  <c:v>168.54454166666667</c:v>
                </c:pt>
                <c:pt idx="131">
                  <c:v>0</c:v>
                </c:pt>
                <c:pt idx="132">
                  <c:v>136.4</c:v>
                </c:pt>
                <c:pt idx="133">
                  <c:v>140.09333333333336</c:v>
                </c:pt>
                <c:pt idx="134">
                  <c:v>136.54333333333335</c:v>
                </c:pt>
                <c:pt idx="135">
                  <c:v>119.62541666666667</c:v>
                </c:pt>
                <c:pt idx="136">
                  <c:v>90.387125000000012</c:v>
                </c:pt>
                <c:pt idx="137">
                  <c:v>85.182979166666684</c:v>
                </c:pt>
                <c:pt idx="138">
                  <c:v>2</c:v>
                </c:pt>
                <c:pt idx="139">
                  <c:v>93.937000000000012</c:v>
                </c:pt>
                <c:pt idx="140">
                  <c:v>154.92685416666669</c:v>
                </c:pt>
                <c:pt idx="141">
                  <c:v>123.98485416666668</c:v>
                </c:pt>
                <c:pt idx="142">
                  <c:v>135.84297916666665</c:v>
                </c:pt>
                <c:pt idx="143">
                  <c:v>89.060000000000016</c:v>
                </c:pt>
                <c:pt idx="144">
                  <c:v>66.492854166666675</c:v>
                </c:pt>
                <c:pt idx="145">
                  <c:v>0</c:v>
                </c:pt>
                <c:pt idx="146">
                  <c:v>63.492854166666667</c:v>
                </c:pt>
                <c:pt idx="147">
                  <c:v>123.5</c:v>
                </c:pt>
                <c:pt idx="148">
                  <c:v>41</c:v>
                </c:pt>
                <c:pt idx="149">
                  <c:v>98.4</c:v>
                </c:pt>
                <c:pt idx="150">
                  <c:v>46</c:v>
                </c:pt>
                <c:pt idx="151">
                  <c:v>143.81657407407408</c:v>
                </c:pt>
                <c:pt idx="152">
                  <c:v>27.375</c:v>
                </c:pt>
                <c:pt idx="153">
                  <c:v>60.013148148148147</c:v>
                </c:pt>
                <c:pt idx="154">
                  <c:v>108.97481481481483</c:v>
                </c:pt>
                <c:pt idx="155">
                  <c:v>109.3012962962963</c:v>
                </c:pt>
                <c:pt idx="156">
                  <c:v>221.01314814814816</c:v>
                </c:pt>
                <c:pt idx="157">
                  <c:v>83.666666666666686</c:v>
                </c:pt>
                <c:pt idx="158">
                  <c:v>182.4262962962963</c:v>
                </c:pt>
                <c:pt idx="159">
                  <c:v>97.006666666666675</c:v>
                </c:pt>
                <c:pt idx="160">
                  <c:v>144.58466666666666</c:v>
                </c:pt>
                <c:pt idx="161">
                  <c:v>94.26666666666668</c:v>
                </c:pt>
                <c:pt idx="162">
                  <c:v>122.00000000000001</c:v>
                </c:pt>
                <c:pt idx="163">
                  <c:v>107.02629629629629</c:v>
                </c:pt>
                <c:pt idx="164">
                  <c:v>157.4262962962963</c:v>
                </c:pt>
                <c:pt idx="165">
                  <c:v>47</c:v>
                </c:pt>
                <c:pt idx="166">
                  <c:v>61.13600000000001</c:v>
                </c:pt>
                <c:pt idx="167">
                  <c:v>33.312062499999996</c:v>
                </c:pt>
                <c:pt idx="168">
                  <c:v>74.750000000000014</c:v>
                </c:pt>
                <c:pt idx="169">
                  <c:v>76.157142857142873</c:v>
                </c:pt>
                <c:pt idx="170">
                  <c:v>93.162062500000019</c:v>
                </c:pt>
                <c:pt idx="171">
                  <c:v>76.850000000000009</c:v>
                </c:pt>
                <c:pt idx="172">
                  <c:v>190.4</c:v>
                </c:pt>
                <c:pt idx="173">
                  <c:v>97.969205357142869</c:v>
                </c:pt>
                <c:pt idx="174">
                  <c:v>149.84720535714285</c:v>
                </c:pt>
                <c:pt idx="175">
                  <c:v>109.70714285714286</c:v>
                </c:pt>
                <c:pt idx="176">
                  <c:v>125.02500000000002</c:v>
                </c:pt>
                <c:pt idx="177">
                  <c:v>27.274999999999999</c:v>
                </c:pt>
                <c:pt idx="178">
                  <c:v>118.25714285714287</c:v>
                </c:pt>
                <c:pt idx="179">
                  <c:v>95.200000000000017</c:v>
                </c:pt>
                <c:pt idx="180">
                  <c:v>106.25000000000001</c:v>
                </c:pt>
                <c:pt idx="181">
                  <c:v>87.6</c:v>
                </c:pt>
                <c:pt idx="182">
                  <c:v>169.024125</c:v>
                </c:pt>
                <c:pt idx="183">
                  <c:v>108.56206250000002</c:v>
                </c:pt>
                <c:pt idx="184">
                  <c:v>75.450000000000017</c:v>
                </c:pt>
                <c:pt idx="185">
                  <c:v>66.250000000000014</c:v>
                </c:pt>
                <c:pt idx="186">
                  <c:v>51.800000000000004</c:v>
                </c:pt>
                <c:pt idx="187">
                  <c:v>103.75000000000001</c:v>
                </c:pt>
                <c:pt idx="188">
                  <c:v>78.419666666666686</c:v>
                </c:pt>
                <c:pt idx="189">
                  <c:v>205.10672916666667</c:v>
                </c:pt>
                <c:pt idx="190">
                  <c:v>140.28872916666668</c:v>
                </c:pt>
                <c:pt idx="191">
                  <c:v>135.00372916666669</c:v>
                </c:pt>
                <c:pt idx="192">
                  <c:v>85</c:v>
                </c:pt>
                <c:pt idx="193">
                  <c:v>178.76666666666668</c:v>
                </c:pt>
                <c:pt idx="194">
                  <c:v>118.74706250000001</c:v>
                </c:pt>
                <c:pt idx="195">
                  <c:v>144.55166666666668</c:v>
                </c:pt>
                <c:pt idx="196">
                  <c:v>44.81</c:v>
                </c:pt>
                <c:pt idx="197">
                  <c:v>72.866666666666674</c:v>
                </c:pt>
                <c:pt idx="198">
                  <c:v>132.82</c:v>
                </c:pt>
                <c:pt idx="199">
                  <c:v>122.4370625</c:v>
                </c:pt>
                <c:pt idx="200">
                  <c:v>85.837062500000002</c:v>
                </c:pt>
                <c:pt idx="201">
                  <c:v>172.75285714285712</c:v>
                </c:pt>
                <c:pt idx="202">
                  <c:v>143.41206249999999</c:v>
                </c:pt>
                <c:pt idx="203">
                  <c:v>165.51206250000001</c:v>
                </c:pt>
                <c:pt idx="204">
                  <c:v>86.600000000000009</c:v>
                </c:pt>
                <c:pt idx="205">
                  <c:v>110.83333333333334</c:v>
                </c:pt>
                <c:pt idx="206">
                  <c:v>70.575999999999993</c:v>
                </c:pt>
                <c:pt idx="207">
                  <c:v>113.22366666666667</c:v>
                </c:pt>
                <c:pt idx="208">
                  <c:v>134.73633333333336</c:v>
                </c:pt>
                <c:pt idx="209">
                  <c:v>197.28</c:v>
                </c:pt>
                <c:pt idx="210">
                  <c:v>63.984000000000002</c:v>
                </c:pt>
                <c:pt idx="211">
                  <c:v>101.34424305957444</c:v>
                </c:pt>
                <c:pt idx="212">
                  <c:v>101.34424305957444</c:v>
                </c:pt>
                <c:pt idx="213">
                  <c:v>101.34424305957444</c:v>
                </c:pt>
                <c:pt idx="214">
                  <c:v>101.34424305957444</c:v>
                </c:pt>
                <c:pt idx="215">
                  <c:v>101.34424305957444</c:v>
                </c:pt>
                <c:pt idx="216">
                  <c:v>101.34424305957444</c:v>
                </c:pt>
                <c:pt idx="217">
                  <c:v>101.34424305957444</c:v>
                </c:pt>
                <c:pt idx="218">
                  <c:v>109.2</c:v>
                </c:pt>
                <c:pt idx="219">
                  <c:v>78.900000000000006</c:v>
                </c:pt>
                <c:pt idx="220">
                  <c:v>28.2</c:v>
                </c:pt>
                <c:pt idx="221">
                  <c:v>92.7</c:v>
                </c:pt>
                <c:pt idx="222">
                  <c:v>66.016666666666666</c:v>
                </c:pt>
                <c:pt idx="223">
                  <c:v>67.25266666666667</c:v>
                </c:pt>
                <c:pt idx="224">
                  <c:v>82.283666666666676</c:v>
                </c:pt>
                <c:pt idx="225">
                  <c:v>196.6</c:v>
                </c:pt>
              </c:numCache>
            </c:numRef>
          </c:xVal>
          <c:yVal>
            <c:numRef>
              <c:f>Residuals!$BD$2:$BD$227</c:f>
              <c:numCache>
                <c:formatCode>0.00</c:formatCode>
                <c:ptCount val="226"/>
                <c:pt idx="0">
                  <c:v>19.98973012818135</c:v>
                </c:pt>
                <c:pt idx="1">
                  <c:v>16.163522392293487</c:v>
                </c:pt>
                <c:pt idx="2">
                  <c:v>16.212261501118235</c:v>
                </c:pt>
                <c:pt idx="3">
                  <c:v>15.984174277340287</c:v>
                </c:pt>
                <c:pt idx="4">
                  <c:v>14.53706413234579</c:v>
                </c:pt>
                <c:pt idx="5">
                  <c:v>12.929976490357035</c:v>
                </c:pt>
                <c:pt idx="6">
                  <c:v>13.100274389684131</c:v>
                </c:pt>
                <c:pt idx="7">
                  <c:v>14.762194281452253</c:v>
                </c:pt>
                <c:pt idx="8">
                  <c:v>14.260595782966305</c:v>
                </c:pt>
                <c:pt idx="9">
                  <c:v>17.084951568573842</c:v>
                </c:pt>
                <c:pt idx="10">
                  <c:v>15.802204915880338</c:v>
                </c:pt>
                <c:pt idx="11">
                  <c:v>12.825183370896241</c:v>
                </c:pt>
                <c:pt idx="12">
                  <c:v>11.810687454868201</c:v>
                </c:pt>
                <c:pt idx="13">
                  <c:v>13.695329895041169</c:v>
                </c:pt>
                <c:pt idx="14">
                  <c:v>11.5911279371511</c:v>
                </c:pt>
                <c:pt idx="15">
                  <c:v>12.455930805978312</c:v>
                </c:pt>
                <c:pt idx="16">
                  <c:v>9.0080231593589133</c:v>
                </c:pt>
                <c:pt idx="17">
                  <c:v>8.8254949832841589</c:v>
                </c:pt>
                <c:pt idx="18">
                  <c:v>7.4048782310523507</c:v>
                </c:pt>
                <c:pt idx="19">
                  <c:v>7.6099799405828037</c:v>
                </c:pt>
                <c:pt idx="20">
                  <c:v>6.03131892459254</c:v>
                </c:pt>
                <c:pt idx="21">
                  <c:v>5.7037688175249173</c:v>
                </c:pt>
                <c:pt idx="22">
                  <c:v>3.793046343418041</c:v>
                </c:pt>
                <c:pt idx="23">
                  <c:v>4.3822784268050441</c:v>
                </c:pt>
                <c:pt idx="24">
                  <c:v>3.4238263925714136</c:v>
                </c:pt>
                <c:pt idx="25">
                  <c:v>1.2076125714966395</c:v>
                </c:pt>
                <c:pt idx="26">
                  <c:v>4.2361440284387015</c:v>
                </c:pt>
                <c:pt idx="27">
                  <c:v>3.93353203805367</c:v>
                </c:pt>
                <c:pt idx="28">
                  <c:v>3.0461729184275157</c:v>
                </c:pt>
                <c:pt idx="29">
                  <c:v>2.2819552138263646</c:v>
                </c:pt>
                <c:pt idx="30">
                  <c:v>2.1001899740630279</c:v>
                </c:pt>
                <c:pt idx="31">
                  <c:v>0.29135793554095812</c:v>
                </c:pt>
                <c:pt idx="32">
                  <c:v>0.12989207473592046</c:v>
                </c:pt>
                <c:pt idx="33">
                  <c:v>0.25556965856145553</c:v>
                </c:pt>
                <c:pt idx="34">
                  <c:v>-5.6226592683373156E-2</c:v>
                </c:pt>
                <c:pt idx="35">
                  <c:v>-0.23041485327661348</c:v>
                </c:pt>
                <c:pt idx="36">
                  <c:v>-3.2888551608079979</c:v>
                </c:pt>
                <c:pt idx="37">
                  <c:v>-0.89011642243562505</c:v>
                </c:pt>
                <c:pt idx="38">
                  <c:v>3.1194406967793498</c:v>
                </c:pt>
                <c:pt idx="39">
                  <c:v>6.6467754756578756</c:v>
                </c:pt>
                <c:pt idx="40">
                  <c:v>6.1584903808915499</c:v>
                </c:pt>
                <c:pt idx="41">
                  <c:v>3.342660971471048</c:v>
                </c:pt>
                <c:pt idx="42">
                  <c:v>2.110180945377607</c:v>
                </c:pt>
                <c:pt idx="43">
                  <c:v>5.2109058526672527</c:v>
                </c:pt>
                <c:pt idx="44">
                  <c:v>5.2169964043761183</c:v>
                </c:pt>
                <c:pt idx="45">
                  <c:v>6.6879634903235115</c:v>
                </c:pt>
                <c:pt idx="46">
                  <c:v>5.3331219607708249</c:v>
                </c:pt>
                <c:pt idx="47">
                  <c:v>3.0442601832009473</c:v>
                </c:pt>
                <c:pt idx="48">
                  <c:v>0.81175201966806299</c:v>
                </c:pt>
                <c:pt idx="49">
                  <c:v>-0.89376722580840351</c:v>
                </c:pt>
                <c:pt idx="50">
                  <c:v>-1.7714644583317636</c:v>
                </c:pt>
                <c:pt idx="51">
                  <c:v>-1.986147264558582</c:v>
                </c:pt>
                <c:pt idx="52">
                  <c:v>-0.42387993010746072</c:v>
                </c:pt>
                <c:pt idx="53">
                  <c:v>-1.8998713664879006</c:v>
                </c:pt>
                <c:pt idx="54">
                  <c:v>-1.6151440181448606</c:v>
                </c:pt>
                <c:pt idx="55">
                  <c:v>-3.1126676108652873</c:v>
                </c:pt>
                <c:pt idx="56">
                  <c:v>-3.4220410153060357</c:v>
                </c:pt>
                <c:pt idx="57">
                  <c:v>-5.8080342788200028</c:v>
                </c:pt>
                <c:pt idx="58">
                  <c:v>-5.5571672380243342</c:v>
                </c:pt>
                <c:pt idx="59">
                  <c:v>-6.4944674233060198</c:v>
                </c:pt>
                <c:pt idx="60">
                  <c:v>-6.5579884452766635</c:v>
                </c:pt>
                <c:pt idx="61">
                  <c:v>-8.0228329452125422</c:v>
                </c:pt>
                <c:pt idx="62">
                  <c:v>-8.1084741597920527</c:v>
                </c:pt>
                <c:pt idx="63">
                  <c:v>-9.1966359936878348</c:v>
                </c:pt>
                <c:pt idx="64">
                  <c:v>-8.224142563071041</c:v>
                </c:pt>
                <c:pt idx="65">
                  <c:v>-5.8341187538372878</c:v>
                </c:pt>
                <c:pt idx="66">
                  <c:v>-6.7468828950816828</c:v>
                </c:pt>
                <c:pt idx="67">
                  <c:v>-4.1312568699496808</c:v>
                </c:pt>
                <c:pt idx="68">
                  <c:v>-3.0736013824479755</c:v>
                </c:pt>
                <c:pt idx="69">
                  <c:v>-4.8696232335125842</c:v>
                </c:pt>
                <c:pt idx="70">
                  <c:v>-8.0767074844791296</c:v>
                </c:pt>
                <c:pt idx="71">
                  <c:v>-7.9002417603960851</c:v>
                </c:pt>
                <c:pt idx="72">
                  <c:v>-3.7954712054261392</c:v>
                </c:pt>
                <c:pt idx="73">
                  <c:v>-2.7366786755570729</c:v>
                </c:pt>
                <c:pt idx="74">
                  <c:v>-2.1832856104230416</c:v>
                </c:pt>
                <c:pt idx="75">
                  <c:v>-5.4906495083661184</c:v>
                </c:pt>
                <c:pt idx="76">
                  <c:v>-5.3690385293639338</c:v>
                </c:pt>
                <c:pt idx="77">
                  <c:v>-7.5274451064969412</c:v>
                </c:pt>
                <c:pt idx="78">
                  <c:v>-6.6159228011886739</c:v>
                </c:pt>
                <c:pt idx="79">
                  <c:v>-4.4765580348467324</c:v>
                </c:pt>
                <c:pt idx="80">
                  <c:v>-3.792021522385653</c:v>
                </c:pt>
                <c:pt idx="81">
                  <c:v>-2.5000260538726593</c:v>
                </c:pt>
                <c:pt idx="82">
                  <c:v>-6.3980104753644866</c:v>
                </c:pt>
                <c:pt idx="83">
                  <c:v>-6.9906723093158973</c:v>
                </c:pt>
                <c:pt idx="84">
                  <c:v>-5.3037849604635596</c:v>
                </c:pt>
                <c:pt idx="85">
                  <c:v>-3.5037853292392356</c:v>
                </c:pt>
                <c:pt idx="86">
                  <c:v>1.2822322006968534</c:v>
                </c:pt>
                <c:pt idx="87">
                  <c:v>1.9796445808761973</c:v>
                </c:pt>
                <c:pt idx="88">
                  <c:v>-0.80726405316659111</c:v>
                </c:pt>
                <c:pt idx="89">
                  <c:v>-1.1425153299885551</c:v>
                </c:pt>
                <c:pt idx="90">
                  <c:v>0.40640770255194525</c:v>
                </c:pt>
                <c:pt idx="91">
                  <c:v>0.34463963641317719</c:v>
                </c:pt>
                <c:pt idx="92">
                  <c:v>0.58867010780747364</c:v>
                </c:pt>
                <c:pt idx="93">
                  <c:v>0.64468086115633128</c:v>
                </c:pt>
                <c:pt idx="94">
                  <c:v>-2.1031326475091419</c:v>
                </c:pt>
                <c:pt idx="95">
                  <c:v>-0.88494466797016003</c:v>
                </c:pt>
                <c:pt idx="96">
                  <c:v>-1.9739634532299135</c:v>
                </c:pt>
                <c:pt idx="97">
                  <c:v>-4.2936106295813659</c:v>
                </c:pt>
                <c:pt idx="98">
                  <c:v>-4.7829440653110851</c:v>
                </c:pt>
                <c:pt idx="99">
                  <c:v>-3.1353508484666008</c:v>
                </c:pt>
                <c:pt idx="100">
                  <c:v>-3.474286855375766</c:v>
                </c:pt>
                <c:pt idx="101">
                  <c:v>-1.0795285601926707</c:v>
                </c:pt>
                <c:pt idx="102">
                  <c:v>2.0374107672011519</c:v>
                </c:pt>
                <c:pt idx="103">
                  <c:v>2.686174596248577</c:v>
                </c:pt>
                <c:pt idx="104">
                  <c:v>1.0861745962486111</c:v>
                </c:pt>
                <c:pt idx="105">
                  <c:v>0.87306477825191564</c:v>
                </c:pt>
                <c:pt idx="106">
                  <c:v>-5.3460252089706728E-2</c:v>
                </c:pt>
                <c:pt idx="107">
                  <c:v>-3.4206715571069424</c:v>
                </c:pt>
                <c:pt idx="108">
                  <c:v>-5.2357146713951295</c:v>
                </c:pt>
                <c:pt idx="109">
                  <c:v>-4.2537922798000238</c:v>
                </c:pt>
                <c:pt idx="110">
                  <c:v>-6.1436207190131142</c:v>
                </c:pt>
                <c:pt idx="111">
                  <c:v>-5.0704952804168215</c:v>
                </c:pt>
                <c:pt idx="112">
                  <c:v>-3.9111230634564151</c:v>
                </c:pt>
                <c:pt idx="113">
                  <c:v>-7.64719365971402</c:v>
                </c:pt>
                <c:pt idx="114">
                  <c:v>-6.7463929466037484</c:v>
                </c:pt>
                <c:pt idx="115">
                  <c:v>-8.7019503558956899</c:v>
                </c:pt>
                <c:pt idx="116">
                  <c:v>-9.1251994980709981</c:v>
                </c:pt>
                <c:pt idx="117">
                  <c:v>-10.807998534708389</c:v>
                </c:pt>
                <c:pt idx="118">
                  <c:v>-11.453128224379412</c:v>
                </c:pt>
                <c:pt idx="119">
                  <c:v>-11.611195846958879</c:v>
                </c:pt>
                <c:pt idx="120">
                  <c:v>-11.585634442444814</c:v>
                </c:pt>
                <c:pt idx="121">
                  <c:v>-6.8805593032206502</c:v>
                </c:pt>
                <c:pt idx="122">
                  <c:v>-5.6200738120744518</c:v>
                </c:pt>
                <c:pt idx="123">
                  <c:v>-4.5351476754577504</c:v>
                </c:pt>
                <c:pt idx="124">
                  <c:v>-4.4857130183606557</c:v>
                </c:pt>
                <c:pt idx="125">
                  <c:v>-2.6787845516905122</c:v>
                </c:pt>
                <c:pt idx="126">
                  <c:v>-0.92318770468330058</c:v>
                </c:pt>
                <c:pt idx="127">
                  <c:v>-0.66314856762343766</c:v>
                </c:pt>
                <c:pt idx="128">
                  <c:v>-0.22533860629957303</c:v>
                </c:pt>
                <c:pt idx="129">
                  <c:v>2.5796363522618435</c:v>
                </c:pt>
                <c:pt idx="130">
                  <c:v>0.65906753719835365</c:v>
                </c:pt>
                <c:pt idx="131">
                  <c:v>-1.6857130183606728</c:v>
                </c:pt>
                <c:pt idx="132">
                  <c:v>0.2974437650410664</c:v>
                </c:pt>
                <c:pt idx="133">
                  <c:v>1.3619730347382699</c:v>
                </c:pt>
                <c:pt idx="134">
                  <c:v>2.6999480598036598</c:v>
                </c:pt>
                <c:pt idx="135">
                  <c:v>3.2043611986219105</c:v>
                </c:pt>
                <c:pt idx="136">
                  <c:v>-3.5064850852526774</c:v>
                </c:pt>
                <c:pt idx="137">
                  <c:v>-4.9974110049338947</c:v>
                </c:pt>
                <c:pt idx="138">
                  <c:v>-5.8507693705101929</c:v>
                </c:pt>
                <c:pt idx="139">
                  <c:v>-6.0444622942960962</c:v>
                </c:pt>
                <c:pt idx="140">
                  <c:v>-6.178858301070477</c:v>
                </c:pt>
                <c:pt idx="141">
                  <c:v>-4.5194714769650375</c:v>
                </c:pt>
                <c:pt idx="142">
                  <c:v>-1.5122884048816161</c:v>
                </c:pt>
                <c:pt idx="143">
                  <c:v>-4.5296723795794378</c:v>
                </c:pt>
                <c:pt idx="144">
                  <c:v>-2.9239615780744828</c:v>
                </c:pt>
                <c:pt idx="145">
                  <c:v>-5.8857130183606614</c:v>
                </c:pt>
                <c:pt idx="146">
                  <c:v>-6.3763770498501913</c:v>
                </c:pt>
                <c:pt idx="147">
                  <c:v>-1.1279427635944614</c:v>
                </c:pt>
                <c:pt idx="148">
                  <c:v>-1.5693682374261186</c:v>
                </c:pt>
                <c:pt idx="149">
                  <c:v>-2.1664855441177906</c:v>
                </c:pt>
                <c:pt idx="150">
                  <c:v>-2.0820091177999416</c:v>
                </c:pt>
                <c:pt idx="151">
                  <c:v>-1.3729751586082841</c:v>
                </c:pt>
                <c:pt idx="152">
                  <c:v>-4.6074218384073902</c:v>
                </c:pt>
                <c:pt idx="153">
                  <c:v>-4.4371738607173086</c:v>
                </c:pt>
                <c:pt idx="154">
                  <c:v>-5.7817242416313945</c:v>
                </c:pt>
                <c:pt idx="155">
                  <c:v>-2.1760200146720763</c:v>
                </c:pt>
                <c:pt idx="156">
                  <c:v>-2.4210208754880114E-2</c:v>
                </c:pt>
                <c:pt idx="157">
                  <c:v>3.5760962500504547</c:v>
                </c:pt>
                <c:pt idx="158">
                  <c:v>1.101607109860538</c:v>
                </c:pt>
                <c:pt idx="159">
                  <c:v>-2.3908296187869382</c:v>
                </c:pt>
                <c:pt idx="160">
                  <c:v>-2.5595551800722092</c:v>
                </c:pt>
                <c:pt idx="161">
                  <c:v>-0.43870241634206764</c:v>
                </c:pt>
                <c:pt idx="162">
                  <c:v>0.24584950051772125</c:v>
                </c:pt>
                <c:pt idx="163">
                  <c:v>-0.21576841410200132</c:v>
                </c:pt>
                <c:pt idx="164">
                  <c:v>-2.335188488270262</c:v>
                </c:pt>
                <c:pt idx="165">
                  <c:v>1.33546270612527</c:v>
                </c:pt>
                <c:pt idx="166">
                  <c:v>-1.7555590867630144E-2</c:v>
                </c:pt>
                <c:pt idx="167">
                  <c:v>-4.5036905277743244</c:v>
                </c:pt>
                <c:pt idx="168">
                  <c:v>-7.9796941799495471</c:v>
                </c:pt>
                <c:pt idx="169">
                  <c:v>-6.7551088277118652</c:v>
                </c:pt>
                <c:pt idx="170">
                  <c:v>-5.4580018658491269</c:v>
                </c:pt>
                <c:pt idx="171">
                  <c:v>-4.9430033497065438</c:v>
                </c:pt>
                <c:pt idx="172">
                  <c:v>-1.5590777429963794</c:v>
                </c:pt>
                <c:pt idx="173">
                  <c:v>0.42598768773427764</c:v>
                </c:pt>
                <c:pt idx="174">
                  <c:v>-1.6676090306725087</c:v>
                </c:pt>
                <c:pt idx="175">
                  <c:v>-2.5689291350203121</c:v>
                </c:pt>
                <c:pt idx="176">
                  <c:v>-3.7012982321084564</c:v>
                </c:pt>
                <c:pt idx="177">
                  <c:v>-5.2091690207999477</c:v>
                </c:pt>
                <c:pt idx="178">
                  <c:v>-2.4195450404595817</c:v>
                </c:pt>
                <c:pt idx="179">
                  <c:v>-1.2223953806785346</c:v>
                </c:pt>
                <c:pt idx="180">
                  <c:v>-1.2293317263046788</c:v>
                </c:pt>
                <c:pt idx="181">
                  <c:v>-0.55518124251028667</c:v>
                </c:pt>
                <c:pt idx="182">
                  <c:v>-0.1325532672441625</c:v>
                </c:pt>
                <c:pt idx="183">
                  <c:v>-1.9889357774005703</c:v>
                </c:pt>
                <c:pt idx="184">
                  <c:v>-3.167463903201849</c:v>
                </c:pt>
                <c:pt idx="185">
                  <c:v>-1.7282046833140043</c:v>
                </c:pt>
                <c:pt idx="186">
                  <c:v>-3.5806725390335998</c:v>
                </c:pt>
                <c:pt idx="187">
                  <c:v>-3.0730112861177759</c:v>
                </c:pt>
                <c:pt idx="188">
                  <c:v>-2.5155784100852259</c:v>
                </c:pt>
                <c:pt idx="189">
                  <c:v>-0.90212436048028621</c:v>
                </c:pt>
                <c:pt idx="190">
                  <c:v>-2.2346130436660303</c:v>
                </c:pt>
                <c:pt idx="191">
                  <c:v>-1.9269516331108889</c:v>
                </c:pt>
                <c:pt idx="192">
                  <c:v>-1.4006079847158901</c:v>
                </c:pt>
                <c:pt idx="193">
                  <c:v>1.2376667053400752</c:v>
                </c:pt>
                <c:pt idx="194">
                  <c:v>3.3890147492779192</c:v>
                </c:pt>
                <c:pt idx="195">
                  <c:v>1.0398682497382481</c:v>
                </c:pt>
                <c:pt idx="196">
                  <c:v>-4.102800588271009</c:v>
                </c:pt>
                <c:pt idx="197">
                  <c:v>-1.6125994483420527</c:v>
                </c:pt>
                <c:pt idx="198">
                  <c:v>0.43489463538872997</c:v>
                </c:pt>
                <c:pt idx="199">
                  <c:v>-0.74651422043797311</c:v>
                </c:pt>
                <c:pt idx="200">
                  <c:v>2.4140170238985377</c:v>
                </c:pt>
                <c:pt idx="201">
                  <c:v>2.3325944842201807</c:v>
                </c:pt>
                <c:pt idx="202">
                  <c:v>5.6199572863937703</c:v>
                </c:pt>
                <c:pt idx="203">
                  <c:v>7.8060845951414422</c:v>
                </c:pt>
                <c:pt idx="204">
                  <c:v>4.6273469335644677</c:v>
                </c:pt>
                <c:pt idx="205">
                  <c:v>7.4507474666859252</c:v>
                </c:pt>
                <c:pt idx="206">
                  <c:v>9.5473784269865405</c:v>
                </c:pt>
                <c:pt idx="207">
                  <c:v>6.6925109498085931</c:v>
                </c:pt>
                <c:pt idx="208">
                  <c:v>2.6683764739707669</c:v>
                </c:pt>
                <c:pt idx="209">
                  <c:v>4.1611284056092472</c:v>
                </c:pt>
                <c:pt idx="210">
                  <c:v>5.0322041636714232</c:v>
                </c:pt>
                <c:pt idx="211">
                  <c:v>6.0849557522121813</c:v>
                </c:pt>
                <c:pt idx="212">
                  <c:v>6.4849557522122154</c:v>
                </c:pt>
                <c:pt idx="213">
                  <c:v>8.28495575221217</c:v>
                </c:pt>
                <c:pt idx="214">
                  <c:v>1.0849557522121813</c:v>
                </c:pt>
                <c:pt idx="215">
                  <c:v>1.6849557522122041</c:v>
                </c:pt>
                <c:pt idx="216">
                  <c:v>2.8849557522121927</c:v>
                </c:pt>
                <c:pt idx="217">
                  <c:v>3.6849557522122041</c:v>
                </c:pt>
                <c:pt idx="218">
                  <c:v>3.8222101542747566</c:v>
                </c:pt>
                <c:pt idx="219">
                  <c:v>5.4928138893401979</c:v>
                </c:pt>
                <c:pt idx="220">
                  <c:v>4.8069924163308997</c:v>
                </c:pt>
                <c:pt idx="221">
                  <c:v>5.7339250595084081</c:v>
                </c:pt>
                <c:pt idx="222">
                  <c:v>3.2677185577701096</c:v>
                </c:pt>
                <c:pt idx="223">
                  <c:v>2.8893137321417157</c:v>
                </c:pt>
                <c:pt idx="224">
                  <c:v>0.35193271756187983</c:v>
                </c:pt>
                <c:pt idx="225">
                  <c:v>1.5492475653400675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A-40EF-850C-A9EB9C6A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775"/>
        <c:axId val="2123699535"/>
      </c:scatterChart>
      <c:valAx>
        <c:axId val="21237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535"/>
        <c:crosses val="autoZero"/>
        <c:crossBetween val="midCat"/>
      </c:valAx>
      <c:valAx>
        <c:axId val="21236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Log'!$V$2:$V$227</c:f>
              <c:numCache>
                <c:formatCode>0.00</c:formatCode>
                <c:ptCount val="226"/>
                <c:pt idx="0">
                  <c:v>19</c:v>
                </c:pt>
                <c:pt idx="1">
                  <c:v>34.5</c:v>
                </c:pt>
                <c:pt idx="2">
                  <c:v>41.209583333333342</c:v>
                </c:pt>
                <c:pt idx="3">
                  <c:v>8</c:v>
                </c:pt>
                <c:pt idx="4">
                  <c:v>47.730000000000004</c:v>
                </c:pt>
                <c:pt idx="5">
                  <c:v>42.556666666666672</c:v>
                </c:pt>
                <c:pt idx="6">
                  <c:v>19.906666666666666</c:v>
                </c:pt>
                <c:pt idx="7">
                  <c:v>15</c:v>
                </c:pt>
                <c:pt idx="8">
                  <c:v>25.366666666666667</c:v>
                </c:pt>
                <c:pt idx="9">
                  <c:v>21.866666666666667</c:v>
                </c:pt>
                <c:pt idx="10">
                  <c:v>8.2449999999999992</c:v>
                </c:pt>
                <c:pt idx="11">
                  <c:v>4.5958333333333332</c:v>
                </c:pt>
                <c:pt idx="12">
                  <c:v>9.2687499999999989</c:v>
                </c:pt>
                <c:pt idx="13">
                  <c:v>13.204166666666666</c:v>
                </c:pt>
                <c:pt idx="14">
                  <c:v>10.215249999999999</c:v>
                </c:pt>
                <c:pt idx="15">
                  <c:v>47.375416666666666</c:v>
                </c:pt>
                <c:pt idx="16">
                  <c:v>39.766666666666666</c:v>
                </c:pt>
                <c:pt idx="17">
                  <c:v>41.766666666666666</c:v>
                </c:pt>
                <c:pt idx="18">
                  <c:v>39.376666666666665</c:v>
                </c:pt>
                <c:pt idx="19">
                  <c:v>22.054416666666665</c:v>
                </c:pt>
                <c:pt idx="20">
                  <c:v>21.25</c:v>
                </c:pt>
                <c:pt idx="21">
                  <c:v>5.1777499999999996</c:v>
                </c:pt>
                <c:pt idx="22">
                  <c:v>6.9224333333333323</c:v>
                </c:pt>
                <c:pt idx="23">
                  <c:v>38.244666666666667</c:v>
                </c:pt>
                <c:pt idx="24">
                  <c:v>39.94466666666667</c:v>
                </c:pt>
                <c:pt idx="25">
                  <c:v>39.494666666666667</c:v>
                </c:pt>
                <c:pt idx="26">
                  <c:v>49.134666666666668</c:v>
                </c:pt>
                <c:pt idx="27">
                  <c:v>23.074666666666662</c:v>
                </c:pt>
                <c:pt idx="28">
                  <c:v>17.074666666666666</c:v>
                </c:pt>
                <c:pt idx="29">
                  <c:v>3.8554999999999993</c:v>
                </c:pt>
                <c:pt idx="30">
                  <c:v>29.824666666666666</c:v>
                </c:pt>
                <c:pt idx="31">
                  <c:v>11.389666666666667</c:v>
                </c:pt>
                <c:pt idx="32">
                  <c:v>27.424666666666667</c:v>
                </c:pt>
                <c:pt idx="33">
                  <c:v>44.24933333333334</c:v>
                </c:pt>
                <c:pt idx="34">
                  <c:v>7.3896666666666668</c:v>
                </c:pt>
                <c:pt idx="35">
                  <c:v>9</c:v>
                </c:pt>
                <c:pt idx="36">
                  <c:v>5.7646666666666668</c:v>
                </c:pt>
                <c:pt idx="37">
                  <c:v>35.450000000000003</c:v>
                </c:pt>
                <c:pt idx="38">
                  <c:v>23.75</c:v>
                </c:pt>
                <c:pt idx="39">
                  <c:v>64.5</c:v>
                </c:pt>
                <c:pt idx="40">
                  <c:v>67</c:v>
                </c:pt>
                <c:pt idx="41">
                  <c:v>15.6</c:v>
                </c:pt>
                <c:pt idx="42">
                  <c:v>26.5</c:v>
                </c:pt>
                <c:pt idx="43">
                  <c:v>32</c:v>
                </c:pt>
                <c:pt idx="44">
                  <c:v>30.093800000000002</c:v>
                </c:pt>
                <c:pt idx="45">
                  <c:v>20.440199999999997</c:v>
                </c:pt>
                <c:pt idx="46">
                  <c:v>7.8666666666666671</c:v>
                </c:pt>
                <c:pt idx="47">
                  <c:v>10.690542549238202</c:v>
                </c:pt>
                <c:pt idx="48">
                  <c:v>7.6433333333333335</c:v>
                </c:pt>
                <c:pt idx="49">
                  <c:v>9.4905425492382012</c:v>
                </c:pt>
                <c:pt idx="50">
                  <c:v>9.4905425492382012</c:v>
                </c:pt>
                <c:pt idx="51">
                  <c:v>68.535333333333341</c:v>
                </c:pt>
                <c:pt idx="52">
                  <c:v>9.4905425492382012</c:v>
                </c:pt>
                <c:pt idx="53">
                  <c:v>56.993333333333339</c:v>
                </c:pt>
                <c:pt idx="54">
                  <c:v>9.4905425492382012</c:v>
                </c:pt>
                <c:pt idx="55">
                  <c:v>34.770542549238208</c:v>
                </c:pt>
                <c:pt idx="56">
                  <c:v>7.0666666666666664</c:v>
                </c:pt>
                <c:pt idx="57">
                  <c:v>4.1666666666666661</c:v>
                </c:pt>
                <c:pt idx="58">
                  <c:v>7.4</c:v>
                </c:pt>
                <c:pt idx="59">
                  <c:v>5.666666666666667</c:v>
                </c:pt>
                <c:pt idx="60">
                  <c:v>6.6000000000000005</c:v>
                </c:pt>
                <c:pt idx="61">
                  <c:v>2.4666666666666663</c:v>
                </c:pt>
                <c:pt idx="62">
                  <c:v>7.0666666666666664</c:v>
                </c:pt>
                <c:pt idx="63">
                  <c:v>8.6</c:v>
                </c:pt>
                <c:pt idx="64">
                  <c:v>32.075000000000003</c:v>
                </c:pt>
                <c:pt idx="65">
                  <c:v>6.3</c:v>
                </c:pt>
                <c:pt idx="66">
                  <c:v>7.666666666666667</c:v>
                </c:pt>
                <c:pt idx="67">
                  <c:v>37.1</c:v>
                </c:pt>
                <c:pt idx="68">
                  <c:v>6.4027777777777768</c:v>
                </c:pt>
                <c:pt idx="69">
                  <c:v>10.27222222222222</c:v>
                </c:pt>
                <c:pt idx="70">
                  <c:v>21.005555555555553</c:v>
                </c:pt>
                <c:pt idx="71">
                  <c:v>30.466666666666665</c:v>
                </c:pt>
                <c:pt idx="72">
                  <c:v>13.7</c:v>
                </c:pt>
                <c:pt idx="73">
                  <c:v>43.5</c:v>
                </c:pt>
                <c:pt idx="74">
                  <c:v>15.005555555555553</c:v>
                </c:pt>
                <c:pt idx="75">
                  <c:v>6.4666666666666659</c:v>
                </c:pt>
                <c:pt idx="76">
                  <c:v>16.81111111111111</c:v>
                </c:pt>
                <c:pt idx="77">
                  <c:v>8.466666666666665</c:v>
                </c:pt>
                <c:pt idx="78">
                  <c:v>15.866666666666665</c:v>
                </c:pt>
                <c:pt idx="79">
                  <c:v>10.3</c:v>
                </c:pt>
                <c:pt idx="80">
                  <c:v>7.8055555555555545</c:v>
                </c:pt>
                <c:pt idx="81">
                  <c:v>5.8299999999999992</c:v>
                </c:pt>
                <c:pt idx="82">
                  <c:v>42.146666666666668</c:v>
                </c:pt>
                <c:pt idx="83">
                  <c:v>49.881666666666668</c:v>
                </c:pt>
                <c:pt idx="84">
                  <c:v>47.56666666666667</c:v>
                </c:pt>
                <c:pt idx="85">
                  <c:v>17.288888888888888</c:v>
                </c:pt>
                <c:pt idx="86">
                  <c:v>34.024999999999999</c:v>
                </c:pt>
                <c:pt idx="87">
                  <c:v>6.05</c:v>
                </c:pt>
                <c:pt idx="88">
                  <c:v>29.471666666666664</c:v>
                </c:pt>
                <c:pt idx="89">
                  <c:v>24.130555555555553</c:v>
                </c:pt>
                <c:pt idx="90">
                  <c:v>10.327777777777776</c:v>
                </c:pt>
                <c:pt idx="91">
                  <c:v>28.763888888888889</c:v>
                </c:pt>
                <c:pt idx="92">
                  <c:v>36.256666666666668</c:v>
                </c:pt>
                <c:pt idx="93">
                  <c:v>12.234722222222221</c:v>
                </c:pt>
                <c:pt idx="94">
                  <c:v>37.317666666666668</c:v>
                </c:pt>
                <c:pt idx="95">
                  <c:v>13.184999999999999</c:v>
                </c:pt>
                <c:pt idx="96">
                  <c:v>41.031666666666666</c:v>
                </c:pt>
                <c:pt idx="97">
                  <c:v>19.27375</c:v>
                </c:pt>
                <c:pt idx="98">
                  <c:v>48.450166666666668</c:v>
                </c:pt>
                <c:pt idx="99">
                  <c:v>60.768166666666666</c:v>
                </c:pt>
                <c:pt idx="100">
                  <c:v>26.27375</c:v>
                </c:pt>
                <c:pt idx="101">
                  <c:v>44.2</c:v>
                </c:pt>
                <c:pt idx="102">
                  <c:v>16.602666666666664</c:v>
                </c:pt>
                <c:pt idx="103">
                  <c:v>18.47</c:v>
                </c:pt>
                <c:pt idx="104">
                  <c:v>18.47</c:v>
                </c:pt>
                <c:pt idx="105">
                  <c:v>52.454666666666661</c:v>
                </c:pt>
                <c:pt idx="106">
                  <c:v>16.8</c:v>
                </c:pt>
                <c:pt idx="107">
                  <c:v>51.05466666666667</c:v>
                </c:pt>
                <c:pt idx="108">
                  <c:v>38.522666666666666</c:v>
                </c:pt>
                <c:pt idx="109">
                  <c:v>29.4</c:v>
                </c:pt>
                <c:pt idx="110">
                  <c:v>39.831666666666663</c:v>
                </c:pt>
                <c:pt idx="111">
                  <c:v>21.7</c:v>
                </c:pt>
                <c:pt idx="112">
                  <c:v>39.26466666666667</c:v>
                </c:pt>
                <c:pt idx="113">
                  <c:v>39.141666666666666</c:v>
                </c:pt>
                <c:pt idx="114">
                  <c:v>23.4</c:v>
                </c:pt>
                <c:pt idx="115">
                  <c:v>39.99966666666667</c:v>
                </c:pt>
                <c:pt idx="116">
                  <c:v>12.299999999999999</c:v>
                </c:pt>
                <c:pt idx="117">
                  <c:v>9.92</c:v>
                </c:pt>
                <c:pt idx="118">
                  <c:v>3.8</c:v>
                </c:pt>
                <c:pt idx="119">
                  <c:v>5</c:v>
                </c:pt>
                <c:pt idx="120">
                  <c:v>6.0000000000000009</c:v>
                </c:pt>
                <c:pt idx="121">
                  <c:v>35.5</c:v>
                </c:pt>
                <c:pt idx="122">
                  <c:v>31.140249999999998</c:v>
                </c:pt>
                <c:pt idx="123">
                  <c:v>45.212500000000006</c:v>
                </c:pt>
                <c:pt idx="124">
                  <c:v>0</c:v>
                </c:pt>
                <c:pt idx="125">
                  <c:v>73.660250000000005</c:v>
                </c:pt>
                <c:pt idx="126">
                  <c:v>38.377083333333339</c:v>
                </c:pt>
                <c:pt idx="127">
                  <c:v>41.461666666666673</c:v>
                </c:pt>
                <c:pt idx="128">
                  <c:v>71.796875</c:v>
                </c:pt>
                <c:pt idx="129">
                  <c:v>30.235416666666666</c:v>
                </c:pt>
                <c:pt idx="130">
                  <c:v>56.406333333333336</c:v>
                </c:pt>
                <c:pt idx="131">
                  <c:v>0</c:v>
                </c:pt>
                <c:pt idx="132">
                  <c:v>38.700000000000003</c:v>
                </c:pt>
                <c:pt idx="133">
                  <c:v>44.68</c:v>
                </c:pt>
                <c:pt idx="134">
                  <c:v>73.160000000000011</c:v>
                </c:pt>
                <c:pt idx="135">
                  <c:v>9.6883333333333326</c:v>
                </c:pt>
                <c:pt idx="136">
                  <c:v>40.594583333333333</c:v>
                </c:pt>
                <c:pt idx="137">
                  <c:v>8.9678333333333331</c:v>
                </c:pt>
                <c:pt idx="138">
                  <c:v>0</c:v>
                </c:pt>
                <c:pt idx="139">
                  <c:v>44.299333333333337</c:v>
                </c:pt>
                <c:pt idx="140">
                  <c:v>48.697916666666664</c:v>
                </c:pt>
                <c:pt idx="141">
                  <c:v>45.321916666666667</c:v>
                </c:pt>
                <c:pt idx="142">
                  <c:v>27.331166666666668</c:v>
                </c:pt>
                <c:pt idx="143">
                  <c:v>28.563333333333333</c:v>
                </c:pt>
                <c:pt idx="144">
                  <c:v>7.2525833333333329</c:v>
                </c:pt>
                <c:pt idx="145">
                  <c:v>0</c:v>
                </c:pt>
                <c:pt idx="146">
                  <c:v>15.252583333333332</c:v>
                </c:pt>
                <c:pt idx="147">
                  <c:v>45.5</c:v>
                </c:pt>
                <c:pt idx="148">
                  <c:v>12.5</c:v>
                </c:pt>
                <c:pt idx="149">
                  <c:v>8.1999999999999993</c:v>
                </c:pt>
                <c:pt idx="150">
                  <c:v>2</c:v>
                </c:pt>
                <c:pt idx="151">
                  <c:v>10.941203703703703</c:v>
                </c:pt>
                <c:pt idx="152">
                  <c:v>27.005000000000003</c:v>
                </c:pt>
                <c:pt idx="153">
                  <c:v>6.4824074074074067</c:v>
                </c:pt>
                <c:pt idx="154">
                  <c:v>44.937407407407406</c:v>
                </c:pt>
                <c:pt idx="155">
                  <c:v>14.939814814814813</c:v>
                </c:pt>
                <c:pt idx="156">
                  <c:v>51.982407407407408</c:v>
                </c:pt>
                <c:pt idx="157">
                  <c:v>57.7</c:v>
                </c:pt>
                <c:pt idx="158">
                  <c:v>14.164814814814813</c:v>
                </c:pt>
                <c:pt idx="159">
                  <c:v>59.470000000000006</c:v>
                </c:pt>
                <c:pt idx="160">
                  <c:v>28.869</c:v>
                </c:pt>
                <c:pt idx="161">
                  <c:v>18</c:v>
                </c:pt>
                <c:pt idx="162">
                  <c:v>39.6</c:v>
                </c:pt>
                <c:pt idx="163">
                  <c:v>14.964814814814813</c:v>
                </c:pt>
                <c:pt idx="164">
                  <c:v>39.664814814814818</c:v>
                </c:pt>
                <c:pt idx="165">
                  <c:v>42</c:v>
                </c:pt>
                <c:pt idx="166">
                  <c:v>36.448</c:v>
                </c:pt>
                <c:pt idx="167">
                  <c:v>4.6653124999999998</c:v>
                </c:pt>
                <c:pt idx="168">
                  <c:v>50.2</c:v>
                </c:pt>
                <c:pt idx="169">
                  <c:v>17.166666666666668</c:v>
                </c:pt>
                <c:pt idx="170">
                  <c:v>55.165312499999999</c:v>
                </c:pt>
                <c:pt idx="171">
                  <c:v>53.5</c:v>
                </c:pt>
                <c:pt idx="172">
                  <c:v>37.200000000000003</c:v>
                </c:pt>
                <c:pt idx="173">
                  <c:v>7.3319791666666667</c:v>
                </c:pt>
                <c:pt idx="174">
                  <c:v>39.250979166666667</c:v>
                </c:pt>
                <c:pt idx="175">
                  <c:v>8.6666666666666661</c:v>
                </c:pt>
                <c:pt idx="176">
                  <c:v>43.9</c:v>
                </c:pt>
                <c:pt idx="177">
                  <c:v>28.349999999999998</c:v>
                </c:pt>
                <c:pt idx="178">
                  <c:v>13.466666666666667</c:v>
                </c:pt>
                <c:pt idx="179">
                  <c:v>10.97142857142857</c:v>
                </c:pt>
                <c:pt idx="180">
                  <c:v>47.7</c:v>
                </c:pt>
                <c:pt idx="181">
                  <c:v>44.599999999999994</c:v>
                </c:pt>
                <c:pt idx="182">
                  <c:v>55.516339285714288</c:v>
                </c:pt>
                <c:pt idx="183">
                  <c:v>42.365312500000002</c:v>
                </c:pt>
                <c:pt idx="184">
                  <c:v>43.8</c:v>
                </c:pt>
                <c:pt idx="185">
                  <c:v>36.700000000000003</c:v>
                </c:pt>
                <c:pt idx="186">
                  <c:v>6.0857142857142854</c:v>
                </c:pt>
                <c:pt idx="187">
                  <c:v>13.87142857142857</c:v>
                </c:pt>
                <c:pt idx="188">
                  <c:v>38.975666666666669</c:v>
                </c:pt>
                <c:pt idx="189">
                  <c:v>48.135979166666672</c:v>
                </c:pt>
                <c:pt idx="190">
                  <c:v>47.939122023809524</c:v>
                </c:pt>
                <c:pt idx="191">
                  <c:v>43.564122023809524</c:v>
                </c:pt>
                <c:pt idx="192">
                  <c:v>41.5</c:v>
                </c:pt>
                <c:pt idx="193">
                  <c:v>68.766666666666666</c:v>
                </c:pt>
                <c:pt idx="194">
                  <c:v>12.622455357142856</c:v>
                </c:pt>
                <c:pt idx="195">
                  <c:v>39.778809523809521</c:v>
                </c:pt>
                <c:pt idx="196">
                  <c:v>7.2571428571428571</c:v>
                </c:pt>
                <c:pt idx="197">
                  <c:v>40.066666666666663</c:v>
                </c:pt>
                <c:pt idx="198">
                  <c:v>8.1142857142857139</c:v>
                </c:pt>
                <c:pt idx="199">
                  <c:v>34.365312500000002</c:v>
                </c:pt>
                <c:pt idx="200">
                  <c:v>43.565312500000005</c:v>
                </c:pt>
                <c:pt idx="201">
                  <c:v>32.142857142857139</c:v>
                </c:pt>
                <c:pt idx="202">
                  <c:v>24.802812500000002</c:v>
                </c:pt>
                <c:pt idx="203">
                  <c:v>36.702812500000007</c:v>
                </c:pt>
                <c:pt idx="204">
                  <c:v>30.9</c:v>
                </c:pt>
                <c:pt idx="205">
                  <c:v>15.033333333333333</c:v>
                </c:pt>
                <c:pt idx="206">
                  <c:v>36.656333333333329</c:v>
                </c:pt>
                <c:pt idx="207">
                  <c:v>40.406000000000006</c:v>
                </c:pt>
                <c:pt idx="208">
                  <c:v>39.995666666666672</c:v>
                </c:pt>
                <c:pt idx="209">
                  <c:v>80.406666666666666</c:v>
                </c:pt>
                <c:pt idx="210">
                  <c:v>35.25033333333333</c:v>
                </c:pt>
                <c:pt idx="211">
                  <c:v>27.785301097178991</c:v>
                </c:pt>
                <c:pt idx="212">
                  <c:v>27.785301097178991</c:v>
                </c:pt>
                <c:pt idx="213">
                  <c:v>27.785301097178991</c:v>
                </c:pt>
                <c:pt idx="214">
                  <c:v>27.785301097178991</c:v>
                </c:pt>
                <c:pt idx="215">
                  <c:v>27.785301097178991</c:v>
                </c:pt>
                <c:pt idx="216">
                  <c:v>27.785301097178991</c:v>
                </c:pt>
                <c:pt idx="217">
                  <c:v>27.785301097178991</c:v>
                </c:pt>
                <c:pt idx="218">
                  <c:v>29.866666666666664</c:v>
                </c:pt>
                <c:pt idx="219">
                  <c:v>23.9</c:v>
                </c:pt>
                <c:pt idx="220">
                  <c:v>5.2</c:v>
                </c:pt>
                <c:pt idx="221">
                  <c:v>37.200000000000003</c:v>
                </c:pt>
                <c:pt idx="222">
                  <c:v>37.633333333333333</c:v>
                </c:pt>
                <c:pt idx="223">
                  <c:v>44.481333333333332</c:v>
                </c:pt>
                <c:pt idx="224">
                  <c:v>38.439333333333337</c:v>
                </c:pt>
                <c:pt idx="225">
                  <c:v>44.3</c:v>
                </c:pt>
              </c:numCache>
            </c:numRef>
          </c:xVal>
          <c:yVal>
            <c:numRef>
              <c:f>Residuals!$BG$2:$BG$227</c:f>
              <c:numCache>
                <c:formatCode>0.00</c:formatCode>
                <c:ptCount val="226"/>
                <c:pt idx="0">
                  <c:v>20.575015352187535</c:v>
                </c:pt>
                <c:pt idx="1">
                  <c:v>16.616122243781064</c:v>
                </c:pt>
                <c:pt idx="2">
                  <c:v>16.547341175913601</c:v>
                </c:pt>
                <c:pt idx="3">
                  <c:v>17.887778203314667</c:v>
                </c:pt>
                <c:pt idx="4">
                  <c:v>14.280499287379968</c:v>
                </c:pt>
                <c:pt idx="5">
                  <c:v>13.333531997970681</c:v>
                </c:pt>
                <c:pt idx="6">
                  <c:v>13.765720959609752</c:v>
                </c:pt>
                <c:pt idx="7">
                  <c:v>13.816020025324661</c:v>
                </c:pt>
                <c:pt idx="8">
                  <c:v>14.30974958077752</c:v>
                </c:pt>
                <c:pt idx="9">
                  <c:v>17.545628669772583</c:v>
                </c:pt>
                <c:pt idx="10">
                  <c:v>15.885266667085034</c:v>
                </c:pt>
                <c:pt idx="11">
                  <c:v>13.522674888682388</c:v>
                </c:pt>
                <c:pt idx="12">
                  <c:v>11.674772033554007</c:v>
                </c:pt>
                <c:pt idx="13">
                  <c:v>14.634429415035214</c:v>
                </c:pt>
                <c:pt idx="14">
                  <c:v>12.665069302772906</c:v>
                </c:pt>
                <c:pt idx="15">
                  <c:v>12.284134180800748</c:v>
                </c:pt>
                <c:pt idx="16">
                  <c:v>9.5621327574838233</c:v>
                </c:pt>
                <c:pt idx="17">
                  <c:v>9.3416304209152656</c:v>
                </c:pt>
                <c:pt idx="18">
                  <c:v>7.9661307131146657</c:v>
                </c:pt>
                <c:pt idx="19">
                  <c:v>7.943704012927185</c:v>
                </c:pt>
                <c:pt idx="20">
                  <c:v>6.7519502235478797</c:v>
                </c:pt>
                <c:pt idx="21">
                  <c:v>6.9167095630050142</c:v>
                </c:pt>
                <c:pt idx="22">
                  <c:v>4.8988245205522105</c:v>
                </c:pt>
                <c:pt idx="23">
                  <c:v>4.9777350356124828</c:v>
                </c:pt>
                <c:pt idx="24">
                  <c:v>3.7603080495292147</c:v>
                </c:pt>
                <c:pt idx="25">
                  <c:v>1.7649210752571207</c:v>
                </c:pt>
                <c:pt idx="26">
                  <c:v>4.4660998129966174</c:v>
                </c:pt>
                <c:pt idx="27">
                  <c:v>4.733245258485141</c:v>
                </c:pt>
                <c:pt idx="28">
                  <c:v>3.9947522681908652</c:v>
                </c:pt>
                <c:pt idx="29">
                  <c:v>3.3302641702688902</c:v>
                </c:pt>
                <c:pt idx="30">
                  <c:v>2.8640498725661985</c:v>
                </c:pt>
                <c:pt idx="31">
                  <c:v>1.0530301598870153</c:v>
                </c:pt>
                <c:pt idx="32">
                  <c:v>0.888652676448487</c:v>
                </c:pt>
                <c:pt idx="33">
                  <c:v>-0.28381981287856206</c:v>
                </c:pt>
                <c:pt idx="34">
                  <c:v>0.69403483302417612</c:v>
                </c:pt>
                <c:pt idx="35">
                  <c:v>0.67752703503037992</c:v>
                </c:pt>
                <c:pt idx="36">
                  <c:v>-2.0893070185138356</c:v>
                </c:pt>
                <c:pt idx="37">
                  <c:v>-2.3936163660890202</c:v>
                </c:pt>
                <c:pt idx="38">
                  <c:v>1.9263223028371499</c:v>
                </c:pt>
                <c:pt idx="39">
                  <c:v>5.7085871952524201</c:v>
                </c:pt>
                <c:pt idx="40">
                  <c:v>5.4829592745417131</c:v>
                </c:pt>
                <c:pt idx="41">
                  <c:v>3.6098693243540936</c:v>
                </c:pt>
                <c:pt idx="42">
                  <c:v>2.8981315900553568</c:v>
                </c:pt>
                <c:pt idx="43">
                  <c:v>4.8417501644917706</c:v>
                </c:pt>
                <c:pt idx="44">
                  <c:v>4.0612909414752778</c:v>
                </c:pt>
                <c:pt idx="45">
                  <c:v>5.7602516196244835</c:v>
                </c:pt>
                <c:pt idx="46">
                  <c:v>6.8891450257525833</c:v>
                </c:pt>
                <c:pt idx="47">
                  <c:v>2.8601969988663996</c:v>
                </c:pt>
                <c:pt idx="48">
                  <c:v>0.89143445333607474</c:v>
                </c:pt>
                <c:pt idx="49">
                  <c:v>-0.92750159919248176</c:v>
                </c:pt>
                <c:pt idx="50">
                  <c:v>-1.9275015991924818</c:v>
                </c:pt>
                <c:pt idx="51">
                  <c:v>-2.9327796858307522</c:v>
                </c:pt>
                <c:pt idx="52">
                  <c:v>-0.52750159919247608</c:v>
                </c:pt>
                <c:pt idx="53">
                  <c:v>-2.6144607014934991</c:v>
                </c:pt>
                <c:pt idx="54">
                  <c:v>-1.7275015991924931</c:v>
                </c:pt>
                <c:pt idx="55">
                  <c:v>-3.5866511334192523</c:v>
                </c:pt>
                <c:pt idx="56">
                  <c:v>-3.5026540396199835</c:v>
                </c:pt>
                <c:pt idx="57">
                  <c:v>-4.8729256515955797</c:v>
                </c:pt>
                <c:pt idx="58">
                  <c:v>-5.3060710957147705</c:v>
                </c:pt>
                <c:pt idx="59">
                  <c:v>-5.6883024040220107</c:v>
                </c:pt>
                <c:pt idx="60">
                  <c:v>-6.4978701610873202</c:v>
                </c:pt>
                <c:pt idx="61">
                  <c:v>-7.2554986655122775</c:v>
                </c:pt>
                <c:pt idx="62">
                  <c:v>-8.3026540396199948</c:v>
                </c:pt>
                <c:pt idx="63">
                  <c:v>-8.318372497655929</c:v>
                </c:pt>
                <c:pt idx="64">
                  <c:v>-8.159018673129566</c:v>
                </c:pt>
                <c:pt idx="65">
                  <c:v>-4.0947948106020249</c:v>
                </c:pt>
                <c:pt idx="66">
                  <c:v>-5.9088047405905684</c:v>
                </c:pt>
                <c:pt idx="67">
                  <c:v>-6.4105307937580847</c:v>
                </c:pt>
                <c:pt idx="68">
                  <c:v>-2.4958484028979342</c:v>
                </c:pt>
                <c:pt idx="69">
                  <c:v>-5.3355147290646414</c:v>
                </c:pt>
                <c:pt idx="70">
                  <c:v>-7.6455439353159704</c:v>
                </c:pt>
                <c:pt idx="71">
                  <c:v>-9.3425313774723122</c:v>
                </c:pt>
                <c:pt idx="72">
                  <c:v>-2.9706534559057616</c:v>
                </c:pt>
                <c:pt idx="73">
                  <c:v>-3.2761382707775226</c:v>
                </c:pt>
                <c:pt idx="74">
                  <c:v>-1.5840369256102633</c:v>
                </c:pt>
                <c:pt idx="75">
                  <c:v>-5.296503338649444</c:v>
                </c:pt>
                <c:pt idx="76">
                  <c:v>-6.202545979456886</c:v>
                </c:pt>
                <c:pt idx="77">
                  <c:v>-6.9170056752180074</c:v>
                </c:pt>
                <c:pt idx="78">
                  <c:v>-8.3928643205217384</c:v>
                </c:pt>
                <c:pt idx="79">
                  <c:v>-4.1357994837391914</c:v>
                </c:pt>
                <c:pt idx="80">
                  <c:v>-3.1102285139633921</c:v>
                </c:pt>
                <c:pt idx="81">
                  <c:v>-2.2899767615084272</c:v>
                </c:pt>
                <c:pt idx="82">
                  <c:v>-6.0622650230328077</c:v>
                </c:pt>
                <c:pt idx="83">
                  <c:v>-6.7415578097117645</c:v>
                </c:pt>
                <c:pt idx="84">
                  <c:v>-5.3178263551336329</c:v>
                </c:pt>
                <c:pt idx="85">
                  <c:v>-4.0074437598593704</c:v>
                </c:pt>
                <c:pt idx="86">
                  <c:v>-0.3790084512839087</c:v>
                </c:pt>
                <c:pt idx="87">
                  <c:v>3.10776798146901</c:v>
                </c:pt>
                <c:pt idx="88">
                  <c:v>-0.73233146502946056</c:v>
                </c:pt>
                <c:pt idx="89">
                  <c:v>-2.077578836204367</c:v>
                </c:pt>
                <c:pt idx="90">
                  <c:v>-0.53608423841376407</c:v>
                </c:pt>
                <c:pt idx="91">
                  <c:v>-2.7250759159215647</c:v>
                </c:pt>
                <c:pt idx="92">
                  <c:v>0.59811435816166636</c:v>
                </c:pt>
                <c:pt idx="93">
                  <c:v>0.64436735317744365</c:v>
                </c:pt>
                <c:pt idx="94">
                  <c:v>-1.8127621313879558</c:v>
                </c:pt>
                <c:pt idx="95">
                  <c:v>-1.5653741042393676</c:v>
                </c:pt>
                <c:pt idx="96">
                  <c:v>-1.8508349703958231</c:v>
                </c:pt>
                <c:pt idx="97">
                  <c:v>-4.6277909051303254</c:v>
                </c:pt>
                <c:pt idx="98">
                  <c:v>-5.3268832623128048</c:v>
                </c:pt>
                <c:pt idx="99">
                  <c:v>-4.0531571532386579</c:v>
                </c:pt>
                <c:pt idx="100">
                  <c:v>-4.2995490831203256</c:v>
                </c:pt>
                <c:pt idx="101">
                  <c:v>-3.0833140885765431</c:v>
                </c:pt>
                <c:pt idx="102">
                  <c:v>2.7995908196210451</c:v>
                </c:pt>
                <c:pt idx="103">
                  <c:v>3.1804484713781562</c:v>
                </c:pt>
                <c:pt idx="104">
                  <c:v>1.5804484713781903</c:v>
                </c:pt>
                <c:pt idx="105">
                  <c:v>0.23206593429276268</c:v>
                </c:pt>
                <c:pt idx="106">
                  <c:v>0.39756792241294647</c:v>
                </c:pt>
                <c:pt idx="107">
                  <c:v>-3.9535824301092362</c:v>
                </c:pt>
                <c:pt idx="108">
                  <c:v>-4.8251147891705273</c:v>
                </c:pt>
                <c:pt idx="109">
                  <c:v>-4.3315967979690697</c:v>
                </c:pt>
                <c:pt idx="110">
                  <c:v>-6.0385335684546817</c:v>
                </c:pt>
                <c:pt idx="111">
                  <c:v>-4.6526628021800605</c:v>
                </c:pt>
                <c:pt idx="112">
                  <c:v>-3.4327211560374735</c:v>
                </c:pt>
                <c:pt idx="113">
                  <c:v>-7.2314602623385156</c:v>
                </c:pt>
                <c:pt idx="114">
                  <c:v>-6.6700897882633683</c:v>
                </c:pt>
                <c:pt idx="115">
                  <c:v>-8.2402557647264416</c:v>
                </c:pt>
                <c:pt idx="116">
                  <c:v>-8.1563018203077604</c:v>
                </c:pt>
                <c:pt idx="117">
                  <c:v>-10.131904039791152</c:v>
                </c:pt>
                <c:pt idx="118">
                  <c:v>-10.469166889891312</c:v>
                </c:pt>
                <c:pt idx="119">
                  <c:v>-10.681468291832488</c:v>
                </c:pt>
                <c:pt idx="120">
                  <c:v>-9.8917194601167751</c:v>
                </c:pt>
                <c:pt idx="121">
                  <c:v>-8.1941289245032465</c:v>
                </c:pt>
                <c:pt idx="122">
                  <c:v>-5.5494363935758315</c:v>
                </c:pt>
                <c:pt idx="123">
                  <c:v>-4.8936933964643572</c:v>
                </c:pt>
                <c:pt idx="124">
                  <c:v>-2.4302124504110338</c:v>
                </c:pt>
                <c:pt idx="125">
                  <c:v>-4.9853160690237246</c:v>
                </c:pt>
                <c:pt idx="126">
                  <c:v>-2.6236223899211666</c:v>
                </c:pt>
                <c:pt idx="127">
                  <c:v>-1.6552429727580602</c:v>
                </c:pt>
                <c:pt idx="128">
                  <c:v>-2.5662142983219667</c:v>
                </c:pt>
                <c:pt idx="129">
                  <c:v>2.0598392051934127</c:v>
                </c:pt>
                <c:pt idx="130">
                  <c:v>-0.80844326571065039</c:v>
                </c:pt>
                <c:pt idx="131">
                  <c:v>0.3697875495889491</c:v>
                </c:pt>
                <c:pt idx="132">
                  <c:v>-0.4269326630129342</c:v>
                </c:pt>
                <c:pt idx="133">
                  <c:v>0.51176535064701056</c:v>
                </c:pt>
                <c:pt idx="134">
                  <c:v>1.6198120779104954</c:v>
                </c:pt>
                <c:pt idx="135">
                  <c:v>3.0704708141946924</c:v>
                </c:pt>
                <c:pt idx="136">
                  <c:v>-3.4463543555915521</c:v>
                </c:pt>
                <c:pt idx="137">
                  <c:v>-4.5221432190564883</c:v>
                </c:pt>
                <c:pt idx="138">
                  <c:v>-3.8302124504110395</c:v>
                </c:pt>
                <c:pt idx="139">
                  <c:v>-6.0843323712927884</c:v>
                </c:pt>
                <c:pt idx="140">
                  <c:v>-7.329422989255221</c:v>
                </c:pt>
                <c:pt idx="141">
                  <c:v>-5.0948150451274898</c:v>
                </c:pt>
                <c:pt idx="142">
                  <c:v>-2.1103888393169541</c:v>
                </c:pt>
                <c:pt idx="143">
                  <c:v>-4.3230199871712216</c:v>
                </c:pt>
                <c:pt idx="144">
                  <c:v>-2.1045599026568311</c:v>
                </c:pt>
                <c:pt idx="145">
                  <c:v>-3.8302124504110395</c:v>
                </c:pt>
                <c:pt idx="146">
                  <c:v>-5.5865692489311414</c:v>
                </c:pt>
                <c:pt idx="147">
                  <c:v>-1.6966406073461258</c:v>
                </c:pt>
                <c:pt idx="148">
                  <c:v>-0.35835205396463721</c:v>
                </c:pt>
                <c:pt idx="149">
                  <c:v>-1.9142720303422038</c:v>
                </c:pt>
                <c:pt idx="150">
                  <c:v>-0.85071478697960856</c:v>
                </c:pt>
                <c:pt idx="151">
                  <c:v>-1.9423725708103632</c:v>
                </c:pt>
                <c:pt idx="152">
                  <c:v>-3.3070452499281942</c:v>
                </c:pt>
                <c:pt idx="153">
                  <c:v>-3.4966646996316797</c:v>
                </c:pt>
                <c:pt idx="154">
                  <c:v>-6.0908733760039695</c:v>
                </c:pt>
                <c:pt idx="155">
                  <c:v>-2.1833630062137956</c:v>
                </c:pt>
                <c:pt idx="156">
                  <c:v>-2.3630928565667375</c:v>
                </c:pt>
                <c:pt idx="157">
                  <c:v>3.5782951395855775</c:v>
                </c:pt>
                <c:pt idx="158">
                  <c:v>-0.17541835079344992</c:v>
                </c:pt>
                <c:pt idx="159">
                  <c:v>-2.6398494282775857</c:v>
                </c:pt>
                <c:pt idx="160">
                  <c:v>-3.3261534276101088</c:v>
                </c:pt>
                <c:pt idx="161">
                  <c:v>-0.21473347952820632</c:v>
                </c:pt>
                <c:pt idx="162">
                  <c:v>-0.23615871446881442</c:v>
                </c:pt>
                <c:pt idx="163">
                  <c:v>-0.1836192854208889</c:v>
                </c:pt>
                <c:pt idx="164">
                  <c:v>-3.4368231420427833</c:v>
                </c:pt>
                <c:pt idx="165">
                  <c:v>2.1392384816488743</c:v>
                </c:pt>
                <c:pt idx="166">
                  <c:v>0.59615296796326334</c:v>
                </c:pt>
                <c:pt idx="167">
                  <c:v>-3.0780373539473089</c:v>
                </c:pt>
                <c:pt idx="168">
                  <c:v>-7.7448210982822729</c:v>
                </c:pt>
                <c:pt idx="169">
                  <c:v>-6.2061908392912812</c:v>
                </c:pt>
                <c:pt idx="170">
                  <c:v>-5.5957213523038263</c:v>
                </c:pt>
                <c:pt idx="171">
                  <c:v>-4.7786499536204019</c:v>
                </c:pt>
                <c:pt idx="172">
                  <c:v>-3.2115559105865259</c:v>
                </c:pt>
                <c:pt idx="173">
                  <c:v>0.69462619729455355</c:v>
                </c:pt>
                <c:pt idx="174">
                  <c:v>-2.6325808431716098</c:v>
                </c:pt>
                <c:pt idx="175">
                  <c:v>-2.5190559088748614</c:v>
                </c:pt>
                <c:pt idx="176">
                  <c:v>-4.2802387380912421</c:v>
                </c:pt>
                <c:pt idx="177">
                  <c:v>-3.9208330712706072</c:v>
                </c:pt>
                <c:pt idx="178">
                  <c:v>-2.5682615166394385</c:v>
                </c:pt>
                <c:pt idx="179">
                  <c:v>-0.9426824110157952</c:v>
                </c:pt>
                <c:pt idx="180">
                  <c:v>-1.5191931775715375</c:v>
                </c:pt>
                <c:pt idx="181">
                  <c:v>-0.48741455589023985</c:v>
                </c:pt>
                <c:pt idx="182">
                  <c:v>-1.599319786956471</c:v>
                </c:pt>
                <c:pt idx="183">
                  <c:v>-2.264506398264956</c:v>
                </c:pt>
                <c:pt idx="184">
                  <c:v>-2.8792136212628066</c:v>
                </c:pt>
                <c:pt idx="185">
                  <c:v>-1.2064303264443765</c:v>
                </c:pt>
                <c:pt idx="186">
                  <c:v>-2.4925981316839909</c:v>
                </c:pt>
                <c:pt idx="187">
                  <c:v>-2.9724107990402331</c:v>
                </c:pt>
                <c:pt idx="188">
                  <c:v>-2.2297585684033265</c:v>
                </c:pt>
                <c:pt idx="189">
                  <c:v>-2.9236624733774761</c:v>
                </c:pt>
                <c:pt idx="190">
                  <c:v>-3.1216444576781157</c:v>
                </c:pt>
                <c:pt idx="191">
                  <c:v>-2.6767955964343457</c:v>
                </c:pt>
                <c:pt idx="192">
                  <c:v>-1.2556359342089536</c:v>
                </c:pt>
                <c:pt idx="193">
                  <c:v>-0.53515112276051013</c:v>
                </c:pt>
                <c:pt idx="194">
                  <c:v>3.2403926355619888</c:v>
                </c:pt>
                <c:pt idx="195">
                  <c:v>0.16200827901178627</c:v>
                </c:pt>
                <c:pt idx="196">
                  <c:v>-2.90460664310271</c:v>
                </c:pt>
                <c:pt idx="197">
                  <c:v>-1.2409425930014777</c:v>
                </c:pt>
                <c:pt idx="198">
                  <c:v>8.6606641225017711E-2</c:v>
                </c:pt>
                <c:pt idx="199">
                  <c:v>-1.1824970519906515</c:v>
                </c:pt>
                <c:pt idx="200">
                  <c:v>2.5231921997938969</c:v>
                </c:pt>
                <c:pt idx="201">
                  <c:v>1.0402857118797044</c:v>
                </c:pt>
                <c:pt idx="202">
                  <c:v>4.9155297447278485</c:v>
                </c:pt>
                <c:pt idx="203">
                  <c:v>6.5935408421448187</c:v>
                </c:pt>
                <c:pt idx="204">
                  <c:v>4.8530264496044992</c:v>
                </c:pt>
                <c:pt idx="205">
                  <c:v>7.4156783197151412</c:v>
                </c:pt>
                <c:pt idx="206">
                  <c:v>9.9940173079040164</c:v>
                </c:pt>
                <c:pt idx="207">
                  <c:v>6.3555788438940795</c:v>
                </c:pt>
                <c:pt idx="208">
                  <c:v>1.9597852399466831</c:v>
                </c:pt>
                <c:pt idx="209">
                  <c:v>1.9455252784104005</c:v>
                </c:pt>
                <c:pt idx="210">
                  <c:v>5.6084304505117473</c:v>
                </c:pt>
                <c:pt idx="211">
                  <c:v>6.0849557522121813</c:v>
                </c:pt>
                <c:pt idx="212">
                  <c:v>6.4849557522122154</c:v>
                </c:pt>
                <c:pt idx="213">
                  <c:v>8.28495575221217</c:v>
                </c:pt>
                <c:pt idx="214">
                  <c:v>1.0849557522121813</c:v>
                </c:pt>
                <c:pt idx="215">
                  <c:v>1.6849557522122041</c:v>
                </c:pt>
                <c:pt idx="216">
                  <c:v>2.8849557522121927</c:v>
                </c:pt>
                <c:pt idx="217">
                  <c:v>3.6849557522122041</c:v>
                </c:pt>
                <c:pt idx="218">
                  <c:v>3.663619323498267</c:v>
                </c:pt>
                <c:pt idx="219">
                  <c:v>5.9247846275945051</c:v>
                </c:pt>
                <c:pt idx="220">
                  <c:v>6.3164814745106526</c:v>
                </c:pt>
                <c:pt idx="221">
                  <c:v>5.7884440894134741</c:v>
                </c:pt>
                <c:pt idx="222">
                  <c:v>3.7840019164902969</c:v>
                </c:pt>
                <c:pt idx="223">
                  <c:v>3.3138019160795125</c:v>
                </c:pt>
                <c:pt idx="224">
                  <c:v>0.57573947485315102</c:v>
                </c:pt>
                <c:pt idx="225">
                  <c:v>-0.2843392054049616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DD-4540-932A-80C9FD6C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8095"/>
        <c:axId val="2123699055"/>
      </c:scatterChart>
      <c:valAx>
        <c:axId val="21236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055"/>
        <c:crosses val="autoZero"/>
        <c:crossBetween val="midCat"/>
      </c:valAx>
      <c:valAx>
        <c:axId val="21236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Log'!$W$2:$W$227</c:f>
              <c:numCache>
                <c:formatCode>0.00</c:formatCode>
                <c:ptCount val="226"/>
                <c:pt idx="0">
                  <c:v>67.5</c:v>
                </c:pt>
                <c:pt idx="1">
                  <c:v>325.45</c:v>
                </c:pt>
                <c:pt idx="2">
                  <c:v>66.442083333333329</c:v>
                </c:pt>
                <c:pt idx="3">
                  <c:v>46</c:v>
                </c:pt>
                <c:pt idx="4">
                  <c:v>67.668333333333322</c:v>
                </c:pt>
                <c:pt idx="5">
                  <c:v>96.87166666666667</c:v>
                </c:pt>
                <c:pt idx="6">
                  <c:v>213.35166666666666</c:v>
                </c:pt>
                <c:pt idx="7">
                  <c:v>91</c:v>
                </c:pt>
                <c:pt idx="8">
                  <c:v>30.091666666666669</c:v>
                </c:pt>
                <c:pt idx="9">
                  <c:v>20.591666666666669</c:v>
                </c:pt>
                <c:pt idx="10">
                  <c:v>40.258333333333333</c:v>
                </c:pt>
                <c:pt idx="11">
                  <c:v>31.554166666666667</c:v>
                </c:pt>
                <c:pt idx="12">
                  <c:v>131.35</c:v>
                </c:pt>
                <c:pt idx="13">
                  <c:v>38.685416666666669</c:v>
                </c:pt>
                <c:pt idx="14">
                  <c:v>58.955750000000002</c:v>
                </c:pt>
                <c:pt idx="15">
                  <c:v>58.923416666666668</c:v>
                </c:pt>
                <c:pt idx="16">
                  <c:v>15.641666666666664</c:v>
                </c:pt>
                <c:pt idx="17">
                  <c:v>26.641666666666666</c:v>
                </c:pt>
                <c:pt idx="18">
                  <c:v>15.801666666666666</c:v>
                </c:pt>
                <c:pt idx="19">
                  <c:v>145.95741666666666</c:v>
                </c:pt>
                <c:pt idx="20">
                  <c:v>36.741666666666667</c:v>
                </c:pt>
                <c:pt idx="21">
                  <c:v>32.655749999999998</c:v>
                </c:pt>
                <c:pt idx="22">
                  <c:v>43.19756666666666</c:v>
                </c:pt>
                <c:pt idx="23">
                  <c:v>19.880333333333333</c:v>
                </c:pt>
                <c:pt idx="24">
                  <c:v>22.310333333333336</c:v>
                </c:pt>
                <c:pt idx="25">
                  <c:v>20.500333333333334</c:v>
                </c:pt>
                <c:pt idx="26">
                  <c:v>26.580333333333336</c:v>
                </c:pt>
                <c:pt idx="27">
                  <c:v>32.760333333333335</c:v>
                </c:pt>
                <c:pt idx="28">
                  <c:v>96.760333333333335</c:v>
                </c:pt>
                <c:pt idx="29">
                  <c:v>41.361499999999992</c:v>
                </c:pt>
                <c:pt idx="30">
                  <c:v>23.225166666666667</c:v>
                </c:pt>
                <c:pt idx="31">
                  <c:v>18.669833333333337</c:v>
                </c:pt>
                <c:pt idx="32">
                  <c:v>29.625166666666665</c:v>
                </c:pt>
                <c:pt idx="33">
                  <c:v>24.250333333333334</c:v>
                </c:pt>
                <c:pt idx="34">
                  <c:v>16.669833333333337</c:v>
                </c:pt>
                <c:pt idx="35">
                  <c:v>88.4</c:v>
                </c:pt>
                <c:pt idx="36">
                  <c:v>21.505166666666668</c:v>
                </c:pt>
                <c:pt idx="37">
                  <c:v>478.34999999999997</c:v>
                </c:pt>
                <c:pt idx="38">
                  <c:v>252.2</c:v>
                </c:pt>
                <c:pt idx="39">
                  <c:v>325.75</c:v>
                </c:pt>
                <c:pt idx="40">
                  <c:v>328.25</c:v>
                </c:pt>
                <c:pt idx="41">
                  <c:v>272</c:v>
                </c:pt>
                <c:pt idx="42">
                  <c:v>134</c:v>
                </c:pt>
                <c:pt idx="43">
                  <c:v>290</c:v>
                </c:pt>
                <c:pt idx="44">
                  <c:v>322.23899999999998</c:v>
                </c:pt>
                <c:pt idx="45">
                  <c:v>341.44171428571428</c:v>
                </c:pt>
                <c:pt idx="46">
                  <c:v>212.22544642857144</c:v>
                </c:pt>
                <c:pt idx="47">
                  <c:v>14.921518155757285</c:v>
                </c:pt>
                <c:pt idx="48">
                  <c:v>27.305119047619048</c:v>
                </c:pt>
                <c:pt idx="49">
                  <c:v>20.721518155757284</c:v>
                </c:pt>
                <c:pt idx="50">
                  <c:v>20.721518155757284</c:v>
                </c:pt>
                <c:pt idx="51">
                  <c:v>207.03666666666669</c:v>
                </c:pt>
                <c:pt idx="52">
                  <c:v>20.721518155757284</c:v>
                </c:pt>
                <c:pt idx="53">
                  <c:v>36.246666666666663</c:v>
                </c:pt>
                <c:pt idx="54">
                  <c:v>21.721518155757284</c:v>
                </c:pt>
                <c:pt idx="55">
                  <c:v>106.58306577480491</c:v>
                </c:pt>
                <c:pt idx="56">
                  <c:v>149.85178571428571</c:v>
                </c:pt>
                <c:pt idx="57">
                  <c:v>17.201785714285712</c:v>
                </c:pt>
                <c:pt idx="58">
                  <c:v>14.649999999999999</c:v>
                </c:pt>
                <c:pt idx="59">
                  <c:v>12.401785714285712</c:v>
                </c:pt>
                <c:pt idx="60">
                  <c:v>11.649999999999999</c:v>
                </c:pt>
                <c:pt idx="61">
                  <c:v>88.201785714285705</c:v>
                </c:pt>
                <c:pt idx="62">
                  <c:v>23.851785714285711</c:v>
                </c:pt>
                <c:pt idx="63">
                  <c:v>37.449999999999996</c:v>
                </c:pt>
                <c:pt idx="64">
                  <c:v>489.79999999999995</c:v>
                </c:pt>
                <c:pt idx="65">
                  <c:v>14.2</c:v>
                </c:pt>
                <c:pt idx="66">
                  <c:v>189.20178571428573</c:v>
                </c:pt>
                <c:pt idx="67">
                  <c:v>425.65</c:v>
                </c:pt>
                <c:pt idx="68">
                  <c:v>29.545833333333334</c:v>
                </c:pt>
                <c:pt idx="69">
                  <c:v>29.107142857142858</c:v>
                </c:pt>
                <c:pt idx="70">
                  <c:v>60.691666666666663</c:v>
                </c:pt>
                <c:pt idx="71">
                  <c:v>529.81547619047615</c:v>
                </c:pt>
                <c:pt idx="72">
                  <c:v>23</c:v>
                </c:pt>
                <c:pt idx="73">
                  <c:v>443</c:v>
                </c:pt>
                <c:pt idx="74">
                  <c:v>45.991666666666667</c:v>
                </c:pt>
                <c:pt idx="75">
                  <c:v>31.115476190476191</c:v>
                </c:pt>
                <c:pt idx="76">
                  <c:v>53.783333333333331</c:v>
                </c:pt>
                <c:pt idx="77">
                  <c:v>90.615476190476187</c:v>
                </c:pt>
                <c:pt idx="78">
                  <c:v>591.21547619047624</c:v>
                </c:pt>
                <c:pt idx="79">
                  <c:v>155.6</c:v>
                </c:pt>
                <c:pt idx="80">
                  <c:v>201.79166666666669</c:v>
                </c:pt>
                <c:pt idx="81">
                  <c:v>386.47047619047618</c:v>
                </c:pt>
                <c:pt idx="82">
                  <c:v>265.63499999999999</c:v>
                </c:pt>
                <c:pt idx="83">
                  <c:v>231.05500000000001</c:v>
                </c:pt>
                <c:pt idx="84">
                  <c:v>326.67500000000001</c:v>
                </c:pt>
                <c:pt idx="85">
                  <c:v>638.91187500000001</c:v>
                </c:pt>
                <c:pt idx="86">
                  <c:v>522.52437499999996</c:v>
                </c:pt>
                <c:pt idx="87">
                  <c:v>208.04874999999998</c:v>
                </c:pt>
                <c:pt idx="88">
                  <c:v>154.55937500000002</c:v>
                </c:pt>
                <c:pt idx="89">
                  <c:v>197.26250000000002</c:v>
                </c:pt>
                <c:pt idx="90">
                  <c:v>234.97500000000002</c:v>
                </c:pt>
                <c:pt idx="91">
                  <c:v>523.58749999999998</c:v>
                </c:pt>
                <c:pt idx="92">
                  <c:v>653.99</c:v>
                </c:pt>
                <c:pt idx="93">
                  <c:v>28.254166666666666</c:v>
                </c:pt>
                <c:pt idx="94">
                  <c:v>25.539666666666665</c:v>
                </c:pt>
                <c:pt idx="95">
                  <c:v>40.587499999999999</c:v>
                </c:pt>
                <c:pt idx="96">
                  <c:v>106.81366666666666</c:v>
                </c:pt>
                <c:pt idx="97">
                  <c:v>104.0125</c:v>
                </c:pt>
                <c:pt idx="98">
                  <c:v>475.33016666666663</c:v>
                </c:pt>
                <c:pt idx="99">
                  <c:v>472.61616666666669</c:v>
                </c:pt>
                <c:pt idx="100">
                  <c:v>620.61249999999995</c:v>
                </c:pt>
                <c:pt idx="101">
                  <c:v>808</c:v>
                </c:pt>
                <c:pt idx="102">
                  <c:v>192.78766666666667</c:v>
                </c:pt>
                <c:pt idx="103">
                  <c:v>126.67</c:v>
                </c:pt>
                <c:pt idx="104">
                  <c:v>126.67</c:v>
                </c:pt>
                <c:pt idx="105">
                  <c:v>138.76400000000001</c:v>
                </c:pt>
                <c:pt idx="106">
                  <c:v>325.47500000000002</c:v>
                </c:pt>
                <c:pt idx="107">
                  <c:v>39.65</c:v>
                </c:pt>
                <c:pt idx="108">
                  <c:v>28.138999999999999</c:v>
                </c:pt>
                <c:pt idx="109">
                  <c:v>317.35000000000002</c:v>
                </c:pt>
                <c:pt idx="110">
                  <c:v>307.71899999999999</c:v>
                </c:pt>
                <c:pt idx="111">
                  <c:v>475.8</c:v>
                </c:pt>
                <c:pt idx="112">
                  <c:v>306.01900000000001</c:v>
                </c:pt>
                <c:pt idx="113">
                  <c:v>188.39699999999999</c:v>
                </c:pt>
                <c:pt idx="114">
                  <c:v>30.150000000000002</c:v>
                </c:pt>
                <c:pt idx="115">
                  <c:v>191.17699999999999</c:v>
                </c:pt>
                <c:pt idx="116">
                  <c:v>214.67500000000001</c:v>
                </c:pt>
                <c:pt idx="117">
                  <c:v>215.36</c:v>
                </c:pt>
                <c:pt idx="118">
                  <c:v>225.1</c:v>
                </c:pt>
                <c:pt idx="119">
                  <c:v>206.1</c:v>
                </c:pt>
                <c:pt idx="120">
                  <c:v>196.04999999999998</c:v>
                </c:pt>
                <c:pt idx="121">
                  <c:v>821.9</c:v>
                </c:pt>
                <c:pt idx="122">
                  <c:v>687.84012500000006</c:v>
                </c:pt>
                <c:pt idx="123">
                  <c:v>362.08937499999996</c:v>
                </c:pt>
                <c:pt idx="124">
                  <c:v>152</c:v>
                </c:pt>
                <c:pt idx="125">
                  <c:v>349.9449166666667</c:v>
                </c:pt>
                <c:pt idx="126">
                  <c:v>516.88958333333335</c:v>
                </c:pt>
                <c:pt idx="127">
                  <c:v>1012.2850000000001</c:v>
                </c:pt>
                <c:pt idx="128">
                  <c:v>540.84687499999995</c:v>
                </c:pt>
                <c:pt idx="129">
                  <c:v>427.88333333333333</c:v>
                </c:pt>
                <c:pt idx="130">
                  <c:v>334.10370833333332</c:v>
                </c:pt>
                <c:pt idx="131">
                  <c:v>129</c:v>
                </c:pt>
                <c:pt idx="132">
                  <c:v>378.2</c:v>
                </c:pt>
                <c:pt idx="133">
                  <c:v>390.73166666666668</c:v>
                </c:pt>
                <c:pt idx="134">
                  <c:v>316.12166666666667</c:v>
                </c:pt>
                <c:pt idx="135">
                  <c:v>554.69124999999997</c:v>
                </c:pt>
                <c:pt idx="136">
                  <c:v>373.47787499999998</c:v>
                </c:pt>
                <c:pt idx="137">
                  <c:v>498.64431249999996</c:v>
                </c:pt>
                <c:pt idx="138">
                  <c:v>119.4</c:v>
                </c:pt>
                <c:pt idx="139">
                  <c:v>459.10299999999995</c:v>
                </c:pt>
                <c:pt idx="140">
                  <c:v>541.51043749999997</c:v>
                </c:pt>
                <c:pt idx="141">
                  <c:v>391.66643750000003</c:v>
                </c:pt>
                <c:pt idx="142">
                  <c:v>193.44931249999999</c:v>
                </c:pt>
                <c:pt idx="143">
                  <c:v>436.60500000000002</c:v>
                </c:pt>
                <c:pt idx="144">
                  <c:v>349.62943749999999</c:v>
                </c:pt>
                <c:pt idx="145">
                  <c:v>2</c:v>
                </c:pt>
                <c:pt idx="146">
                  <c:v>372.02943750000003</c:v>
                </c:pt>
                <c:pt idx="147">
                  <c:v>330.4</c:v>
                </c:pt>
                <c:pt idx="148">
                  <c:v>296.39999999999998</c:v>
                </c:pt>
                <c:pt idx="149">
                  <c:v>295.10000000000002</c:v>
                </c:pt>
                <c:pt idx="150">
                  <c:v>140.80000000000001</c:v>
                </c:pt>
                <c:pt idx="151">
                  <c:v>525.43208333333337</c:v>
                </c:pt>
                <c:pt idx="152">
                  <c:v>82.004999999999995</c:v>
                </c:pt>
                <c:pt idx="153">
                  <c:v>67.68416666666667</c:v>
                </c:pt>
                <c:pt idx="154">
                  <c:v>207.9385</c:v>
                </c:pt>
                <c:pt idx="155">
                  <c:v>345.24333333333334</c:v>
                </c:pt>
                <c:pt idx="156">
                  <c:v>292.68416666666667</c:v>
                </c:pt>
                <c:pt idx="157">
                  <c:v>185.90833333333333</c:v>
                </c:pt>
                <c:pt idx="158">
                  <c:v>31.368333333333336</c:v>
                </c:pt>
                <c:pt idx="159">
                  <c:v>50.18833333333334</c:v>
                </c:pt>
                <c:pt idx="160">
                  <c:v>218.47633333333334</c:v>
                </c:pt>
                <c:pt idx="161">
                  <c:v>168.30833333333334</c:v>
                </c:pt>
                <c:pt idx="162">
                  <c:v>751.32500000000005</c:v>
                </c:pt>
                <c:pt idx="163">
                  <c:v>305.36833333333334</c:v>
                </c:pt>
                <c:pt idx="164">
                  <c:v>342.76833333333332</c:v>
                </c:pt>
                <c:pt idx="165">
                  <c:v>321.39999999999998</c:v>
                </c:pt>
                <c:pt idx="166">
                  <c:v>349.86566666666664</c:v>
                </c:pt>
                <c:pt idx="167">
                  <c:v>158.741625</c:v>
                </c:pt>
                <c:pt idx="168">
                  <c:v>273.8416666666667</c:v>
                </c:pt>
                <c:pt idx="169">
                  <c:v>264.0654761904762</c:v>
                </c:pt>
                <c:pt idx="170">
                  <c:v>506.0832916666667</c:v>
                </c:pt>
                <c:pt idx="171">
                  <c:v>500.3416666666667</c:v>
                </c:pt>
                <c:pt idx="172">
                  <c:v>508</c:v>
                </c:pt>
                <c:pt idx="173">
                  <c:v>312.70710119047618</c:v>
                </c:pt>
                <c:pt idx="174">
                  <c:v>199.63276785714285</c:v>
                </c:pt>
                <c:pt idx="175">
                  <c:v>236.3154761904762</c:v>
                </c:pt>
                <c:pt idx="176">
                  <c:v>112.82166666666666</c:v>
                </c:pt>
                <c:pt idx="177">
                  <c:v>169.50000000000003</c:v>
                </c:pt>
                <c:pt idx="178">
                  <c:v>607.8654761904761</c:v>
                </c:pt>
                <c:pt idx="179">
                  <c:v>293.90000000000003</c:v>
                </c:pt>
                <c:pt idx="180">
                  <c:v>241.64166666666668</c:v>
                </c:pt>
                <c:pt idx="181">
                  <c:v>34.091666666666669</c:v>
                </c:pt>
                <c:pt idx="182">
                  <c:v>241.87491666666668</c:v>
                </c:pt>
                <c:pt idx="183">
                  <c:v>245.88329166666668</c:v>
                </c:pt>
                <c:pt idx="184">
                  <c:v>27.741666666666667</c:v>
                </c:pt>
                <c:pt idx="185">
                  <c:v>22.141666666666666</c:v>
                </c:pt>
                <c:pt idx="186">
                  <c:v>314.5</c:v>
                </c:pt>
                <c:pt idx="187">
                  <c:v>399.6</c:v>
                </c:pt>
                <c:pt idx="188">
                  <c:v>174.92933333333335</c:v>
                </c:pt>
                <c:pt idx="189">
                  <c:v>460.83195833333332</c:v>
                </c:pt>
                <c:pt idx="190">
                  <c:v>444.06567261904763</c:v>
                </c:pt>
                <c:pt idx="191">
                  <c:v>520.71967261904763</c:v>
                </c:pt>
                <c:pt idx="192">
                  <c:v>530.5</c:v>
                </c:pt>
                <c:pt idx="193">
                  <c:v>368.85833333333335</c:v>
                </c:pt>
                <c:pt idx="194">
                  <c:v>43.677339285714282</c:v>
                </c:pt>
                <c:pt idx="195">
                  <c:v>206.99804761904761</c:v>
                </c:pt>
                <c:pt idx="196">
                  <c:v>421.48571428571432</c:v>
                </c:pt>
                <c:pt idx="197">
                  <c:v>291.75833333333333</c:v>
                </c:pt>
                <c:pt idx="198">
                  <c:v>285.67142857142858</c:v>
                </c:pt>
                <c:pt idx="199">
                  <c:v>269.09162500000002</c:v>
                </c:pt>
                <c:pt idx="200">
                  <c:v>381.09162500000002</c:v>
                </c:pt>
                <c:pt idx="201">
                  <c:v>615.0428571428572</c:v>
                </c:pt>
                <c:pt idx="202">
                  <c:v>319.56662499999999</c:v>
                </c:pt>
                <c:pt idx="203">
                  <c:v>512.46662500000002</c:v>
                </c:pt>
                <c:pt idx="204">
                  <c:v>573.4</c:v>
                </c:pt>
                <c:pt idx="205">
                  <c:v>615.70000000000005</c:v>
                </c:pt>
                <c:pt idx="206">
                  <c:v>18.666333333333334</c:v>
                </c:pt>
                <c:pt idx="207">
                  <c:v>295.52633333333335</c:v>
                </c:pt>
                <c:pt idx="208">
                  <c:v>352.98033333333336</c:v>
                </c:pt>
                <c:pt idx="209">
                  <c:v>326.79666666666668</c:v>
                </c:pt>
                <c:pt idx="210">
                  <c:v>224.61833333333334</c:v>
                </c:pt>
                <c:pt idx="211">
                  <c:v>239.28876055938798</c:v>
                </c:pt>
                <c:pt idx="212">
                  <c:v>239.28876055938798</c:v>
                </c:pt>
                <c:pt idx="213">
                  <c:v>239.28876055938798</c:v>
                </c:pt>
                <c:pt idx="214">
                  <c:v>239.28876055938798</c:v>
                </c:pt>
                <c:pt idx="215">
                  <c:v>239.28876055938798</c:v>
                </c:pt>
                <c:pt idx="216">
                  <c:v>239.28876055938798</c:v>
                </c:pt>
                <c:pt idx="217">
                  <c:v>239.28876055938798</c:v>
                </c:pt>
                <c:pt idx="218">
                  <c:v>407.61666666666667</c:v>
                </c:pt>
                <c:pt idx="219">
                  <c:v>297.3</c:v>
                </c:pt>
                <c:pt idx="220">
                  <c:v>150.4</c:v>
                </c:pt>
                <c:pt idx="221">
                  <c:v>208.4</c:v>
                </c:pt>
                <c:pt idx="222">
                  <c:v>228.15166666666667</c:v>
                </c:pt>
                <c:pt idx="223">
                  <c:v>128.01566666666668</c:v>
                </c:pt>
                <c:pt idx="224">
                  <c:v>302.9496666666667</c:v>
                </c:pt>
                <c:pt idx="225">
                  <c:v>481.8</c:v>
                </c:pt>
              </c:numCache>
            </c:numRef>
          </c:xVal>
          <c:yVal>
            <c:numRef>
              <c:f>Residuals!$BJ$2:$BJ$227</c:f>
              <c:numCache>
                <c:formatCode>0.00</c:formatCode>
                <c:ptCount val="226"/>
                <c:pt idx="0">
                  <c:v>19.249824140374415</c:v>
                </c:pt>
                <c:pt idx="1">
                  <c:v>17.304440229553393</c:v>
                </c:pt>
                <c:pt idx="2">
                  <c:v>15.442217901680863</c:v>
                </c:pt>
                <c:pt idx="3">
                  <c:v>16.29524284199357</c:v>
                </c:pt>
                <c:pt idx="4">
                  <c:v>13.251034428059427</c:v>
                </c:pt>
                <c:pt idx="5">
                  <c:v>12.461001366836911</c:v>
                </c:pt>
                <c:pt idx="6">
                  <c:v>13.498472512669707</c:v>
                </c:pt>
                <c:pt idx="7">
                  <c:v>12.618785094418627</c:v>
                </c:pt>
                <c:pt idx="8">
                  <c:v>12.780864664238038</c:v>
                </c:pt>
                <c:pt idx="9">
                  <c:v>15.91256129983725</c:v>
                </c:pt>
                <c:pt idx="10">
                  <c:v>14.253961247193388</c:v>
                </c:pt>
                <c:pt idx="11">
                  <c:v>11.791379787441883</c:v>
                </c:pt>
                <c:pt idx="12">
                  <c:v>10.70889464742649</c:v>
                </c:pt>
                <c:pt idx="13">
                  <c:v>13.042652247166529</c:v>
                </c:pt>
                <c:pt idx="14">
                  <c:v>11.188392453923711</c:v>
                </c:pt>
                <c:pt idx="15">
                  <c:v>11.188159982823834</c:v>
                </c:pt>
                <c:pt idx="16">
                  <c:v>8.0769716520704833</c:v>
                </c:pt>
                <c:pt idx="17">
                  <c:v>7.9560597582188279</c:v>
                </c:pt>
                <c:pt idx="18">
                  <c:v>6.4781220245235431</c:v>
                </c:pt>
                <c:pt idx="19">
                  <c:v>7.2139194583252504</c:v>
                </c:pt>
                <c:pt idx="20">
                  <c:v>5.2286770193186953</c:v>
                </c:pt>
                <c:pt idx="21">
                  <c:v>5.1992999819507872</c:v>
                </c:pt>
                <c:pt idx="22">
                  <c:v>3.2750938288171483</c:v>
                </c:pt>
                <c:pt idx="23">
                  <c:v>3.5074469356396207</c:v>
                </c:pt>
                <c:pt idx="24">
                  <c:v>2.3249182172705787</c:v>
                </c:pt>
                <c:pt idx="25">
                  <c:v>0.31190462889526316</c:v>
                </c:pt>
                <c:pt idx="26">
                  <c:v>3.1556187821118442</c:v>
                </c:pt>
                <c:pt idx="27">
                  <c:v>3.2000519181115124</c:v>
                </c:pt>
                <c:pt idx="28">
                  <c:v>2.8602008993383379</c:v>
                </c:pt>
                <c:pt idx="29">
                  <c:v>1.6618928255963397</c:v>
                </c:pt>
                <c:pt idx="30">
                  <c:v>1.3314957114318986</c:v>
                </c:pt>
                <c:pt idx="31">
                  <c:v>-0.70125635095058669</c:v>
                </c:pt>
                <c:pt idx="32">
                  <c:v>-0.6224893904454234</c:v>
                </c:pt>
                <c:pt idx="33">
                  <c:v>-1.6611335167359584</c:v>
                </c:pt>
                <c:pt idx="34">
                  <c:v>-1.1156360066139257</c:v>
                </c:pt>
                <c:pt idx="35">
                  <c:v>-0.59990845794371239</c:v>
                </c:pt>
                <c:pt idx="36">
                  <c:v>-3.880870792438543</c:v>
                </c:pt>
                <c:pt idx="37">
                  <c:v>-0.59623509498447902</c:v>
                </c:pt>
                <c:pt idx="38">
                  <c:v>1.9777853408836279</c:v>
                </c:pt>
                <c:pt idx="39">
                  <c:v>6.7065971779028644</c:v>
                </c:pt>
                <c:pt idx="40">
                  <c:v>6.5245717474820424</c:v>
                </c:pt>
                <c:pt idx="41">
                  <c:v>3.7201439319507017</c:v>
                </c:pt>
                <c:pt idx="42">
                  <c:v>2.1279476911803954</c:v>
                </c:pt>
                <c:pt idx="43">
                  <c:v>5.2495608329207073</c:v>
                </c:pt>
                <c:pt idx="44">
                  <c:v>4.6813536923858692</c:v>
                </c:pt>
                <c:pt idx="45">
                  <c:v>6.4194179020009017</c:v>
                </c:pt>
                <c:pt idx="46">
                  <c:v>6.4903751830572673</c:v>
                </c:pt>
                <c:pt idx="47">
                  <c:v>1.0717939082638281</c:v>
                </c:pt>
                <c:pt idx="48">
                  <c:v>-0.83917013338759716</c:v>
                </c:pt>
                <c:pt idx="49">
                  <c:v>-2.6865050903125507</c:v>
                </c:pt>
                <c:pt idx="50">
                  <c:v>-3.6865050903125507</c:v>
                </c:pt>
                <c:pt idx="51">
                  <c:v>-2.7469312500873002</c:v>
                </c:pt>
                <c:pt idx="52">
                  <c:v>-2.286505090312545</c:v>
                </c:pt>
                <c:pt idx="53">
                  <c:v>-3.7748819454579916</c:v>
                </c:pt>
                <c:pt idx="54">
                  <c:v>-3.4793152624808954</c:v>
                </c:pt>
                <c:pt idx="55">
                  <c:v>-4.4691753455709602</c:v>
                </c:pt>
                <c:pt idx="56">
                  <c:v>-4.3580806987093865</c:v>
                </c:pt>
                <c:pt idx="57">
                  <c:v>-6.7118113605802705</c:v>
                </c:pt>
                <c:pt idx="58">
                  <c:v>-7.1301582605292708</c:v>
                </c:pt>
                <c:pt idx="59">
                  <c:v>-7.5463225341722477</c:v>
                </c:pt>
                <c:pt idx="60">
                  <c:v>-8.3517277440242594</c:v>
                </c:pt>
                <c:pt idx="61">
                  <c:v>-8.6013335845317727</c:v>
                </c:pt>
                <c:pt idx="62">
                  <c:v>-10.063999005499653</c:v>
                </c:pt>
                <c:pt idx="63">
                  <c:v>-9.9662301859672482</c:v>
                </c:pt>
                <c:pt idx="64">
                  <c:v>-6.313911566311873</c:v>
                </c:pt>
                <c:pt idx="65">
                  <c:v>-5.9333936830535094</c:v>
                </c:pt>
                <c:pt idx="66">
                  <c:v>-6.4751609735332352</c:v>
                </c:pt>
                <c:pt idx="67">
                  <c:v>-4.9751390217134031</c:v>
                </c:pt>
                <c:pt idx="68">
                  <c:v>-4.2230597834533512</c:v>
                </c:pt>
                <c:pt idx="69">
                  <c:v>-7.0262138924485669</c:v>
                </c:pt>
                <c:pt idx="70">
                  <c:v>-8.9991266041128313</c:v>
                </c:pt>
                <c:pt idx="71">
                  <c:v>-7.2262071819000937</c:v>
                </c:pt>
                <c:pt idx="72">
                  <c:v>-4.6701231981348315</c:v>
                </c:pt>
                <c:pt idx="73">
                  <c:v>-1.6503955088339808</c:v>
                </c:pt>
                <c:pt idx="74">
                  <c:v>-3.1048170732383653</c:v>
                </c:pt>
                <c:pt idx="75">
                  <c:v>-7.0117743215533039</c:v>
                </c:pt>
                <c:pt idx="76">
                  <c:v>-7.6487963313832665</c:v>
                </c:pt>
                <c:pt idx="77">
                  <c:v>-8.1839795655690182</c:v>
                </c:pt>
                <c:pt idx="78">
                  <c:v>-5.9847517530356527</c:v>
                </c:pt>
                <c:pt idx="79">
                  <c:v>-4.9167520276555479</c:v>
                </c:pt>
                <c:pt idx="80">
                  <c:v>-3.5846418970643867</c:v>
                </c:pt>
                <c:pt idx="81">
                  <c:v>-1.4568330524306816</c:v>
                </c:pt>
                <c:pt idx="82">
                  <c:v>-5.7256193221979004</c:v>
                </c:pt>
                <c:pt idx="83">
                  <c:v>-6.5742435686169927</c:v>
                </c:pt>
                <c:pt idx="84">
                  <c:v>-4.4867522313528241</c:v>
                </c:pt>
                <c:pt idx="85">
                  <c:v>-1.2418228574045713</c:v>
                </c:pt>
                <c:pt idx="86">
                  <c:v>1.7213710558370963</c:v>
                </c:pt>
                <c:pt idx="87">
                  <c:v>2.6603454548306615</c:v>
                </c:pt>
                <c:pt idx="88">
                  <c:v>-1.3242339422428984</c:v>
                </c:pt>
                <c:pt idx="89">
                  <c:v>-2.4172058256186517</c:v>
                </c:pt>
                <c:pt idx="90">
                  <c:v>-0.74605944351685594</c:v>
                </c:pt>
                <c:pt idx="91">
                  <c:v>-0.67098525844934898</c:v>
                </c:pt>
                <c:pt idx="92">
                  <c:v>3.6665862653698298</c:v>
                </c:pt>
                <c:pt idx="93">
                  <c:v>-1.0323466444026224</c:v>
                </c:pt>
                <c:pt idx="94">
                  <c:v>-3.2518634320516924</c:v>
                </c:pt>
                <c:pt idx="95">
                  <c:v>-3.1436721011453699</c:v>
                </c:pt>
                <c:pt idx="96">
                  <c:v>-2.667517364860629</c:v>
                </c:pt>
                <c:pt idx="97">
                  <c:v>-5.6876572709217896</c:v>
                </c:pt>
                <c:pt idx="98">
                  <c:v>-3.4179471767314737</c:v>
                </c:pt>
                <c:pt idx="99">
                  <c:v>-2.0374603694666291</c:v>
                </c:pt>
                <c:pt idx="100">
                  <c:v>-1.5733922130816893</c:v>
                </c:pt>
                <c:pt idx="101">
                  <c:v>1.1738916497251068</c:v>
                </c:pt>
                <c:pt idx="102">
                  <c:v>2.3506208931392791</c:v>
                </c:pt>
                <c:pt idx="103">
                  <c:v>2.2752462531742594</c:v>
                </c:pt>
                <c:pt idx="104">
                  <c:v>0.67524625317429354</c:v>
                </c:pt>
                <c:pt idx="105">
                  <c:v>-0.23779996902953826</c:v>
                </c:pt>
                <c:pt idx="106">
                  <c:v>0.90461997524917592</c:v>
                </c:pt>
                <c:pt idx="107">
                  <c:v>-5.1504125647375361</c:v>
                </c:pt>
                <c:pt idx="108">
                  <c:v>-6.233174672907893</c:v>
                </c:pt>
                <c:pt idx="109">
                  <c:v>-3.7537973758831242</c:v>
                </c:pt>
                <c:pt idx="110">
                  <c:v>-5.4230426077299683</c:v>
                </c:pt>
                <c:pt idx="111">
                  <c:v>-3.014569155955229</c:v>
                </c:pt>
                <c:pt idx="112">
                  <c:v>-2.8352653150437845</c:v>
                </c:pt>
                <c:pt idx="113">
                  <c:v>-7.4809472442603351</c:v>
                </c:pt>
                <c:pt idx="114">
                  <c:v>-8.2187159291384262</c:v>
                </c:pt>
                <c:pt idx="115">
                  <c:v>-8.4609595228882881</c:v>
                </c:pt>
                <c:pt idx="116">
                  <c:v>-8.4920129484997346</c:v>
                </c:pt>
                <c:pt idx="117">
                  <c:v>-10.48708791643503</c:v>
                </c:pt>
                <c:pt idx="118">
                  <c:v>-10.817058993354578</c:v>
                </c:pt>
                <c:pt idx="119">
                  <c:v>-11.15366572215629</c:v>
                </c:pt>
                <c:pt idx="120">
                  <c:v>-10.425923491864552</c:v>
                </c:pt>
                <c:pt idx="121">
                  <c:v>-3.9261697434146754</c:v>
                </c:pt>
                <c:pt idx="122">
                  <c:v>-2.2900371637997239</c:v>
                </c:pt>
                <c:pt idx="123">
                  <c:v>-3.832128972336676</c:v>
                </c:pt>
                <c:pt idx="124">
                  <c:v>-3.3426354078495706</c:v>
                </c:pt>
                <c:pt idx="125">
                  <c:v>-3.7194455368622243</c:v>
                </c:pt>
                <c:pt idx="126">
                  <c:v>-0.51914212611356447</c:v>
                </c:pt>
                <c:pt idx="127">
                  <c:v>4.0426656283175646</c:v>
                </c:pt>
                <c:pt idx="128">
                  <c:v>5.3106676282851595E-2</c:v>
                </c:pt>
                <c:pt idx="129">
                  <c:v>3.440918260443965</c:v>
                </c:pt>
                <c:pt idx="130">
                  <c:v>0.16665890257550586</c:v>
                </c:pt>
                <c:pt idx="131">
                  <c:v>-0.7080014479779777</c:v>
                </c:pt>
                <c:pt idx="132">
                  <c:v>0.68370364767392289</c:v>
                </c:pt>
                <c:pt idx="133">
                  <c:v>1.7738041734511114</c:v>
                </c:pt>
                <c:pt idx="134">
                  <c:v>2.6373711189302753</c:v>
                </c:pt>
                <c:pt idx="135">
                  <c:v>5.1526453489699122</c:v>
                </c:pt>
                <c:pt idx="136">
                  <c:v>-2.3502476180757128</c:v>
                </c:pt>
                <c:pt idx="137">
                  <c:v>-2.8503224821473907</c:v>
                </c:pt>
                <c:pt idx="138">
                  <c:v>-4.9770237951619833</c:v>
                </c:pt>
                <c:pt idx="139">
                  <c:v>-4.3346177112606199</c:v>
                </c:pt>
                <c:pt idx="140">
                  <c:v>-4.9421224235865964</c:v>
                </c:pt>
                <c:pt idx="141">
                  <c:v>-3.8194749851951997</c:v>
                </c:pt>
                <c:pt idx="142">
                  <c:v>-2.4446219872335462</c:v>
                </c:pt>
                <c:pt idx="143">
                  <c:v>-2.8963744578174726</c:v>
                </c:pt>
                <c:pt idx="144">
                  <c:v>-1.5217137777550249</c:v>
                </c:pt>
                <c:pt idx="145">
                  <c:v>-5.8211095825998882</c:v>
                </c:pt>
                <c:pt idx="146">
                  <c:v>-4.7606616343256576</c:v>
                </c:pt>
                <c:pt idx="147">
                  <c:v>-0.85997012267986861</c:v>
                </c:pt>
                <c:pt idx="148">
                  <c:v>-0.10442426895662038</c:v>
                </c:pt>
                <c:pt idx="149">
                  <c:v>-1.7137710451377757</c:v>
                </c:pt>
                <c:pt idx="150">
                  <c:v>-1.8231614795642486</c:v>
                </c:pt>
                <c:pt idx="151">
                  <c:v>-5.7723021861534107E-2</c:v>
                </c:pt>
                <c:pt idx="152">
                  <c:v>-4.4458874069272269</c:v>
                </c:pt>
                <c:pt idx="153">
                  <c:v>-4.9488517329998842</c:v>
                </c:pt>
                <c:pt idx="154">
                  <c:v>-6.1404472236877723</c:v>
                </c:pt>
                <c:pt idx="155">
                  <c:v>-1.5532491115651226</c:v>
                </c:pt>
                <c:pt idx="156">
                  <c:v>-1.7311404708744362</c:v>
                </c:pt>
                <c:pt idx="157">
                  <c:v>3.5011596708759214</c:v>
                </c:pt>
                <c:pt idx="158">
                  <c:v>-1.809956322230164</c:v>
                </c:pt>
                <c:pt idx="159">
                  <c:v>-3.6746437624381656</c:v>
                </c:pt>
                <c:pt idx="160">
                  <c:v>-3.4646820163022767</c:v>
                </c:pt>
                <c:pt idx="161">
                  <c:v>-0.82538129896141754</c:v>
                </c:pt>
                <c:pt idx="162">
                  <c:v>3.5664081573652879</c:v>
                </c:pt>
                <c:pt idx="163">
                  <c:v>0.16005650364709822</c:v>
                </c:pt>
                <c:pt idx="164">
                  <c:v>-2.5710439354485004</c:v>
                </c:pt>
                <c:pt idx="165">
                  <c:v>2.875321426835086</c:v>
                </c:pt>
                <c:pt idx="166">
                  <c:v>1.4799846692821177</c:v>
                </c:pt>
                <c:pt idx="167">
                  <c:v>-3.8941642847938738</c:v>
                </c:pt>
                <c:pt idx="168">
                  <c:v>-7.2666148017926844</c:v>
                </c:pt>
                <c:pt idx="169">
                  <c:v>-6.1369039281660775</c:v>
                </c:pt>
                <c:pt idx="170">
                  <c:v>-3.3968375026956892</c:v>
                </c:pt>
                <c:pt idx="171">
                  <c:v>-2.6381187979197023</c:v>
                </c:pt>
                <c:pt idx="172">
                  <c:v>-1.1830566997755056</c:v>
                </c:pt>
                <c:pt idx="173">
                  <c:v>1.0128209810365263</c:v>
                </c:pt>
                <c:pt idx="174">
                  <c:v>-2.8001640078108778</c:v>
                </c:pt>
                <c:pt idx="175">
                  <c:v>-2.7364216504948899</c:v>
                </c:pt>
                <c:pt idx="176">
                  <c:v>-5.0243208792479663</c:v>
                </c:pt>
                <c:pt idx="177">
                  <c:v>-4.4168134207953926</c:v>
                </c:pt>
                <c:pt idx="178">
                  <c:v>-6.5041119638351574E-2</c:v>
                </c:pt>
                <c:pt idx="179">
                  <c:v>-0.72239883853578135</c:v>
                </c:pt>
                <c:pt idx="180">
                  <c:v>-1.2981272579723964</c:v>
                </c:pt>
                <c:pt idx="181">
                  <c:v>-1.7903760244352611</c:v>
                </c:pt>
                <c:pt idx="182">
                  <c:v>-1.2964502306306542</c:v>
                </c:pt>
                <c:pt idx="183">
                  <c:v>-2.0676307044959117</c:v>
                </c:pt>
                <c:pt idx="184">
                  <c:v>-4.2360314311663672</c:v>
                </c:pt>
                <c:pt idx="185">
                  <c:v>-2.6762944670236948</c:v>
                </c:pt>
                <c:pt idx="186">
                  <c:v>-2.174288385203397</c:v>
                </c:pt>
                <c:pt idx="187">
                  <c:v>-1.9624340367283821</c:v>
                </c:pt>
                <c:pt idx="188">
                  <c:v>-2.5777774488879572</c:v>
                </c:pt>
                <c:pt idx="189">
                  <c:v>-1.1221867985157985</c:v>
                </c:pt>
                <c:pt idx="190">
                  <c:v>-1.442733506178115</c:v>
                </c:pt>
                <c:pt idx="191">
                  <c:v>-0.49160444356937205</c:v>
                </c:pt>
                <c:pt idx="192">
                  <c:v>0.97871442643705109</c:v>
                </c:pt>
                <c:pt idx="193">
                  <c:v>0.81653867267971236</c:v>
                </c:pt>
                <c:pt idx="194">
                  <c:v>1.6785433113464592</c:v>
                </c:pt>
                <c:pt idx="195">
                  <c:v>5.2791085609300126E-2</c:v>
                </c:pt>
                <c:pt idx="196">
                  <c:v>-1.8050795190410156</c:v>
                </c:pt>
                <c:pt idx="197">
                  <c:v>-0.73779705314194644</c:v>
                </c:pt>
                <c:pt idx="198">
                  <c:v>0.21843914959220001</c:v>
                </c:pt>
                <c:pt idx="199">
                  <c:v>-0.90076678356925299</c:v>
                </c:pt>
                <c:pt idx="200">
                  <c:v>3.7044939335776519</c:v>
                </c:pt>
                <c:pt idx="201">
                  <c:v>3.7865630136915343</c:v>
                </c:pt>
                <c:pt idx="202">
                  <c:v>5.4621397762342383</c:v>
                </c:pt>
                <c:pt idx="203">
                  <c:v>8.6490575649631296</c:v>
                </c:pt>
                <c:pt idx="204">
                  <c:v>7.2871580404156475</c:v>
                </c:pt>
                <c:pt idx="205">
                  <c:v>9.9912877576952042</c:v>
                </c:pt>
                <c:pt idx="206">
                  <c:v>8.4987184846519881</c:v>
                </c:pt>
                <c:pt idx="207">
                  <c:v>6.8892942181278158</c:v>
                </c:pt>
                <c:pt idx="208">
                  <c:v>2.902378586368485</c:v>
                </c:pt>
                <c:pt idx="209">
                  <c:v>3.114122531033388</c:v>
                </c:pt>
                <c:pt idx="210">
                  <c:v>5.5794779062398447</c:v>
                </c:pt>
                <c:pt idx="211">
                  <c:v>6.0849557522121813</c:v>
                </c:pt>
                <c:pt idx="212">
                  <c:v>6.4849557522122154</c:v>
                </c:pt>
                <c:pt idx="213">
                  <c:v>8.28495575221217</c:v>
                </c:pt>
                <c:pt idx="214">
                  <c:v>1.0849557522121813</c:v>
                </c:pt>
                <c:pt idx="215">
                  <c:v>1.6849557522122041</c:v>
                </c:pt>
                <c:pt idx="216">
                  <c:v>2.8849557522121927</c:v>
                </c:pt>
                <c:pt idx="217">
                  <c:v>3.6849557522122041</c:v>
                </c:pt>
                <c:pt idx="218">
                  <c:v>4.8952044163888218</c:v>
                </c:pt>
                <c:pt idx="219">
                  <c:v>6.3020465760918967</c:v>
                </c:pt>
                <c:pt idx="220">
                  <c:v>5.4458608676197571</c:v>
                </c:pt>
                <c:pt idx="221">
                  <c:v>5.6628708818565485</c:v>
                </c:pt>
                <c:pt idx="222">
                  <c:v>3.8048819645783851</c:v>
                </c:pt>
                <c:pt idx="223">
                  <c:v>2.6849213648264367</c:v>
                </c:pt>
                <c:pt idx="224">
                  <c:v>1.1426667067315464</c:v>
                </c:pt>
                <c:pt idx="225">
                  <c:v>1.6285698110347653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9-4BB3-938A-AE7FE675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65455"/>
        <c:axId val="2123676975"/>
      </c:scatterChart>
      <c:valAx>
        <c:axId val="2123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6975"/>
        <c:crosses val="autoZero"/>
        <c:crossBetween val="midCat"/>
      </c:valAx>
      <c:valAx>
        <c:axId val="2123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Log'!$I$2:$I$227</c:f>
              <c:numCache>
                <c:formatCode>0.00</c:formatCode>
                <c:ptCount val="226"/>
                <c:pt idx="0">
                  <c:v>97.4</c:v>
                </c:pt>
                <c:pt idx="1">
                  <c:v>97.8</c:v>
                </c:pt>
                <c:pt idx="2">
                  <c:v>96.1</c:v>
                </c:pt>
                <c:pt idx="3">
                  <c:v>97.1</c:v>
                </c:pt>
                <c:pt idx="4">
                  <c:v>98.6</c:v>
                </c:pt>
                <c:pt idx="5">
                  <c:v>96.5</c:v>
                </c:pt>
                <c:pt idx="6">
                  <c:v>97.3</c:v>
                </c:pt>
                <c:pt idx="7">
                  <c:v>97.3</c:v>
                </c:pt>
                <c:pt idx="8">
                  <c:v>96.5</c:v>
                </c:pt>
                <c:pt idx="9">
                  <c:v>96.4</c:v>
                </c:pt>
                <c:pt idx="10">
                  <c:v>96.7</c:v>
                </c:pt>
                <c:pt idx="11">
                  <c:v>97.5</c:v>
                </c:pt>
                <c:pt idx="12">
                  <c:v>97.3</c:v>
                </c:pt>
                <c:pt idx="13">
                  <c:v>97.2</c:v>
                </c:pt>
                <c:pt idx="14">
                  <c:v>96.9</c:v>
                </c:pt>
                <c:pt idx="15">
                  <c:v>97.7</c:v>
                </c:pt>
                <c:pt idx="16">
                  <c:v>97</c:v>
                </c:pt>
                <c:pt idx="17">
                  <c:v>97</c:v>
                </c:pt>
                <c:pt idx="18">
                  <c:v>97.8</c:v>
                </c:pt>
                <c:pt idx="19">
                  <c:v>96.8</c:v>
                </c:pt>
                <c:pt idx="20">
                  <c:v>97.1</c:v>
                </c:pt>
                <c:pt idx="21">
                  <c:v>95.5</c:v>
                </c:pt>
                <c:pt idx="22">
                  <c:v>97.6</c:v>
                </c:pt>
                <c:pt idx="23">
                  <c:v>95.7</c:v>
                </c:pt>
                <c:pt idx="24">
                  <c:v>96.3</c:v>
                </c:pt>
                <c:pt idx="25">
                  <c:v>97.2</c:v>
                </c:pt>
                <c:pt idx="26">
                  <c:v>97.3</c:v>
                </c:pt>
                <c:pt idx="27">
                  <c:v>97.1</c:v>
                </c:pt>
                <c:pt idx="28">
                  <c:v>96.2</c:v>
                </c:pt>
                <c:pt idx="29">
                  <c:v>97.2</c:v>
                </c:pt>
                <c:pt idx="30">
                  <c:v>98</c:v>
                </c:pt>
                <c:pt idx="31">
                  <c:v>96.5</c:v>
                </c:pt>
                <c:pt idx="32">
                  <c:v>96.5</c:v>
                </c:pt>
                <c:pt idx="33">
                  <c:v>96.1</c:v>
                </c:pt>
                <c:pt idx="34">
                  <c:v>98</c:v>
                </c:pt>
                <c:pt idx="35">
                  <c:v>97.5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99.2</c:v>
                </c:pt>
                <c:pt idx="41">
                  <c:v>97.6</c:v>
                </c:pt>
                <c:pt idx="42">
                  <c:v>97.3</c:v>
                </c:pt>
                <c:pt idx="43">
                  <c:v>97.2</c:v>
                </c:pt>
                <c:pt idx="44">
                  <c:v>97.6</c:v>
                </c:pt>
                <c:pt idx="45">
                  <c:v>97.3</c:v>
                </c:pt>
                <c:pt idx="46">
                  <c:v>97.6</c:v>
                </c:pt>
                <c:pt idx="47">
                  <c:v>97.2</c:v>
                </c:pt>
                <c:pt idx="48">
                  <c:v>97</c:v>
                </c:pt>
                <c:pt idx="49">
                  <c:v>97.5</c:v>
                </c:pt>
                <c:pt idx="50">
                  <c:v>98.4</c:v>
                </c:pt>
                <c:pt idx="51">
                  <c:v>96.1</c:v>
                </c:pt>
                <c:pt idx="52">
                  <c:v>96.9</c:v>
                </c:pt>
                <c:pt idx="53">
                  <c:v>95.8</c:v>
                </c:pt>
                <c:pt idx="54">
                  <c:v>96.5</c:v>
                </c:pt>
                <c:pt idx="55">
                  <c:v>97.5</c:v>
                </c:pt>
                <c:pt idx="56">
                  <c:v>97.2</c:v>
                </c:pt>
                <c:pt idx="57">
                  <c:v>96.9</c:v>
                </c:pt>
                <c:pt idx="58">
                  <c:v>96.8</c:v>
                </c:pt>
                <c:pt idx="59">
                  <c:v>97.4</c:v>
                </c:pt>
                <c:pt idx="60">
                  <c:v>97.5</c:v>
                </c:pt>
                <c:pt idx="61">
                  <c:v>97.1</c:v>
                </c:pt>
                <c:pt idx="62">
                  <c:v>96.7</c:v>
                </c:pt>
                <c:pt idx="63">
                  <c:v>96.3</c:v>
                </c:pt>
                <c:pt idx="64">
                  <c:v>98.6</c:v>
                </c:pt>
                <c:pt idx="65">
                  <c:v>97</c:v>
                </c:pt>
                <c:pt idx="66">
                  <c:v>97.6</c:v>
                </c:pt>
                <c:pt idx="67">
                  <c:v>97</c:v>
                </c:pt>
                <c:pt idx="68">
                  <c:v>96.4</c:v>
                </c:pt>
                <c:pt idx="69">
                  <c:v>97</c:v>
                </c:pt>
                <c:pt idx="70">
                  <c:v>96.9</c:v>
                </c:pt>
                <c:pt idx="71">
                  <c:v>98.3</c:v>
                </c:pt>
                <c:pt idx="72">
                  <c:v>97.2</c:v>
                </c:pt>
                <c:pt idx="73">
                  <c:v>97.3</c:v>
                </c:pt>
                <c:pt idx="74">
                  <c:v>96.7</c:v>
                </c:pt>
                <c:pt idx="75">
                  <c:v>96.8</c:v>
                </c:pt>
                <c:pt idx="76">
                  <c:v>97.4</c:v>
                </c:pt>
                <c:pt idx="77">
                  <c:v>97.5</c:v>
                </c:pt>
                <c:pt idx="78">
                  <c:v>97.2</c:v>
                </c:pt>
                <c:pt idx="79">
                  <c:v>97.2</c:v>
                </c:pt>
                <c:pt idx="80">
                  <c:v>97.5</c:v>
                </c:pt>
                <c:pt idx="81">
                  <c:v>97.3</c:v>
                </c:pt>
                <c:pt idx="82">
                  <c:v>97.1</c:v>
                </c:pt>
                <c:pt idx="83">
                  <c:v>97.2</c:v>
                </c:pt>
                <c:pt idx="84">
                  <c:v>97.3</c:v>
                </c:pt>
                <c:pt idx="85">
                  <c:v>97.3</c:v>
                </c:pt>
                <c:pt idx="86">
                  <c:v>97.2</c:v>
                </c:pt>
                <c:pt idx="87">
                  <c:v>97.6</c:v>
                </c:pt>
                <c:pt idx="88">
                  <c:v>96.2</c:v>
                </c:pt>
                <c:pt idx="89">
                  <c:v>97.3</c:v>
                </c:pt>
                <c:pt idx="90">
                  <c:v>97.2</c:v>
                </c:pt>
                <c:pt idx="91">
                  <c:v>96.2</c:v>
                </c:pt>
                <c:pt idx="92">
                  <c:v>96.9</c:v>
                </c:pt>
                <c:pt idx="93">
                  <c:v>96.9</c:v>
                </c:pt>
                <c:pt idx="94">
                  <c:v>96.3</c:v>
                </c:pt>
                <c:pt idx="95">
                  <c:v>96.8</c:v>
                </c:pt>
                <c:pt idx="96">
                  <c:v>96.4</c:v>
                </c:pt>
                <c:pt idx="97">
                  <c:v>96.3</c:v>
                </c:pt>
                <c:pt idx="98">
                  <c:v>96.6</c:v>
                </c:pt>
                <c:pt idx="99">
                  <c:v>97.6</c:v>
                </c:pt>
                <c:pt idx="100">
                  <c:v>97.1</c:v>
                </c:pt>
                <c:pt idx="101">
                  <c:v>97.2</c:v>
                </c:pt>
                <c:pt idx="102">
                  <c:v>97.9</c:v>
                </c:pt>
                <c:pt idx="103">
                  <c:v>97.8</c:v>
                </c:pt>
                <c:pt idx="104">
                  <c:v>97.1</c:v>
                </c:pt>
                <c:pt idx="105">
                  <c:v>96.1</c:v>
                </c:pt>
                <c:pt idx="106">
                  <c:v>95.7</c:v>
                </c:pt>
                <c:pt idx="107">
                  <c:v>96.9</c:v>
                </c:pt>
                <c:pt idx="108">
                  <c:v>96.6</c:v>
                </c:pt>
                <c:pt idx="109">
                  <c:v>96.4</c:v>
                </c:pt>
                <c:pt idx="110">
                  <c:v>97</c:v>
                </c:pt>
                <c:pt idx="111">
                  <c:v>97.1</c:v>
                </c:pt>
                <c:pt idx="112">
                  <c:v>96.7</c:v>
                </c:pt>
                <c:pt idx="113">
                  <c:v>96.5</c:v>
                </c:pt>
                <c:pt idx="114">
                  <c:v>96.1</c:v>
                </c:pt>
                <c:pt idx="115">
                  <c:v>96.3</c:v>
                </c:pt>
                <c:pt idx="116">
                  <c:v>95.4</c:v>
                </c:pt>
                <c:pt idx="117">
                  <c:v>96.7</c:v>
                </c:pt>
                <c:pt idx="118">
                  <c:v>95.9</c:v>
                </c:pt>
                <c:pt idx="119">
                  <c:v>97</c:v>
                </c:pt>
                <c:pt idx="120">
                  <c:v>95.7</c:v>
                </c:pt>
                <c:pt idx="121">
                  <c:v>97</c:v>
                </c:pt>
                <c:pt idx="122">
                  <c:v>96.4</c:v>
                </c:pt>
                <c:pt idx="123">
                  <c:v>97.5</c:v>
                </c:pt>
                <c:pt idx="124">
                  <c:v>98.6</c:v>
                </c:pt>
                <c:pt idx="125">
                  <c:v>98.6</c:v>
                </c:pt>
                <c:pt idx="126">
                  <c:v>98.8</c:v>
                </c:pt>
                <c:pt idx="127">
                  <c:v>97.4</c:v>
                </c:pt>
                <c:pt idx="128">
                  <c:v>97.4</c:v>
                </c:pt>
                <c:pt idx="129">
                  <c:v>96.9</c:v>
                </c:pt>
                <c:pt idx="130">
                  <c:v>97.4</c:v>
                </c:pt>
                <c:pt idx="131">
                  <c:v>97.2</c:v>
                </c:pt>
                <c:pt idx="132">
                  <c:v>96.6</c:v>
                </c:pt>
                <c:pt idx="133">
                  <c:v>97.8</c:v>
                </c:pt>
                <c:pt idx="134">
                  <c:v>97.2</c:v>
                </c:pt>
                <c:pt idx="135">
                  <c:v>98</c:v>
                </c:pt>
                <c:pt idx="136">
                  <c:v>97.1</c:v>
                </c:pt>
                <c:pt idx="137">
                  <c:v>97.4</c:v>
                </c:pt>
                <c:pt idx="138">
                  <c:v>98.3</c:v>
                </c:pt>
                <c:pt idx="139">
                  <c:v>98.2</c:v>
                </c:pt>
                <c:pt idx="140">
                  <c:v>97</c:v>
                </c:pt>
                <c:pt idx="141">
                  <c:v>97</c:v>
                </c:pt>
                <c:pt idx="142">
                  <c:v>96.8</c:v>
                </c:pt>
                <c:pt idx="143">
                  <c:v>96.8</c:v>
                </c:pt>
                <c:pt idx="144">
                  <c:v>96.4</c:v>
                </c:pt>
                <c:pt idx="145">
                  <c:v>98.2</c:v>
                </c:pt>
                <c:pt idx="146">
                  <c:v>98.4</c:v>
                </c:pt>
                <c:pt idx="147">
                  <c:v>98.6</c:v>
                </c:pt>
                <c:pt idx="148">
                  <c:v>98.2</c:v>
                </c:pt>
                <c:pt idx="149">
                  <c:v>98.3</c:v>
                </c:pt>
                <c:pt idx="150">
                  <c:v>98.5</c:v>
                </c:pt>
                <c:pt idx="151">
                  <c:v>98.1</c:v>
                </c:pt>
                <c:pt idx="152">
                  <c:v>98</c:v>
                </c:pt>
                <c:pt idx="153">
                  <c:v>97.6</c:v>
                </c:pt>
                <c:pt idx="154">
                  <c:v>97.1</c:v>
                </c:pt>
                <c:pt idx="155">
                  <c:v>96.9</c:v>
                </c:pt>
                <c:pt idx="156">
                  <c:v>97.1</c:v>
                </c:pt>
                <c:pt idx="157">
                  <c:v>97</c:v>
                </c:pt>
                <c:pt idx="158">
                  <c:v>97.6</c:v>
                </c:pt>
                <c:pt idx="159">
                  <c:v>96.9</c:v>
                </c:pt>
                <c:pt idx="160">
                  <c:v>96.9</c:v>
                </c:pt>
                <c:pt idx="161">
                  <c:v>96.8</c:v>
                </c:pt>
                <c:pt idx="162">
                  <c:v>97.8</c:v>
                </c:pt>
                <c:pt idx="163">
                  <c:v>97.3</c:v>
                </c:pt>
                <c:pt idx="164">
                  <c:v>97.7</c:v>
                </c:pt>
                <c:pt idx="165">
                  <c:v>96.9</c:v>
                </c:pt>
                <c:pt idx="166">
                  <c:v>98.6</c:v>
                </c:pt>
                <c:pt idx="167">
                  <c:v>97.1</c:v>
                </c:pt>
                <c:pt idx="168">
                  <c:v>98.1</c:v>
                </c:pt>
                <c:pt idx="169">
                  <c:v>97.1</c:v>
                </c:pt>
                <c:pt idx="170">
                  <c:v>97.2</c:v>
                </c:pt>
                <c:pt idx="171">
                  <c:v>96.9</c:v>
                </c:pt>
                <c:pt idx="172">
                  <c:v>97.7</c:v>
                </c:pt>
                <c:pt idx="173">
                  <c:v>96.9</c:v>
                </c:pt>
                <c:pt idx="174">
                  <c:v>97.8</c:v>
                </c:pt>
                <c:pt idx="175">
                  <c:v>96.2</c:v>
                </c:pt>
                <c:pt idx="176">
                  <c:v>97</c:v>
                </c:pt>
                <c:pt idx="177">
                  <c:v>96.9</c:v>
                </c:pt>
                <c:pt idx="178">
                  <c:v>98.3</c:v>
                </c:pt>
                <c:pt idx="179">
                  <c:v>97.3</c:v>
                </c:pt>
                <c:pt idx="180">
                  <c:v>97.9</c:v>
                </c:pt>
                <c:pt idx="181">
                  <c:v>97.6</c:v>
                </c:pt>
                <c:pt idx="182">
                  <c:v>97.4</c:v>
                </c:pt>
                <c:pt idx="183">
                  <c:v>97.6</c:v>
                </c:pt>
                <c:pt idx="184">
                  <c:v>96.6</c:v>
                </c:pt>
                <c:pt idx="185">
                  <c:v>97.6</c:v>
                </c:pt>
                <c:pt idx="186">
                  <c:v>97.6</c:v>
                </c:pt>
                <c:pt idx="187">
                  <c:v>97.2</c:v>
                </c:pt>
                <c:pt idx="188">
                  <c:v>97.1</c:v>
                </c:pt>
                <c:pt idx="189">
                  <c:v>96.7</c:v>
                </c:pt>
                <c:pt idx="190">
                  <c:v>96.5</c:v>
                </c:pt>
                <c:pt idx="191">
                  <c:v>96.2</c:v>
                </c:pt>
                <c:pt idx="192">
                  <c:v>98.3</c:v>
                </c:pt>
                <c:pt idx="193">
                  <c:v>97.7</c:v>
                </c:pt>
                <c:pt idx="194">
                  <c:v>98</c:v>
                </c:pt>
                <c:pt idx="195">
                  <c:v>97.5</c:v>
                </c:pt>
                <c:pt idx="196">
                  <c:v>97.7</c:v>
                </c:pt>
                <c:pt idx="197">
                  <c:v>97.8</c:v>
                </c:pt>
                <c:pt idx="198">
                  <c:v>97.5</c:v>
                </c:pt>
                <c:pt idx="199">
                  <c:v>97.9</c:v>
                </c:pt>
                <c:pt idx="200">
                  <c:v>97.5</c:v>
                </c:pt>
                <c:pt idx="201">
                  <c:v>97.2</c:v>
                </c:pt>
                <c:pt idx="202">
                  <c:v>97.8</c:v>
                </c:pt>
                <c:pt idx="203">
                  <c:v>98.2</c:v>
                </c:pt>
                <c:pt idx="204">
                  <c:v>98.3</c:v>
                </c:pt>
                <c:pt idx="205">
                  <c:v>97.8</c:v>
                </c:pt>
                <c:pt idx="206">
                  <c:v>98.1</c:v>
                </c:pt>
                <c:pt idx="207">
                  <c:v>97.2</c:v>
                </c:pt>
                <c:pt idx="208">
                  <c:v>97.7</c:v>
                </c:pt>
                <c:pt idx="209">
                  <c:v>98.2</c:v>
                </c:pt>
                <c:pt idx="210">
                  <c:v>97.9</c:v>
                </c:pt>
                <c:pt idx="211">
                  <c:v>98.2</c:v>
                </c:pt>
                <c:pt idx="212">
                  <c:v>97.9</c:v>
                </c:pt>
                <c:pt idx="213">
                  <c:v>97</c:v>
                </c:pt>
                <c:pt idx="214">
                  <c:v>97.1</c:v>
                </c:pt>
                <c:pt idx="215">
                  <c:v>96.8</c:v>
                </c:pt>
                <c:pt idx="216">
                  <c:v>97.2</c:v>
                </c:pt>
                <c:pt idx="217">
                  <c:v>98.3</c:v>
                </c:pt>
                <c:pt idx="218">
                  <c:v>97.4</c:v>
                </c:pt>
                <c:pt idx="219">
                  <c:v>98.3</c:v>
                </c:pt>
                <c:pt idx="220">
                  <c:v>97.9</c:v>
                </c:pt>
                <c:pt idx="221">
                  <c:v>98.3</c:v>
                </c:pt>
                <c:pt idx="222">
                  <c:v>97.7</c:v>
                </c:pt>
                <c:pt idx="223">
                  <c:v>96.8</c:v>
                </c:pt>
                <c:pt idx="224">
                  <c:v>98.1</c:v>
                </c:pt>
                <c:pt idx="225">
                  <c:v>97.1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1-4A66-900F-9404D6A9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8351"/>
        <c:axId val="2117177871"/>
      </c:scatterChart>
      <c:valAx>
        <c:axId val="21171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7871"/>
        <c:crosses val="autoZero"/>
        <c:crossBetween val="midCat"/>
      </c:valAx>
      <c:valAx>
        <c:axId val="21171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Servings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Log'!$X$2:$X$227</c:f>
              <c:numCache>
                <c:formatCode>0.00</c:formatCode>
                <c:ptCount val="226"/>
                <c:pt idx="0">
                  <c:v>17</c:v>
                </c:pt>
                <c:pt idx="1">
                  <c:v>72.5</c:v>
                </c:pt>
                <c:pt idx="2">
                  <c:v>16.350000000000001</c:v>
                </c:pt>
                <c:pt idx="3">
                  <c:v>6</c:v>
                </c:pt>
                <c:pt idx="4">
                  <c:v>19.3</c:v>
                </c:pt>
                <c:pt idx="5">
                  <c:v>20.9</c:v>
                </c:pt>
                <c:pt idx="6">
                  <c:v>17.5</c:v>
                </c:pt>
                <c:pt idx="7">
                  <c:v>12</c:v>
                </c:pt>
                <c:pt idx="8">
                  <c:v>35</c:v>
                </c:pt>
                <c:pt idx="9">
                  <c:v>21.5</c:v>
                </c:pt>
                <c:pt idx="10">
                  <c:v>7.5</c:v>
                </c:pt>
                <c:pt idx="11">
                  <c:v>8.25</c:v>
                </c:pt>
                <c:pt idx="12">
                  <c:v>16</c:v>
                </c:pt>
                <c:pt idx="13">
                  <c:v>10.25</c:v>
                </c:pt>
                <c:pt idx="14">
                  <c:v>6</c:v>
                </c:pt>
                <c:pt idx="15">
                  <c:v>20.84</c:v>
                </c:pt>
                <c:pt idx="16">
                  <c:v>16</c:v>
                </c:pt>
                <c:pt idx="17">
                  <c:v>17</c:v>
                </c:pt>
                <c:pt idx="18">
                  <c:v>15.899999999999999</c:v>
                </c:pt>
                <c:pt idx="19">
                  <c:v>17.899999999999999</c:v>
                </c:pt>
                <c:pt idx="20">
                  <c:v>17</c:v>
                </c:pt>
                <c:pt idx="21">
                  <c:v>6</c:v>
                </c:pt>
                <c:pt idx="22">
                  <c:v>5.2</c:v>
                </c:pt>
                <c:pt idx="23">
                  <c:v>16.700000000000003</c:v>
                </c:pt>
                <c:pt idx="24">
                  <c:v>20.05</c:v>
                </c:pt>
                <c:pt idx="25">
                  <c:v>17.600000000000001</c:v>
                </c:pt>
                <c:pt idx="26">
                  <c:v>24</c:v>
                </c:pt>
                <c:pt idx="27">
                  <c:v>18.399999999999999</c:v>
                </c:pt>
                <c:pt idx="28">
                  <c:v>15.4</c:v>
                </c:pt>
                <c:pt idx="29">
                  <c:v>7</c:v>
                </c:pt>
                <c:pt idx="30">
                  <c:v>11</c:v>
                </c:pt>
                <c:pt idx="31">
                  <c:v>8</c:v>
                </c:pt>
                <c:pt idx="32">
                  <c:v>15.3</c:v>
                </c:pt>
                <c:pt idx="33">
                  <c:v>20.5</c:v>
                </c:pt>
                <c:pt idx="34">
                  <c:v>7</c:v>
                </c:pt>
                <c:pt idx="35">
                  <c:v>14</c:v>
                </c:pt>
                <c:pt idx="36">
                  <c:v>12.4</c:v>
                </c:pt>
                <c:pt idx="37">
                  <c:v>166.5</c:v>
                </c:pt>
                <c:pt idx="38">
                  <c:v>76.5</c:v>
                </c:pt>
                <c:pt idx="39">
                  <c:v>78</c:v>
                </c:pt>
                <c:pt idx="40">
                  <c:v>84.5</c:v>
                </c:pt>
                <c:pt idx="41">
                  <c:v>80</c:v>
                </c:pt>
                <c:pt idx="42">
                  <c:v>11</c:v>
                </c:pt>
                <c:pt idx="43">
                  <c:v>74</c:v>
                </c:pt>
                <c:pt idx="44">
                  <c:v>83.75</c:v>
                </c:pt>
                <c:pt idx="45">
                  <c:v>98</c:v>
                </c:pt>
                <c:pt idx="46">
                  <c:v>54.5</c:v>
                </c:pt>
                <c:pt idx="47">
                  <c:v>11</c:v>
                </c:pt>
                <c:pt idx="48">
                  <c:v>17</c:v>
                </c:pt>
                <c:pt idx="49">
                  <c:v>10</c:v>
                </c:pt>
                <c:pt idx="50">
                  <c:v>12</c:v>
                </c:pt>
                <c:pt idx="51">
                  <c:v>84.59</c:v>
                </c:pt>
                <c:pt idx="52">
                  <c:v>12</c:v>
                </c:pt>
                <c:pt idx="53">
                  <c:v>30.1</c:v>
                </c:pt>
                <c:pt idx="54">
                  <c:v>13</c:v>
                </c:pt>
                <c:pt idx="55">
                  <c:v>24.1</c:v>
                </c:pt>
                <c:pt idx="56">
                  <c:v>15</c:v>
                </c:pt>
                <c:pt idx="57">
                  <c:v>11.5</c:v>
                </c:pt>
                <c:pt idx="58">
                  <c:v>12.5</c:v>
                </c:pt>
                <c:pt idx="59">
                  <c:v>10</c:v>
                </c:pt>
                <c:pt idx="60">
                  <c:v>14</c:v>
                </c:pt>
                <c:pt idx="61">
                  <c:v>10</c:v>
                </c:pt>
                <c:pt idx="62">
                  <c:v>14</c:v>
                </c:pt>
                <c:pt idx="63">
                  <c:v>9</c:v>
                </c:pt>
                <c:pt idx="64">
                  <c:v>55.1</c:v>
                </c:pt>
                <c:pt idx="65">
                  <c:v>4.9000000000000004</c:v>
                </c:pt>
                <c:pt idx="66">
                  <c:v>21</c:v>
                </c:pt>
                <c:pt idx="67">
                  <c:v>81</c:v>
                </c:pt>
                <c:pt idx="68">
                  <c:v>15.5</c:v>
                </c:pt>
                <c:pt idx="69">
                  <c:v>14</c:v>
                </c:pt>
                <c:pt idx="70">
                  <c:v>18</c:v>
                </c:pt>
                <c:pt idx="71">
                  <c:v>103.4</c:v>
                </c:pt>
                <c:pt idx="72">
                  <c:v>7</c:v>
                </c:pt>
                <c:pt idx="73">
                  <c:v>114</c:v>
                </c:pt>
                <c:pt idx="74">
                  <c:v>12</c:v>
                </c:pt>
                <c:pt idx="75">
                  <c:v>16</c:v>
                </c:pt>
                <c:pt idx="76">
                  <c:v>18</c:v>
                </c:pt>
                <c:pt idx="77">
                  <c:v>15</c:v>
                </c:pt>
                <c:pt idx="78">
                  <c:v>138.5</c:v>
                </c:pt>
                <c:pt idx="79">
                  <c:v>20.5</c:v>
                </c:pt>
                <c:pt idx="80">
                  <c:v>65</c:v>
                </c:pt>
                <c:pt idx="81">
                  <c:v>60.45</c:v>
                </c:pt>
                <c:pt idx="82">
                  <c:v>65.55</c:v>
                </c:pt>
                <c:pt idx="83">
                  <c:v>73.900000000000006</c:v>
                </c:pt>
                <c:pt idx="84">
                  <c:v>78.75</c:v>
                </c:pt>
                <c:pt idx="85">
                  <c:v>103</c:v>
                </c:pt>
                <c:pt idx="86">
                  <c:v>154</c:v>
                </c:pt>
                <c:pt idx="87">
                  <c:v>63</c:v>
                </c:pt>
                <c:pt idx="88">
                  <c:v>25.55</c:v>
                </c:pt>
                <c:pt idx="89">
                  <c:v>29.75</c:v>
                </c:pt>
                <c:pt idx="90">
                  <c:v>75</c:v>
                </c:pt>
                <c:pt idx="91">
                  <c:v>98.666666666666671</c:v>
                </c:pt>
                <c:pt idx="92">
                  <c:v>126.7</c:v>
                </c:pt>
                <c:pt idx="93">
                  <c:v>15</c:v>
                </c:pt>
                <c:pt idx="94">
                  <c:v>20.73</c:v>
                </c:pt>
                <c:pt idx="95">
                  <c:v>25</c:v>
                </c:pt>
                <c:pt idx="96">
                  <c:v>23.54</c:v>
                </c:pt>
                <c:pt idx="97">
                  <c:v>21</c:v>
                </c:pt>
                <c:pt idx="98">
                  <c:v>124.39</c:v>
                </c:pt>
                <c:pt idx="99">
                  <c:v>128.52000000000001</c:v>
                </c:pt>
                <c:pt idx="100">
                  <c:v>115</c:v>
                </c:pt>
                <c:pt idx="101">
                  <c:v>155</c:v>
                </c:pt>
                <c:pt idx="102">
                  <c:v>63.34</c:v>
                </c:pt>
                <c:pt idx="103">
                  <c:v>31.23</c:v>
                </c:pt>
                <c:pt idx="104">
                  <c:v>31.23</c:v>
                </c:pt>
                <c:pt idx="105">
                  <c:v>25.540000000000003</c:v>
                </c:pt>
                <c:pt idx="106">
                  <c:v>19</c:v>
                </c:pt>
                <c:pt idx="107">
                  <c:v>26.41</c:v>
                </c:pt>
                <c:pt idx="108">
                  <c:v>21.549999999999997</c:v>
                </c:pt>
                <c:pt idx="109">
                  <c:v>54</c:v>
                </c:pt>
                <c:pt idx="110">
                  <c:v>72.78</c:v>
                </c:pt>
                <c:pt idx="111">
                  <c:v>69</c:v>
                </c:pt>
                <c:pt idx="112">
                  <c:v>62.09</c:v>
                </c:pt>
                <c:pt idx="113">
                  <c:v>65.490000000000009</c:v>
                </c:pt>
                <c:pt idx="114">
                  <c:v>15</c:v>
                </c:pt>
                <c:pt idx="115">
                  <c:v>63.65</c:v>
                </c:pt>
                <c:pt idx="116">
                  <c:v>55.5</c:v>
                </c:pt>
                <c:pt idx="117">
                  <c:v>57.2</c:v>
                </c:pt>
                <c:pt idx="118">
                  <c:v>58.25</c:v>
                </c:pt>
                <c:pt idx="119">
                  <c:v>59.25</c:v>
                </c:pt>
                <c:pt idx="120">
                  <c:v>46.75</c:v>
                </c:pt>
                <c:pt idx="121">
                  <c:v>168.5</c:v>
                </c:pt>
                <c:pt idx="122">
                  <c:v>141.6</c:v>
                </c:pt>
                <c:pt idx="123">
                  <c:v>23.63</c:v>
                </c:pt>
                <c:pt idx="124">
                  <c:v>40</c:v>
                </c:pt>
                <c:pt idx="125">
                  <c:v>79.77</c:v>
                </c:pt>
                <c:pt idx="126">
                  <c:v>107</c:v>
                </c:pt>
                <c:pt idx="127">
                  <c:v>140.6</c:v>
                </c:pt>
                <c:pt idx="128">
                  <c:v>90</c:v>
                </c:pt>
                <c:pt idx="129">
                  <c:v>67</c:v>
                </c:pt>
                <c:pt idx="130">
                  <c:v>78.22999999999999</c:v>
                </c:pt>
                <c:pt idx="131">
                  <c:v>3</c:v>
                </c:pt>
                <c:pt idx="132">
                  <c:v>129</c:v>
                </c:pt>
                <c:pt idx="133">
                  <c:v>98.4</c:v>
                </c:pt>
                <c:pt idx="134">
                  <c:v>70.400000000000006</c:v>
                </c:pt>
                <c:pt idx="135">
                  <c:v>115.8</c:v>
                </c:pt>
                <c:pt idx="136">
                  <c:v>66.430000000000007</c:v>
                </c:pt>
                <c:pt idx="137">
                  <c:v>97</c:v>
                </c:pt>
                <c:pt idx="138">
                  <c:v>6</c:v>
                </c:pt>
                <c:pt idx="139">
                  <c:v>123.63</c:v>
                </c:pt>
                <c:pt idx="140">
                  <c:v>163.86</c:v>
                </c:pt>
                <c:pt idx="141">
                  <c:v>108.56</c:v>
                </c:pt>
                <c:pt idx="142">
                  <c:v>73.7</c:v>
                </c:pt>
                <c:pt idx="143">
                  <c:v>133.69999999999999</c:v>
                </c:pt>
                <c:pt idx="144">
                  <c:v>114</c:v>
                </c:pt>
                <c:pt idx="145">
                  <c:v>1</c:v>
                </c:pt>
                <c:pt idx="146">
                  <c:v>102</c:v>
                </c:pt>
                <c:pt idx="147">
                  <c:v>70</c:v>
                </c:pt>
                <c:pt idx="148">
                  <c:v>56</c:v>
                </c:pt>
                <c:pt idx="149">
                  <c:v>69</c:v>
                </c:pt>
                <c:pt idx="150">
                  <c:v>56</c:v>
                </c:pt>
                <c:pt idx="151">
                  <c:v>129.17000000000002</c:v>
                </c:pt>
                <c:pt idx="152">
                  <c:v>15.33</c:v>
                </c:pt>
                <c:pt idx="153">
                  <c:v>5</c:v>
                </c:pt>
                <c:pt idx="154">
                  <c:v>73.42</c:v>
                </c:pt>
                <c:pt idx="155">
                  <c:v>106</c:v>
                </c:pt>
                <c:pt idx="156">
                  <c:v>101</c:v>
                </c:pt>
                <c:pt idx="157">
                  <c:v>44</c:v>
                </c:pt>
                <c:pt idx="158">
                  <c:v>21</c:v>
                </c:pt>
                <c:pt idx="159">
                  <c:v>38.5</c:v>
                </c:pt>
                <c:pt idx="160">
                  <c:v>64.39</c:v>
                </c:pt>
                <c:pt idx="161">
                  <c:v>65</c:v>
                </c:pt>
                <c:pt idx="162">
                  <c:v>147</c:v>
                </c:pt>
                <c:pt idx="163">
                  <c:v>68</c:v>
                </c:pt>
                <c:pt idx="164">
                  <c:v>59</c:v>
                </c:pt>
                <c:pt idx="165">
                  <c:v>75</c:v>
                </c:pt>
                <c:pt idx="166">
                  <c:v>102.94</c:v>
                </c:pt>
                <c:pt idx="167">
                  <c:v>17</c:v>
                </c:pt>
                <c:pt idx="168">
                  <c:v>76.5</c:v>
                </c:pt>
                <c:pt idx="169">
                  <c:v>66.5</c:v>
                </c:pt>
                <c:pt idx="170">
                  <c:v>126</c:v>
                </c:pt>
                <c:pt idx="171">
                  <c:v>125</c:v>
                </c:pt>
                <c:pt idx="172">
                  <c:v>84.75</c:v>
                </c:pt>
                <c:pt idx="173">
                  <c:v>55</c:v>
                </c:pt>
                <c:pt idx="174">
                  <c:v>77.11</c:v>
                </c:pt>
                <c:pt idx="175">
                  <c:v>77</c:v>
                </c:pt>
                <c:pt idx="176">
                  <c:v>37.299999999999997</c:v>
                </c:pt>
                <c:pt idx="177">
                  <c:v>65</c:v>
                </c:pt>
                <c:pt idx="178">
                  <c:v>82.75</c:v>
                </c:pt>
                <c:pt idx="179">
                  <c:v>83</c:v>
                </c:pt>
                <c:pt idx="180">
                  <c:v>79</c:v>
                </c:pt>
                <c:pt idx="181">
                  <c:v>25</c:v>
                </c:pt>
                <c:pt idx="182">
                  <c:v>81</c:v>
                </c:pt>
                <c:pt idx="183">
                  <c:v>82</c:v>
                </c:pt>
                <c:pt idx="184">
                  <c:v>26</c:v>
                </c:pt>
                <c:pt idx="185">
                  <c:v>19</c:v>
                </c:pt>
                <c:pt idx="186">
                  <c:v>51</c:v>
                </c:pt>
                <c:pt idx="187">
                  <c:v>117</c:v>
                </c:pt>
                <c:pt idx="188">
                  <c:v>61.230000000000004</c:v>
                </c:pt>
                <c:pt idx="189">
                  <c:v>129.47</c:v>
                </c:pt>
                <c:pt idx="190">
                  <c:v>81.849999999999994</c:v>
                </c:pt>
                <c:pt idx="191">
                  <c:v>134.33000000000001</c:v>
                </c:pt>
                <c:pt idx="192">
                  <c:v>65.8</c:v>
                </c:pt>
                <c:pt idx="193">
                  <c:v>139.5</c:v>
                </c:pt>
                <c:pt idx="194">
                  <c:v>19.5</c:v>
                </c:pt>
                <c:pt idx="195">
                  <c:v>81.28</c:v>
                </c:pt>
                <c:pt idx="196">
                  <c:v>105.5</c:v>
                </c:pt>
                <c:pt idx="197">
                  <c:v>62</c:v>
                </c:pt>
                <c:pt idx="198">
                  <c:v>72</c:v>
                </c:pt>
                <c:pt idx="199">
                  <c:v>76</c:v>
                </c:pt>
                <c:pt idx="200">
                  <c:v>69</c:v>
                </c:pt>
                <c:pt idx="201">
                  <c:v>42</c:v>
                </c:pt>
                <c:pt idx="202">
                  <c:v>75</c:v>
                </c:pt>
                <c:pt idx="203">
                  <c:v>97.3</c:v>
                </c:pt>
                <c:pt idx="204">
                  <c:v>54</c:v>
                </c:pt>
                <c:pt idx="205">
                  <c:v>140</c:v>
                </c:pt>
                <c:pt idx="206">
                  <c:v>15.469999999999999</c:v>
                </c:pt>
                <c:pt idx="207">
                  <c:v>23.729999999999997</c:v>
                </c:pt>
                <c:pt idx="208">
                  <c:v>82.686666666666667</c:v>
                </c:pt>
                <c:pt idx="209">
                  <c:v>94.9</c:v>
                </c:pt>
                <c:pt idx="210">
                  <c:v>65.89</c:v>
                </c:pt>
                <c:pt idx="211">
                  <c:v>56.434764079147634</c:v>
                </c:pt>
                <c:pt idx="212">
                  <c:v>56.434764079147634</c:v>
                </c:pt>
                <c:pt idx="213">
                  <c:v>56.434764079147634</c:v>
                </c:pt>
                <c:pt idx="214">
                  <c:v>56.434764079147634</c:v>
                </c:pt>
                <c:pt idx="215">
                  <c:v>56.434764079147634</c:v>
                </c:pt>
                <c:pt idx="216">
                  <c:v>56.434764079147634</c:v>
                </c:pt>
                <c:pt idx="217">
                  <c:v>56.434764079147634</c:v>
                </c:pt>
                <c:pt idx="218">
                  <c:v>80</c:v>
                </c:pt>
                <c:pt idx="219">
                  <c:v>82.7</c:v>
                </c:pt>
                <c:pt idx="220">
                  <c:v>52</c:v>
                </c:pt>
                <c:pt idx="221">
                  <c:v>22.5</c:v>
                </c:pt>
                <c:pt idx="222">
                  <c:v>66.2</c:v>
                </c:pt>
                <c:pt idx="223">
                  <c:v>32.44</c:v>
                </c:pt>
                <c:pt idx="224">
                  <c:v>84.53</c:v>
                </c:pt>
                <c:pt idx="225">
                  <c:v>64.5</c:v>
                </c:pt>
              </c:numCache>
            </c:numRef>
          </c:xVal>
          <c:yVal>
            <c:numRef>
              <c:f>Residuals!$BM$2:$BM$227</c:f>
              <c:numCache>
                <c:formatCode>0.00</c:formatCode>
                <c:ptCount val="226"/>
                <c:pt idx="0">
                  <c:v>18.977566446913386</c:v>
                </c:pt>
                <c:pt idx="1">
                  <c:v>17.299047541010282</c:v>
                </c:pt>
                <c:pt idx="2">
                  <c:v>15.152720271937483</c:v>
                </c:pt>
                <c:pt idx="3">
                  <c:v>15.757092716551824</c:v>
                </c:pt>
                <c:pt idx="4">
                  <c:v>13.065483681443538</c:v>
                </c:pt>
                <c:pt idx="5">
                  <c:v>12.12664349676885</c:v>
                </c:pt>
                <c:pt idx="6">
                  <c:v>12.196678889202531</c:v>
                </c:pt>
                <c:pt idx="7">
                  <c:v>11.986442024021756</c:v>
                </c:pt>
                <c:pt idx="8">
                  <c:v>13.465614369323163</c:v>
                </c:pt>
                <c:pt idx="9">
                  <c:v>16.149578427515848</c:v>
                </c:pt>
                <c:pt idx="10">
                  <c:v>13.814430043419293</c:v>
                </c:pt>
                <c:pt idx="11">
                  <c:v>11.443098706852993</c:v>
                </c:pt>
                <c:pt idx="12">
                  <c:v>9.9393415623350734</c:v>
                </c:pt>
                <c:pt idx="13">
                  <c:v>12.71954847600972</c:v>
                </c:pt>
                <c:pt idx="14">
                  <c:v>10.557092716551836</c:v>
                </c:pt>
                <c:pt idx="15">
                  <c:v>11.124350003694133</c:v>
                </c:pt>
                <c:pt idx="16">
                  <c:v>8.139341562335062</c:v>
                </c:pt>
                <c:pt idx="17">
                  <c:v>7.9775664469133858</c:v>
                </c:pt>
                <c:pt idx="18">
                  <c:v>6.5355190738771967</c:v>
                </c:pt>
                <c:pt idx="19">
                  <c:v>6.4119688430338329</c:v>
                </c:pt>
                <c:pt idx="20">
                  <c:v>5.1775664469133744</c:v>
                </c:pt>
                <c:pt idx="21">
                  <c:v>4.7570927165518242</c:v>
                </c:pt>
                <c:pt idx="22">
                  <c:v>2.726512808889197</c:v>
                </c:pt>
                <c:pt idx="23">
                  <c:v>3.5660989815398807</c:v>
                </c:pt>
                <c:pt idx="24">
                  <c:v>2.49415234487725</c:v>
                </c:pt>
                <c:pt idx="25">
                  <c:v>0.40050137766036187</c:v>
                </c:pt>
                <c:pt idx="26">
                  <c:v>3.4451406389616182</c:v>
                </c:pt>
                <c:pt idx="27">
                  <c:v>3.2310812853230573</c:v>
                </c:pt>
                <c:pt idx="28">
                  <c:v>2.3164066315880518</c:v>
                </c:pt>
                <c:pt idx="29">
                  <c:v>1.1953176011301139</c:v>
                </c:pt>
                <c:pt idx="30">
                  <c:v>1.1482171394434317</c:v>
                </c:pt>
                <c:pt idx="31">
                  <c:v>-0.96645751429156235</c:v>
                </c:pt>
                <c:pt idx="32">
                  <c:v>-0.68741585686979079</c:v>
                </c:pt>
                <c:pt idx="33">
                  <c:v>-1.4886464570624867</c:v>
                </c:pt>
                <c:pt idx="34">
                  <c:v>-1.4046823988698804</c:v>
                </c:pt>
                <c:pt idx="35">
                  <c:v>-1.1371082068215799</c:v>
                </c:pt>
                <c:pt idx="36">
                  <c:v>-3.9982680221469309</c:v>
                </c:pt>
                <c:pt idx="37">
                  <c:v>1.8921866913726149</c:v>
                </c:pt>
                <c:pt idx="38">
                  <c:v>2.6519470793235769</c:v>
                </c:pt>
                <c:pt idx="39">
                  <c:v>6.9092844061910341</c:v>
                </c:pt>
                <c:pt idx="40">
                  <c:v>6.9577461559501614</c:v>
                </c:pt>
                <c:pt idx="41">
                  <c:v>4.3857341753477215</c:v>
                </c:pt>
                <c:pt idx="42">
                  <c:v>1.1482171394434317</c:v>
                </c:pt>
                <c:pt idx="43">
                  <c:v>5.5563848678777674</c:v>
                </c:pt>
                <c:pt idx="44">
                  <c:v>5.1290774925163873</c:v>
                </c:pt>
                <c:pt idx="45">
                  <c:v>7.2737820977575041</c:v>
                </c:pt>
                <c:pt idx="46">
                  <c:v>6.6109996186004878</c:v>
                </c:pt>
                <c:pt idx="47">
                  <c:v>0.9482171394434431</c:v>
                </c:pt>
                <c:pt idx="48">
                  <c:v>-0.82243355308662558</c:v>
                </c:pt>
                <c:pt idx="49">
                  <c:v>-2.8900077451348807</c:v>
                </c:pt>
                <c:pt idx="50">
                  <c:v>-3.8135579759782559</c:v>
                </c:pt>
                <c:pt idx="51">
                  <c:v>-1.4388136044377973</c:v>
                </c:pt>
                <c:pt idx="52">
                  <c:v>-2.4135579759782502</c:v>
                </c:pt>
                <c:pt idx="53">
                  <c:v>-3.3216875651106079</c:v>
                </c:pt>
                <c:pt idx="54">
                  <c:v>-3.5753330913999548</c:v>
                </c:pt>
                <c:pt idx="55">
                  <c:v>-4.7510368725805563</c:v>
                </c:pt>
                <c:pt idx="56">
                  <c:v>-5.2988833222432561</c:v>
                </c:pt>
                <c:pt idx="57">
                  <c:v>-6.8326704182674121</c:v>
                </c:pt>
                <c:pt idx="58">
                  <c:v>-7.1944455336891053</c:v>
                </c:pt>
                <c:pt idx="59">
                  <c:v>-7.690007745134892</c:v>
                </c:pt>
                <c:pt idx="60">
                  <c:v>-8.3371082068215685</c:v>
                </c:pt>
                <c:pt idx="61">
                  <c:v>-9.2900077451348864</c:v>
                </c:pt>
                <c:pt idx="62">
                  <c:v>-10.13710820682158</c:v>
                </c:pt>
                <c:pt idx="63">
                  <c:v>-10.328232629713199</c:v>
                </c:pt>
                <c:pt idx="64">
                  <c:v>-8.1660654506525248</c:v>
                </c:pt>
                <c:pt idx="65">
                  <c:v>-6.2849546564843308</c:v>
                </c:pt>
                <c:pt idx="66">
                  <c:v>-7.4695340147733305</c:v>
                </c:pt>
                <c:pt idx="67">
                  <c:v>-5.3760409400739775</c:v>
                </c:pt>
                <c:pt idx="68">
                  <c:v>-4.2797708799540999</c:v>
                </c:pt>
                <c:pt idx="69">
                  <c:v>-7.1371082068215799</c:v>
                </c:pt>
                <c:pt idx="70">
                  <c:v>-9.1842086685083189</c:v>
                </c:pt>
                <c:pt idx="71">
                  <c:v>-7.519803525519535</c:v>
                </c:pt>
                <c:pt idx="72">
                  <c:v>-5.0046823988698748</c:v>
                </c:pt>
                <c:pt idx="73">
                  <c:v>-0.91461974898933818</c:v>
                </c:pt>
                <c:pt idx="74">
                  <c:v>-3.4135579759782502</c:v>
                </c:pt>
                <c:pt idx="75">
                  <c:v>-7.060658437664955</c:v>
                </c:pt>
                <c:pt idx="76">
                  <c:v>-7.7842086685083132</c:v>
                </c:pt>
                <c:pt idx="77">
                  <c:v>-8.6988833222432618</c:v>
                </c:pt>
                <c:pt idx="78">
                  <c:v>-5.378110076820434</c:v>
                </c:pt>
                <c:pt idx="79">
                  <c:v>-5.6886464570624753</c:v>
                </c:pt>
                <c:pt idx="80">
                  <c:v>-2.9876390933271466</c:v>
                </c:pt>
                <c:pt idx="81">
                  <c:v>-2.3615623181585192</c:v>
                </c:pt>
                <c:pt idx="82">
                  <c:v>-5.5666154068090918</c:v>
                </c:pt>
                <c:pt idx="83">
                  <c:v>-5.8474376205800809</c:v>
                </c:pt>
                <c:pt idx="84">
                  <c:v>-4.2620469303752202</c:v>
                </c:pt>
                <c:pt idx="85">
                  <c:v>-2.3350934793508884</c:v>
                </c:pt>
                <c:pt idx="86">
                  <c:v>3.414375634143596</c:v>
                </c:pt>
                <c:pt idx="87">
                  <c:v>3.1359111375162172</c:v>
                </c:pt>
                <c:pt idx="88">
                  <c:v>-1.8956107899419692</c:v>
                </c:pt>
                <c:pt idx="89">
                  <c:v>-3.13506627471304</c:v>
                </c:pt>
                <c:pt idx="90">
                  <c:v>-5.3902475439144837E-3</c:v>
                </c:pt>
                <c:pt idx="91">
                  <c:v>-1.1007346458569316</c:v>
                </c:pt>
                <c:pt idx="92">
                  <c:v>3.3708362851553773</c:v>
                </c:pt>
                <c:pt idx="93">
                  <c:v>-1.0988833222432675</c:v>
                </c:pt>
                <c:pt idx="94">
                  <c:v>-3.0798547336094941</c:v>
                </c:pt>
                <c:pt idx="95">
                  <c:v>-2.9166344764600183</c:v>
                </c:pt>
                <c:pt idx="96">
                  <c:v>-2.9724428079444181</c:v>
                </c:pt>
                <c:pt idx="97">
                  <c:v>-6.0695340147733248</c:v>
                </c:pt>
                <c:pt idx="98">
                  <c:v>-2.517463198220554</c:v>
                </c:pt>
                <c:pt idx="99">
                  <c:v>-0.95959442491206914</c:v>
                </c:pt>
                <c:pt idx="100">
                  <c:v>-2.076394864410986</c:v>
                </c:pt>
                <c:pt idx="101">
                  <c:v>0.85260051872188569</c:v>
                </c:pt>
                <c:pt idx="102">
                  <c:v>2.9489075982728536</c:v>
                </c:pt>
                <c:pt idx="103">
                  <c:v>2.1215065544628828</c:v>
                </c:pt>
                <c:pt idx="104">
                  <c:v>0.52150655446291694</c:v>
                </c:pt>
                <c:pt idx="105">
                  <c:v>-0.69599303878774776</c:v>
                </c:pt>
                <c:pt idx="106">
                  <c:v>-1.1459837839300064</c:v>
                </c:pt>
                <c:pt idx="107">
                  <c:v>-4.8627373892046251</c:v>
                </c:pt>
                <c:pt idx="108">
                  <c:v>-6.0485103282552757</c:v>
                </c:pt>
                <c:pt idx="109">
                  <c:v>-4.4081128236886684</c:v>
                </c:pt>
                <c:pt idx="110">
                  <c:v>-5.2902494913078044</c:v>
                </c:pt>
                <c:pt idx="111">
                  <c:v>-4.2347395550138458</c:v>
                </c:pt>
                <c:pt idx="112">
                  <c:v>-3.0988735074500653</c:v>
                </c:pt>
                <c:pt idx="113">
                  <c:v>-6.768908899883769</c:v>
                </c:pt>
                <c:pt idx="114">
                  <c:v>-8.2988833222432561</c:v>
                </c:pt>
                <c:pt idx="115">
                  <c:v>-7.8392426875078911</c:v>
                </c:pt>
                <c:pt idx="116">
                  <c:v>-8.3507754968211998</c:v>
                </c:pt>
                <c:pt idx="117">
                  <c:v>-10.285793193038046</c:v>
                </c:pt>
                <c:pt idx="118">
                  <c:v>-10.645657064230818</c:v>
                </c:pt>
                <c:pt idx="119">
                  <c:v>-10.807432179652523</c:v>
                </c:pt>
                <c:pt idx="120">
                  <c:v>-10.48524323688153</c:v>
                </c:pt>
                <c:pt idx="121">
                  <c:v>-3.8313635394707433</c:v>
                </c:pt>
                <c:pt idx="122">
                  <c:v>-2.2596129346276257</c:v>
                </c:pt>
                <c:pt idx="123">
                  <c:v>-5.9690025683323427</c:v>
                </c:pt>
                <c:pt idx="124">
                  <c:v>-3.3432612077852184</c:v>
                </c:pt>
                <c:pt idx="125">
                  <c:v>-3.6230575481053222</c:v>
                </c:pt>
                <c:pt idx="126">
                  <c:v>-0.58219394103758759</c:v>
                </c:pt>
                <c:pt idx="127">
                  <c:v>1.7021621807940335</c:v>
                </c:pt>
                <c:pt idx="128">
                  <c:v>-0.83201697886909187</c:v>
                </c:pt>
                <c:pt idx="129">
                  <c:v>2.4888106758294839</c:v>
                </c:pt>
                <c:pt idx="130">
                  <c:v>0.31807612964405507</c:v>
                </c:pt>
                <c:pt idx="131">
                  <c:v>-1.9575819371831358</c:v>
                </c:pt>
                <c:pt idx="132">
                  <c:v>2.4587535196855299</c:v>
                </c:pt>
                <c:pt idx="133">
                  <c:v>2.2890720515888461</c:v>
                </c:pt>
                <c:pt idx="134">
                  <c:v>2.6187752833957916</c:v>
                </c:pt>
                <c:pt idx="135">
                  <c:v>5.1541850432516583</c:v>
                </c:pt>
                <c:pt idx="136">
                  <c:v>-2.9329775083801337</c:v>
                </c:pt>
                <c:pt idx="137">
                  <c:v>-3.164442786820814</c:v>
                </c:pt>
                <c:pt idx="138">
                  <c:v>-6.0429072834481872</c:v>
                </c:pt>
                <c:pt idx="139">
                  <c:v>-3.3465141105000953</c:v>
                </c:pt>
                <c:pt idx="140">
                  <c:v>-3.0087270039141742</c:v>
                </c:pt>
                <c:pt idx="141">
                  <c:v>-2.9225631210954077</c:v>
                </c:pt>
                <c:pt idx="142">
                  <c:v>-1.455082597495732</c:v>
                </c:pt>
                <c:pt idx="143">
                  <c:v>-1.361589522796379</c:v>
                </c:pt>
                <c:pt idx="144">
                  <c:v>-0.11461974898932681</c:v>
                </c:pt>
                <c:pt idx="145">
                  <c:v>-6.2340317063398061</c:v>
                </c:pt>
                <c:pt idx="146">
                  <c:v>-3.9733183639291951</c:v>
                </c:pt>
                <c:pt idx="147">
                  <c:v>-0.99651467043554476</c:v>
                </c:pt>
                <c:pt idx="148">
                  <c:v>-0.53166305453206064</c:v>
                </c:pt>
                <c:pt idx="149">
                  <c:v>-1.6347395550138515</c:v>
                </c:pt>
                <c:pt idx="150">
                  <c:v>-1.131663054532055</c:v>
                </c:pt>
                <c:pt idx="151">
                  <c:v>0.66525175006381687</c:v>
                </c:pt>
                <c:pt idx="152">
                  <c:v>-4.886269110332421</c:v>
                </c:pt>
                <c:pt idx="153">
                  <c:v>-5.6811321680264939</c:v>
                </c:pt>
                <c:pt idx="154">
                  <c:v>-5.2657855651776799</c:v>
                </c:pt>
                <c:pt idx="155">
                  <c:v>-0.42041882561591137</c:v>
                </c:pt>
                <c:pt idx="156">
                  <c:v>-0.41154324850754165</c:v>
                </c:pt>
                <c:pt idx="157">
                  <c:v>3.4096383305280824</c:v>
                </c:pt>
                <c:pt idx="158">
                  <c:v>-1.6695340147733191</c:v>
                </c:pt>
                <c:pt idx="159">
                  <c:v>-3.0005985346526813</c:v>
                </c:pt>
                <c:pt idx="160">
                  <c:v>-3.0109562729199126</c:v>
                </c:pt>
                <c:pt idx="161">
                  <c:v>1.2360906672853389E-2</c:v>
                </c:pt>
                <c:pt idx="162">
                  <c:v>3.3468014420953125</c:v>
                </c:pt>
                <c:pt idx="163">
                  <c:v>0.12703556040784747</c:v>
                </c:pt>
                <c:pt idx="164">
                  <c:v>-3.2169884007970779</c:v>
                </c:pt>
                <c:pt idx="165">
                  <c:v>2.9946097524560571</c:v>
                </c:pt>
                <c:pt idx="166">
                  <c:v>2.4626130275744345</c:v>
                </c:pt>
                <c:pt idx="167">
                  <c:v>-4.8224335530866256</c:v>
                </c:pt>
                <c:pt idx="168">
                  <c:v>-6.7480529206764288</c:v>
                </c:pt>
                <c:pt idx="169">
                  <c:v>-5.9303017664596496</c:v>
                </c:pt>
                <c:pt idx="170">
                  <c:v>-2.6559211340494358</c:v>
                </c:pt>
                <c:pt idx="171">
                  <c:v>-1.8941460186277936</c:v>
                </c:pt>
                <c:pt idx="172">
                  <c:v>-2.0326976229052605</c:v>
                </c:pt>
                <c:pt idx="173">
                  <c:v>0.43011206088962695</c:v>
                </c:pt>
                <c:pt idx="174">
                  <c:v>-1.7247357410836628</c:v>
                </c:pt>
                <c:pt idx="175">
                  <c:v>-1.9289404783872612</c:v>
                </c:pt>
                <c:pt idx="176">
                  <c:v>-4.8464683961466903</c:v>
                </c:pt>
                <c:pt idx="177">
                  <c:v>-3.5876390933271693</c:v>
                </c:pt>
                <c:pt idx="178">
                  <c:v>-1.709147392061908</c:v>
                </c:pt>
                <c:pt idx="179">
                  <c:v>-9.9591170917335603E-2</c:v>
                </c:pt>
                <c:pt idx="180">
                  <c:v>-0.45249070923060231</c:v>
                </c:pt>
                <c:pt idx="181">
                  <c:v>-1.5166344764600126</c:v>
                </c:pt>
                <c:pt idx="182">
                  <c:v>-0.37604094007397748</c:v>
                </c:pt>
                <c:pt idx="183">
                  <c:v>-1.137816055495648</c:v>
                </c:pt>
                <c:pt idx="184">
                  <c:v>-3.8784095918817059</c:v>
                </c:pt>
                <c:pt idx="185">
                  <c:v>-2.5459837839300121</c:v>
                </c:pt>
                <c:pt idx="186">
                  <c:v>-2.9227874774236682</c:v>
                </c:pt>
                <c:pt idx="187">
                  <c:v>-0.79994509525437252</c:v>
                </c:pt>
                <c:pt idx="188">
                  <c:v>-1.9317469081874208</c:v>
                </c:pt>
                <c:pt idx="189">
                  <c:v>7.6719215437321964E-2</c:v>
                </c:pt>
                <c:pt idx="190">
                  <c:v>-1.9435497881824233</c:v>
                </c:pt>
                <c:pt idx="191">
                  <c:v>0.46249215448796122</c:v>
                </c:pt>
                <c:pt idx="192">
                  <c:v>-0.75705918566447394</c:v>
                </c:pt>
                <c:pt idx="193">
                  <c:v>3.0601148077578841</c:v>
                </c:pt>
                <c:pt idx="194">
                  <c:v>1.6731286583591896</c:v>
                </c:pt>
                <c:pt idx="195">
                  <c:v>1.2346620276079534</c:v>
                </c:pt>
                <c:pt idx="196">
                  <c:v>-1.2395312679050789</c:v>
                </c:pt>
                <c:pt idx="197">
                  <c:v>-0.90231374706212364</c:v>
                </c:pt>
                <c:pt idx="198">
                  <c:v>0.47993509872111417</c:v>
                </c:pt>
                <c:pt idx="199">
                  <c:v>-0.36716536296560776</c:v>
                </c:pt>
                <c:pt idx="200">
                  <c:v>3.1652604449861599</c:v>
                </c:pt>
                <c:pt idx="201">
                  <c:v>0.53318856137141779</c:v>
                </c:pt>
                <c:pt idx="202">
                  <c:v>5.5946097524560798</c:v>
                </c:pt>
                <c:pt idx="203">
                  <c:v>8.2470246785526911</c:v>
                </c:pt>
                <c:pt idx="204">
                  <c:v>4.7918871763113202</c:v>
                </c:pt>
                <c:pt idx="205">
                  <c:v>10.479227250047046</c:v>
                </c:pt>
                <c:pt idx="206">
                  <c:v>8.5190823735085246</c:v>
                </c:pt>
                <c:pt idx="207">
                  <c:v>5.234819920125517</c:v>
                </c:pt>
                <c:pt idx="208">
                  <c:v>3.0884316985814451</c:v>
                </c:pt>
                <c:pt idx="209">
                  <c:v>3.9552849555647356</c:v>
                </c:pt>
                <c:pt idx="210">
                  <c:v>6.0463810539475844</c:v>
                </c:pt>
                <c:pt idx="211">
                  <c:v>6.0849557522121529</c:v>
                </c:pt>
                <c:pt idx="212">
                  <c:v>6.484955752212187</c:v>
                </c:pt>
                <c:pt idx="213">
                  <c:v>8.2849557522121415</c:v>
                </c:pt>
                <c:pt idx="214">
                  <c:v>1.0849557522121529</c:v>
                </c:pt>
                <c:pt idx="215">
                  <c:v>1.6849557522121756</c:v>
                </c:pt>
                <c:pt idx="216">
                  <c:v>2.8849557522121643</c:v>
                </c:pt>
                <c:pt idx="217">
                  <c:v>3.6849557522121756</c:v>
                </c:pt>
                <c:pt idx="218">
                  <c:v>4.5857341753477101</c:v>
                </c:pt>
                <c:pt idx="219">
                  <c:v>6.888941363709165</c:v>
                </c:pt>
                <c:pt idx="220">
                  <c:v>5.9154374071546556</c:v>
                </c:pt>
                <c:pt idx="221">
                  <c:v>4.5878033120941382</c:v>
                </c:pt>
                <c:pt idx="222">
                  <c:v>4.2582307681668397</c:v>
                </c:pt>
                <c:pt idx="223">
                  <c:v>2.5677586648026818</c:v>
                </c:pt>
                <c:pt idx="224">
                  <c:v>1.7588929024875029</c:v>
                </c:pt>
                <c:pt idx="225">
                  <c:v>0.19324846438368581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C-44E7-8C28-CB8CD165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3329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3295"/>
        <c:crosses val="autoZero"/>
        <c:crossBetween val="midCat"/>
      </c:valAx>
      <c:valAx>
        <c:axId val="2123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Log'!$Y$2:$Y$227</c:f>
              <c:numCache>
                <c:formatCode>0.00</c:formatCode>
                <c:ptCount val="226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2.25</c:v>
                </c:pt>
                <c:pt idx="55">
                  <c:v>2</c:v>
                </c:pt>
                <c:pt idx="56">
                  <c:v>2.5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2.5</c:v>
                </c:pt>
                <c:pt idx="61">
                  <c:v>2.5</c:v>
                </c:pt>
                <c:pt idx="62">
                  <c:v>3.5</c:v>
                </c:pt>
                <c:pt idx="63">
                  <c:v>2.5</c:v>
                </c:pt>
                <c:pt idx="64">
                  <c:v>0.5</c:v>
                </c:pt>
                <c:pt idx="65">
                  <c:v>1.5</c:v>
                </c:pt>
                <c:pt idx="66">
                  <c:v>1.25</c:v>
                </c:pt>
                <c:pt idx="67">
                  <c:v>1.5</c:v>
                </c:pt>
                <c:pt idx="68">
                  <c:v>2</c:v>
                </c:pt>
                <c:pt idx="69">
                  <c:v>3.5</c:v>
                </c:pt>
                <c:pt idx="70">
                  <c:v>2.5</c:v>
                </c:pt>
                <c:pt idx="71">
                  <c:v>1.5</c:v>
                </c:pt>
                <c:pt idx="72">
                  <c:v>0.5</c:v>
                </c:pt>
                <c:pt idx="73">
                  <c:v>0.5</c:v>
                </c:pt>
                <c:pt idx="74">
                  <c:v>1.5</c:v>
                </c:pt>
                <c:pt idx="75">
                  <c:v>2.5</c:v>
                </c:pt>
                <c:pt idx="76">
                  <c:v>2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</c:v>
                </c:pt>
                <c:pt idx="94">
                  <c:v>3</c:v>
                </c:pt>
                <c:pt idx="95">
                  <c:v>4</c:v>
                </c:pt>
                <c:pt idx="96">
                  <c:v>2.5</c:v>
                </c:pt>
                <c:pt idx="97">
                  <c:v>2</c:v>
                </c:pt>
                <c:pt idx="98">
                  <c:v>1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0.5</c:v>
                </c:pt>
                <c:pt idx="111">
                  <c:v>0</c:v>
                </c:pt>
                <c:pt idx="112">
                  <c:v>0.25</c:v>
                </c:pt>
                <c:pt idx="113">
                  <c:v>3</c:v>
                </c:pt>
                <c:pt idx="114">
                  <c:v>2.5</c:v>
                </c:pt>
                <c:pt idx="115">
                  <c:v>2</c:v>
                </c:pt>
                <c:pt idx="116">
                  <c:v>3.2</c:v>
                </c:pt>
                <c:pt idx="117">
                  <c:v>1.5</c:v>
                </c:pt>
                <c:pt idx="118">
                  <c:v>0.5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0.25</c:v>
                </c:pt>
                <c:pt idx="123">
                  <c:v>0.25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0.5</c:v>
                </c:pt>
                <c:pt idx="133">
                  <c:v>0.5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0.5</c:v>
                </c:pt>
                <c:pt idx="138">
                  <c:v>0</c:v>
                </c:pt>
                <c:pt idx="139">
                  <c:v>0.25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1.5</c:v>
                </c:pt>
                <c:pt idx="144">
                  <c:v>0.5</c:v>
                </c:pt>
                <c:pt idx="145">
                  <c:v>0.25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0.5</c:v>
                </c:pt>
                <c:pt idx="154">
                  <c:v>0.5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0.75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1.5</c:v>
                </c:pt>
                <c:pt idx="184">
                  <c:v>2.5</c:v>
                </c:pt>
                <c:pt idx="185">
                  <c:v>1.5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1.5</c:v>
                </c:pt>
                <c:pt idx="190">
                  <c:v>1.5</c:v>
                </c:pt>
                <c:pt idx="191">
                  <c:v>0.5</c:v>
                </c:pt>
                <c:pt idx="192">
                  <c:v>0</c:v>
                </c:pt>
                <c:pt idx="193">
                  <c:v>0.5</c:v>
                </c:pt>
                <c:pt idx="194">
                  <c:v>1.5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1.5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1.5</c:v>
                </c:pt>
                <c:pt idx="209">
                  <c:v>2</c:v>
                </c:pt>
                <c:pt idx="210">
                  <c:v>2</c:v>
                </c:pt>
                <c:pt idx="211">
                  <c:v>1.1025114155251141</c:v>
                </c:pt>
                <c:pt idx="212">
                  <c:v>1.1025114155251141</c:v>
                </c:pt>
                <c:pt idx="213">
                  <c:v>1.1025114155251141</c:v>
                </c:pt>
                <c:pt idx="214">
                  <c:v>1.1025114155251141</c:v>
                </c:pt>
                <c:pt idx="215">
                  <c:v>1.1025114155251141</c:v>
                </c:pt>
                <c:pt idx="216">
                  <c:v>1.1025114155251141</c:v>
                </c:pt>
                <c:pt idx="217">
                  <c:v>1.1025114155251141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1.5</c:v>
                </c:pt>
                <c:pt idx="225">
                  <c:v>1</c:v>
                </c:pt>
              </c:numCache>
            </c:numRef>
          </c:xVal>
          <c:yVal>
            <c:numRef>
              <c:f>Residuals!$BP$2:$BP$227</c:f>
              <c:numCache>
                <c:formatCode>0.00</c:formatCode>
                <c:ptCount val="226"/>
                <c:pt idx="0">
                  <c:v>20.536549989744799</c:v>
                </c:pt>
                <c:pt idx="1">
                  <c:v>16.715141998044061</c:v>
                </c:pt>
                <c:pt idx="2">
                  <c:v>16.736549989744788</c:v>
                </c:pt>
                <c:pt idx="3">
                  <c:v>17.736549989744788</c:v>
                </c:pt>
                <c:pt idx="4">
                  <c:v>14.408102039540495</c:v>
                </c:pt>
                <c:pt idx="5">
                  <c:v>13.45091802294192</c:v>
                </c:pt>
                <c:pt idx="6">
                  <c:v>13.693734006343362</c:v>
                </c:pt>
                <c:pt idx="7">
                  <c:v>13.779365973146213</c:v>
                </c:pt>
                <c:pt idx="8">
                  <c:v>14.208102039540449</c:v>
                </c:pt>
                <c:pt idx="9">
                  <c:v>17.408102039540495</c:v>
                </c:pt>
                <c:pt idx="10">
                  <c:v>15.650918022941909</c:v>
                </c:pt>
                <c:pt idx="11">
                  <c:v>13.293734006343328</c:v>
                </c:pt>
                <c:pt idx="12">
                  <c:v>11.408102039540495</c:v>
                </c:pt>
                <c:pt idx="13">
                  <c:v>14.408102039540495</c:v>
                </c:pt>
                <c:pt idx="14">
                  <c:v>12.408102039540495</c:v>
                </c:pt>
                <c:pt idx="15">
                  <c:v>12.236838105934794</c:v>
                </c:pt>
                <c:pt idx="16">
                  <c:v>9.6081020395404835</c:v>
                </c:pt>
                <c:pt idx="17">
                  <c:v>9.4937340063433737</c:v>
                </c:pt>
                <c:pt idx="18">
                  <c:v>8.050918022941886</c:v>
                </c:pt>
                <c:pt idx="19">
                  <c:v>7.8081020395404721</c:v>
                </c:pt>
                <c:pt idx="20">
                  <c:v>6.6509180229419087</c:v>
                </c:pt>
                <c:pt idx="21">
                  <c:v>6.6937340063433624</c:v>
                </c:pt>
                <c:pt idx="22">
                  <c:v>4.522470072737633</c:v>
                </c:pt>
                <c:pt idx="23">
                  <c:v>5.0081020395404607</c:v>
                </c:pt>
                <c:pt idx="24">
                  <c:v>3.8509180229418973</c:v>
                </c:pt>
                <c:pt idx="25">
                  <c:v>1.8509180229418973</c:v>
                </c:pt>
                <c:pt idx="26">
                  <c:v>4.6937340063433624</c:v>
                </c:pt>
                <c:pt idx="27">
                  <c:v>4.6937340063433624</c:v>
                </c:pt>
                <c:pt idx="28">
                  <c:v>3.893734006343351</c:v>
                </c:pt>
                <c:pt idx="29">
                  <c:v>3.050918022941886</c:v>
                </c:pt>
                <c:pt idx="30">
                  <c:v>2.8509180229418973</c:v>
                </c:pt>
                <c:pt idx="31">
                  <c:v>0.76528605613904688</c:v>
                </c:pt>
                <c:pt idx="32">
                  <c:v>0.80810203954047211</c:v>
                </c:pt>
                <c:pt idx="33">
                  <c:v>-0.19189796045952789</c:v>
                </c:pt>
                <c:pt idx="34">
                  <c:v>0.4937340063433453</c:v>
                </c:pt>
                <c:pt idx="35">
                  <c:v>0.45091802294189165</c:v>
                </c:pt>
                <c:pt idx="36">
                  <c:v>-2.3918979604595165</c:v>
                </c:pt>
                <c:pt idx="37">
                  <c:v>-2.3062659936566376</c:v>
                </c:pt>
                <c:pt idx="38">
                  <c:v>1.8081020395404721</c:v>
                </c:pt>
                <c:pt idx="39">
                  <c:v>6.1793659731461901</c:v>
                </c:pt>
                <c:pt idx="40">
                  <c:v>5.9793659731462014</c:v>
                </c:pt>
                <c:pt idx="41">
                  <c:v>3.5793659731462242</c:v>
                </c:pt>
                <c:pt idx="42">
                  <c:v>2.9365499897447762</c:v>
                </c:pt>
                <c:pt idx="43">
                  <c:v>4.9365499897447762</c:v>
                </c:pt>
                <c:pt idx="44">
                  <c:v>4.1365499897447648</c:v>
                </c:pt>
                <c:pt idx="45">
                  <c:v>5.7365499897447876</c:v>
                </c:pt>
                <c:pt idx="46">
                  <c:v>6.6937340063433624</c:v>
                </c:pt>
                <c:pt idx="47">
                  <c:v>2.6081020395404835</c:v>
                </c:pt>
                <c:pt idx="48">
                  <c:v>0.60810203954048347</c:v>
                </c:pt>
                <c:pt idx="49">
                  <c:v>-1.1490819770581027</c:v>
                </c:pt>
                <c:pt idx="50">
                  <c:v>-2.106265993656649</c:v>
                </c:pt>
                <c:pt idx="51">
                  <c:v>-2.5062659936566547</c:v>
                </c:pt>
                <c:pt idx="52">
                  <c:v>-0.79189796045952221</c:v>
                </c:pt>
                <c:pt idx="53">
                  <c:v>-2.3918979604595165</c:v>
                </c:pt>
                <c:pt idx="54">
                  <c:v>-2.0133059521602377</c:v>
                </c:pt>
                <c:pt idx="55">
                  <c:v>-3.5918979604595336</c:v>
                </c:pt>
                <c:pt idx="56">
                  <c:v>-3.8347139438609474</c:v>
                </c:pt>
                <c:pt idx="57">
                  <c:v>-5.1918979604595279</c:v>
                </c:pt>
                <c:pt idx="58">
                  <c:v>-5.677529927262384</c:v>
                </c:pt>
                <c:pt idx="59">
                  <c:v>-5.9918979604595393</c:v>
                </c:pt>
                <c:pt idx="60">
                  <c:v>-6.8347139438609474</c:v>
                </c:pt>
                <c:pt idx="61">
                  <c:v>-7.6347139438609588</c:v>
                </c:pt>
                <c:pt idx="62">
                  <c:v>-8.7203459106638093</c:v>
                </c:pt>
                <c:pt idx="63">
                  <c:v>-8.6347139438609588</c:v>
                </c:pt>
                <c:pt idx="64">
                  <c:v>-8.0634500102552238</c:v>
                </c:pt>
                <c:pt idx="65">
                  <c:v>-4.3490819770580913</c:v>
                </c:pt>
                <c:pt idx="66">
                  <c:v>-6.1276739853573758</c:v>
                </c:pt>
                <c:pt idx="67">
                  <c:v>-6.3490819770580913</c:v>
                </c:pt>
                <c:pt idx="68">
                  <c:v>-2.7918979604595222</c:v>
                </c:pt>
                <c:pt idx="69">
                  <c:v>-5.7203459106638093</c:v>
                </c:pt>
                <c:pt idx="70">
                  <c:v>-7.8347139438609474</c:v>
                </c:pt>
                <c:pt idx="71">
                  <c:v>-9.3490819770580913</c:v>
                </c:pt>
                <c:pt idx="72">
                  <c:v>-3.0634500102552238</c:v>
                </c:pt>
                <c:pt idx="73">
                  <c:v>-3.0634500102552238</c:v>
                </c:pt>
                <c:pt idx="74">
                  <c:v>-1.749081977058097</c:v>
                </c:pt>
                <c:pt idx="75">
                  <c:v>-5.6347139438609588</c:v>
                </c:pt>
                <c:pt idx="76">
                  <c:v>-6.3918979604595165</c:v>
                </c:pt>
                <c:pt idx="77">
                  <c:v>-7.1490819770581027</c:v>
                </c:pt>
                <c:pt idx="78">
                  <c:v>-8.4634500102552295</c:v>
                </c:pt>
                <c:pt idx="79">
                  <c:v>-4.2634500102552124</c:v>
                </c:pt>
                <c:pt idx="80">
                  <c:v>-3.2634500102552124</c:v>
                </c:pt>
                <c:pt idx="81">
                  <c:v>-2.4634500102552295</c:v>
                </c:pt>
                <c:pt idx="82">
                  <c:v>-5.8634500102552352</c:v>
                </c:pt>
                <c:pt idx="83">
                  <c:v>-6.4634500102552295</c:v>
                </c:pt>
                <c:pt idx="84">
                  <c:v>-5.0206340268537986</c:v>
                </c:pt>
                <c:pt idx="85">
                  <c:v>-4.0634500102552238</c:v>
                </c:pt>
                <c:pt idx="86">
                  <c:v>-0.22063402685378719</c:v>
                </c:pt>
                <c:pt idx="87">
                  <c:v>2.9793659731462014</c:v>
                </c:pt>
                <c:pt idx="88">
                  <c:v>-0.79189796045952221</c:v>
                </c:pt>
                <c:pt idx="89">
                  <c:v>-2.106265993656649</c:v>
                </c:pt>
                <c:pt idx="90">
                  <c:v>-0.62063402685379288</c:v>
                </c:pt>
                <c:pt idx="91">
                  <c:v>-2.6206340268537929</c:v>
                </c:pt>
                <c:pt idx="92">
                  <c:v>0.77936597314621281</c:v>
                </c:pt>
                <c:pt idx="93">
                  <c:v>0.36528605613904119</c:v>
                </c:pt>
                <c:pt idx="94">
                  <c:v>-1.8775299272623727</c:v>
                </c:pt>
                <c:pt idx="95">
                  <c:v>-1.9631618940652231</c:v>
                </c:pt>
                <c:pt idx="96">
                  <c:v>-1.8347139438609474</c:v>
                </c:pt>
                <c:pt idx="97">
                  <c:v>-4.7918979604595222</c:v>
                </c:pt>
                <c:pt idx="98">
                  <c:v>-5.106265993656649</c:v>
                </c:pt>
                <c:pt idx="99">
                  <c:v>-3.6634500102552181</c:v>
                </c:pt>
                <c:pt idx="100">
                  <c:v>-4.2634500102552124</c:v>
                </c:pt>
                <c:pt idx="101">
                  <c:v>-2.8634500102552352</c:v>
                </c:pt>
                <c:pt idx="102">
                  <c:v>2.7365499897447876</c:v>
                </c:pt>
                <c:pt idx="103">
                  <c:v>3.1365499897447648</c:v>
                </c:pt>
                <c:pt idx="104">
                  <c:v>1.5365499897447989</c:v>
                </c:pt>
                <c:pt idx="105">
                  <c:v>0.4937340063433453</c:v>
                </c:pt>
                <c:pt idx="106">
                  <c:v>0.29373400634335667</c:v>
                </c:pt>
                <c:pt idx="107">
                  <c:v>-3.8775299272623727</c:v>
                </c:pt>
                <c:pt idx="108">
                  <c:v>-4.7918979604595222</c:v>
                </c:pt>
                <c:pt idx="109">
                  <c:v>-4.3062659936566376</c:v>
                </c:pt>
                <c:pt idx="110">
                  <c:v>-5.8634500102552352</c:v>
                </c:pt>
                <c:pt idx="111">
                  <c:v>-4.6206340268537929</c:v>
                </c:pt>
                <c:pt idx="112">
                  <c:v>-3.242042018554514</c:v>
                </c:pt>
                <c:pt idx="113">
                  <c:v>-7.2775299272623784</c:v>
                </c:pt>
                <c:pt idx="114">
                  <c:v>-6.8347139438609474</c:v>
                </c:pt>
                <c:pt idx="115">
                  <c:v>-8.1918979604595279</c:v>
                </c:pt>
                <c:pt idx="116">
                  <c:v>-8.4946563206229371</c:v>
                </c:pt>
                <c:pt idx="117">
                  <c:v>-10.349081977058091</c:v>
                </c:pt>
                <c:pt idx="118">
                  <c:v>-10.663450010255218</c:v>
                </c:pt>
                <c:pt idx="119">
                  <c:v>-10.991897960459539</c:v>
                </c:pt>
                <c:pt idx="120">
                  <c:v>-10.020634026853799</c:v>
                </c:pt>
                <c:pt idx="121">
                  <c:v>-8.0206340268537986</c:v>
                </c:pt>
                <c:pt idx="122">
                  <c:v>-5.4420420185545311</c:v>
                </c:pt>
                <c:pt idx="123">
                  <c:v>-4.6420420185545197</c:v>
                </c:pt>
                <c:pt idx="124">
                  <c:v>-2.6206340268537929</c:v>
                </c:pt>
                <c:pt idx="125">
                  <c:v>-4.4206340268538042</c:v>
                </c:pt>
                <c:pt idx="126">
                  <c:v>-2.4206340268538042</c:v>
                </c:pt>
                <c:pt idx="127">
                  <c:v>-1.4206340268538042</c:v>
                </c:pt>
                <c:pt idx="128">
                  <c:v>-2.1276739853573758</c:v>
                </c:pt>
                <c:pt idx="129">
                  <c:v>2.1579579814454632</c:v>
                </c:pt>
                <c:pt idx="130">
                  <c:v>-0.44204201855453107</c:v>
                </c:pt>
                <c:pt idx="131">
                  <c:v>0.15795798144546325</c:v>
                </c:pt>
                <c:pt idx="132">
                  <c:v>-0.26345001025521242</c:v>
                </c:pt>
                <c:pt idx="133">
                  <c:v>0.73654998974478758</c:v>
                </c:pt>
                <c:pt idx="134">
                  <c:v>2.0937340063433396</c:v>
                </c:pt>
                <c:pt idx="135">
                  <c:v>2.893734006343351</c:v>
                </c:pt>
                <c:pt idx="136">
                  <c:v>-3.2634500102552124</c:v>
                </c:pt>
                <c:pt idx="137">
                  <c:v>-4.6634500102552181</c:v>
                </c:pt>
                <c:pt idx="138">
                  <c:v>-4.0206340268537986</c:v>
                </c:pt>
                <c:pt idx="139">
                  <c:v>-5.8420420185545368</c:v>
                </c:pt>
                <c:pt idx="140">
                  <c:v>-7.0206340268537986</c:v>
                </c:pt>
                <c:pt idx="141">
                  <c:v>-4.8206340268538099</c:v>
                </c:pt>
                <c:pt idx="142">
                  <c:v>-2.0206340268537986</c:v>
                </c:pt>
                <c:pt idx="143">
                  <c:v>-4.3490819770580913</c:v>
                </c:pt>
                <c:pt idx="144">
                  <c:v>-2.2634500102552124</c:v>
                </c:pt>
                <c:pt idx="145">
                  <c:v>-4.0420420185545254</c:v>
                </c:pt>
                <c:pt idx="146">
                  <c:v>-5.6206340268537929</c:v>
                </c:pt>
                <c:pt idx="147">
                  <c:v>-1.4206340268538042</c:v>
                </c:pt>
                <c:pt idx="148">
                  <c:v>-0.42063402685380424</c:v>
                </c:pt>
                <c:pt idx="149">
                  <c:v>-2.0206340268537986</c:v>
                </c:pt>
                <c:pt idx="150">
                  <c:v>-1.0206340268537986</c:v>
                </c:pt>
                <c:pt idx="151">
                  <c:v>-2.0206340268537986</c:v>
                </c:pt>
                <c:pt idx="152">
                  <c:v>-3.2206340268537872</c:v>
                </c:pt>
                <c:pt idx="153">
                  <c:v>-3.6634500102552181</c:v>
                </c:pt>
                <c:pt idx="154">
                  <c:v>-5.8634500102552352</c:v>
                </c:pt>
                <c:pt idx="155">
                  <c:v>-2.2206340268537872</c:v>
                </c:pt>
                <c:pt idx="156">
                  <c:v>-2.0206340268537986</c:v>
                </c:pt>
                <c:pt idx="157">
                  <c:v>3.9793659731462014</c:v>
                </c:pt>
                <c:pt idx="158">
                  <c:v>-0.30626599365663765</c:v>
                </c:pt>
                <c:pt idx="159">
                  <c:v>-2.3918979604595165</c:v>
                </c:pt>
                <c:pt idx="160">
                  <c:v>-3.3062659936566376</c:v>
                </c:pt>
                <c:pt idx="161">
                  <c:v>-0.30626599365663765</c:v>
                </c:pt>
                <c:pt idx="162">
                  <c:v>-2.0634026853798559E-2</c:v>
                </c:pt>
                <c:pt idx="163">
                  <c:v>-0.30626599365663765</c:v>
                </c:pt>
                <c:pt idx="164">
                  <c:v>-3.2206340268537872</c:v>
                </c:pt>
                <c:pt idx="165">
                  <c:v>2.3151419980440266</c:v>
                </c:pt>
                <c:pt idx="166">
                  <c:v>0.69373400634336235</c:v>
                </c:pt>
                <c:pt idx="167">
                  <c:v>-3.3062659936566376</c:v>
                </c:pt>
                <c:pt idx="168">
                  <c:v>-7.4206340268538042</c:v>
                </c:pt>
                <c:pt idx="169">
                  <c:v>-6.2206340268537872</c:v>
                </c:pt>
                <c:pt idx="170">
                  <c:v>-5.2206340268537872</c:v>
                </c:pt>
                <c:pt idx="171">
                  <c:v>-4.4206340268538042</c:v>
                </c:pt>
                <c:pt idx="172">
                  <c:v>-3.106265993656649</c:v>
                </c:pt>
                <c:pt idx="173">
                  <c:v>0.57936597314619576</c:v>
                </c:pt>
                <c:pt idx="174">
                  <c:v>-2.4634500102552295</c:v>
                </c:pt>
                <c:pt idx="175">
                  <c:v>-2.7062659936566433</c:v>
                </c:pt>
                <c:pt idx="176">
                  <c:v>-4.106265993656649</c:v>
                </c:pt>
                <c:pt idx="177">
                  <c:v>-3.9062659936566604</c:v>
                </c:pt>
                <c:pt idx="178">
                  <c:v>-2.7062659936566433</c:v>
                </c:pt>
                <c:pt idx="179">
                  <c:v>-1.106265993656649</c:v>
                </c:pt>
                <c:pt idx="180">
                  <c:v>-1.3918979604595165</c:v>
                </c:pt>
                <c:pt idx="181">
                  <c:v>-0.39189796045951653</c:v>
                </c:pt>
                <c:pt idx="182">
                  <c:v>-1.3918979604595165</c:v>
                </c:pt>
                <c:pt idx="183">
                  <c:v>-2.1490819770581027</c:v>
                </c:pt>
                <c:pt idx="184">
                  <c:v>-2.8347139438609474</c:v>
                </c:pt>
                <c:pt idx="185">
                  <c:v>-1.1490819770581027</c:v>
                </c:pt>
                <c:pt idx="186">
                  <c:v>-2.7062659936566433</c:v>
                </c:pt>
                <c:pt idx="187">
                  <c:v>-3.106265993656649</c:v>
                </c:pt>
                <c:pt idx="188">
                  <c:v>-2.106265993656649</c:v>
                </c:pt>
                <c:pt idx="189">
                  <c:v>-2.749081977058097</c:v>
                </c:pt>
                <c:pt idx="190">
                  <c:v>-2.949081977058114</c:v>
                </c:pt>
                <c:pt idx="191">
                  <c:v>-2.4634500102552295</c:v>
                </c:pt>
                <c:pt idx="192">
                  <c:v>-1.0206340268537986</c:v>
                </c:pt>
                <c:pt idx="193">
                  <c:v>-6.3450010255223788E-2</c:v>
                </c:pt>
                <c:pt idx="194">
                  <c:v>3.050918022941886</c:v>
                </c:pt>
                <c:pt idx="195">
                  <c:v>0.29373400634335667</c:v>
                </c:pt>
                <c:pt idx="196">
                  <c:v>-3.1918979604595279</c:v>
                </c:pt>
                <c:pt idx="197">
                  <c:v>-1.106265993656649</c:v>
                </c:pt>
                <c:pt idx="198">
                  <c:v>-0.10626599365664902</c:v>
                </c:pt>
                <c:pt idx="199">
                  <c:v>-1.106265993656649</c:v>
                </c:pt>
                <c:pt idx="200">
                  <c:v>2.6937340063433624</c:v>
                </c:pt>
                <c:pt idx="201">
                  <c:v>1.1365499897447648</c:v>
                </c:pt>
                <c:pt idx="202">
                  <c:v>4.8509180229418973</c:v>
                </c:pt>
                <c:pt idx="203">
                  <c:v>6.6937340063433624</c:v>
                </c:pt>
                <c:pt idx="204">
                  <c:v>4.9793659731462014</c:v>
                </c:pt>
                <c:pt idx="205">
                  <c:v>7.3793659731461787</c:v>
                </c:pt>
                <c:pt idx="206">
                  <c:v>10.17936597314619</c:v>
                </c:pt>
                <c:pt idx="207">
                  <c:v>6.4937340063433737</c:v>
                </c:pt>
                <c:pt idx="208">
                  <c:v>2.050918022941886</c:v>
                </c:pt>
                <c:pt idx="209">
                  <c:v>2.4081020395404948</c:v>
                </c:pt>
                <c:pt idx="210">
                  <c:v>5.6081020395404835</c:v>
                </c:pt>
                <c:pt idx="211">
                  <c:v>6.0849557522121813</c:v>
                </c:pt>
                <c:pt idx="212">
                  <c:v>6.4849557522122154</c:v>
                </c:pt>
                <c:pt idx="213">
                  <c:v>8.28495575221217</c:v>
                </c:pt>
                <c:pt idx="214">
                  <c:v>1.0849557522121813</c:v>
                </c:pt>
                <c:pt idx="215">
                  <c:v>1.6849557522122041</c:v>
                </c:pt>
                <c:pt idx="216">
                  <c:v>2.8849557522121927</c:v>
                </c:pt>
                <c:pt idx="217">
                  <c:v>3.6849557522122041</c:v>
                </c:pt>
                <c:pt idx="218">
                  <c:v>3.7365499897447876</c:v>
                </c:pt>
                <c:pt idx="219">
                  <c:v>5.9365499897447762</c:v>
                </c:pt>
                <c:pt idx="220">
                  <c:v>6.1365499897447648</c:v>
                </c:pt>
                <c:pt idx="221">
                  <c:v>5.8081020395404721</c:v>
                </c:pt>
                <c:pt idx="222">
                  <c:v>3.8509180229418973</c:v>
                </c:pt>
                <c:pt idx="223">
                  <c:v>3.4081020395404948</c:v>
                </c:pt>
                <c:pt idx="224">
                  <c:v>0.6509180229419087</c:v>
                </c:pt>
                <c:pt idx="225">
                  <c:v>-0.10626599365664902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2-4DB2-A579-6E0799E26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3215"/>
        <c:axId val="2123733615"/>
      </c:scatterChart>
      <c:valAx>
        <c:axId val="2123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3615"/>
        <c:crosses val="autoZero"/>
        <c:crossBetween val="midCat"/>
      </c:valAx>
      <c:valAx>
        <c:axId val="21237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Fat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'Cleaned Log'!$Z$2:$Z$227</c:f>
              <c:numCache>
                <c:formatCode>0.00</c:formatCode>
                <c:ptCount val="226"/>
                <c:pt idx="0">
                  <c:v>454.5</c:v>
                </c:pt>
                <c:pt idx="1">
                  <c:v>765</c:v>
                </c:pt>
                <c:pt idx="2">
                  <c:v>351.6825</c:v>
                </c:pt>
                <c:pt idx="3">
                  <c:v>108</c:v>
                </c:pt>
                <c:pt idx="4">
                  <c:v>540.88499999999999</c:v>
                </c:pt>
                <c:pt idx="5">
                  <c:v>313.755</c:v>
                </c:pt>
                <c:pt idx="6">
                  <c:v>637.21499999999992</c:v>
                </c:pt>
                <c:pt idx="7">
                  <c:v>2061</c:v>
                </c:pt>
                <c:pt idx="8">
                  <c:v>1083.9749999999999</c:v>
                </c:pt>
                <c:pt idx="9">
                  <c:v>741.97499999999991</c:v>
                </c:pt>
                <c:pt idx="10">
                  <c:v>689.43</c:v>
                </c:pt>
                <c:pt idx="11">
                  <c:v>498.41249999999997</c:v>
                </c:pt>
                <c:pt idx="12">
                  <c:v>1144.8</c:v>
                </c:pt>
                <c:pt idx="13">
                  <c:v>747.58124999999995</c:v>
                </c:pt>
                <c:pt idx="14">
                  <c:v>512.12249999999995</c:v>
                </c:pt>
                <c:pt idx="15">
                  <c:v>738.23249999999996</c:v>
                </c:pt>
                <c:pt idx="16">
                  <c:v>312.82499999999999</c:v>
                </c:pt>
                <c:pt idx="17">
                  <c:v>339.82499999999999</c:v>
                </c:pt>
                <c:pt idx="18">
                  <c:v>312.37499999999994</c:v>
                </c:pt>
                <c:pt idx="19">
                  <c:v>537.39750000000004</c:v>
                </c:pt>
                <c:pt idx="20">
                  <c:v>395.77500000000003</c:v>
                </c:pt>
                <c:pt idx="21">
                  <c:v>405.02249999999998</c:v>
                </c:pt>
                <c:pt idx="22">
                  <c:v>331.9896</c:v>
                </c:pt>
                <c:pt idx="23">
                  <c:v>267.82800000000003</c:v>
                </c:pt>
                <c:pt idx="24">
                  <c:v>503.53800000000007</c:v>
                </c:pt>
                <c:pt idx="25">
                  <c:v>313.81800000000004</c:v>
                </c:pt>
                <c:pt idx="26">
                  <c:v>583.99800000000005</c:v>
                </c:pt>
                <c:pt idx="27">
                  <c:v>511.27800000000008</c:v>
                </c:pt>
                <c:pt idx="28">
                  <c:v>286.27800000000008</c:v>
                </c:pt>
                <c:pt idx="29">
                  <c:v>403.46999999999997</c:v>
                </c:pt>
                <c:pt idx="30">
                  <c:v>318.11100000000005</c:v>
                </c:pt>
                <c:pt idx="31">
                  <c:v>585.68100000000004</c:v>
                </c:pt>
                <c:pt idx="32">
                  <c:v>384.71100000000007</c:v>
                </c:pt>
                <c:pt idx="33">
                  <c:v>806.32200000000012</c:v>
                </c:pt>
                <c:pt idx="34">
                  <c:v>468.68100000000004</c:v>
                </c:pt>
                <c:pt idx="35">
                  <c:v>841.5</c:v>
                </c:pt>
                <c:pt idx="36">
                  <c:v>268.79100000000005</c:v>
                </c:pt>
                <c:pt idx="37">
                  <c:v>2483.5499999999997</c:v>
                </c:pt>
                <c:pt idx="38">
                  <c:v>626</c:v>
                </c:pt>
                <c:pt idx="39">
                  <c:v>1485</c:v>
                </c:pt>
                <c:pt idx="40">
                  <c:v>893.25</c:v>
                </c:pt>
                <c:pt idx="41">
                  <c:v>1076.4000000000001</c:v>
                </c:pt>
                <c:pt idx="42">
                  <c:v>1215</c:v>
                </c:pt>
                <c:pt idx="43">
                  <c:v>1782</c:v>
                </c:pt>
                <c:pt idx="44">
                  <c:v>1046.6315999999999</c:v>
                </c:pt>
                <c:pt idx="45">
                  <c:v>1708.6206857142856</c:v>
                </c:pt>
                <c:pt idx="46">
                  <c:v>445.25625000000002</c:v>
                </c:pt>
                <c:pt idx="47">
                  <c:v>681.18285953177258</c:v>
                </c:pt>
                <c:pt idx="48">
                  <c:v>692.59500000000003</c:v>
                </c:pt>
                <c:pt idx="49">
                  <c:v>593.88285953177251</c:v>
                </c:pt>
                <c:pt idx="50">
                  <c:v>670.38285953177251</c:v>
                </c:pt>
                <c:pt idx="51">
                  <c:v>1030.7759999999998</c:v>
                </c:pt>
                <c:pt idx="52">
                  <c:v>620.88285953177274</c:v>
                </c:pt>
                <c:pt idx="53">
                  <c:v>859.7399999999999</c:v>
                </c:pt>
                <c:pt idx="54">
                  <c:v>652.38285953177251</c:v>
                </c:pt>
                <c:pt idx="55">
                  <c:v>776.05785953177258</c:v>
                </c:pt>
                <c:pt idx="56">
                  <c:v>715.29642857142858</c:v>
                </c:pt>
                <c:pt idx="57">
                  <c:v>514.8964285714286</c:v>
                </c:pt>
                <c:pt idx="58">
                  <c:v>825.90000000000009</c:v>
                </c:pt>
                <c:pt idx="59">
                  <c:v>487.89642857142866</c:v>
                </c:pt>
                <c:pt idx="60">
                  <c:v>971.7</c:v>
                </c:pt>
                <c:pt idx="61">
                  <c:v>688.59642857142865</c:v>
                </c:pt>
                <c:pt idx="62">
                  <c:v>845.79642857142858</c:v>
                </c:pt>
                <c:pt idx="63">
                  <c:v>346.20000000000005</c:v>
                </c:pt>
                <c:pt idx="64">
                  <c:v>2264.4</c:v>
                </c:pt>
                <c:pt idx="65">
                  <c:v>179.10000000000002</c:v>
                </c:pt>
                <c:pt idx="66">
                  <c:v>553.59642857142865</c:v>
                </c:pt>
                <c:pt idx="67">
                  <c:v>2794.2000000000003</c:v>
                </c:pt>
                <c:pt idx="68">
                  <c:v>764.77500000000009</c:v>
                </c:pt>
                <c:pt idx="69">
                  <c:v>798.83571428571429</c:v>
                </c:pt>
                <c:pt idx="70">
                  <c:v>436.05000000000007</c:v>
                </c:pt>
                <c:pt idx="71">
                  <c:v>2185.2857142857147</c:v>
                </c:pt>
                <c:pt idx="72">
                  <c:v>640.79999999999995</c:v>
                </c:pt>
                <c:pt idx="73">
                  <c:v>1881</c:v>
                </c:pt>
                <c:pt idx="74">
                  <c:v>423.4500000000001</c:v>
                </c:pt>
                <c:pt idx="75">
                  <c:v>610.28571428571422</c:v>
                </c:pt>
                <c:pt idx="76">
                  <c:v>918.90000000000009</c:v>
                </c:pt>
                <c:pt idx="77">
                  <c:v>565.28571428571422</c:v>
                </c:pt>
                <c:pt idx="78">
                  <c:v>2161.8857142857146</c:v>
                </c:pt>
                <c:pt idx="79">
                  <c:v>1147.5</c:v>
                </c:pt>
                <c:pt idx="80">
                  <c:v>490.05000000000007</c:v>
                </c:pt>
                <c:pt idx="81">
                  <c:v>662.62071428571426</c:v>
                </c:pt>
                <c:pt idx="82">
                  <c:v>568.03499999999997</c:v>
                </c:pt>
                <c:pt idx="83">
                  <c:v>348.48</c:v>
                </c:pt>
                <c:pt idx="84">
                  <c:v>658.57500000000005</c:v>
                </c:pt>
                <c:pt idx="85">
                  <c:v>1208.0362500000001</c:v>
                </c:pt>
                <c:pt idx="86">
                  <c:v>2398.0612499999997</c:v>
                </c:pt>
                <c:pt idx="87">
                  <c:v>584.12249999999995</c:v>
                </c:pt>
                <c:pt idx="88">
                  <c:v>781.7962500000001</c:v>
                </c:pt>
                <c:pt idx="89">
                  <c:v>1156.05</c:v>
                </c:pt>
                <c:pt idx="90">
                  <c:v>1127.25</c:v>
                </c:pt>
                <c:pt idx="91">
                  <c:v>2947.2750000000001</c:v>
                </c:pt>
                <c:pt idx="92">
                  <c:v>1759.5</c:v>
                </c:pt>
                <c:pt idx="93">
                  <c:v>690.3</c:v>
                </c:pt>
                <c:pt idx="94">
                  <c:v>573.56399999999996</c:v>
                </c:pt>
                <c:pt idx="95">
                  <c:v>1379.16</c:v>
                </c:pt>
                <c:pt idx="96">
                  <c:v>538.46399999999994</c:v>
                </c:pt>
                <c:pt idx="97">
                  <c:v>1276.155</c:v>
                </c:pt>
                <c:pt idx="98">
                  <c:v>1019.0550000000001</c:v>
                </c:pt>
                <c:pt idx="99">
                  <c:v>1252.5509999999999</c:v>
                </c:pt>
                <c:pt idx="100">
                  <c:v>2338.1550000000002</c:v>
                </c:pt>
                <c:pt idx="101">
                  <c:v>2296.8000000000002</c:v>
                </c:pt>
                <c:pt idx="102">
                  <c:v>384.91500000000002</c:v>
                </c:pt>
                <c:pt idx="103">
                  <c:v>687.54</c:v>
                </c:pt>
                <c:pt idx="104">
                  <c:v>687.54</c:v>
                </c:pt>
                <c:pt idx="105">
                  <c:v>818.37450000000013</c:v>
                </c:pt>
                <c:pt idx="106">
                  <c:v>882.33749999999998</c:v>
                </c:pt>
                <c:pt idx="107">
                  <c:v>593.89650000000006</c:v>
                </c:pt>
                <c:pt idx="108">
                  <c:v>376.911</c:v>
                </c:pt>
                <c:pt idx="109">
                  <c:v>691.875</c:v>
                </c:pt>
                <c:pt idx="110">
                  <c:v>586.45799999999997</c:v>
                </c:pt>
                <c:pt idx="111">
                  <c:v>787.5</c:v>
                </c:pt>
                <c:pt idx="112">
                  <c:v>522.47699999999998</c:v>
                </c:pt>
                <c:pt idx="113">
                  <c:v>333.59400000000005</c:v>
                </c:pt>
                <c:pt idx="114">
                  <c:v>583.875</c:v>
                </c:pt>
                <c:pt idx="115">
                  <c:v>325.548</c:v>
                </c:pt>
                <c:pt idx="116">
                  <c:v>472.83750000000003</c:v>
                </c:pt>
                <c:pt idx="117">
                  <c:v>230.4</c:v>
                </c:pt>
                <c:pt idx="118">
                  <c:v>187.2</c:v>
                </c:pt>
                <c:pt idx="119">
                  <c:v>85.5</c:v>
                </c:pt>
                <c:pt idx="120">
                  <c:v>99</c:v>
                </c:pt>
                <c:pt idx="121">
                  <c:v>2592</c:v>
                </c:pt>
                <c:pt idx="122">
                  <c:v>849.28499999999997</c:v>
                </c:pt>
                <c:pt idx="123">
                  <c:v>1831.05</c:v>
                </c:pt>
                <c:pt idx="124">
                  <c:v>0</c:v>
                </c:pt>
                <c:pt idx="125">
                  <c:v>1249.866</c:v>
                </c:pt>
                <c:pt idx="126">
                  <c:v>1613.1455357142856</c:v>
                </c:pt>
                <c:pt idx="127">
                  <c:v>2220.9460714285715</c:v>
                </c:pt>
                <c:pt idx="128">
                  <c:v>2277.3716517857147</c:v>
                </c:pt>
                <c:pt idx="129">
                  <c:v>2008.2977678571428</c:v>
                </c:pt>
                <c:pt idx="130">
                  <c:v>1839.5315357142856</c:v>
                </c:pt>
                <c:pt idx="131">
                  <c:v>0</c:v>
                </c:pt>
                <c:pt idx="132">
                  <c:v>1932.3</c:v>
                </c:pt>
                <c:pt idx="133">
                  <c:v>1655.595</c:v>
                </c:pt>
                <c:pt idx="134">
                  <c:v>2253.1950000000002</c:v>
                </c:pt>
                <c:pt idx="135">
                  <c:v>1360.42875</c:v>
                </c:pt>
                <c:pt idx="136">
                  <c:v>671.17387499999995</c:v>
                </c:pt>
                <c:pt idx="137">
                  <c:v>746.34243749999996</c:v>
                </c:pt>
                <c:pt idx="138">
                  <c:v>153</c:v>
                </c:pt>
                <c:pt idx="139">
                  <c:v>892.71899999999994</c:v>
                </c:pt>
                <c:pt idx="140">
                  <c:v>1339.6505625</c:v>
                </c:pt>
                <c:pt idx="141">
                  <c:v>845.69456249999996</c:v>
                </c:pt>
                <c:pt idx="142">
                  <c:v>1003.0674375</c:v>
                </c:pt>
                <c:pt idx="143">
                  <c:v>947.02499999999998</c:v>
                </c:pt>
                <c:pt idx="144">
                  <c:v>472.34756250000004</c:v>
                </c:pt>
                <c:pt idx="145">
                  <c:v>0</c:v>
                </c:pt>
                <c:pt idx="146">
                  <c:v>427.34756250000004</c:v>
                </c:pt>
                <c:pt idx="147">
                  <c:v>2380.5</c:v>
                </c:pt>
                <c:pt idx="148">
                  <c:v>742.5</c:v>
                </c:pt>
                <c:pt idx="149">
                  <c:v>892.8</c:v>
                </c:pt>
                <c:pt idx="150">
                  <c:v>423</c:v>
                </c:pt>
                <c:pt idx="151">
                  <c:v>1950.9275</c:v>
                </c:pt>
                <c:pt idx="152">
                  <c:v>506.47499999999997</c:v>
                </c:pt>
                <c:pt idx="153">
                  <c:v>490.04500000000002</c:v>
                </c:pt>
                <c:pt idx="154">
                  <c:v>520.17699999999991</c:v>
                </c:pt>
                <c:pt idx="155">
                  <c:v>666.44</c:v>
                </c:pt>
                <c:pt idx="156">
                  <c:v>2497.0450000000001</c:v>
                </c:pt>
                <c:pt idx="157">
                  <c:v>499.72500000000002</c:v>
                </c:pt>
                <c:pt idx="158">
                  <c:v>1215.8900000000001</c:v>
                </c:pt>
                <c:pt idx="159">
                  <c:v>1564.6949999999999</c:v>
                </c:pt>
                <c:pt idx="160">
                  <c:v>1551.528</c:v>
                </c:pt>
                <c:pt idx="161">
                  <c:v>668.92499999999995</c:v>
                </c:pt>
                <c:pt idx="162">
                  <c:v>359.77499999999998</c:v>
                </c:pt>
                <c:pt idx="163">
                  <c:v>800.09</c:v>
                </c:pt>
                <c:pt idx="164">
                  <c:v>1899.89</c:v>
                </c:pt>
                <c:pt idx="165">
                  <c:v>1282.5</c:v>
                </c:pt>
                <c:pt idx="166">
                  <c:v>243.387</c:v>
                </c:pt>
                <c:pt idx="167">
                  <c:v>236.955375</c:v>
                </c:pt>
                <c:pt idx="168">
                  <c:v>405.67500000000001</c:v>
                </c:pt>
                <c:pt idx="169">
                  <c:v>543.23571428571427</c:v>
                </c:pt>
                <c:pt idx="170">
                  <c:v>600.330375</c:v>
                </c:pt>
                <c:pt idx="171">
                  <c:v>457.875</c:v>
                </c:pt>
                <c:pt idx="172">
                  <c:v>2017.8</c:v>
                </c:pt>
                <c:pt idx="173">
                  <c:v>987.19108928571427</c:v>
                </c:pt>
                <c:pt idx="174">
                  <c:v>943.45108928571426</c:v>
                </c:pt>
                <c:pt idx="175">
                  <c:v>877.58571428571429</c:v>
                </c:pt>
                <c:pt idx="176">
                  <c:v>874.17</c:v>
                </c:pt>
                <c:pt idx="177">
                  <c:v>272.7</c:v>
                </c:pt>
                <c:pt idx="178">
                  <c:v>1310.9357142857143</c:v>
                </c:pt>
                <c:pt idx="179">
                  <c:v>585.12857142857138</c:v>
                </c:pt>
                <c:pt idx="180">
                  <c:v>945.67499999999995</c:v>
                </c:pt>
                <c:pt idx="181">
                  <c:v>785.47500000000002</c:v>
                </c:pt>
                <c:pt idx="182">
                  <c:v>1472.3000357142857</c:v>
                </c:pt>
                <c:pt idx="183">
                  <c:v>935.13037499999996</c:v>
                </c:pt>
                <c:pt idx="184">
                  <c:v>826.875</c:v>
                </c:pt>
                <c:pt idx="185">
                  <c:v>315.67500000000001</c:v>
                </c:pt>
                <c:pt idx="186">
                  <c:v>642.21428571428567</c:v>
                </c:pt>
                <c:pt idx="187">
                  <c:v>1102.6285714285714</c:v>
                </c:pt>
                <c:pt idx="188">
                  <c:v>648.80399999999997</c:v>
                </c:pt>
                <c:pt idx="189">
                  <c:v>2116.2663750000002</c:v>
                </c:pt>
                <c:pt idx="190">
                  <c:v>1292.7946607142858</c:v>
                </c:pt>
                <c:pt idx="191">
                  <c:v>977.22766071428578</c:v>
                </c:pt>
                <c:pt idx="192">
                  <c:v>2241</c:v>
                </c:pt>
                <c:pt idx="193">
                  <c:v>1803.675</c:v>
                </c:pt>
                <c:pt idx="194">
                  <c:v>920.65966071428568</c:v>
                </c:pt>
                <c:pt idx="195">
                  <c:v>903.3522857142857</c:v>
                </c:pt>
                <c:pt idx="196">
                  <c:v>727.35428571428565</c:v>
                </c:pt>
                <c:pt idx="197">
                  <c:v>806.47500000000002</c:v>
                </c:pt>
                <c:pt idx="198">
                  <c:v>746.40857142857135</c:v>
                </c:pt>
                <c:pt idx="199">
                  <c:v>1843.905375</c:v>
                </c:pt>
                <c:pt idx="200">
                  <c:v>2052.7053750000005</c:v>
                </c:pt>
                <c:pt idx="201">
                  <c:v>1545.7114285714285</c:v>
                </c:pt>
                <c:pt idx="202">
                  <c:v>1803.067875</c:v>
                </c:pt>
                <c:pt idx="203">
                  <c:v>2149.1178749999999</c:v>
                </c:pt>
                <c:pt idx="204">
                  <c:v>1801.8</c:v>
                </c:pt>
                <c:pt idx="205">
                  <c:v>1943.6999999999998</c:v>
                </c:pt>
                <c:pt idx="206">
                  <c:v>438.48</c:v>
                </c:pt>
                <c:pt idx="207">
                  <c:v>746.97899999999981</c:v>
                </c:pt>
                <c:pt idx="208">
                  <c:v>1056.5159999999998</c:v>
                </c:pt>
                <c:pt idx="209">
                  <c:v>1363.68</c:v>
                </c:pt>
                <c:pt idx="210">
                  <c:v>304.32599999999996</c:v>
                </c:pt>
                <c:pt idx="211">
                  <c:v>942.01611325038107</c:v>
                </c:pt>
                <c:pt idx="212">
                  <c:v>942.01611325038107</c:v>
                </c:pt>
                <c:pt idx="213">
                  <c:v>942.01611325038107</c:v>
                </c:pt>
                <c:pt idx="214">
                  <c:v>942.01611325038107</c:v>
                </c:pt>
                <c:pt idx="215">
                  <c:v>942.01611325038107</c:v>
                </c:pt>
                <c:pt idx="216">
                  <c:v>942.01611325038107</c:v>
                </c:pt>
                <c:pt idx="217">
                  <c:v>942.01611325038107</c:v>
                </c:pt>
                <c:pt idx="218">
                  <c:v>560.25</c:v>
                </c:pt>
                <c:pt idx="219">
                  <c:v>821.25</c:v>
                </c:pt>
                <c:pt idx="220">
                  <c:v>468</c:v>
                </c:pt>
                <c:pt idx="221">
                  <c:v>1804.5</c:v>
                </c:pt>
                <c:pt idx="222">
                  <c:v>446.89499999999998</c:v>
                </c:pt>
                <c:pt idx="223">
                  <c:v>399.98700000000002</c:v>
                </c:pt>
                <c:pt idx="224">
                  <c:v>528.399</c:v>
                </c:pt>
                <c:pt idx="225">
                  <c:v>2540.6999999999998</c:v>
                </c:pt>
              </c:numCache>
            </c:numRef>
          </c:xVal>
          <c:yVal>
            <c:numRef>
              <c:f>Residuals!$BS$2:$BS$227</c:f>
              <c:numCache>
                <c:formatCode>0.00</c:formatCode>
                <c:ptCount val="226"/>
                <c:pt idx="0">
                  <c:v>20.13848534627553</c:v>
                </c:pt>
                <c:pt idx="1">
                  <c:v>16.559153049597342</c:v>
                </c:pt>
                <c:pt idx="2">
                  <c:v>16.265414487704533</c:v>
                </c:pt>
                <c:pt idx="3">
                  <c:v>17.092232981699027</c:v>
                </c:pt>
                <c:pt idx="4">
                  <c:v>14.199877873011303</c:v>
                </c:pt>
                <c:pt idx="5">
                  <c:v>13.038459981045179</c:v>
                </c:pt>
                <c:pt idx="6">
                  <c:v>13.468338162418661</c:v>
                </c:pt>
                <c:pt idx="7">
                  <c:v>14.48020085476665</c:v>
                </c:pt>
                <c:pt idx="8">
                  <c:v>14.385843808589499</c:v>
                </c:pt>
                <c:pt idx="9">
                  <c:v>17.342789526669861</c:v>
                </c:pt>
                <c:pt idx="10">
                  <c:v>15.505446581513525</c:v>
                </c:pt>
                <c:pt idx="11">
                  <c:v>12.969693302868478</c:v>
                </c:pt>
                <c:pt idx="12">
                  <c:v>11.62907122583448</c:v>
                </c:pt>
                <c:pt idx="13">
                  <c:v>14.346773804646517</c:v>
                </c:pt>
                <c:pt idx="14">
                  <c:v>12.179436794696358</c:v>
                </c:pt>
                <c:pt idx="15">
                  <c:v>12.340129787926941</c:v>
                </c:pt>
                <c:pt idx="16">
                  <c:v>9.2377990439627524</c:v>
                </c:pt>
                <c:pt idx="17">
                  <c:v>9.0569875399037869</c:v>
                </c:pt>
                <c:pt idx="18">
                  <c:v>7.6374792356970431</c:v>
                </c:pt>
                <c:pt idx="19">
                  <c:v>7.5973993589522308</c:v>
                </c:pt>
                <c:pt idx="20">
                  <c:v>6.2967503676038064</c:v>
                </c:pt>
                <c:pt idx="21">
                  <c:v>6.3033224274635984</c:v>
                </c:pt>
                <c:pt idx="22">
                  <c:v>4.2514190383816981</c:v>
                </c:pt>
                <c:pt idx="23">
                  <c:v>4.6058203494494592</c:v>
                </c:pt>
                <c:pt idx="24">
                  <c:v>3.5733359190146246</c:v>
                </c:pt>
                <c:pt idx="25">
                  <c:v>1.4385047542023415</c:v>
                </c:pt>
                <c:pt idx="26">
                  <c:v>4.4305176369188928</c:v>
                </c:pt>
                <c:pt idx="27">
                  <c:v>4.378836621184405</c:v>
                </c:pt>
                <c:pt idx="28">
                  <c:v>3.4189324883425058</c:v>
                </c:pt>
                <c:pt idx="29">
                  <c:v>2.7022190889469755</c:v>
                </c:pt>
                <c:pt idx="30">
                  <c:v>2.4415557250569861</c:v>
                </c:pt>
                <c:pt idx="31">
                  <c:v>0.63171371983256108</c:v>
                </c:pt>
                <c:pt idx="32">
                  <c:v>0.48888734837817083</c:v>
                </c:pt>
                <c:pt idx="33">
                  <c:v>-0.21148002339248251</c:v>
                </c:pt>
                <c:pt idx="34">
                  <c:v>0.14856357075476012</c:v>
                </c:pt>
                <c:pt idx="35">
                  <c:v>0.4135204547635567</c:v>
                </c:pt>
                <c:pt idx="36">
                  <c:v>-2.7934952608619597</c:v>
                </c:pt>
                <c:pt idx="37">
                  <c:v>-1.2194991837562839</c:v>
                </c:pt>
                <c:pt idx="38">
                  <c:v>1.6603678297527722</c:v>
                </c:pt>
                <c:pt idx="39">
                  <c:v>6.4708462746913824</c:v>
                </c:pt>
                <c:pt idx="40">
                  <c:v>5.8502984053172042</c:v>
                </c:pt>
                <c:pt idx="41">
                  <c:v>3.5804603694505488</c:v>
                </c:pt>
                <c:pt idx="42">
                  <c:v>3.0789613152811057</c:v>
                </c:pt>
                <c:pt idx="43">
                  <c:v>5.4819197300426765</c:v>
                </c:pt>
                <c:pt idx="44">
                  <c:v>4.159304413058976</c:v>
                </c:pt>
                <c:pt idx="45">
                  <c:v>6.2297701495120918</c:v>
                </c:pt>
                <c:pt idx="46">
                  <c:v>6.3319159514846035</c:v>
                </c:pt>
                <c:pt idx="47">
                  <c:v>2.4995854622024183</c:v>
                </c:pt>
                <c:pt idx="48">
                  <c:v>0.50769589964880879</c:v>
                </c:pt>
                <c:pt idx="49">
                  <c:v>-1.3624573413402459</c:v>
                </c:pt>
                <c:pt idx="50">
                  <c:v>-2.3080899361740137</c:v>
                </c:pt>
                <c:pt idx="51">
                  <c:v>-2.4519639245796157</c:v>
                </c:pt>
                <c:pt idx="52">
                  <c:v>-0.94326884539921707</c:v>
                </c:pt>
                <c:pt idx="53">
                  <c:v>-2.3735166502006848</c:v>
                </c:pt>
                <c:pt idx="54">
                  <c:v>-2.1208822668013738</c:v>
                </c:pt>
                <c:pt idx="55">
                  <c:v>-3.6329882951159505</c:v>
                </c:pt>
                <c:pt idx="56">
                  <c:v>-3.8761705347956763</c:v>
                </c:pt>
                <c:pt idx="57">
                  <c:v>-5.4185918157802178</c:v>
                </c:pt>
                <c:pt idx="58">
                  <c:v>-5.5975662317801209</c:v>
                </c:pt>
                <c:pt idx="59">
                  <c:v>-6.2377803117212522</c:v>
                </c:pt>
                <c:pt idx="60">
                  <c:v>-6.6939483536985733</c:v>
                </c:pt>
                <c:pt idx="61">
                  <c:v>-7.6951458252262626</c:v>
                </c:pt>
                <c:pt idx="62">
                  <c:v>-8.5834261377474093</c:v>
                </c:pt>
                <c:pt idx="63">
                  <c:v>-8.9384818429990389</c:v>
                </c:pt>
                <c:pt idx="64">
                  <c:v>-7.1752458091442861</c:v>
                </c:pt>
                <c:pt idx="65">
                  <c:v>-4.8572373123229511</c:v>
                </c:pt>
                <c:pt idx="66">
                  <c:v>-6.3910883049314009</c:v>
                </c:pt>
                <c:pt idx="67">
                  <c:v>-4.9987248776792228</c:v>
                </c:pt>
                <c:pt idx="68">
                  <c:v>-2.8410068545354932</c:v>
                </c:pt>
                <c:pt idx="69">
                  <c:v>-5.6168004146162502</c:v>
                </c:pt>
                <c:pt idx="70">
                  <c:v>-8.0746267926175221</c:v>
                </c:pt>
                <c:pt idx="71">
                  <c:v>-8.4314711480444942</c:v>
                </c:pt>
                <c:pt idx="72">
                  <c:v>-3.3291140317313932</c:v>
                </c:pt>
                <c:pt idx="73">
                  <c:v>-2.447722451506877</c:v>
                </c:pt>
                <c:pt idx="74">
                  <c:v>-2.0835814240566606</c:v>
                </c:pt>
                <c:pt idx="75">
                  <c:v>-5.7508000779377539</c:v>
                </c:pt>
                <c:pt idx="76">
                  <c:v>-6.3314725235387925</c:v>
                </c:pt>
                <c:pt idx="77">
                  <c:v>-7.3827809045061485</c:v>
                </c:pt>
                <c:pt idx="78">
                  <c:v>-7.6481011778600703</c:v>
                </c:pt>
                <c:pt idx="79">
                  <c:v>-4.1690099245714407</c:v>
                </c:pt>
                <c:pt idx="80">
                  <c:v>-3.6362498007354418</c:v>
                </c:pt>
                <c:pt idx="81">
                  <c:v>-2.7136063766387508</c:v>
                </c:pt>
                <c:pt idx="82">
                  <c:v>-6.1808270282924695</c:v>
                </c:pt>
                <c:pt idx="83">
                  <c:v>-6.9368614811195926</c:v>
                </c:pt>
                <c:pt idx="84">
                  <c:v>-5.3164816052368735</c:v>
                </c:pt>
                <c:pt idx="85">
                  <c:v>-3.9259877176303348</c:v>
                </c:pt>
                <c:pt idx="86">
                  <c:v>0.71974524097043968</c:v>
                </c:pt>
                <c:pt idx="87">
                  <c:v>2.6306061172057298</c:v>
                </c:pt>
                <c:pt idx="88">
                  <c:v>-0.82891010688601341</c:v>
                </c:pt>
                <c:pt idx="89">
                  <c:v>-1.9629335675234643</c:v>
                </c:pt>
                <c:pt idx="90">
                  <c:v>-0.58340129652722794</c:v>
                </c:pt>
                <c:pt idx="91">
                  <c:v>-1.289936765969145</c:v>
                </c:pt>
                <c:pt idx="92">
                  <c:v>1.265929316758502</c:v>
                </c:pt>
                <c:pt idx="93">
                  <c:v>0.30606487749381017</c:v>
                </c:pt>
                <c:pt idx="94">
                  <c:v>-1.9768976507347418</c:v>
                </c:pt>
                <c:pt idx="95">
                  <c:v>-1.404372629397443</c:v>
                </c:pt>
                <c:pt idx="96">
                  <c:v>-2.0018426954580946</c:v>
                </c:pt>
                <c:pt idx="97">
                  <c:v>-4.477576741412463</c:v>
                </c:pt>
                <c:pt idx="98">
                  <c:v>-5.0602938638731132</c:v>
                </c:pt>
                <c:pt idx="99">
                  <c:v>-3.4943517509751132</c:v>
                </c:pt>
                <c:pt idx="100">
                  <c:v>-3.3228292343987107</c:v>
                </c:pt>
                <c:pt idx="101">
                  <c:v>-1.9522196140150641</c:v>
                </c:pt>
                <c:pt idx="102">
                  <c:v>2.2890323281253018</c:v>
                </c:pt>
                <c:pt idx="103">
                  <c:v>2.9041033867976296</c:v>
                </c:pt>
                <c:pt idx="104">
                  <c:v>1.3041033867976637</c:v>
                </c:pt>
                <c:pt idx="105">
                  <c:v>0.39708550799008435</c:v>
                </c:pt>
                <c:pt idx="106">
                  <c:v>0.24254305487437477</c:v>
                </c:pt>
                <c:pt idx="107">
                  <c:v>-3.9624476472636161</c:v>
                </c:pt>
                <c:pt idx="108">
                  <c:v>-5.1166559948936765</c:v>
                </c:pt>
                <c:pt idx="109">
                  <c:v>-4.492815793576284</c:v>
                </c:pt>
                <c:pt idx="110">
                  <c:v>-6.1677340778953749</c:v>
                </c:pt>
                <c:pt idx="111">
                  <c:v>-4.8248565371184782</c:v>
                </c:pt>
                <c:pt idx="112">
                  <c:v>-3.6132044171102677</c:v>
                </c:pt>
                <c:pt idx="113">
                  <c:v>-7.5474407385484028</c:v>
                </c:pt>
                <c:pt idx="114">
                  <c:v>-6.9695697773403822</c:v>
                </c:pt>
                <c:pt idx="115">
                  <c:v>-8.5531589103388228</c:v>
                </c:pt>
                <c:pt idx="116">
                  <c:v>-8.6484824668978604</c:v>
                </c:pt>
                <c:pt idx="117">
                  <c:v>-10.820779170034996</c:v>
                </c:pt>
                <c:pt idx="118">
                  <c:v>-11.251480763540656</c:v>
                </c:pt>
                <c:pt idx="119">
                  <c:v>-11.52375743158521</c:v>
                </c:pt>
                <c:pt idx="120">
                  <c:v>-10.714163183614659</c:v>
                </c:pt>
                <c:pt idx="121">
                  <c:v>-6.9424253917264878</c:v>
                </c:pt>
                <c:pt idx="122">
                  <c:v>-5.5809468622400971</c:v>
                </c:pt>
                <c:pt idx="123">
                  <c:v>-4.0832211689977669</c:v>
                </c:pt>
                <c:pt idx="124">
                  <c:v>-3.3845210020650995</c:v>
                </c:pt>
                <c:pt idx="125">
                  <c:v>-4.2962599402937087</c:v>
                </c:pt>
                <c:pt idx="126">
                  <c:v>-2.0380826107932819</c:v>
                </c:pt>
                <c:pt idx="127">
                  <c:v>-0.60612786588558265</c:v>
                </c:pt>
                <c:pt idx="128">
                  <c:v>-1.1660270503428478</c:v>
                </c:pt>
                <c:pt idx="129">
                  <c:v>2.8427461670793548</c:v>
                </c:pt>
                <c:pt idx="130">
                  <c:v>0.12280653150693865</c:v>
                </c:pt>
                <c:pt idx="131">
                  <c:v>-0.58452100206511659</c:v>
                </c:pt>
                <c:pt idx="132">
                  <c:v>0.38873569078108972</c:v>
                </c:pt>
                <c:pt idx="133">
                  <c:v>1.1920855882121373</c:v>
                </c:pt>
                <c:pt idx="134">
                  <c:v>3.0167909650401725</c:v>
                </c:pt>
                <c:pt idx="135">
                  <c:v>3.1823153515434797</c:v>
                </c:pt>
                <c:pt idx="136">
                  <c:v>-3.5075277733184009</c:v>
                </c:pt>
                <c:pt idx="137">
                  <c:v>-4.8541066008582447</c:v>
                </c:pt>
                <c:pt idx="138">
                  <c:v>-4.6757861917326125</c:v>
                </c:pt>
                <c:pt idx="139">
                  <c:v>-5.9500789684363156</c:v>
                </c:pt>
                <c:pt idx="140">
                  <c:v>-6.8324513953641315</c:v>
                </c:pt>
                <c:pt idx="141">
                  <c:v>-4.9834985324399383</c:v>
                </c:pt>
                <c:pt idx="142">
                  <c:v>-2.0716559852856449</c:v>
                </c:pt>
                <c:pt idx="143">
                  <c:v>-4.3114845069335672</c:v>
                </c:pt>
                <c:pt idx="144">
                  <c:v>-2.6488306581471193</c:v>
                </c:pt>
                <c:pt idx="145">
                  <c:v>-4.7845210020651052</c:v>
                </c:pt>
                <c:pt idx="146">
                  <c:v>-6.0808114847154968</c:v>
                </c:pt>
                <c:pt idx="147">
                  <c:v>-0.49273527659786964</c:v>
                </c:pt>
                <c:pt idx="148">
                  <c:v>-0.65683736368686141</c:v>
                </c:pt>
                <c:pt idx="149">
                  <c:v>-2.1500214029484823</c:v>
                </c:pt>
                <c:pt idx="150">
                  <c:v>-1.4839012323223528</c:v>
                </c:pt>
                <c:pt idx="151">
                  <c:v>-1.3980260237322</c:v>
                </c:pt>
                <c:pt idx="152">
                  <c:v>-3.6245767990379818</c:v>
                </c:pt>
                <c:pt idx="153">
                  <c:v>-4.0362533541606354</c:v>
                </c:pt>
                <c:pt idx="154">
                  <c:v>-6.2148389926904599</c:v>
                </c:pt>
                <c:pt idx="155">
                  <c:v>-2.5108920674377657</c:v>
                </c:pt>
                <c:pt idx="156">
                  <c:v>-1.0099084892109431</c:v>
                </c:pt>
                <c:pt idx="157">
                  <c:v>3.5706260769767368</c:v>
                </c:pt>
                <c:pt idx="158">
                  <c:v>-0.12040617503785711</c:v>
                </c:pt>
                <c:pt idx="159">
                  <c:v>-1.872515681456008</c:v>
                </c:pt>
                <c:pt idx="160">
                  <c:v>-2.8818732713098996</c:v>
                </c:pt>
                <c:pt idx="161">
                  <c:v>-0.50912601512615652</c:v>
                </c:pt>
                <c:pt idx="162">
                  <c:v>-0.52883429365093093</c:v>
                </c:pt>
                <c:pt idx="163">
                  <c:v>-0.41590901252968138</c:v>
                </c:pt>
                <c:pt idx="164">
                  <c:v>-2.634297611198491</c:v>
                </c:pt>
                <c:pt idx="165">
                  <c:v>2.5269325551336692</c:v>
                </c:pt>
                <c:pt idx="166">
                  <c:v>0.18845049651264389</c:v>
                </c:pt>
                <c:pt idx="167">
                  <c:v>-3.8161203631246394</c:v>
                </c:pt>
                <c:pt idx="168">
                  <c:v>-7.8962138505511632</c:v>
                </c:pt>
                <c:pt idx="169">
                  <c:v>-6.5984515095246365</c:v>
                </c:pt>
                <c:pt idx="170">
                  <c:v>-5.5578751885850011</c:v>
                </c:pt>
                <c:pt idx="171">
                  <c:v>-4.8591160917318632</c:v>
                </c:pt>
                <c:pt idx="172">
                  <c:v>-2.3505007387390151</c:v>
                </c:pt>
                <c:pt idx="173">
                  <c:v>0.51706093163033984</c:v>
                </c:pt>
                <c:pt idx="174">
                  <c:v>-2.5140244317941267</c:v>
                </c:pt>
                <c:pt idx="175">
                  <c:v>-2.7608339681215739</c:v>
                </c:pt>
                <c:pt idx="176">
                  <c:v>-4.1632614651477695</c:v>
                </c:pt>
                <c:pt idx="177">
                  <c:v>-4.3907171930607376</c:v>
                </c:pt>
                <c:pt idx="178">
                  <c:v>-2.4528586082680874</c:v>
                </c:pt>
                <c:pt idx="179">
                  <c:v>-1.3686788828860017</c:v>
                </c:pt>
                <c:pt idx="180">
                  <c:v>-1.3124439317306269</c:v>
                </c:pt>
                <c:pt idx="181">
                  <c:v>-0.4262956743140478</c:v>
                </c:pt>
                <c:pt idx="182">
                  <c:v>-0.93817939986962529</c:v>
                </c:pt>
                <c:pt idx="183">
                  <c:v>-2.1199378389162575</c:v>
                </c:pt>
                <c:pt idx="184">
                  <c:v>-2.7968733138711457</c:v>
                </c:pt>
                <c:pt idx="185">
                  <c:v>-1.5601755036879297</c:v>
                </c:pt>
                <c:pt idx="186">
                  <c:v>-2.9281089200392501</c:v>
                </c:pt>
                <c:pt idx="187">
                  <c:v>-3.00089937734964</c:v>
                </c:pt>
                <c:pt idx="188">
                  <c:v>-2.3234257087124206</c:v>
                </c:pt>
                <c:pt idx="189">
                  <c:v>-1.8805221595902992</c:v>
                </c:pt>
                <c:pt idx="190">
                  <c:v>-2.6657511835578021</c:v>
                </c:pt>
                <c:pt idx="191">
                  <c:v>-2.4900199279512094</c:v>
                </c:pt>
                <c:pt idx="192">
                  <c:v>-0.19187583895984517</c:v>
                </c:pt>
                <c:pt idx="193">
                  <c:v>0.49732382817313692</c:v>
                </c:pt>
                <c:pt idx="194">
                  <c:v>3.0697780409972495</c:v>
                </c:pt>
                <c:pt idx="195">
                  <c:v>0.2574779485921681</c:v>
                </c:pt>
                <c:pt idx="196">
                  <c:v>-3.2676011961718814</c:v>
                </c:pt>
                <c:pt idx="197">
                  <c:v>-1.2113712885821428</c:v>
                </c:pt>
                <c:pt idx="198">
                  <c:v>-0.25405960046492737</c:v>
                </c:pt>
                <c:pt idx="199">
                  <c:v>-0.4740850463678612</c:v>
                </c:pt>
                <c:pt idx="200">
                  <c:v>3.4743059889094354</c:v>
                </c:pt>
                <c:pt idx="201">
                  <c:v>1.5139929784216406</c:v>
                </c:pt>
                <c:pt idx="202">
                  <c:v>5.4968923535213321</c:v>
                </c:pt>
                <c:pt idx="203">
                  <c:v>7.5428249098321771</c:v>
                </c:pt>
                <c:pt idx="204">
                  <c:v>5.4959912937327715</c:v>
                </c:pt>
                <c:pt idx="205">
                  <c:v>7.9968375001783727</c:v>
                </c:pt>
                <c:pt idx="206">
                  <c:v>9.7271001720171739</c:v>
                </c:pt>
                <c:pt idx="207">
                  <c:v>6.3463457945842663</c:v>
                </c:pt>
                <c:pt idx="208">
                  <c:v>2.1663291082174965</c:v>
                </c:pt>
                <c:pt idx="209">
                  <c:v>2.7846259662630644</c:v>
                </c:pt>
                <c:pt idx="210">
                  <c:v>5.2317589318515445</c:v>
                </c:pt>
                <c:pt idx="211">
                  <c:v>6.0849557522121813</c:v>
                </c:pt>
                <c:pt idx="212">
                  <c:v>6.4849557522122154</c:v>
                </c:pt>
                <c:pt idx="213">
                  <c:v>8.28495575221217</c:v>
                </c:pt>
                <c:pt idx="214">
                  <c:v>1.0849557522121813</c:v>
                </c:pt>
                <c:pt idx="215">
                  <c:v>1.6849557522122041</c:v>
                </c:pt>
                <c:pt idx="216">
                  <c:v>2.8849557522121927</c:v>
                </c:pt>
                <c:pt idx="217">
                  <c:v>3.6849557522122041</c:v>
                </c:pt>
                <c:pt idx="218">
                  <c:v>3.4136402887112069</c:v>
                </c:pt>
                <c:pt idx="219">
                  <c:v>5.7991290828078093</c:v>
                </c:pt>
                <c:pt idx="220">
                  <c:v>5.7480795942460077</c:v>
                </c:pt>
                <c:pt idx="221">
                  <c:v>6.4979101433268909</c:v>
                </c:pt>
                <c:pt idx="222">
                  <c:v>3.53308058658547</c:v>
                </c:pt>
                <c:pt idx="223">
                  <c:v>3.0997437729706121</c:v>
                </c:pt>
                <c:pt idx="224">
                  <c:v>0.39100425966611851</c:v>
                </c:pt>
                <c:pt idx="225">
                  <c:v>1.0211164659855569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B-4829-BA9B-98431242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7935"/>
        <c:axId val="2123669775"/>
      </c:scatterChart>
      <c:valAx>
        <c:axId val="21236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 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9775"/>
        <c:crosses val="autoZero"/>
        <c:crossBetween val="midCat"/>
      </c:valAx>
      <c:valAx>
        <c:axId val="21236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Waist v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xVal>
          <c:yVal>
            <c:numRef>
              <c:f>Residuals!$BV$2:$BV$227</c:f>
              <c:numCache>
                <c:formatCode>0.00</c:formatCode>
                <c:ptCount val="226"/>
                <c:pt idx="0">
                  <c:v>0.25512867727971411</c:v>
                </c:pt>
                <c:pt idx="1">
                  <c:v>0.27292621744565082</c:v>
                </c:pt>
                <c:pt idx="2">
                  <c:v>0.27292621744565082</c:v>
                </c:pt>
                <c:pt idx="3">
                  <c:v>0.13666370687566598</c:v>
                </c:pt>
                <c:pt idx="4">
                  <c:v>7.2703740699608943E-2</c:v>
                </c:pt>
                <c:pt idx="5">
                  <c:v>0.70896625126959378</c:v>
                </c:pt>
                <c:pt idx="6">
                  <c:v>0.18171374915559824</c:v>
                </c:pt>
                <c:pt idx="7">
                  <c:v>0.18171374915559824</c:v>
                </c:pt>
                <c:pt idx="8">
                  <c:v>0.5999562428136116</c:v>
                </c:pt>
                <c:pt idx="9">
                  <c:v>0.16391620898966153</c:v>
                </c:pt>
                <c:pt idx="10">
                  <c:v>-9.0811271984364339E-2</c:v>
                </c:pt>
                <c:pt idx="11">
                  <c:v>-0.26378124661640356</c:v>
                </c:pt>
                <c:pt idx="12">
                  <c:v>0.48149127240955636</c:v>
                </c:pt>
                <c:pt idx="13">
                  <c:v>-0.42729625930039106</c:v>
                </c:pt>
                <c:pt idx="14">
                  <c:v>-0.15477123816042848</c:v>
                </c:pt>
                <c:pt idx="15">
                  <c:v>-0.15477123816042848</c:v>
                </c:pt>
                <c:pt idx="16">
                  <c:v>0.22676379143552339</c:v>
                </c:pt>
                <c:pt idx="17">
                  <c:v>0.25401629354951893</c:v>
                </c:pt>
                <c:pt idx="18">
                  <c:v>0.44478380834750197</c:v>
                </c:pt>
                <c:pt idx="19">
                  <c:v>0.47203631046149752</c:v>
                </c:pt>
                <c:pt idx="20">
                  <c:v>0.6355513231454708</c:v>
                </c:pt>
                <c:pt idx="21">
                  <c:v>0.1355513231454708</c:v>
                </c:pt>
                <c:pt idx="22">
                  <c:v>0.40807634428543338</c:v>
                </c:pt>
                <c:pt idx="23">
                  <c:v>-0.14642865994255061</c:v>
                </c:pt>
                <c:pt idx="24">
                  <c:v>0.51708635274142267</c:v>
                </c:pt>
                <c:pt idx="25">
                  <c:v>0.28961137388138525</c:v>
                </c:pt>
                <c:pt idx="26">
                  <c:v>0.90807634428543338</c:v>
                </c:pt>
                <c:pt idx="27">
                  <c:v>-9.1923655714566621E-2</c:v>
                </c:pt>
                <c:pt idx="28">
                  <c:v>1.7086352741422672E-2</c:v>
                </c:pt>
                <c:pt idx="29">
                  <c:v>0.12609636119741197</c:v>
                </c:pt>
                <c:pt idx="30">
                  <c:v>0.15334886331140751</c:v>
                </c:pt>
                <c:pt idx="31">
                  <c:v>0.42587388445137009</c:v>
                </c:pt>
                <c:pt idx="32">
                  <c:v>-7.4126115548629912E-2</c:v>
                </c:pt>
                <c:pt idx="33">
                  <c:v>6.2136395021354929E-2</c:v>
                </c:pt>
                <c:pt idx="34">
                  <c:v>-1.9621111320638818E-2</c:v>
                </c:pt>
                <c:pt idx="35">
                  <c:v>-1.9621111320638818E-2</c:v>
                </c:pt>
                <c:pt idx="36">
                  <c:v>0.36191391827531305</c:v>
                </c:pt>
                <c:pt idx="37">
                  <c:v>0.36191391827531305</c:v>
                </c:pt>
                <c:pt idx="38">
                  <c:v>0.28961137388138525</c:v>
                </c:pt>
                <c:pt idx="39">
                  <c:v>-0.28269117051253545</c:v>
                </c:pt>
                <c:pt idx="40">
                  <c:v>-1.2554386683985399</c:v>
                </c:pt>
                <c:pt idx="41">
                  <c:v>-0.42840864303058623</c:v>
                </c:pt>
                <c:pt idx="42">
                  <c:v>-0.34665113668859249</c:v>
                </c:pt>
                <c:pt idx="43">
                  <c:v>-0.61917615782855506</c:v>
                </c:pt>
                <c:pt idx="44">
                  <c:v>-0.51016614937257287</c:v>
                </c:pt>
                <c:pt idx="45">
                  <c:v>-0.22818616628454436</c:v>
                </c:pt>
                <c:pt idx="46">
                  <c:v>-0.3644486768545292</c:v>
                </c:pt>
                <c:pt idx="47">
                  <c:v>-0.31939863457459694</c:v>
                </c:pt>
                <c:pt idx="48">
                  <c:v>-4.6873613434634365E-2</c:v>
                </c:pt>
                <c:pt idx="49">
                  <c:v>0.19839890559133266</c:v>
                </c:pt>
                <c:pt idx="50">
                  <c:v>0.3346614161613175</c:v>
                </c:pt>
                <c:pt idx="51">
                  <c:v>0.3891664203893086</c:v>
                </c:pt>
                <c:pt idx="52">
                  <c:v>0.14389390136334157</c:v>
                </c:pt>
                <c:pt idx="53">
                  <c:v>0.36191391827531305</c:v>
                </c:pt>
                <c:pt idx="54">
                  <c:v>-0.19259108595267804</c:v>
                </c:pt>
                <c:pt idx="55">
                  <c:v>2.5428930959293439E-2</c:v>
                </c:pt>
                <c:pt idx="56">
                  <c:v>5.2681433073288986E-2</c:v>
                </c:pt>
                <c:pt idx="57">
                  <c:v>0.24344894787126492</c:v>
                </c:pt>
                <c:pt idx="58">
                  <c:v>0.29795395209925601</c:v>
                </c:pt>
                <c:pt idx="59">
                  <c:v>-0.14754104367275289</c:v>
                </c:pt>
                <c:pt idx="60">
                  <c:v>-3.8531035216763598E-2</c:v>
                </c:pt>
                <c:pt idx="61">
                  <c:v>7.047897323921859E-2</c:v>
                </c:pt>
                <c:pt idx="62">
                  <c:v>0.20674148380920343</c:v>
                </c:pt>
                <c:pt idx="63">
                  <c:v>-0.29325851619079657</c:v>
                </c:pt>
                <c:pt idx="64">
                  <c:v>-0.34776352041878766</c:v>
                </c:pt>
                <c:pt idx="65">
                  <c:v>-0.36556106058472437</c:v>
                </c:pt>
                <c:pt idx="66">
                  <c:v>-0.12028854155875734</c:v>
                </c:pt>
                <c:pt idx="67">
                  <c:v>-9.3036039444761798E-2</c:v>
                </c:pt>
                <c:pt idx="68">
                  <c:v>-8.3581077496695855E-2</c:v>
                </c:pt>
                <c:pt idx="69">
                  <c:v>-0.20204604790074399</c:v>
                </c:pt>
                <c:pt idx="70">
                  <c:v>9.7731475353214137E-2</c:v>
                </c:pt>
                <c:pt idx="71">
                  <c:v>-0.18424850773481438</c:v>
                </c:pt>
                <c:pt idx="72">
                  <c:v>-1.0290760732687048</c:v>
                </c:pt>
                <c:pt idx="73">
                  <c:v>-1.0290760732687048</c:v>
                </c:pt>
                <c:pt idx="74">
                  <c:v>-0.2198435880666807</c:v>
                </c:pt>
                <c:pt idx="75">
                  <c:v>-0.20204604790074399</c:v>
                </c:pt>
                <c:pt idx="76">
                  <c:v>-0.5930360394447618</c:v>
                </c:pt>
                <c:pt idx="77">
                  <c:v>1.5973969011227496E-2</c:v>
                </c:pt>
                <c:pt idx="78">
                  <c:v>0.20674148380920343</c:v>
                </c:pt>
                <c:pt idx="79">
                  <c:v>-0.36556106058472437</c:v>
                </c:pt>
                <c:pt idx="80">
                  <c:v>-0.50182357115470921</c:v>
                </c:pt>
                <c:pt idx="81">
                  <c:v>-1.1108335796106914</c:v>
                </c:pt>
                <c:pt idx="82">
                  <c:v>-0.14754104367275289</c:v>
                </c:pt>
                <c:pt idx="83">
                  <c:v>-6.5783537330759145E-2</c:v>
                </c:pt>
                <c:pt idx="84">
                  <c:v>-0.25655105212873508</c:v>
                </c:pt>
                <c:pt idx="85">
                  <c:v>-0.39281356269871992</c:v>
                </c:pt>
                <c:pt idx="86">
                  <c:v>-0.91061110286464952</c:v>
                </c:pt>
                <c:pt idx="87">
                  <c:v>-1.3466511366885925</c:v>
                </c:pt>
                <c:pt idx="88">
                  <c:v>-0.85610609863665843</c:v>
                </c:pt>
                <c:pt idx="89">
                  <c:v>-0.1653385838386825</c:v>
                </c:pt>
                <c:pt idx="90">
                  <c:v>-0.85610609863665843</c:v>
                </c:pt>
                <c:pt idx="91">
                  <c:v>-0.58358107749669585</c:v>
                </c:pt>
                <c:pt idx="92">
                  <c:v>-0.54687361343463436</c:v>
                </c:pt>
                <c:pt idx="93">
                  <c:v>-1.9621111320638818E-2</c:v>
                </c:pt>
                <c:pt idx="94">
                  <c:v>0.2801564119333193</c:v>
                </c:pt>
                <c:pt idx="95">
                  <c:v>-0.2198435880666807</c:v>
                </c:pt>
                <c:pt idx="96">
                  <c:v>-0.2198435880666807</c:v>
                </c:pt>
                <c:pt idx="97">
                  <c:v>0.18894394364326672</c:v>
                </c:pt>
                <c:pt idx="98">
                  <c:v>-0.25655105212873508</c:v>
                </c:pt>
                <c:pt idx="99">
                  <c:v>-0.94731856692671101</c:v>
                </c:pt>
                <c:pt idx="100">
                  <c:v>-0.36556106058472437</c:v>
                </c:pt>
                <c:pt idx="101">
                  <c:v>-1.0563285753826932</c:v>
                </c:pt>
                <c:pt idx="102">
                  <c:v>-0.81939863457459694</c:v>
                </c:pt>
                <c:pt idx="103">
                  <c:v>-0.37390363880258803</c:v>
                </c:pt>
                <c:pt idx="104">
                  <c:v>-0.15588362189062366</c:v>
                </c:pt>
                <c:pt idx="105">
                  <c:v>-1.9621111320638818E-2</c:v>
                </c:pt>
                <c:pt idx="106">
                  <c:v>-0.49236860920664327</c:v>
                </c:pt>
                <c:pt idx="107">
                  <c:v>5.2681433073288986E-2</c:v>
                </c:pt>
                <c:pt idx="108">
                  <c:v>-0.31105605635673328</c:v>
                </c:pt>
                <c:pt idx="109">
                  <c:v>-0.36556106058472437</c:v>
                </c:pt>
                <c:pt idx="110">
                  <c:v>-0.14754104367275289</c:v>
                </c:pt>
                <c:pt idx="111">
                  <c:v>0.18894394364326672</c:v>
                </c:pt>
                <c:pt idx="112">
                  <c:v>-0.50182357115470921</c:v>
                </c:pt>
                <c:pt idx="113">
                  <c:v>1.5973969011227496E-2</c:v>
                </c:pt>
                <c:pt idx="114">
                  <c:v>-3.8531035216763598E-2</c:v>
                </c:pt>
                <c:pt idx="115">
                  <c:v>0.15223647958121234</c:v>
                </c:pt>
                <c:pt idx="116">
                  <c:v>0.17948898169520078</c:v>
                </c:pt>
                <c:pt idx="117">
                  <c:v>-4.7985997164829541E-2</c:v>
                </c:pt>
                <c:pt idx="118">
                  <c:v>6.5190070631615527E-3</c:v>
                </c:pt>
                <c:pt idx="119">
                  <c:v>3.3771509177164205E-2</c:v>
                </c:pt>
                <c:pt idx="120">
                  <c:v>-7.5238499278825088E-2</c:v>
                </c:pt>
                <c:pt idx="121">
                  <c:v>0.15223647958121234</c:v>
                </c:pt>
                <c:pt idx="122">
                  <c:v>-0.20204604790074399</c:v>
                </c:pt>
                <c:pt idx="123">
                  <c:v>-0.31105605635673328</c:v>
                </c:pt>
                <c:pt idx="124">
                  <c:v>-0.58358107749669585</c:v>
                </c:pt>
                <c:pt idx="125">
                  <c:v>-0.33830855847072883</c:v>
                </c:pt>
                <c:pt idx="126">
                  <c:v>-0.6108335796106914</c:v>
                </c:pt>
                <c:pt idx="127">
                  <c:v>-0.74709609018066914</c:v>
                </c:pt>
                <c:pt idx="128">
                  <c:v>-0.6653385838386825</c:v>
                </c:pt>
                <c:pt idx="129">
                  <c:v>-0.7376411282326103</c:v>
                </c:pt>
                <c:pt idx="130">
                  <c:v>-0.38335860075065398</c:v>
                </c:pt>
                <c:pt idx="131">
                  <c:v>-0.46511610709264062</c:v>
                </c:pt>
                <c:pt idx="132">
                  <c:v>-0.41061110286464952</c:v>
                </c:pt>
                <c:pt idx="133">
                  <c:v>-0.54687361343463436</c:v>
                </c:pt>
                <c:pt idx="134">
                  <c:v>-0.2376411282326103</c:v>
                </c:pt>
                <c:pt idx="135">
                  <c:v>-0.34665113668859249</c:v>
                </c:pt>
                <c:pt idx="136">
                  <c:v>0.49817642884529079</c:v>
                </c:pt>
                <c:pt idx="137">
                  <c:v>0.68894394364326672</c:v>
                </c:pt>
                <c:pt idx="138">
                  <c:v>0.60718643730128008</c:v>
                </c:pt>
                <c:pt idx="139">
                  <c:v>0.35245895632724711</c:v>
                </c:pt>
                <c:pt idx="140">
                  <c:v>0.5159739690112275</c:v>
                </c:pt>
                <c:pt idx="141">
                  <c:v>0.21619644575726937</c:v>
                </c:pt>
                <c:pt idx="142">
                  <c:v>-0.1653385838386825</c:v>
                </c:pt>
                <c:pt idx="143">
                  <c:v>0.13443893941527563</c:v>
                </c:pt>
                <c:pt idx="144">
                  <c:v>-0.13808608172468695</c:v>
                </c:pt>
                <c:pt idx="145">
                  <c:v>0.10718643730128008</c:v>
                </c:pt>
                <c:pt idx="146">
                  <c:v>0.32520645421325156</c:v>
                </c:pt>
                <c:pt idx="147">
                  <c:v>-0.24709609018066914</c:v>
                </c:pt>
                <c:pt idx="148">
                  <c:v>-0.38335860075065398</c:v>
                </c:pt>
                <c:pt idx="149">
                  <c:v>-0.1653385838386825</c:v>
                </c:pt>
                <c:pt idx="150">
                  <c:v>-0.30160109440866734</c:v>
                </c:pt>
                <c:pt idx="151">
                  <c:v>-0.1653385838386825</c:v>
                </c:pt>
                <c:pt idx="152">
                  <c:v>-1.8235711547092137E-3</c:v>
                </c:pt>
                <c:pt idx="153">
                  <c:v>5.2681433073288986E-2</c:v>
                </c:pt>
                <c:pt idx="154">
                  <c:v>0.35245895632724711</c:v>
                </c:pt>
                <c:pt idx="155">
                  <c:v>-0.13808608172468695</c:v>
                </c:pt>
                <c:pt idx="156">
                  <c:v>-0.1653385838386825</c:v>
                </c:pt>
                <c:pt idx="157">
                  <c:v>-0.48291364725857733</c:v>
                </c:pt>
                <c:pt idx="158">
                  <c:v>8.9388897135350476E-2</c:v>
                </c:pt>
                <c:pt idx="159">
                  <c:v>0.36191391827531305</c:v>
                </c:pt>
                <c:pt idx="160">
                  <c:v>0.49817642884529079</c:v>
                </c:pt>
                <c:pt idx="161">
                  <c:v>8.9388897135350476E-2</c:v>
                </c:pt>
                <c:pt idx="162">
                  <c:v>6.2136395021354929E-2</c:v>
                </c:pt>
                <c:pt idx="163">
                  <c:v>8.9388897135350476E-2</c:v>
                </c:pt>
                <c:pt idx="164">
                  <c:v>0.49817642884529079</c:v>
                </c:pt>
                <c:pt idx="165">
                  <c:v>0.23510636965340126</c:v>
                </c:pt>
                <c:pt idx="166">
                  <c:v>0.45312638656536564</c:v>
                </c:pt>
                <c:pt idx="167">
                  <c:v>0.49817642884529079</c:v>
                </c:pt>
                <c:pt idx="168">
                  <c:v>1.0704789732392186</c:v>
                </c:pt>
                <c:pt idx="169">
                  <c:v>0.9069639605552382</c:v>
                </c:pt>
                <c:pt idx="170">
                  <c:v>0.77070144998526047</c:v>
                </c:pt>
                <c:pt idx="171">
                  <c:v>0.66169144152927117</c:v>
                </c:pt>
                <c:pt idx="172">
                  <c:v>0.47092392673129524</c:v>
                </c:pt>
                <c:pt idx="173">
                  <c:v>-1.9621111320638818E-2</c:v>
                </c:pt>
                <c:pt idx="174">
                  <c:v>0.3891664203893086</c:v>
                </c:pt>
                <c:pt idx="175">
                  <c:v>0.41641892250330415</c:v>
                </c:pt>
                <c:pt idx="176">
                  <c:v>0.10718643730128008</c:v>
                </c:pt>
                <c:pt idx="177">
                  <c:v>7.9933935187284533E-2</c:v>
                </c:pt>
                <c:pt idx="178">
                  <c:v>-8.3581077496695855E-2</c:v>
                </c:pt>
                <c:pt idx="179">
                  <c:v>0.19839890559133266</c:v>
                </c:pt>
                <c:pt idx="180">
                  <c:v>0.22565140770532821</c:v>
                </c:pt>
                <c:pt idx="181">
                  <c:v>0.58938889713535048</c:v>
                </c:pt>
                <c:pt idx="182">
                  <c:v>0.72565140770532821</c:v>
                </c:pt>
                <c:pt idx="183">
                  <c:v>0.8346614161613175</c:v>
                </c:pt>
                <c:pt idx="184">
                  <c:v>0.91641892250330415</c:v>
                </c:pt>
                <c:pt idx="185">
                  <c:v>0.19839890559133266</c:v>
                </c:pt>
                <c:pt idx="186">
                  <c:v>0.41641892250330415</c:v>
                </c:pt>
                <c:pt idx="187">
                  <c:v>0.47092392673129524</c:v>
                </c:pt>
                <c:pt idx="188">
                  <c:v>0.3346614161613175</c:v>
                </c:pt>
                <c:pt idx="189">
                  <c:v>0.41641892250330415</c:v>
                </c:pt>
                <c:pt idx="190">
                  <c:v>0.9436714246173068</c:v>
                </c:pt>
                <c:pt idx="191">
                  <c:v>0.8891664203893086</c:v>
                </c:pt>
                <c:pt idx="192">
                  <c:v>0.19839890559133266</c:v>
                </c:pt>
                <c:pt idx="193">
                  <c:v>6.2136395021354929E-2</c:v>
                </c:pt>
                <c:pt idx="194">
                  <c:v>-0.37390363880258803</c:v>
                </c:pt>
                <c:pt idx="195">
                  <c:v>7.6313907933567293E-3</c:v>
                </c:pt>
                <c:pt idx="196">
                  <c:v>0.47092392673129524</c:v>
                </c:pt>
                <c:pt idx="197">
                  <c:v>0.19839890559133266</c:v>
                </c:pt>
                <c:pt idx="198">
                  <c:v>0.56213639502135493</c:v>
                </c:pt>
                <c:pt idx="199">
                  <c:v>0.69839890559133266</c:v>
                </c:pt>
                <c:pt idx="200">
                  <c:v>0.18060136542540306</c:v>
                </c:pt>
                <c:pt idx="201">
                  <c:v>0.39862138233737454</c:v>
                </c:pt>
                <c:pt idx="202">
                  <c:v>-0.11917615782855506</c:v>
                </c:pt>
                <c:pt idx="203">
                  <c:v>0.1355513231454708</c:v>
                </c:pt>
                <c:pt idx="204">
                  <c:v>-0.11917615782855506</c:v>
                </c:pt>
                <c:pt idx="205">
                  <c:v>5.3793816803484162E-2</c:v>
                </c:pt>
                <c:pt idx="206">
                  <c:v>0.1722587872075394</c:v>
                </c:pt>
                <c:pt idx="207">
                  <c:v>0.16280382525946635</c:v>
                </c:pt>
                <c:pt idx="208">
                  <c:v>0.2623588717673897</c:v>
                </c:pt>
                <c:pt idx="209">
                  <c:v>0.70785386753939861</c:v>
                </c:pt>
                <c:pt idx="210">
                  <c:v>-0.22818616628454436</c:v>
                </c:pt>
                <c:pt idx="211">
                  <c:v>0.21730882948746455</c:v>
                </c:pt>
                <c:pt idx="212">
                  <c:v>0.16280382525946635</c:v>
                </c:pt>
                <c:pt idx="213">
                  <c:v>-0.58246869376649357</c:v>
                </c:pt>
                <c:pt idx="214">
                  <c:v>-0.10137861766262546</c:v>
                </c:pt>
                <c:pt idx="215">
                  <c:v>-0.18313612400461921</c:v>
                </c:pt>
                <c:pt idx="216">
                  <c:v>0.15334886331140751</c:v>
                </c:pt>
                <c:pt idx="217">
                  <c:v>-0.45566114514458178</c:v>
                </c:pt>
                <c:pt idx="218">
                  <c:v>-0.45566114514458178</c:v>
                </c:pt>
                <c:pt idx="219">
                  <c:v>-0.2554386683985399</c:v>
                </c:pt>
                <c:pt idx="220">
                  <c:v>-0.28269117051253545</c:v>
                </c:pt>
                <c:pt idx="221">
                  <c:v>-0.7554386683985399</c:v>
                </c:pt>
                <c:pt idx="222">
                  <c:v>0.51708635274142267</c:v>
                </c:pt>
                <c:pt idx="223">
                  <c:v>7.1591356969413766E-2</c:v>
                </c:pt>
                <c:pt idx="224">
                  <c:v>0.45312638656536564</c:v>
                </c:pt>
                <c:pt idx="225">
                  <c:v>0.56213639502135493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2-49CB-9E60-B9D8F9E2F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9168"/>
        <c:axId val="672867328"/>
      </c:scatterChart>
      <c:valAx>
        <c:axId val="6728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7328"/>
        <c:crosses val="autoZero"/>
        <c:crossBetween val="midCat"/>
      </c:valAx>
      <c:valAx>
        <c:axId val="67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Waist v Neck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'Cleaned Log'!$D$2:$D$227</c:f>
              <c:numCache>
                <c:formatCode>0.00</c:formatCode>
                <c:ptCount val="22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16.5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16.5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16.5</c:v>
                </c:pt>
                <c:pt idx="201">
                  <c:v>16.5</c:v>
                </c:pt>
                <c:pt idx="202">
                  <c:v>16.5</c:v>
                </c:pt>
                <c:pt idx="203">
                  <c:v>16.5</c:v>
                </c:pt>
                <c:pt idx="204">
                  <c:v>16.5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</c:v>
                </c:pt>
                <c:pt idx="210">
                  <c:v>16.5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16.5</c:v>
                </c:pt>
                <c:pt idx="220">
                  <c:v>16.5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</c:numCache>
            </c:numRef>
          </c:xVal>
          <c:yVal>
            <c:numRef>
              <c:f>Residuals!$BY$2:$BY$227</c:f>
              <c:numCache>
                <c:formatCode>0.00</c:formatCode>
                <c:ptCount val="226"/>
                <c:pt idx="0">
                  <c:v>2.2413513513514189</c:v>
                </c:pt>
                <c:pt idx="1">
                  <c:v>1.7413513513514189</c:v>
                </c:pt>
                <c:pt idx="2">
                  <c:v>1.7413513513514189</c:v>
                </c:pt>
                <c:pt idx="3">
                  <c:v>1.7413513513514189</c:v>
                </c:pt>
                <c:pt idx="4">
                  <c:v>1.2413513513514189</c:v>
                </c:pt>
                <c:pt idx="5">
                  <c:v>1.7413513513514189</c:v>
                </c:pt>
                <c:pt idx="6">
                  <c:v>1.2413513513514189</c:v>
                </c:pt>
                <c:pt idx="7">
                  <c:v>1.2413513513514189</c:v>
                </c:pt>
                <c:pt idx="8">
                  <c:v>1.7413513513514189</c:v>
                </c:pt>
                <c:pt idx="9">
                  <c:v>1.7413513513514189</c:v>
                </c:pt>
                <c:pt idx="10">
                  <c:v>1.2413513513514189</c:v>
                </c:pt>
                <c:pt idx="11">
                  <c:v>0.74135135135141894</c:v>
                </c:pt>
                <c:pt idx="12">
                  <c:v>1.2413513513514189</c:v>
                </c:pt>
                <c:pt idx="13">
                  <c:v>0.74135135135141894</c:v>
                </c:pt>
                <c:pt idx="14">
                  <c:v>0.74135135135141894</c:v>
                </c:pt>
                <c:pt idx="15">
                  <c:v>0.74135135135141894</c:v>
                </c:pt>
                <c:pt idx="16">
                  <c:v>0.74135135135141894</c:v>
                </c:pt>
                <c:pt idx="17">
                  <c:v>0.74135135135141894</c:v>
                </c:pt>
                <c:pt idx="18">
                  <c:v>0.74135135135141894</c:v>
                </c:pt>
                <c:pt idx="19">
                  <c:v>0.74135135135141894</c:v>
                </c:pt>
                <c:pt idx="20">
                  <c:v>0.74135135135141894</c:v>
                </c:pt>
                <c:pt idx="21">
                  <c:v>0.24135135135141894</c:v>
                </c:pt>
                <c:pt idx="22">
                  <c:v>0.24135135135141894</c:v>
                </c:pt>
                <c:pt idx="23">
                  <c:v>-0.25864864864858106</c:v>
                </c:pt>
                <c:pt idx="24">
                  <c:v>0.24135135135141894</c:v>
                </c:pt>
                <c:pt idx="25">
                  <c:v>-0.25864864864858106</c:v>
                </c:pt>
                <c:pt idx="26">
                  <c:v>0.74135135135141894</c:v>
                </c:pt>
                <c:pt idx="27">
                  <c:v>-0.25864864864858106</c:v>
                </c:pt>
                <c:pt idx="28">
                  <c:v>-0.25864864864858106</c:v>
                </c:pt>
                <c:pt idx="29">
                  <c:v>-0.25864864864858106</c:v>
                </c:pt>
                <c:pt idx="30">
                  <c:v>-0.25864864864858106</c:v>
                </c:pt>
                <c:pt idx="31">
                  <c:v>-0.25864864864858106</c:v>
                </c:pt>
                <c:pt idx="32">
                  <c:v>-0.75864864864858106</c:v>
                </c:pt>
                <c:pt idx="33">
                  <c:v>-0.75864864864858106</c:v>
                </c:pt>
                <c:pt idx="34">
                  <c:v>-0.75864864864858106</c:v>
                </c:pt>
                <c:pt idx="35">
                  <c:v>-0.75864864864858106</c:v>
                </c:pt>
                <c:pt idx="36">
                  <c:v>-0.75864864864858106</c:v>
                </c:pt>
                <c:pt idx="37">
                  <c:v>-0.75864864864858106</c:v>
                </c:pt>
                <c:pt idx="38">
                  <c:v>-0.25864864864858106</c:v>
                </c:pt>
                <c:pt idx="39">
                  <c:v>-0.25864864864858106</c:v>
                </c:pt>
                <c:pt idx="40">
                  <c:v>-1.2586486486485811</c:v>
                </c:pt>
                <c:pt idx="41">
                  <c:v>-0.75864864864858106</c:v>
                </c:pt>
                <c:pt idx="42">
                  <c:v>-0.75864864864858106</c:v>
                </c:pt>
                <c:pt idx="43">
                  <c:v>-0.75864864864858106</c:v>
                </c:pt>
                <c:pt idx="44">
                  <c:v>-0.75864864864858106</c:v>
                </c:pt>
                <c:pt idx="45">
                  <c:v>-0.25864864864858106</c:v>
                </c:pt>
                <c:pt idx="46">
                  <c:v>-0.25864864864858106</c:v>
                </c:pt>
                <c:pt idx="47">
                  <c:v>-0.75864864864858106</c:v>
                </c:pt>
                <c:pt idx="48">
                  <c:v>-0.75864864864858106</c:v>
                </c:pt>
                <c:pt idx="49">
                  <c:v>-0.75864864864858106</c:v>
                </c:pt>
                <c:pt idx="50">
                  <c:v>-0.75864864864858106</c:v>
                </c:pt>
                <c:pt idx="51">
                  <c:v>-0.75864864864858106</c:v>
                </c:pt>
                <c:pt idx="52">
                  <c:v>-0.75864864864858106</c:v>
                </c:pt>
                <c:pt idx="53">
                  <c:v>-0.75864864864858106</c:v>
                </c:pt>
                <c:pt idx="54">
                  <c:v>-1.2586486486485811</c:v>
                </c:pt>
                <c:pt idx="55">
                  <c:v>-1.2586486486485811</c:v>
                </c:pt>
                <c:pt idx="56">
                  <c:v>-1.2586486486485811</c:v>
                </c:pt>
                <c:pt idx="57">
                  <c:v>-1.2586486486485811</c:v>
                </c:pt>
                <c:pt idx="58">
                  <c:v>-1.2586486486485811</c:v>
                </c:pt>
                <c:pt idx="59">
                  <c:v>-1.7586486486485811</c:v>
                </c:pt>
                <c:pt idx="60">
                  <c:v>-1.7586486486485811</c:v>
                </c:pt>
                <c:pt idx="61">
                  <c:v>-0.67558558558559412</c:v>
                </c:pt>
                <c:pt idx="62">
                  <c:v>0.40747747747738572</c:v>
                </c:pt>
                <c:pt idx="63">
                  <c:v>-9.2522522522614281E-2</c:v>
                </c:pt>
                <c:pt idx="64">
                  <c:v>-9.2522522522614281E-2</c:v>
                </c:pt>
                <c:pt idx="65">
                  <c:v>-0.67558558558559412</c:v>
                </c:pt>
                <c:pt idx="66">
                  <c:v>-0.67558558558559412</c:v>
                </c:pt>
                <c:pt idx="67">
                  <c:v>-0.67558558558559412</c:v>
                </c:pt>
                <c:pt idx="68">
                  <c:v>-0.17558558558559412</c:v>
                </c:pt>
                <c:pt idx="69">
                  <c:v>-0.67558558558559412</c:v>
                </c:pt>
                <c:pt idx="70">
                  <c:v>-0.67558558558559412</c:v>
                </c:pt>
                <c:pt idx="71">
                  <c:v>-1.1755855855855941</c:v>
                </c:pt>
                <c:pt idx="72">
                  <c:v>-1.1755855855855941</c:v>
                </c:pt>
                <c:pt idx="73">
                  <c:v>-1.1755855855855941</c:v>
                </c:pt>
                <c:pt idx="74">
                  <c:v>-0.17558558558559412</c:v>
                </c:pt>
                <c:pt idx="75">
                  <c:v>-0.67558558558559412</c:v>
                </c:pt>
                <c:pt idx="76">
                  <c:v>-1.1755855855855941</c:v>
                </c:pt>
                <c:pt idx="77">
                  <c:v>-0.67558558558559412</c:v>
                </c:pt>
                <c:pt idx="78">
                  <c:v>-0.67558558558559412</c:v>
                </c:pt>
                <c:pt idx="79">
                  <c:v>-0.67558558558559412</c:v>
                </c:pt>
                <c:pt idx="80">
                  <c:v>-0.67558558558559412</c:v>
                </c:pt>
                <c:pt idx="81">
                  <c:v>-1.1755855855855941</c:v>
                </c:pt>
                <c:pt idx="82">
                  <c:v>-0.67558558558559412</c:v>
                </c:pt>
                <c:pt idx="83">
                  <c:v>-0.67558558558559412</c:v>
                </c:pt>
                <c:pt idx="84">
                  <c:v>-0.67558558558559412</c:v>
                </c:pt>
                <c:pt idx="85">
                  <c:v>-0.67558558558559412</c:v>
                </c:pt>
                <c:pt idx="86">
                  <c:v>-0.67558558558559412</c:v>
                </c:pt>
                <c:pt idx="87">
                  <c:v>-0.67558558558559412</c:v>
                </c:pt>
                <c:pt idx="88">
                  <c:v>-0.67558558558559412</c:v>
                </c:pt>
                <c:pt idx="89">
                  <c:v>-0.17558558558559412</c:v>
                </c:pt>
                <c:pt idx="90">
                  <c:v>-0.67558558558559412</c:v>
                </c:pt>
                <c:pt idx="91">
                  <c:v>-0.67558558558559412</c:v>
                </c:pt>
                <c:pt idx="92">
                  <c:v>-0.17558558558559412</c:v>
                </c:pt>
                <c:pt idx="93">
                  <c:v>0.32441441441440588</c:v>
                </c:pt>
                <c:pt idx="94">
                  <c:v>0.32441441441440588</c:v>
                </c:pt>
                <c:pt idx="95">
                  <c:v>-0.17558558558559412</c:v>
                </c:pt>
                <c:pt idx="96">
                  <c:v>-0.17558558558559412</c:v>
                </c:pt>
                <c:pt idx="97">
                  <c:v>-0.17558558558559412</c:v>
                </c:pt>
                <c:pt idx="98">
                  <c:v>-0.67558558558559412</c:v>
                </c:pt>
                <c:pt idx="99">
                  <c:v>-1.1755855855855941</c:v>
                </c:pt>
                <c:pt idx="100">
                  <c:v>-0.67558558558559412</c:v>
                </c:pt>
                <c:pt idx="101">
                  <c:v>-1.1755855855855941</c:v>
                </c:pt>
                <c:pt idx="102">
                  <c:v>-0.17558558558559412</c:v>
                </c:pt>
                <c:pt idx="103">
                  <c:v>0.32441441441440588</c:v>
                </c:pt>
                <c:pt idx="104">
                  <c:v>0.32441441441440588</c:v>
                </c:pt>
                <c:pt idx="105">
                  <c:v>0.32441441441440588</c:v>
                </c:pt>
                <c:pt idx="106">
                  <c:v>-0.17558558558559412</c:v>
                </c:pt>
                <c:pt idx="107">
                  <c:v>-0.17558558558559412</c:v>
                </c:pt>
                <c:pt idx="108">
                  <c:v>-0.67558558558559412</c:v>
                </c:pt>
                <c:pt idx="109">
                  <c:v>-0.67558558558559412</c:v>
                </c:pt>
                <c:pt idx="110">
                  <c:v>-0.67558558558559412</c:v>
                </c:pt>
                <c:pt idx="111">
                  <c:v>-0.17558558558559412</c:v>
                </c:pt>
                <c:pt idx="112">
                  <c:v>-0.67558558558559412</c:v>
                </c:pt>
                <c:pt idx="113">
                  <c:v>-0.67558558558559412</c:v>
                </c:pt>
                <c:pt idx="114">
                  <c:v>-0.67558558558559412</c:v>
                </c:pt>
                <c:pt idx="115">
                  <c:v>-0.67558558558559412</c:v>
                </c:pt>
                <c:pt idx="116">
                  <c:v>-0.67558558558559412</c:v>
                </c:pt>
                <c:pt idx="117">
                  <c:v>-1.1755855855855941</c:v>
                </c:pt>
                <c:pt idx="118">
                  <c:v>-1.1755855855855941</c:v>
                </c:pt>
                <c:pt idx="119">
                  <c:v>-1.1755855855855941</c:v>
                </c:pt>
                <c:pt idx="120">
                  <c:v>-1.1755855855855941</c:v>
                </c:pt>
                <c:pt idx="121">
                  <c:v>-0.67558558558559412</c:v>
                </c:pt>
                <c:pt idx="122">
                  <c:v>-0.67558558558559412</c:v>
                </c:pt>
                <c:pt idx="123">
                  <c:v>-0.67558558558559412</c:v>
                </c:pt>
                <c:pt idx="124">
                  <c:v>-0.67558558558559412</c:v>
                </c:pt>
                <c:pt idx="125">
                  <c:v>-0.67558558558559412</c:v>
                </c:pt>
                <c:pt idx="126">
                  <c:v>-0.67558558558559412</c:v>
                </c:pt>
                <c:pt idx="127">
                  <c:v>-0.67558558558559412</c:v>
                </c:pt>
                <c:pt idx="128">
                  <c:v>-0.67558558558559412</c:v>
                </c:pt>
                <c:pt idx="129">
                  <c:v>-0.17558558558559412</c:v>
                </c:pt>
                <c:pt idx="130">
                  <c:v>-0.17558558558559412</c:v>
                </c:pt>
                <c:pt idx="131">
                  <c:v>-0.17558558558559412</c:v>
                </c:pt>
                <c:pt idx="132">
                  <c:v>-0.17558558558559412</c:v>
                </c:pt>
                <c:pt idx="133">
                  <c:v>-0.17558558558559412</c:v>
                </c:pt>
                <c:pt idx="134">
                  <c:v>0.32441441441440588</c:v>
                </c:pt>
                <c:pt idx="135">
                  <c:v>0.32441441441440588</c:v>
                </c:pt>
                <c:pt idx="136">
                  <c:v>0.32441441441440588</c:v>
                </c:pt>
                <c:pt idx="137">
                  <c:v>0.32441441441440588</c:v>
                </c:pt>
                <c:pt idx="138">
                  <c:v>0.32441441441440588</c:v>
                </c:pt>
                <c:pt idx="139">
                  <c:v>-0.17558558558559412</c:v>
                </c:pt>
                <c:pt idx="140">
                  <c:v>-0.17558558558559412</c:v>
                </c:pt>
                <c:pt idx="141">
                  <c:v>-0.17558558558559412</c:v>
                </c:pt>
                <c:pt idx="142">
                  <c:v>-0.17558558558559412</c:v>
                </c:pt>
                <c:pt idx="143">
                  <c:v>-0.17558558558559412</c:v>
                </c:pt>
                <c:pt idx="144">
                  <c:v>-0.17558558558559412</c:v>
                </c:pt>
                <c:pt idx="145">
                  <c:v>-0.17558558558559412</c:v>
                </c:pt>
                <c:pt idx="146">
                  <c:v>-0.17558558558559412</c:v>
                </c:pt>
                <c:pt idx="147">
                  <c:v>-0.17558558558559412</c:v>
                </c:pt>
                <c:pt idx="148">
                  <c:v>-0.17558558558559412</c:v>
                </c:pt>
                <c:pt idx="149">
                  <c:v>-0.17558558558559412</c:v>
                </c:pt>
                <c:pt idx="150">
                  <c:v>-0.17558558558559412</c:v>
                </c:pt>
                <c:pt idx="151">
                  <c:v>-0.17558558558559412</c:v>
                </c:pt>
                <c:pt idx="152">
                  <c:v>-0.17558558558559412</c:v>
                </c:pt>
                <c:pt idx="153">
                  <c:v>-0.17558558558559412</c:v>
                </c:pt>
                <c:pt idx="154">
                  <c:v>-0.17558558558559412</c:v>
                </c:pt>
                <c:pt idx="155">
                  <c:v>-0.17558558558559412</c:v>
                </c:pt>
                <c:pt idx="156">
                  <c:v>-0.17558558558559412</c:v>
                </c:pt>
                <c:pt idx="157">
                  <c:v>0.32441441441440588</c:v>
                </c:pt>
                <c:pt idx="158">
                  <c:v>0.32441441441440588</c:v>
                </c:pt>
                <c:pt idx="159">
                  <c:v>0.32441441441440588</c:v>
                </c:pt>
                <c:pt idx="160">
                  <c:v>0.32441441441440588</c:v>
                </c:pt>
                <c:pt idx="161">
                  <c:v>0.32441441441440588</c:v>
                </c:pt>
                <c:pt idx="162">
                  <c:v>0.32441441441440588</c:v>
                </c:pt>
                <c:pt idx="163">
                  <c:v>0.32441441441440588</c:v>
                </c:pt>
                <c:pt idx="164">
                  <c:v>0.32441441441440588</c:v>
                </c:pt>
                <c:pt idx="165">
                  <c:v>0.82441441441440588</c:v>
                </c:pt>
                <c:pt idx="166">
                  <c:v>0.82441441441440588</c:v>
                </c:pt>
                <c:pt idx="167">
                  <c:v>0.32441441441440588</c:v>
                </c:pt>
                <c:pt idx="168">
                  <c:v>0.32441441441440588</c:v>
                </c:pt>
                <c:pt idx="169">
                  <c:v>0.32441441441440588</c:v>
                </c:pt>
                <c:pt idx="170">
                  <c:v>0.32441441441440588</c:v>
                </c:pt>
                <c:pt idx="171">
                  <c:v>0.32441441441440588</c:v>
                </c:pt>
                <c:pt idx="172">
                  <c:v>0.32441441441440588</c:v>
                </c:pt>
                <c:pt idx="173">
                  <c:v>0.32441441441440588</c:v>
                </c:pt>
                <c:pt idx="174">
                  <c:v>0.32441441441440588</c:v>
                </c:pt>
                <c:pt idx="175">
                  <c:v>0.32441441441440588</c:v>
                </c:pt>
                <c:pt idx="176">
                  <c:v>-0.17558558558559412</c:v>
                </c:pt>
                <c:pt idx="177">
                  <c:v>-0.17558558558559412</c:v>
                </c:pt>
                <c:pt idx="178">
                  <c:v>-0.17558558558559412</c:v>
                </c:pt>
                <c:pt idx="179">
                  <c:v>0.32441441441440588</c:v>
                </c:pt>
                <c:pt idx="180">
                  <c:v>0.32441441441440588</c:v>
                </c:pt>
                <c:pt idx="181">
                  <c:v>0.82441441441440588</c:v>
                </c:pt>
                <c:pt idx="182">
                  <c:v>0.82441441441440588</c:v>
                </c:pt>
                <c:pt idx="183">
                  <c:v>0.82441441441440588</c:v>
                </c:pt>
                <c:pt idx="184">
                  <c:v>0.82441441441440588</c:v>
                </c:pt>
                <c:pt idx="185">
                  <c:v>0.32441441441440588</c:v>
                </c:pt>
                <c:pt idx="186">
                  <c:v>0.32441441441440588</c:v>
                </c:pt>
                <c:pt idx="187">
                  <c:v>0.32441441441440588</c:v>
                </c:pt>
                <c:pt idx="188">
                  <c:v>0.32441441441440588</c:v>
                </c:pt>
                <c:pt idx="189">
                  <c:v>0.32441441441440588</c:v>
                </c:pt>
                <c:pt idx="190">
                  <c:v>0.82441441441440588</c:v>
                </c:pt>
                <c:pt idx="191">
                  <c:v>0.82441441441440588</c:v>
                </c:pt>
                <c:pt idx="192">
                  <c:v>0.32441441441440588</c:v>
                </c:pt>
                <c:pt idx="193">
                  <c:v>0.32441441441440588</c:v>
                </c:pt>
                <c:pt idx="194">
                  <c:v>0.32441441441440588</c:v>
                </c:pt>
                <c:pt idx="195">
                  <c:v>0.32441441441440588</c:v>
                </c:pt>
                <c:pt idx="196">
                  <c:v>0.32441441441440588</c:v>
                </c:pt>
                <c:pt idx="197">
                  <c:v>0.32441441441440588</c:v>
                </c:pt>
                <c:pt idx="198">
                  <c:v>0.82441441441440588</c:v>
                </c:pt>
                <c:pt idx="199">
                  <c:v>0.82441441441440588</c:v>
                </c:pt>
                <c:pt idx="200">
                  <c:v>0.82441441441440588</c:v>
                </c:pt>
                <c:pt idx="201">
                  <c:v>0.82441441441440588</c:v>
                </c:pt>
                <c:pt idx="202">
                  <c:v>0.82441441441440588</c:v>
                </c:pt>
                <c:pt idx="203">
                  <c:v>1.3244144144144059</c:v>
                </c:pt>
                <c:pt idx="204">
                  <c:v>0.82441441441440588</c:v>
                </c:pt>
                <c:pt idx="205">
                  <c:v>1.3244144144144059</c:v>
                </c:pt>
                <c:pt idx="206">
                  <c:v>1.8244144144144059</c:v>
                </c:pt>
                <c:pt idx="207">
                  <c:v>1.3244144144144059</c:v>
                </c:pt>
                <c:pt idx="208">
                  <c:v>0.82441441441440588</c:v>
                </c:pt>
                <c:pt idx="209">
                  <c:v>1.3244144144144059</c:v>
                </c:pt>
                <c:pt idx="210">
                  <c:v>0.82441441441440588</c:v>
                </c:pt>
                <c:pt idx="211">
                  <c:v>1.3244144144144059</c:v>
                </c:pt>
                <c:pt idx="212">
                  <c:v>1.3244144144144059</c:v>
                </c:pt>
                <c:pt idx="213">
                  <c:v>0.82441441441440588</c:v>
                </c:pt>
                <c:pt idx="214">
                  <c:v>0.32441441441440588</c:v>
                </c:pt>
                <c:pt idx="215">
                  <c:v>0.32441441441440588</c:v>
                </c:pt>
                <c:pt idx="216">
                  <c:v>0.82441441441440588</c:v>
                </c:pt>
                <c:pt idx="217">
                  <c:v>0.32441441441440588</c:v>
                </c:pt>
                <c:pt idx="218">
                  <c:v>0.32441441441440588</c:v>
                </c:pt>
                <c:pt idx="219">
                  <c:v>0.82441441441440588</c:v>
                </c:pt>
                <c:pt idx="220">
                  <c:v>0.82441441441440588</c:v>
                </c:pt>
                <c:pt idx="221">
                  <c:v>0.32441441441440588</c:v>
                </c:pt>
                <c:pt idx="222">
                  <c:v>1.3244144144144059</c:v>
                </c:pt>
                <c:pt idx="223">
                  <c:v>0.82441441441440588</c:v>
                </c:pt>
                <c:pt idx="224">
                  <c:v>0.82441441441440588</c:v>
                </c:pt>
                <c:pt idx="225">
                  <c:v>0.82441441441440588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7-4BBB-AA7C-B307E456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891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8911"/>
        <c:crosses val="autoZero"/>
        <c:crossBetween val="midCat"/>
      </c:valAx>
      <c:valAx>
        <c:axId val="2117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Log'!$E$2:$E$227</c:f>
              <c:numCache>
                <c:formatCode>0.00</c:formatCode>
                <c:ptCount val="226"/>
                <c:pt idx="0">
                  <c:v>95.7</c:v>
                </c:pt>
                <c:pt idx="1">
                  <c:v>96.2</c:v>
                </c:pt>
                <c:pt idx="2">
                  <c:v>96.7</c:v>
                </c:pt>
                <c:pt idx="3">
                  <c:v>97.5</c:v>
                </c:pt>
                <c:pt idx="4">
                  <c:v>97.7</c:v>
                </c:pt>
                <c:pt idx="5">
                  <c:v>96.1</c:v>
                </c:pt>
                <c:pt idx="6">
                  <c:v>96.4</c:v>
                </c:pt>
                <c:pt idx="7">
                  <c:v>96.4</c:v>
                </c:pt>
                <c:pt idx="8">
                  <c:v>97.7</c:v>
                </c:pt>
                <c:pt idx="9">
                  <c:v>96.7</c:v>
                </c:pt>
                <c:pt idx="10">
                  <c:v>97</c:v>
                </c:pt>
                <c:pt idx="11">
                  <c:v>96.2</c:v>
                </c:pt>
                <c:pt idx="12">
                  <c:v>96.6</c:v>
                </c:pt>
                <c:pt idx="13">
                  <c:v>96.3</c:v>
                </c:pt>
                <c:pt idx="14">
                  <c:v>96.4</c:v>
                </c:pt>
                <c:pt idx="15">
                  <c:v>95.5</c:v>
                </c:pt>
                <c:pt idx="16">
                  <c:v>96.7</c:v>
                </c:pt>
                <c:pt idx="17">
                  <c:v>96.6</c:v>
                </c:pt>
                <c:pt idx="18">
                  <c:v>96.5</c:v>
                </c:pt>
                <c:pt idx="19">
                  <c:v>96.9</c:v>
                </c:pt>
                <c:pt idx="20">
                  <c:v>96.5</c:v>
                </c:pt>
                <c:pt idx="21">
                  <c:v>96.1</c:v>
                </c:pt>
                <c:pt idx="22">
                  <c:v>97</c:v>
                </c:pt>
                <c:pt idx="23">
                  <c:v>96.4</c:v>
                </c:pt>
                <c:pt idx="24">
                  <c:v>95.7</c:v>
                </c:pt>
                <c:pt idx="25">
                  <c:v>96.2</c:v>
                </c:pt>
                <c:pt idx="26">
                  <c:v>97.1</c:v>
                </c:pt>
                <c:pt idx="27">
                  <c:v>96.5</c:v>
                </c:pt>
                <c:pt idx="28">
                  <c:v>96.3</c:v>
                </c:pt>
                <c:pt idx="29">
                  <c:v>96.1</c:v>
                </c:pt>
                <c:pt idx="30">
                  <c:v>96.8</c:v>
                </c:pt>
                <c:pt idx="31">
                  <c:v>96.4</c:v>
                </c:pt>
                <c:pt idx="32">
                  <c:v>96.7</c:v>
                </c:pt>
                <c:pt idx="33">
                  <c:v>97.1</c:v>
                </c:pt>
                <c:pt idx="34">
                  <c:v>96.2</c:v>
                </c:pt>
                <c:pt idx="35">
                  <c:v>96.2</c:v>
                </c:pt>
                <c:pt idx="36">
                  <c:v>96.1</c:v>
                </c:pt>
                <c:pt idx="37">
                  <c:v>96.3</c:v>
                </c:pt>
                <c:pt idx="38">
                  <c:v>97.1</c:v>
                </c:pt>
                <c:pt idx="39">
                  <c:v>97</c:v>
                </c:pt>
                <c:pt idx="40">
                  <c:v>96.7</c:v>
                </c:pt>
                <c:pt idx="41">
                  <c:v>96.4</c:v>
                </c:pt>
                <c:pt idx="42">
                  <c:v>97.6</c:v>
                </c:pt>
                <c:pt idx="43">
                  <c:v>96</c:v>
                </c:pt>
                <c:pt idx="44">
                  <c:v>95.9</c:v>
                </c:pt>
                <c:pt idx="45">
                  <c:v>96.7</c:v>
                </c:pt>
                <c:pt idx="46">
                  <c:v>97</c:v>
                </c:pt>
                <c:pt idx="47">
                  <c:v>96.5</c:v>
                </c:pt>
                <c:pt idx="48">
                  <c:v>96.4</c:v>
                </c:pt>
                <c:pt idx="49">
                  <c:v>96.1</c:v>
                </c:pt>
                <c:pt idx="50">
                  <c:v>96</c:v>
                </c:pt>
                <c:pt idx="51">
                  <c:v>95.9</c:v>
                </c:pt>
                <c:pt idx="52">
                  <c:v>96.9</c:v>
                </c:pt>
                <c:pt idx="53">
                  <c:v>96</c:v>
                </c:pt>
                <c:pt idx="54">
                  <c:v>97.6</c:v>
                </c:pt>
                <c:pt idx="55">
                  <c:v>96.7</c:v>
                </c:pt>
                <c:pt idx="56">
                  <c:v>97</c:v>
                </c:pt>
                <c:pt idx="57">
                  <c:v>96.3</c:v>
                </c:pt>
                <c:pt idx="58">
                  <c:v>96.9</c:v>
                </c:pt>
                <c:pt idx="59">
                  <c:v>96</c:v>
                </c:pt>
                <c:pt idx="60">
                  <c:v>97.3</c:v>
                </c:pt>
                <c:pt idx="61">
                  <c:v>96</c:v>
                </c:pt>
                <c:pt idx="62">
                  <c:v>95.2</c:v>
                </c:pt>
                <c:pt idx="63">
                  <c:v>96.3</c:v>
                </c:pt>
                <c:pt idx="64">
                  <c:v>96.1</c:v>
                </c:pt>
                <c:pt idx="65">
                  <c:v>95.7</c:v>
                </c:pt>
                <c:pt idx="66">
                  <c:v>95.7</c:v>
                </c:pt>
                <c:pt idx="67">
                  <c:v>94.9</c:v>
                </c:pt>
                <c:pt idx="68">
                  <c:v>96.1</c:v>
                </c:pt>
                <c:pt idx="69">
                  <c:v>96.4</c:v>
                </c:pt>
                <c:pt idx="70">
                  <c:v>96.8</c:v>
                </c:pt>
                <c:pt idx="71">
                  <c:v>96.2</c:v>
                </c:pt>
                <c:pt idx="72">
                  <c:v>96.5</c:v>
                </c:pt>
                <c:pt idx="73">
                  <c:v>96.5</c:v>
                </c:pt>
                <c:pt idx="74">
                  <c:v>96.9</c:v>
                </c:pt>
                <c:pt idx="75">
                  <c:v>96.4</c:v>
                </c:pt>
                <c:pt idx="76">
                  <c:v>95.7</c:v>
                </c:pt>
                <c:pt idx="77">
                  <c:v>95.5</c:v>
                </c:pt>
                <c:pt idx="78">
                  <c:v>96.7</c:v>
                </c:pt>
                <c:pt idx="79">
                  <c:v>96</c:v>
                </c:pt>
                <c:pt idx="80">
                  <c:v>97.5</c:v>
                </c:pt>
                <c:pt idx="81">
                  <c:v>96.2</c:v>
                </c:pt>
                <c:pt idx="82">
                  <c:v>96.3</c:v>
                </c:pt>
                <c:pt idx="83">
                  <c:v>96.8</c:v>
                </c:pt>
                <c:pt idx="84">
                  <c:v>96.9</c:v>
                </c:pt>
                <c:pt idx="85">
                  <c:v>96.8</c:v>
                </c:pt>
                <c:pt idx="86">
                  <c:v>96.5</c:v>
                </c:pt>
                <c:pt idx="87">
                  <c:v>96.2</c:v>
                </c:pt>
                <c:pt idx="88">
                  <c:v>96.8</c:v>
                </c:pt>
                <c:pt idx="89">
                  <c:v>95.8</c:v>
                </c:pt>
                <c:pt idx="90">
                  <c:v>95.9</c:v>
                </c:pt>
                <c:pt idx="91">
                  <c:v>95.9</c:v>
                </c:pt>
                <c:pt idx="92">
                  <c:v>98</c:v>
                </c:pt>
                <c:pt idx="93">
                  <c:v>96.4</c:v>
                </c:pt>
                <c:pt idx="94">
                  <c:v>96.8</c:v>
                </c:pt>
                <c:pt idx="95">
                  <c:v>95.7</c:v>
                </c:pt>
                <c:pt idx="96">
                  <c:v>97</c:v>
                </c:pt>
                <c:pt idx="97">
                  <c:v>96.7</c:v>
                </c:pt>
                <c:pt idx="98">
                  <c:v>96</c:v>
                </c:pt>
                <c:pt idx="99">
                  <c:v>96.4</c:v>
                </c:pt>
                <c:pt idx="100">
                  <c:v>96.3</c:v>
                </c:pt>
                <c:pt idx="101">
                  <c:v>96.2</c:v>
                </c:pt>
                <c:pt idx="102">
                  <c:v>96.5</c:v>
                </c:pt>
                <c:pt idx="103">
                  <c:v>97.8</c:v>
                </c:pt>
                <c:pt idx="104">
                  <c:v>96.5</c:v>
                </c:pt>
                <c:pt idx="105">
                  <c:v>96.9</c:v>
                </c:pt>
                <c:pt idx="106">
                  <c:v>96</c:v>
                </c:pt>
                <c:pt idx="107">
                  <c:v>97.8</c:v>
                </c:pt>
                <c:pt idx="108">
                  <c:v>96.7</c:v>
                </c:pt>
                <c:pt idx="109">
                  <c:v>95.7</c:v>
                </c:pt>
                <c:pt idx="110">
                  <c:v>96.4</c:v>
                </c:pt>
                <c:pt idx="111">
                  <c:v>96.4</c:v>
                </c:pt>
                <c:pt idx="112">
                  <c:v>96.1</c:v>
                </c:pt>
                <c:pt idx="113">
                  <c:v>96.6</c:v>
                </c:pt>
                <c:pt idx="114">
                  <c:v>96.4</c:v>
                </c:pt>
                <c:pt idx="115">
                  <c:v>96.8</c:v>
                </c:pt>
                <c:pt idx="116">
                  <c:v>95.7</c:v>
                </c:pt>
                <c:pt idx="117">
                  <c:v>96.1</c:v>
                </c:pt>
                <c:pt idx="118">
                  <c:v>95.7</c:v>
                </c:pt>
                <c:pt idx="119">
                  <c:v>96.6</c:v>
                </c:pt>
                <c:pt idx="120">
                  <c:v>95.8</c:v>
                </c:pt>
                <c:pt idx="121">
                  <c:v>97</c:v>
                </c:pt>
                <c:pt idx="122">
                  <c:v>97.3</c:v>
                </c:pt>
                <c:pt idx="123">
                  <c:v>96.9</c:v>
                </c:pt>
                <c:pt idx="124">
                  <c:v>96.8</c:v>
                </c:pt>
                <c:pt idx="125">
                  <c:v>96.7</c:v>
                </c:pt>
                <c:pt idx="126">
                  <c:v>98.1</c:v>
                </c:pt>
                <c:pt idx="127">
                  <c:v>98.3</c:v>
                </c:pt>
                <c:pt idx="128">
                  <c:v>96.3</c:v>
                </c:pt>
                <c:pt idx="129">
                  <c:v>96.3</c:v>
                </c:pt>
                <c:pt idx="130">
                  <c:v>96.8</c:v>
                </c:pt>
                <c:pt idx="131">
                  <c:v>96.4</c:v>
                </c:pt>
                <c:pt idx="132">
                  <c:v>97.4</c:v>
                </c:pt>
                <c:pt idx="133">
                  <c:v>95.7</c:v>
                </c:pt>
                <c:pt idx="134">
                  <c:v>96.8</c:v>
                </c:pt>
                <c:pt idx="135">
                  <c:v>96.6</c:v>
                </c:pt>
                <c:pt idx="136">
                  <c:v>95.3</c:v>
                </c:pt>
                <c:pt idx="137">
                  <c:v>95.2</c:v>
                </c:pt>
                <c:pt idx="138">
                  <c:v>95.3</c:v>
                </c:pt>
                <c:pt idx="139">
                  <c:v>96.9</c:v>
                </c:pt>
                <c:pt idx="140">
                  <c:v>97.1</c:v>
                </c:pt>
                <c:pt idx="141">
                  <c:v>96.4</c:v>
                </c:pt>
                <c:pt idx="142">
                  <c:v>96.6</c:v>
                </c:pt>
                <c:pt idx="143">
                  <c:v>97</c:v>
                </c:pt>
                <c:pt idx="144">
                  <c:v>96.2</c:v>
                </c:pt>
                <c:pt idx="145">
                  <c:v>96.4</c:v>
                </c:pt>
                <c:pt idx="146">
                  <c:v>96.9</c:v>
                </c:pt>
                <c:pt idx="147">
                  <c:v>96.5</c:v>
                </c:pt>
                <c:pt idx="148">
                  <c:v>96</c:v>
                </c:pt>
                <c:pt idx="149">
                  <c:v>96.9</c:v>
                </c:pt>
                <c:pt idx="150">
                  <c:v>96.5</c:v>
                </c:pt>
                <c:pt idx="151">
                  <c:v>94.2</c:v>
                </c:pt>
                <c:pt idx="152">
                  <c:v>96.7</c:v>
                </c:pt>
                <c:pt idx="153">
                  <c:v>95.3</c:v>
                </c:pt>
                <c:pt idx="154">
                  <c:v>95.8</c:v>
                </c:pt>
                <c:pt idx="155">
                  <c:v>96.9</c:v>
                </c:pt>
                <c:pt idx="156">
                  <c:v>97</c:v>
                </c:pt>
                <c:pt idx="157">
                  <c:v>97.2</c:v>
                </c:pt>
                <c:pt idx="158">
                  <c:v>96.8</c:v>
                </c:pt>
                <c:pt idx="159">
                  <c:v>96.7</c:v>
                </c:pt>
                <c:pt idx="160">
                  <c:v>96.4</c:v>
                </c:pt>
                <c:pt idx="161">
                  <c:v>97.2</c:v>
                </c:pt>
                <c:pt idx="162">
                  <c:v>97.3</c:v>
                </c:pt>
                <c:pt idx="163">
                  <c:v>95.9</c:v>
                </c:pt>
                <c:pt idx="164">
                  <c:v>97.3</c:v>
                </c:pt>
                <c:pt idx="165">
                  <c:v>97.6</c:v>
                </c:pt>
                <c:pt idx="166">
                  <c:v>96.5</c:v>
                </c:pt>
                <c:pt idx="167">
                  <c:v>96</c:v>
                </c:pt>
                <c:pt idx="168">
                  <c:v>100.1</c:v>
                </c:pt>
                <c:pt idx="169">
                  <c:v>97.1</c:v>
                </c:pt>
                <c:pt idx="170">
                  <c:v>96.8</c:v>
                </c:pt>
                <c:pt idx="171">
                  <c:v>97.3</c:v>
                </c:pt>
                <c:pt idx="172">
                  <c:v>96.6</c:v>
                </c:pt>
                <c:pt idx="173">
                  <c:v>97.1</c:v>
                </c:pt>
                <c:pt idx="174">
                  <c:v>96.5</c:v>
                </c:pt>
                <c:pt idx="175">
                  <c:v>97.6</c:v>
                </c:pt>
                <c:pt idx="176">
                  <c:v>96.9</c:v>
                </c:pt>
                <c:pt idx="177">
                  <c:v>96.4</c:v>
                </c:pt>
                <c:pt idx="178">
                  <c:v>96.9</c:v>
                </c:pt>
                <c:pt idx="179">
                  <c:v>96.5</c:v>
                </c:pt>
                <c:pt idx="180">
                  <c:v>97</c:v>
                </c:pt>
                <c:pt idx="181">
                  <c:v>98</c:v>
                </c:pt>
                <c:pt idx="182">
                  <c:v>98.5</c:v>
                </c:pt>
                <c:pt idx="183">
                  <c:v>98</c:v>
                </c:pt>
                <c:pt idx="184">
                  <c:v>97.1</c:v>
                </c:pt>
                <c:pt idx="185">
                  <c:v>96.6</c:v>
                </c:pt>
                <c:pt idx="186">
                  <c:v>96.9</c:v>
                </c:pt>
                <c:pt idx="187">
                  <c:v>97.3</c:v>
                </c:pt>
                <c:pt idx="188">
                  <c:v>96</c:v>
                </c:pt>
                <c:pt idx="189">
                  <c:v>96.3</c:v>
                </c:pt>
                <c:pt idx="190">
                  <c:v>97.2</c:v>
                </c:pt>
                <c:pt idx="191">
                  <c:v>97.1</c:v>
                </c:pt>
                <c:pt idx="192">
                  <c:v>95.8</c:v>
                </c:pt>
                <c:pt idx="193">
                  <c:v>96.7</c:v>
                </c:pt>
                <c:pt idx="194">
                  <c:v>96.6</c:v>
                </c:pt>
                <c:pt idx="195">
                  <c:v>96.3</c:v>
                </c:pt>
                <c:pt idx="196">
                  <c:v>96.3</c:v>
                </c:pt>
                <c:pt idx="197">
                  <c:v>95.4</c:v>
                </c:pt>
                <c:pt idx="198">
                  <c:v>98.1</c:v>
                </c:pt>
                <c:pt idx="199">
                  <c:v>99.3</c:v>
                </c:pt>
                <c:pt idx="200">
                  <c:v>96</c:v>
                </c:pt>
                <c:pt idx="201">
                  <c:v>96.3</c:v>
                </c:pt>
                <c:pt idx="202">
                  <c:v>97.9</c:v>
                </c:pt>
                <c:pt idx="203">
                  <c:v>96.7</c:v>
                </c:pt>
                <c:pt idx="204">
                  <c:v>97.4</c:v>
                </c:pt>
                <c:pt idx="205">
                  <c:v>97.6</c:v>
                </c:pt>
                <c:pt idx="206">
                  <c:v>96.8</c:v>
                </c:pt>
                <c:pt idx="207">
                  <c:v>96.9</c:v>
                </c:pt>
                <c:pt idx="208">
                  <c:v>95.9</c:v>
                </c:pt>
                <c:pt idx="209">
                  <c:v>96</c:v>
                </c:pt>
                <c:pt idx="210">
                  <c:v>96</c:v>
                </c:pt>
                <c:pt idx="211">
                  <c:v>96.2</c:v>
                </c:pt>
                <c:pt idx="212">
                  <c:v>97.8</c:v>
                </c:pt>
                <c:pt idx="213">
                  <c:v>97</c:v>
                </c:pt>
                <c:pt idx="214">
                  <c:v>96.4</c:v>
                </c:pt>
                <c:pt idx="215">
                  <c:v>96.2</c:v>
                </c:pt>
                <c:pt idx="216">
                  <c:v>96.6</c:v>
                </c:pt>
                <c:pt idx="217">
                  <c:v>96.6</c:v>
                </c:pt>
                <c:pt idx="218">
                  <c:v>96.6</c:v>
                </c:pt>
                <c:pt idx="219">
                  <c:v>95.6</c:v>
                </c:pt>
                <c:pt idx="220">
                  <c:v>97.01</c:v>
                </c:pt>
                <c:pt idx="221">
                  <c:v>96.4</c:v>
                </c:pt>
                <c:pt idx="222">
                  <c:v>97.5</c:v>
                </c:pt>
                <c:pt idx="223">
                  <c:v>96.1</c:v>
                </c:pt>
                <c:pt idx="224">
                  <c:v>95.8</c:v>
                </c:pt>
                <c:pt idx="225">
                  <c:v>95.1</c:v>
                </c:pt>
              </c:numCache>
            </c:numRef>
          </c:xVal>
          <c:yVal>
            <c:numRef>
              <c:f>Residuals!$CB$2:$CB$227</c:f>
              <c:numCache>
                <c:formatCode>0.00</c:formatCode>
                <c:ptCount val="226"/>
                <c:pt idx="0">
                  <c:v>3.2147233878256998</c:v>
                </c:pt>
                <c:pt idx="1">
                  <c:v>2.6189893219463016</c:v>
                </c:pt>
                <c:pt idx="2">
                  <c:v>2.5232552560669177</c:v>
                </c:pt>
                <c:pt idx="3">
                  <c:v>2.3700807506598949</c:v>
                </c:pt>
                <c:pt idx="4">
                  <c:v>1.8317871243081427</c:v>
                </c:pt>
                <c:pt idx="5">
                  <c:v>2.6381361351221813</c:v>
                </c:pt>
                <c:pt idx="6">
                  <c:v>2.0806956955945495</c:v>
                </c:pt>
                <c:pt idx="7">
                  <c:v>2.0806956955945495</c:v>
                </c:pt>
                <c:pt idx="8">
                  <c:v>2.3317871243081427</c:v>
                </c:pt>
                <c:pt idx="9">
                  <c:v>2.5232552560669177</c:v>
                </c:pt>
                <c:pt idx="10">
                  <c:v>1.9658148165392859</c:v>
                </c:pt>
                <c:pt idx="11">
                  <c:v>1.6189893219463016</c:v>
                </c:pt>
                <c:pt idx="12">
                  <c:v>2.0424020692427973</c:v>
                </c:pt>
                <c:pt idx="13">
                  <c:v>1.5998425087704291</c:v>
                </c:pt>
                <c:pt idx="14">
                  <c:v>1.5806956955945495</c:v>
                </c:pt>
                <c:pt idx="15">
                  <c:v>1.7530170141774519</c:v>
                </c:pt>
                <c:pt idx="16">
                  <c:v>1.5232552560669177</c:v>
                </c:pt>
                <c:pt idx="17">
                  <c:v>1.5424020692427973</c:v>
                </c:pt>
                <c:pt idx="18">
                  <c:v>1.561548882418677</c:v>
                </c:pt>
                <c:pt idx="19">
                  <c:v>1.4849616297151584</c:v>
                </c:pt>
                <c:pt idx="20">
                  <c:v>1.561548882418677</c:v>
                </c:pt>
                <c:pt idx="21">
                  <c:v>1.1381361351221813</c:v>
                </c:pt>
                <c:pt idx="22">
                  <c:v>0.96581481653928591</c:v>
                </c:pt>
                <c:pt idx="23">
                  <c:v>0.58069569559454948</c:v>
                </c:pt>
                <c:pt idx="24">
                  <c:v>1.2147233878256998</c:v>
                </c:pt>
                <c:pt idx="25">
                  <c:v>0.61898932194630163</c:v>
                </c:pt>
                <c:pt idx="26">
                  <c:v>1.4466680033634134</c:v>
                </c:pt>
                <c:pt idx="27">
                  <c:v>0.56154888241867695</c:v>
                </c:pt>
                <c:pt idx="28">
                  <c:v>0.59984250877042911</c:v>
                </c:pt>
                <c:pt idx="29">
                  <c:v>0.63813613512218126</c:v>
                </c:pt>
                <c:pt idx="30">
                  <c:v>0.50410844289103807</c:v>
                </c:pt>
                <c:pt idx="31">
                  <c:v>0.58069569559454948</c:v>
                </c:pt>
                <c:pt idx="32">
                  <c:v>2.3255256066917696E-2</c:v>
                </c:pt>
                <c:pt idx="33">
                  <c:v>-5.3331996636586609E-2</c:v>
                </c:pt>
                <c:pt idx="34">
                  <c:v>0.11898932194630163</c:v>
                </c:pt>
                <c:pt idx="35">
                  <c:v>0.11898932194630163</c:v>
                </c:pt>
                <c:pt idx="36">
                  <c:v>0.13813613512218126</c:v>
                </c:pt>
                <c:pt idx="37">
                  <c:v>9.9842508770429106E-2</c:v>
                </c:pt>
                <c:pt idx="38">
                  <c:v>0.44666800336341339</c:v>
                </c:pt>
                <c:pt idx="39">
                  <c:v>0.46581481653928591</c:v>
                </c:pt>
                <c:pt idx="40">
                  <c:v>-0.4767447439330823</c:v>
                </c:pt>
                <c:pt idx="41">
                  <c:v>8.0695695594549477E-2</c:v>
                </c:pt>
                <c:pt idx="42">
                  <c:v>-0.14906606251598475</c:v>
                </c:pt>
                <c:pt idx="43">
                  <c:v>0.15728294829806089</c:v>
                </c:pt>
                <c:pt idx="44">
                  <c:v>0.17642976147394052</c:v>
                </c:pt>
                <c:pt idx="45">
                  <c:v>0.5232552560669177</c:v>
                </c:pt>
                <c:pt idx="46">
                  <c:v>0.46581481653928591</c:v>
                </c:pt>
                <c:pt idx="47">
                  <c:v>6.1548882418676953E-2</c:v>
                </c:pt>
                <c:pt idx="48">
                  <c:v>8.0695695594549477E-2</c:v>
                </c:pt>
                <c:pt idx="49">
                  <c:v>0.13813613512218126</c:v>
                </c:pt>
                <c:pt idx="50">
                  <c:v>0.15728294829806089</c:v>
                </c:pt>
                <c:pt idx="51">
                  <c:v>0.17642976147394052</c:v>
                </c:pt>
                <c:pt idx="52">
                  <c:v>-1.5038370284841562E-2</c:v>
                </c:pt>
                <c:pt idx="53">
                  <c:v>0.15728294829806089</c:v>
                </c:pt>
                <c:pt idx="54">
                  <c:v>-0.64906606251598475</c:v>
                </c:pt>
                <c:pt idx="55">
                  <c:v>-0.4767447439330823</c:v>
                </c:pt>
                <c:pt idx="56">
                  <c:v>-0.53418518346071409</c:v>
                </c:pt>
                <c:pt idx="57">
                  <c:v>-0.40015749122957089</c:v>
                </c:pt>
                <c:pt idx="58">
                  <c:v>-0.51503837028484156</c:v>
                </c:pt>
                <c:pt idx="59">
                  <c:v>-0.84271705170193911</c:v>
                </c:pt>
                <c:pt idx="60">
                  <c:v>-1.0916256229883459</c:v>
                </c:pt>
                <c:pt idx="61">
                  <c:v>-0.84271705170193911</c:v>
                </c:pt>
                <c:pt idx="62">
                  <c:v>-0.68954254629491629</c:v>
                </c:pt>
                <c:pt idx="63">
                  <c:v>-1.4001574912295709</c:v>
                </c:pt>
                <c:pt idx="64">
                  <c:v>-1.3618638648778187</c:v>
                </c:pt>
                <c:pt idx="65">
                  <c:v>-0.78527661217430023</c:v>
                </c:pt>
                <c:pt idx="66">
                  <c:v>-0.78527661217430023</c:v>
                </c:pt>
                <c:pt idx="67">
                  <c:v>-0.63210210676728451</c:v>
                </c:pt>
                <c:pt idx="68">
                  <c:v>-0.36186386487781874</c:v>
                </c:pt>
                <c:pt idx="69">
                  <c:v>-0.91930430440545052</c:v>
                </c:pt>
                <c:pt idx="70">
                  <c:v>-0.99589155710896193</c:v>
                </c:pt>
                <c:pt idx="71">
                  <c:v>-1.3810106780536984</c:v>
                </c:pt>
                <c:pt idx="72">
                  <c:v>-1.438451117581323</c:v>
                </c:pt>
                <c:pt idx="73">
                  <c:v>-1.438451117581323</c:v>
                </c:pt>
                <c:pt idx="74">
                  <c:v>-0.51503837028484156</c:v>
                </c:pt>
                <c:pt idx="75">
                  <c:v>-0.91930430440545052</c:v>
                </c:pt>
                <c:pt idx="76">
                  <c:v>-1.2852766121743002</c:v>
                </c:pt>
                <c:pt idx="77">
                  <c:v>-0.74698298582254807</c:v>
                </c:pt>
                <c:pt idx="78">
                  <c:v>-0.9767447439330823</c:v>
                </c:pt>
                <c:pt idx="79">
                  <c:v>-0.84271705170193911</c:v>
                </c:pt>
                <c:pt idx="80">
                  <c:v>-1.1299192493401051</c:v>
                </c:pt>
                <c:pt idx="81">
                  <c:v>-1.3810106780536984</c:v>
                </c:pt>
                <c:pt idx="82">
                  <c:v>-0.90015749122957089</c:v>
                </c:pt>
                <c:pt idx="83">
                  <c:v>-0.99589155710896193</c:v>
                </c:pt>
                <c:pt idx="84">
                  <c:v>-1.0150383702848416</c:v>
                </c:pt>
                <c:pt idx="85">
                  <c:v>-0.99589155710896193</c:v>
                </c:pt>
                <c:pt idx="86">
                  <c:v>-0.93845111758132305</c:v>
                </c:pt>
                <c:pt idx="87">
                  <c:v>-0.88101067805369837</c:v>
                </c:pt>
                <c:pt idx="88">
                  <c:v>-0.99589155710896193</c:v>
                </c:pt>
                <c:pt idx="89">
                  <c:v>-0.30442342535017985</c:v>
                </c:pt>
                <c:pt idx="90">
                  <c:v>-0.82357023852605948</c:v>
                </c:pt>
                <c:pt idx="91">
                  <c:v>-0.82357023852605948</c:v>
                </c:pt>
                <c:pt idx="92">
                  <c:v>-0.72565331521948906</c:v>
                </c:pt>
                <c:pt idx="93">
                  <c:v>8.0695695594549477E-2</c:v>
                </c:pt>
                <c:pt idx="94">
                  <c:v>4.1084428910380666E-3</c:v>
                </c:pt>
                <c:pt idx="95">
                  <c:v>-0.28527661217430023</c:v>
                </c:pt>
                <c:pt idx="96">
                  <c:v>-0.53418518346071409</c:v>
                </c:pt>
                <c:pt idx="97">
                  <c:v>-0.4767447439330823</c:v>
                </c:pt>
                <c:pt idx="98">
                  <c:v>-0.84271705170193911</c:v>
                </c:pt>
                <c:pt idx="99">
                  <c:v>-1.4193043044054505</c:v>
                </c:pt>
                <c:pt idx="100">
                  <c:v>-0.90015749122957089</c:v>
                </c:pt>
                <c:pt idx="101">
                  <c:v>-1.3810106780536984</c:v>
                </c:pt>
                <c:pt idx="102">
                  <c:v>-0.43845111758132305</c:v>
                </c:pt>
                <c:pt idx="103">
                  <c:v>-0.18735968886773691</c:v>
                </c:pt>
                <c:pt idx="104">
                  <c:v>6.1548882418676953E-2</c:v>
                </c:pt>
                <c:pt idx="105">
                  <c:v>-1.5038370284841562E-2</c:v>
                </c:pt>
                <c:pt idx="106">
                  <c:v>-0.34271705170193911</c:v>
                </c:pt>
                <c:pt idx="107">
                  <c:v>-0.68735968886773691</c:v>
                </c:pt>
                <c:pt idx="108">
                  <c:v>-0.9767447439330823</c:v>
                </c:pt>
                <c:pt idx="109">
                  <c:v>-0.78527661217430023</c:v>
                </c:pt>
                <c:pt idx="110">
                  <c:v>-0.91930430440545052</c:v>
                </c:pt>
                <c:pt idx="111">
                  <c:v>-0.41930430440545052</c:v>
                </c:pt>
                <c:pt idx="112">
                  <c:v>-0.86186386487781874</c:v>
                </c:pt>
                <c:pt idx="113">
                  <c:v>-0.95759793075720268</c:v>
                </c:pt>
                <c:pt idx="114">
                  <c:v>-0.91930430440545052</c:v>
                </c:pt>
                <c:pt idx="115">
                  <c:v>-0.99589155710896193</c:v>
                </c:pt>
                <c:pt idx="116">
                  <c:v>-0.78527661217430023</c:v>
                </c:pt>
                <c:pt idx="117">
                  <c:v>-1.3618638648778187</c:v>
                </c:pt>
                <c:pt idx="118">
                  <c:v>-1.2852766121743002</c:v>
                </c:pt>
                <c:pt idx="119">
                  <c:v>-1.4575979307572027</c:v>
                </c:pt>
                <c:pt idx="120">
                  <c:v>-1.3044234253501799</c:v>
                </c:pt>
                <c:pt idx="121">
                  <c:v>-1.0341851834607141</c:v>
                </c:pt>
                <c:pt idx="122">
                  <c:v>-1.0916256229883459</c:v>
                </c:pt>
                <c:pt idx="123">
                  <c:v>-1.0150383702848416</c:v>
                </c:pt>
                <c:pt idx="124">
                  <c:v>-0.99589155710896193</c:v>
                </c:pt>
                <c:pt idx="125">
                  <c:v>-0.9767447439330823</c:v>
                </c:pt>
                <c:pt idx="126">
                  <c:v>-1.2448001283953687</c:v>
                </c:pt>
                <c:pt idx="127">
                  <c:v>-1.2830937547471279</c:v>
                </c:pt>
                <c:pt idx="128">
                  <c:v>-0.90015749122957089</c:v>
                </c:pt>
                <c:pt idx="129">
                  <c:v>-0.40015749122957089</c:v>
                </c:pt>
                <c:pt idx="130">
                  <c:v>-0.49589155710896193</c:v>
                </c:pt>
                <c:pt idx="131">
                  <c:v>-0.41930430440545052</c:v>
                </c:pt>
                <c:pt idx="132">
                  <c:v>-0.6107724361642255</c:v>
                </c:pt>
                <c:pt idx="133">
                  <c:v>-0.28527661217430023</c:v>
                </c:pt>
                <c:pt idx="134">
                  <c:v>4.1084428910380666E-3</c:v>
                </c:pt>
                <c:pt idx="135">
                  <c:v>4.2402069242797324E-2</c:v>
                </c:pt>
                <c:pt idx="136">
                  <c:v>0.29131064052920408</c:v>
                </c:pt>
                <c:pt idx="137">
                  <c:v>0.31045745370508371</c:v>
                </c:pt>
                <c:pt idx="138">
                  <c:v>0.29131064052920408</c:v>
                </c:pt>
                <c:pt idx="139">
                  <c:v>-0.51503837028484156</c:v>
                </c:pt>
                <c:pt idx="140">
                  <c:v>-0.55333199663658661</c:v>
                </c:pt>
                <c:pt idx="141">
                  <c:v>-0.41930430440545052</c:v>
                </c:pt>
                <c:pt idx="142">
                  <c:v>-0.45759793075720268</c:v>
                </c:pt>
                <c:pt idx="143">
                  <c:v>-0.53418518346071409</c:v>
                </c:pt>
                <c:pt idx="144">
                  <c:v>-0.38101067805369837</c:v>
                </c:pt>
                <c:pt idx="145">
                  <c:v>-0.41930430440545052</c:v>
                </c:pt>
                <c:pt idx="146">
                  <c:v>-0.51503837028484156</c:v>
                </c:pt>
                <c:pt idx="147">
                  <c:v>-0.43845111758132305</c:v>
                </c:pt>
                <c:pt idx="148">
                  <c:v>-0.34271705170193911</c:v>
                </c:pt>
                <c:pt idx="149">
                  <c:v>-0.51503837028484156</c:v>
                </c:pt>
                <c:pt idx="150">
                  <c:v>-0.43845111758132305</c:v>
                </c:pt>
                <c:pt idx="151">
                  <c:v>1.9255854638657866E-3</c:v>
                </c:pt>
                <c:pt idx="152">
                  <c:v>-0.4767447439330823</c:v>
                </c:pt>
                <c:pt idx="153">
                  <c:v>-0.20868935947079592</c:v>
                </c:pt>
                <c:pt idx="154">
                  <c:v>-0.30442342535017985</c:v>
                </c:pt>
                <c:pt idx="155">
                  <c:v>-0.51503837028484156</c:v>
                </c:pt>
                <c:pt idx="156">
                  <c:v>-0.53418518346071409</c:v>
                </c:pt>
                <c:pt idx="157">
                  <c:v>-7.2478809812466238E-2</c:v>
                </c:pt>
                <c:pt idx="158">
                  <c:v>4.1084428910380666E-3</c:v>
                </c:pt>
                <c:pt idx="159">
                  <c:v>2.3255256066917696E-2</c:v>
                </c:pt>
                <c:pt idx="160">
                  <c:v>8.0695695594549477E-2</c:v>
                </c:pt>
                <c:pt idx="161">
                  <c:v>-7.2478809812466238E-2</c:v>
                </c:pt>
                <c:pt idx="162">
                  <c:v>-9.1625622988345867E-2</c:v>
                </c:pt>
                <c:pt idx="163">
                  <c:v>0.17642976147394052</c:v>
                </c:pt>
                <c:pt idx="164">
                  <c:v>-9.1625622988345867E-2</c:v>
                </c:pt>
                <c:pt idx="165">
                  <c:v>0.35093393748401525</c:v>
                </c:pt>
                <c:pt idx="166">
                  <c:v>0.56154888241867695</c:v>
                </c:pt>
                <c:pt idx="167">
                  <c:v>0.15728294829806089</c:v>
                </c:pt>
                <c:pt idx="168">
                  <c:v>-0.62773639191291863</c:v>
                </c:pt>
                <c:pt idx="169">
                  <c:v>-5.3331996636586609E-2</c:v>
                </c:pt>
                <c:pt idx="170">
                  <c:v>4.1084428910380666E-3</c:v>
                </c:pt>
                <c:pt idx="171">
                  <c:v>-9.1625622988345867E-2</c:v>
                </c:pt>
                <c:pt idx="172">
                  <c:v>4.2402069242797324E-2</c:v>
                </c:pt>
                <c:pt idx="173">
                  <c:v>-5.3331996636586609E-2</c:v>
                </c:pt>
                <c:pt idx="174">
                  <c:v>6.1548882418676953E-2</c:v>
                </c:pt>
                <c:pt idx="175">
                  <c:v>-0.14906606251598475</c:v>
                </c:pt>
                <c:pt idx="176">
                  <c:v>-0.51503837028484156</c:v>
                </c:pt>
                <c:pt idx="177">
                  <c:v>-0.41930430440545052</c:v>
                </c:pt>
                <c:pt idx="178">
                  <c:v>-0.51503837028484156</c:v>
                </c:pt>
                <c:pt idx="179">
                  <c:v>6.1548882418676953E-2</c:v>
                </c:pt>
                <c:pt idx="180">
                  <c:v>-3.4185183460714086E-2</c:v>
                </c:pt>
                <c:pt idx="181">
                  <c:v>0.27434668478051094</c:v>
                </c:pt>
                <c:pt idx="182">
                  <c:v>0.1786126189011199</c:v>
                </c:pt>
                <c:pt idx="183">
                  <c:v>0.27434668478051094</c:v>
                </c:pt>
                <c:pt idx="184">
                  <c:v>0.44666800336341339</c:v>
                </c:pt>
                <c:pt idx="185">
                  <c:v>4.2402069242797324E-2</c:v>
                </c:pt>
                <c:pt idx="186">
                  <c:v>-1.5038370284841562E-2</c:v>
                </c:pt>
                <c:pt idx="187">
                  <c:v>-9.1625622988345867E-2</c:v>
                </c:pt>
                <c:pt idx="188">
                  <c:v>0.15728294829806089</c:v>
                </c:pt>
                <c:pt idx="189">
                  <c:v>9.9842508770429106E-2</c:v>
                </c:pt>
                <c:pt idx="190">
                  <c:v>0.42752119018753376</c:v>
                </c:pt>
                <c:pt idx="191">
                  <c:v>0.44666800336341339</c:v>
                </c:pt>
                <c:pt idx="192">
                  <c:v>0.19557657464982015</c:v>
                </c:pt>
                <c:pt idx="193">
                  <c:v>2.3255256066917696E-2</c:v>
                </c:pt>
                <c:pt idx="194">
                  <c:v>4.2402069242797324E-2</c:v>
                </c:pt>
                <c:pt idx="195">
                  <c:v>9.9842508770429106E-2</c:v>
                </c:pt>
                <c:pt idx="196">
                  <c:v>9.9842508770429106E-2</c:v>
                </c:pt>
                <c:pt idx="197">
                  <c:v>0.27216382735332445</c:v>
                </c:pt>
                <c:pt idx="198">
                  <c:v>0.25519987160463131</c:v>
                </c:pt>
                <c:pt idx="199">
                  <c:v>2.5438113494097081E-2</c:v>
                </c:pt>
                <c:pt idx="200">
                  <c:v>0.65728294829806089</c:v>
                </c:pt>
                <c:pt idx="201">
                  <c:v>0.59984250877042911</c:v>
                </c:pt>
                <c:pt idx="202">
                  <c:v>0.29349349795638346</c:v>
                </c:pt>
                <c:pt idx="203">
                  <c:v>1.0232552560669177</c:v>
                </c:pt>
                <c:pt idx="204">
                  <c:v>0.3892275638357745</c:v>
                </c:pt>
                <c:pt idx="205">
                  <c:v>0.85093393748401525</c:v>
                </c:pt>
                <c:pt idx="206">
                  <c:v>1.5041084428910381</c:v>
                </c:pt>
                <c:pt idx="207">
                  <c:v>0.98496162971515844</c:v>
                </c:pt>
                <c:pt idx="208">
                  <c:v>0.67642976147394052</c:v>
                </c:pt>
                <c:pt idx="209">
                  <c:v>1.1572829482980609</c:v>
                </c:pt>
                <c:pt idx="210">
                  <c:v>0.65728294829806089</c:v>
                </c:pt>
                <c:pt idx="211">
                  <c:v>1.1189893219463016</c:v>
                </c:pt>
                <c:pt idx="212">
                  <c:v>0.81264031113226309</c:v>
                </c:pt>
                <c:pt idx="213">
                  <c:v>0.46581481653928591</c:v>
                </c:pt>
                <c:pt idx="214">
                  <c:v>8.0695695594549477E-2</c:v>
                </c:pt>
                <c:pt idx="215">
                  <c:v>0.11898932194630163</c:v>
                </c:pt>
                <c:pt idx="216">
                  <c:v>0.54240206924279732</c:v>
                </c:pt>
                <c:pt idx="217">
                  <c:v>4.2402069242797324E-2</c:v>
                </c:pt>
                <c:pt idx="218">
                  <c:v>4.2402069242797324E-2</c:v>
                </c:pt>
                <c:pt idx="219">
                  <c:v>0.7338702010015794</c:v>
                </c:pt>
                <c:pt idx="220">
                  <c:v>0.46390013522169227</c:v>
                </c:pt>
                <c:pt idx="221">
                  <c:v>8.0695695594549477E-2</c:v>
                </c:pt>
                <c:pt idx="222">
                  <c:v>0.87008075065989487</c:v>
                </c:pt>
                <c:pt idx="223">
                  <c:v>0.63813613512218126</c:v>
                </c:pt>
                <c:pt idx="224">
                  <c:v>0.69557657464982015</c:v>
                </c:pt>
                <c:pt idx="225">
                  <c:v>0.82960426688096334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E-4279-97DA-DCEA04B1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2751"/>
        <c:axId val="2117250351"/>
      </c:scatterChart>
      <c:valAx>
        <c:axId val="21172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0351"/>
        <c:crosses val="autoZero"/>
        <c:crossBetween val="midCat"/>
      </c:valAx>
      <c:valAx>
        <c:axId val="21172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Log'!$F$2:$F$227</c:f>
              <c:numCache>
                <c:formatCode>0.00</c:formatCode>
                <c:ptCount val="226"/>
                <c:pt idx="0">
                  <c:v>113</c:v>
                </c:pt>
                <c:pt idx="1">
                  <c:v>114</c:v>
                </c:pt>
                <c:pt idx="2">
                  <c:v>136</c:v>
                </c:pt>
                <c:pt idx="3">
                  <c:v>131</c:v>
                </c:pt>
                <c:pt idx="4">
                  <c:v>123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120</c:v>
                </c:pt>
                <c:pt idx="9">
                  <c:v>119</c:v>
                </c:pt>
                <c:pt idx="10">
                  <c:v>136</c:v>
                </c:pt>
                <c:pt idx="11">
                  <c:v>128</c:v>
                </c:pt>
                <c:pt idx="12">
                  <c:v>127</c:v>
                </c:pt>
                <c:pt idx="13">
                  <c:v>115</c:v>
                </c:pt>
                <c:pt idx="14">
                  <c:v>127</c:v>
                </c:pt>
                <c:pt idx="15">
                  <c:v>131</c:v>
                </c:pt>
                <c:pt idx="16">
                  <c:v>134</c:v>
                </c:pt>
                <c:pt idx="17">
                  <c:v>121</c:v>
                </c:pt>
                <c:pt idx="18">
                  <c:v>132</c:v>
                </c:pt>
                <c:pt idx="19">
                  <c:v>136</c:v>
                </c:pt>
                <c:pt idx="20">
                  <c:v>128</c:v>
                </c:pt>
                <c:pt idx="21">
                  <c:v>136</c:v>
                </c:pt>
                <c:pt idx="22">
                  <c:v>137</c:v>
                </c:pt>
                <c:pt idx="23">
                  <c:v>136</c:v>
                </c:pt>
                <c:pt idx="24">
                  <c:v>113</c:v>
                </c:pt>
                <c:pt idx="25">
                  <c:v>113</c:v>
                </c:pt>
                <c:pt idx="26">
                  <c:v>148</c:v>
                </c:pt>
                <c:pt idx="27">
                  <c:v>138</c:v>
                </c:pt>
                <c:pt idx="28">
                  <c:v>112</c:v>
                </c:pt>
                <c:pt idx="29">
                  <c:v>134</c:v>
                </c:pt>
                <c:pt idx="30">
                  <c:v>128</c:v>
                </c:pt>
                <c:pt idx="31">
                  <c:v>120</c:v>
                </c:pt>
                <c:pt idx="32">
                  <c:v>128</c:v>
                </c:pt>
                <c:pt idx="33">
                  <c:v>124</c:v>
                </c:pt>
                <c:pt idx="34">
                  <c:v>137</c:v>
                </c:pt>
                <c:pt idx="35">
                  <c:v>141</c:v>
                </c:pt>
                <c:pt idx="36">
                  <c:v>128</c:v>
                </c:pt>
                <c:pt idx="37">
                  <c:v>126</c:v>
                </c:pt>
                <c:pt idx="38">
                  <c:v>140</c:v>
                </c:pt>
                <c:pt idx="39">
                  <c:v>149</c:v>
                </c:pt>
                <c:pt idx="40">
                  <c:v>143</c:v>
                </c:pt>
                <c:pt idx="41">
                  <c:v>133</c:v>
                </c:pt>
                <c:pt idx="42">
                  <c:v>141</c:v>
                </c:pt>
                <c:pt idx="43">
                  <c:v>143</c:v>
                </c:pt>
                <c:pt idx="44">
                  <c:v>141</c:v>
                </c:pt>
                <c:pt idx="45">
                  <c:v>134</c:v>
                </c:pt>
                <c:pt idx="46">
                  <c:v>111</c:v>
                </c:pt>
                <c:pt idx="47">
                  <c:v>132</c:v>
                </c:pt>
                <c:pt idx="48">
                  <c:v>133</c:v>
                </c:pt>
                <c:pt idx="49">
                  <c:v>138</c:v>
                </c:pt>
                <c:pt idx="50">
                  <c:v>138</c:v>
                </c:pt>
                <c:pt idx="51">
                  <c:v>136</c:v>
                </c:pt>
                <c:pt idx="52">
                  <c:v>108</c:v>
                </c:pt>
                <c:pt idx="53">
                  <c:v>142</c:v>
                </c:pt>
                <c:pt idx="54">
                  <c:v>128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146</c:v>
                </c:pt>
                <c:pt idx="59">
                  <c:v>131</c:v>
                </c:pt>
                <c:pt idx="60">
                  <c:v>144</c:v>
                </c:pt>
                <c:pt idx="61">
                  <c:v>147</c:v>
                </c:pt>
                <c:pt idx="62">
                  <c:v>140</c:v>
                </c:pt>
                <c:pt idx="63">
                  <c:v>134</c:v>
                </c:pt>
                <c:pt idx="64">
                  <c:v>128</c:v>
                </c:pt>
                <c:pt idx="65">
                  <c:v>146</c:v>
                </c:pt>
                <c:pt idx="66">
                  <c:v>124</c:v>
                </c:pt>
                <c:pt idx="67">
                  <c:v>128</c:v>
                </c:pt>
                <c:pt idx="68">
                  <c:v>123</c:v>
                </c:pt>
                <c:pt idx="69">
                  <c:v>141</c:v>
                </c:pt>
                <c:pt idx="70">
                  <c:v>143</c:v>
                </c:pt>
                <c:pt idx="71">
                  <c:v>128</c:v>
                </c:pt>
                <c:pt idx="72">
                  <c:v>131</c:v>
                </c:pt>
                <c:pt idx="73">
                  <c:v>132</c:v>
                </c:pt>
                <c:pt idx="74">
                  <c:v>137</c:v>
                </c:pt>
                <c:pt idx="75">
                  <c:v>133</c:v>
                </c:pt>
                <c:pt idx="76">
                  <c:v>133</c:v>
                </c:pt>
                <c:pt idx="77">
                  <c:v>128</c:v>
                </c:pt>
                <c:pt idx="78">
                  <c:v>142</c:v>
                </c:pt>
                <c:pt idx="79">
                  <c:v>112</c:v>
                </c:pt>
                <c:pt idx="80">
                  <c:v>127</c:v>
                </c:pt>
                <c:pt idx="81">
                  <c:v>141</c:v>
                </c:pt>
                <c:pt idx="82">
                  <c:v>124</c:v>
                </c:pt>
                <c:pt idx="83">
                  <c:v>136</c:v>
                </c:pt>
                <c:pt idx="84">
                  <c:v>131</c:v>
                </c:pt>
                <c:pt idx="85">
                  <c:v>136</c:v>
                </c:pt>
                <c:pt idx="86">
                  <c:v>131</c:v>
                </c:pt>
                <c:pt idx="87">
                  <c:v>130</c:v>
                </c:pt>
                <c:pt idx="88">
                  <c:v>132</c:v>
                </c:pt>
                <c:pt idx="89">
                  <c:v>141</c:v>
                </c:pt>
                <c:pt idx="90">
                  <c:v>140</c:v>
                </c:pt>
                <c:pt idx="91">
                  <c:v>135</c:v>
                </c:pt>
                <c:pt idx="92">
                  <c:v>159</c:v>
                </c:pt>
                <c:pt idx="93">
                  <c:v>132</c:v>
                </c:pt>
                <c:pt idx="94">
                  <c:v>114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141</c:v>
                </c:pt>
                <c:pt idx="99">
                  <c:v>145</c:v>
                </c:pt>
                <c:pt idx="100">
                  <c:v>111</c:v>
                </c:pt>
                <c:pt idx="101">
                  <c:v>128</c:v>
                </c:pt>
                <c:pt idx="102">
                  <c:v>132</c:v>
                </c:pt>
                <c:pt idx="103">
                  <c:v>140</c:v>
                </c:pt>
                <c:pt idx="104">
                  <c:v>132</c:v>
                </c:pt>
                <c:pt idx="105">
                  <c:v>136</c:v>
                </c:pt>
                <c:pt idx="106">
                  <c:v>121</c:v>
                </c:pt>
                <c:pt idx="107">
                  <c:v>135</c:v>
                </c:pt>
                <c:pt idx="108">
                  <c:v>135</c:v>
                </c:pt>
                <c:pt idx="109">
                  <c:v>138</c:v>
                </c:pt>
                <c:pt idx="110">
                  <c:v>142</c:v>
                </c:pt>
                <c:pt idx="111">
                  <c:v>116</c:v>
                </c:pt>
                <c:pt idx="112">
                  <c:v>128</c:v>
                </c:pt>
                <c:pt idx="113">
                  <c:v>140</c:v>
                </c:pt>
                <c:pt idx="114">
                  <c:v>133</c:v>
                </c:pt>
                <c:pt idx="115">
                  <c:v>116</c:v>
                </c:pt>
                <c:pt idx="116">
                  <c:v>128</c:v>
                </c:pt>
                <c:pt idx="117">
                  <c:v>128</c:v>
                </c:pt>
                <c:pt idx="118">
                  <c:v>121</c:v>
                </c:pt>
                <c:pt idx="119">
                  <c:v>131</c:v>
                </c:pt>
                <c:pt idx="120">
                  <c:v>116</c:v>
                </c:pt>
                <c:pt idx="121">
                  <c:v>136</c:v>
                </c:pt>
                <c:pt idx="122">
                  <c:v>145</c:v>
                </c:pt>
                <c:pt idx="123">
                  <c:v>112</c:v>
                </c:pt>
                <c:pt idx="124">
                  <c:v>134</c:v>
                </c:pt>
                <c:pt idx="125">
                  <c:v>142</c:v>
                </c:pt>
                <c:pt idx="126">
                  <c:v>133</c:v>
                </c:pt>
                <c:pt idx="127">
                  <c:v>160</c:v>
                </c:pt>
                <c:pt idx="128">
                  <c:v>123</c:v>
                </c:pt>
                <c:pt idx="129">
                  <c:v>130</c:v>
                </c:pt>
                <c:pt idx="130">
                  <c:v>137</c:v>
                </c:pt>
                <c:pt idx="131">
                  <c:v>136</c:v>
                </c:pt>
                <c:pt idx="132">
                  <c:v>124</c:v>
                </c:pt>
                <c:pt idx="133">
                  <c:v>122</c:v>
                </c:pt>
                <c:pt idx="134">
                  <c:v>124</c:v>
                </c:pt>
                <c:pt idx="135">
                  <c:v>139</c:v>
                </c:pt>
                <c:pt idx="136">
                  <c:v>123</c:v>
                </c:pt>
                <c:pt idx="137">
                  <c:v>127</c:v>
                </c:pt>
                <c:pt idx="138">
                  <c:v>132</c:v>
                </c:pt>
                <c:pt idx="139">
                  <c:v>140</c:v>
                </c:pt>
                <c:pt idx="140">
                  <c:v>123</c:v>
                </c:pt>
                <c:pt idx="141">
                  <c:v>129</c:v>
                </c:pt>
                <c:pt idx="142">
                  <c:v>133</c:v>
                </c:pt>
                <c:pt idx="143">
                  <c:v>116</c:v>
                </c:pt>
                <c:pt idx="144">
                  <c:v>128</c:v>
                </c:pt>
                <c:pt idx="145">
                  <c:v>140</c:v>
                </c:pt>
                <c:pt idx="146">
                  <c:v>138</c:v>
                </c:pt>
                <c:pt idx="147">
                  <c:v>126</c:v>
                </c:pt>
                <c:pt idx="148">
                  <c:v>119</c:v>
                </c:pt>
                <c:pt idx="149">
                  <c:v>132</c:v>
                </c:pt>
                <c:pt idx="150">
                  <c:v>138</c:v>
                </c:pt>
                <c:pt idx="151">
                  <c:v>124</c:v>
                </c:pt>
                <c:pt idx="152">
                  <c:v>124</c:v>
                </c:pt>
                <c:pt idx="153">
                  <c:v>122</c:v>
                </c:pt>
                <c:pt idx="154">
                  <c:v>123</c:v>
                </c:pt>
                <c:pt idx="155">
                  <c:v>124</c:v>
                </c:pt>
                <c:pt idx="156">
                  <c:v>140</c:v>
                </c:pt>
                <c:pt idx="157">
                  <c:v>140</c:v>
                </c:pt>
                <c:pt idx="158">
                  <c:v>129</c:v>
                </c:pt>
                <c:pt idx="159">
                  <c:v>124</c:v>
                </c:pt>
                <c:pt idx="160">
                  <c:v>123</c:v>
                </c:pt>
                <c:pt idx="161">
                  <c:v>144</c:v>
                </c:pt>
                <c:pt idx="162">
                  <c:v>133</c:v>
                </c:pt>
                <c:pt idx="163">
                  <c:v>127</c:v>
                </c:pt>
                <c:pt idx="164">
                  <c:v>134</c:v>
                </c:pt>
                <c:pt idx="165">
                  <c:v>124</c:v>
                </c:pt>
                <c:pt idx="166">
                  <c:v>131</c:v>
                </c:pt>
                <c:pt idx="167">
                  <c:v>140</c:v>
                </c:pt>
                <c:pt idx="168">
                  <c:v>142</c:v>
                </c:pt>
                <c:pt idx="169">
                  <c:v>127</c:v>
                </c:pt>
                <c:pt idx="170">
                  <c:v>140</c:v>
                </c:pt>
                <c:pt idx="171">
                  <c:v>136</c:v>
                </c:pt>
                <c:pt idx="172">
                  <c:v>128</c:v>
                </c:pt>
                <c:pt idx="173">
                  <c:v>133</c:v>
                </c:pt>
                <c:pt idx="174">
                  <c:v>132</c:v>
                </c:pt>
                <c:pt idx="175">
                  <c:v>148</c:v>
                </c:pt>
                <c:pt idx="176">
                  <c:v>136</c:v>
                </c:pt>
                <c:pt idx="177">
                  <c:v>117</c:v>
                </c:pt>
                <c:pt idx="178">
                  <c:v>141</c:v>
                </c:pt>
                <c:pt idx="179">
                  <c:v>142</c:v>
                </c:pt>
                <c:pt idx="180">
                  <c:v>129</c:v>
                </c:pt>
                <c:pt idx="181">
                  <c:v>125</c:v>
                </c:pt>
                <c:pt idx="182">
                  <c:v>134</c:v>
                </c:pt>
                <c:pt idx="183">
                  <c:v>119</c:v>
                </c:pt>
                <c:pt idx="184">
                  <c:v>135</c:v>
                </c:pt>
                <c:pt idx="185">
                  <c:v>144</c:v>
                </c:pt>
                <c:pt idx="186">
                  <c:v>140</c:v>
                </c:pt>
                <c:pt idx="187">
                  <c:v>132</c:v>
                </c:pt>
                <c:pt idx="188">
                  <c:v>117</c:v>
                </c:pt>
                <c:pt idx="189">
                  <c:v>117</c:v>
                </c:pt>
                <c:pt idx="190">
                  <c:v>136</c:v>
                </c:pt>
                <c:pt idx="191">
                  <c:v>122</c:v>
                </c:pt>
                <c:pt idx="192">
                  <c:v>133</c:v>
                </c:pt>
                <c:pt idx="193">
                  <c:v>106</c:v>
                </c:pt>
                <c:pt idx="194">
                  <c:v>141</c:v>
                </c:pt>
                <c:pt idx="195">
                  <c:v>130</c:v>
                </c:pt>
                <c:pt idx="196">
                  <c:v>128</c:v>
                </c:pt>
                <c:pt idx="197">
                  <c:v>128</c:v>
                </c:pt>
                <c:pt idx="198">
                  <c:v>139</c:v>
                </c:pt>
                <c:pt idx="199">
                  <c:v>140</c:v>
                </c:pt>
                <c:pt idx="200">
                  <c:v>127</c:v>
                </c:pt>
                <c:pt idx="201">
                  <c:v>141</c:v>
                </c:pt>
                <c:pt idx="202">
                  <c:v>134</c:v>
                </c:pt>
                <c:pt idx="203">
                  <c:v>133</c:v>
                </c:pt>
                <c:pt idx="204">
                  <c:v>127</c:v>
                </c:pt>
                <c:pt idx="205">
                  <c:v>131</c:v>
                </c:pt>
                <c:pt idx="206">
                  <c:v>153</c:v>
                </c:pt>
                <c:pt idx="207">
                  <c:v>140</c:v>
                </c:pt>
                <c:pt idx="208">
                  <c:v>136</c:v>
                </c:pt>
                <c:pt idx="209">
                  <c:v>136</c:v>
                </c:pt>
                <c:pt idx="210">
                  <c:v>131</c:v>
                </c:pt>
                <c:pt idx="211">
                  <c:v>144</c:v>
                </c:pt>
                <c:pt idx="212">
                  <c:v>129</c:v>
                </c:pt>
                <c:pt idx="213">
                  <c:v>136</c:v>
                </c:pt>
                <c:pt idx="214">
                  <c:v>146</c:v>
                </c:pt>
                <c:pt idx="215">
                  <c:v>119</c:v>
                </c:pt>
                <c:pt idx="216">
                  <c:v>134</c:v>
                </c:pt>
                <c:pt idx="217">
                  <c:v>132</c:v>
                </c:pt>
                <c:pt idx="218">
                  <c:v>137</c:v>
                </c:pt>
                <c:pt idx="219">
                  <c:v>134</c:v>
                </c:pt>
                <c:pt idx="220">
                  <c:v>124</c:v>
                </c:pt>
                <c:pt idx="221">
                  <c:v>137</c:v>
                </c:pt>
                <c:pt idx="222">
                  <c:v>140</c:v>
                </c:pt>
                <c:pt idx="223">
                  <c:v>130</c:v>
                </c:pt>
                <c:pt idx="224">
                  <c:v>136</c:v>
                </c:pt>
                <c:pt idx="225">
                  <c:v>127</c:v>
                </c:pt>
              </c:numCache>
            </c:numRef>
          </c:xVal>
          <c:yVal>
            <c:numRef>
              <c:f>Residuals!$CE$2:$CE$227</c:f>
              <c:numCache>
                <c:formatCode>0.00</c:formatCode>
                <c:ptCount val="226"/>
                <c:pt idx="0">
                  <c:v>2.8488975729996824</c:v>
                </c:pt>
                <c:pt idx="1">
                  <c:v>2.3594879782421074</c:v>
                </c:pt>
                <c:pt idx="2">
                  <c:v>2.5924768935755083</c:v>
                </c:pt>
                <c:pt idx="3">
                  <c:v>2.5395248673633688</c:v>
                </c:pt>
                <c:pt idx="4">
                  <c:v>1.9548016254239542</c:v>
                </c:pt>
                <c:pt idx="5">
                  <c:v>2.5501152726057938</c:v>
                </c:pt>
                <c:pt idx="6">
                  <c:v>2.0501152726057938</c:v>
                </c:pt>
                <c:pt idx="7">
                  <c:v>2.0501152726057938</c:v>
                </c:pt>
                <c:pt idx="8">
                  <c:v>2.4230304096966719</c:v>
                </c:pt>
                <c:pt idx="9">
                  <c:v>2.4124400044542469</c:v>
                </c:pt>
                <c:pt idx="10">
                  <c:v>2.0924768935755083</c:v>
                </c:pt>
                <c:pt idx="11">
                  <c:v>1.5077536516360865</c:v>
                </c:pt>
                <c:pt idx="12">
                  <c:v>1.9971632463936615</c:v>
                </c:pt>
                <c:pt idx="13">
                  <c:v>1.3700783834845396</c:v>
                </c:pt>
                <c:pt idx="14">
                  <c:v>1.4971632463936615</c:v>
                </c:pt>
                <c:pt idx="15">
                  <c:v>1.5395248673633688</c:v>
                </c:pt>
                <c:pt idx="16">
                  <c:v>1.5712960830906511</c:v>
                </c:pt>
                <c:pt idx="17">
                  <c:v>1.433620814939097</c:v>
                </c:pt>
                <c:pt idx="18">
                  <c:v>1.5501152726057938</c:v>
                </c:pt>
                <c:pt idx="19">
                  <c:v>1.5924768935755083</c:v>
                </c:pt>
                <c:pt idx="20">
                  <c:v>1.5077536516360865</c:v>
                </c:pt>
                <c:pt idx="21">
                  <c:v>1.0924768935755083</c:v>
                </c:pt>
                <c:pt idx="22">
                  <c:v>1.1030672988179333</c:v>
                </c:pt>
                <c:pt idx="23">
                  <c:v>0.59247689357550826</c:v>
                </c:pt>
                <c:pt idx="24">
                  <c:v>0.84889757299968238</c:v>
                </c:pt>
                <c:pt idx="25">
                  <c:v>0.34889757299968238</c:v>
                </c:pt>
                <c:pt idx="26">
                  <c:v>1.7195617564846302</c:v>
                </c:pt>
                <c:pt idx="27">
                  <c:v>0.61365770406035836</c:v>
                </c:pt>
                <c:pt idx="28">
                  <c:v>0.33830716775725733</c:v>
                </c:pt>
                <c:pt idx="29">
                  <c:v>0.57129608309065105</c:v>
                </c:pt>
                <c:pt idx="30">
                  <c:v>0.50775365163608654</c:v>
                </c:pt>
                <c:pt idx="31">
                  <c:v>0.42303040969667194</c:v>
                </c:pt>
                <c:pt idx="32">
                  <c:v>7.7536516360865448E-3</c:v>
                </c:pt>
                <c:pt idx="33">
                  <c:v>-3.4607969333620758E-2</c:v>
                </c:pt>
                <c:pt idx="34">
                  <c:v>0.10306729881793331</c:v>
                </c:pt>
                <c:pt idx="35">
                  <c:v>0.14542891978764061</c:v>
                </c:pt>
                <c:pt idx="36">
                  <c:v>7.7536516360865448E-3</c:v>
                </c:pt>
                <c:pt idx="37">
                  <c:v>-1.3427158848763554E-2</c:v>
                </c:pt>
                <c:pt idx="38">
                  <c:v>0.63483851454521556</c:v>
                </c:pt>
                <c:pt idx="39">
                  <c:v>0.73015216172705522</c:v>
                </c:pt>
                <c:pt idx="40">
                  <c:v>-0.33339026972750929</c:v>
                </c:pt>
                <c:pt idx="41">
                  <c:v>6.0705677848226003E-2</c:v>
                </c:pt>
                <c:pt idx="42">
                  <c:v>0.14542891978764061</c:v>
                </c:pt>
                <c:pt idx="43">
                  <c:v>0.16660973027249071</c:v>
                </c:pt>
                <c:pt idx="44">
                  <c:v>0.14542891978764061</c:v>
                </c:pt>
                <c:pt idx="45">
                  <c:v>0.57129608309065105</c:v>
                </c:pt>
                <c:pt idx="46">
                  <c:v>0.32771676251483228</c:v>
                </c:pt>
                <c:pt idx="47">
                  <c:v>5.0115272605793848E-2</c:v>
                </c:pt>
                <c:pt idx="48">
                  <c:v>6.0705677848226003E-2</c:v>
                </c:pt>
                <c:pt idx="49">
                  <c:v>0.11365770406035836</c:v>
                </c:pt>
                <c:pt idx="50">
                  <c:v>0.11365770406035836</c:v>
                </c:pt>
                <c:pt idx="51">
                  <c:v>9.2476893575508257E-2</c:v>
                </c:pt>
                <c:pt idx="52">
                  <c:v>-0.20405445321244997</c:v>
                </c:pt>
                <c:pt idx="53">
                  <c:v>0.15601932503006566</c:v>
                </c:pt>
                <c:pt idx="54">
                  <c:v>-0.49224634836391346</c:v>
                </c:pt>
                <c:pt idx="55">
                  <c:v>-0.42870391690934895</c:v>
                </c:pt>
                <c:pt idx="56">
                  <c:v>-0.42870391690934895</c:v>
                </c:pt>
                <c:pt idx="57">
                  <c:v>-0.40752310642449174</c:v>
                </c:pt>
                <c:pt idx="58">
                  <c:v>-0.30161905400022704</c:v>
                </c:pt>
                <c:pt idx="59">
                  <c:v>-0.9604751326366312</c:v>
                </c:pt>
                <c:pt idx="60">
                  <c:v>-0.82279986448507714</c:v>
                </c:pt>
                <c:pt idx="61">
                  <c:v>-0.79102864875779488</c:v>
                </c:pt>
                <c:pt idx="62">
                  <c:v>-0.86516148545478444</c:v>
                </c:pt>
                <c:pt idx="63">
                  <c:v>-1.4287039169093489</c:v>
                </c:pt>
                <c:pt idx="64">
                  <c:v>-1.4922463483639135</c:v>
                </c:pt>
                <c:pt idx="65">
                  <c:v>-0.80161905400022704</c:v>
                </c:pt>
                <c:pt idx="66">
                  <c:v>-1.0346079693336208</c:v>
                </c:pt>
                <c:pt idx="67">
                  <c:v>-0.99224634836391346</c:v>
                </c:pt>
                <c:pt idx="68">
                  <c:v>-0.54519837457604581</c:v>
                </c:pt>
                <c:pt idx="69">
                  <c:v>-0.85457108021235939</c:v>
                </c:pt>
                <c:pt idx="70">
                  <c:v>-0.83339026972750929</c:v>
                </c:pt>
                <c:pt idx="71">
                  <c:v>-1.4922463483639135</c:v>
                </c:pt>
                <c:pt idx="72">
                  <c:v>-1.4604751326366312</c:v>
                </c:pt>
                <c:pt idx="73">
                  <c:v>-1.4498847273942062</c:v>
                </c:pt>
                <c:pt idx="74">
                  <c:v>-0.39693270118206669</c:v>
                </c:pt>
                <c:pt idx="75">
                  <c:v>-0.939294322151774</c:v>
                </c:pt>
                <c:pt idx="76">
                  <c:v>-1.439294322151774</c:v>
                </c:pt>
                <c:pt idx="77">
                  <c:v>-0.99224634836391346</c:v>
                </c:pt>
                <c:pt idx="78">
                  <c:v>-0.84398067496993434</c:v>
                </c:pt>
                <c:pt idx="79">
                  <c:v>-1.1616928322427427</c:v>
                </c:pt>
                <c:pt idx="80">
                  <c:v>-1.0028367536063385</c:v>
                </c:pt>
                <c:pt idx="81">
                  <c:v>-1.3545710802123594</c:v>
                </c:pt>
                <c:pt idx="82">
                  <c:v>-1.0346079693336208</c:v>
                </c:pt>
                <c:pt idx="83">
                  <c:v>-0.90752310642449174</c:v>
                </c:pt>
                <c:pt idx="84">
                  <c:v>-0.9604751326366312</c:v>
                </c:pt>
                <c:pt idx="85">
                  <c:v>-0.90752310642449174</c:v>
                </c:pt>
                <c:pt idx="86">
                  <c:v>-0.9604751326366312</c:v>
                </c:pt>
                <c:pt idx="87">
                  <c:v>-0.97106553787905625</c:v>
                </c:pt>
                <c:pt idx="88">
                  <c:v>-0.94988472739420615</c:v>
                </c:pt>
                <c:pt idx="89">
                  <c:v>-0.35457108021235939</c:v>
                </c:pt>
                <c:pt idx="90">
                  <c:v>-0.86516148545478444</c:v>
                </c:pt>
                <c:pt idx="91">
                  <c:v>-0.9181135116669239</c:v>
                </c:pt>
                <c:pt idx="92">
                  <c:v>-0.16394378584867297</c:v>
                </c:pt>
                <c:pt idx="93">
                  <c:v>5.0115272605793848E-2</c:v>
                </c:pt>
                <c:pt idx="94">
                  <c:v>-0.14051202175789257</c:v>
                </c:pt>
                <c:pt idx="95">
                  <c:v>-0.49224634836391346</c:v>
                </c:pt>
                <c:pt idx="96">
                  <c:v>-0.49224634836391346</c:v>
                </c:pt>
                <c:pt idx="97">
                  <c:v>-0.5028367536063385</c:v>
                </c:pt>
                <c:pt idx="98">
                  <c:v>-0.85457108021235939</c:v>
                </c:pt>
                <c:pt idx="99">
                  <c:v>-1.3122094592426521</c:v>
                </c:pt>
                <c:pt idx="100">
                  <c:v>-1.1722832374851677</c:v>
                </c:pt>
                <c:pt idx="101">
                  <c:v>-1.4922463483639135</c:v>
                </c:pt>
                <c:pt idx="102">
                  <c:v>-0.44988472739420615</c:v>
                </c:pt>
                <c:pt idx="103">
                  <c:v>0.13483851454521556</c:v>
                </c:pt>
                <c:pt idx="104">
                  <c:v>5.0115272605793848E-2</c:v>
                </c:pt>
                <c:pt idx="105">
                  <c:v>9.2476893575508257E-2</c:v>
                </c:pt>
                <c:pt idx="106">
                  <c:v>-0.56637918506090301</c:v>
                </c:pt>
                <c:pt idx="107">
                  <c:v>-0.4181135116669239</c:v>
                </c:pt>
                <c:pt idx="108">
                  <c:v>-0.9181135116669239</c:v>
                </c:pt>
                <c:pt idx="109">
                  <c:v>-0.88634229593964164</c:v>
                </c:pt>
                <c:pt idx="110">
                  <c:v>-0.84398067496993434</c:v>
                </c:pt>
                <c:pt idx="111">
                  <c:v>-0.61933121127303536</c:v>
                </c:pt>
                <c:pt idx="112">
                  <c:v>-0.99224634836391346</c:v>
                </c:pt>
                <c:pt idx="113">
                  <c:v>-0.86516148545478444</c:v>
                </c:pt>
                <c:pt idx="114">
                  <c:v>-0.939294322151774</c:v>
                </c:pt>
                <c:pt idx="115">
                  <c:v>-1.1193312112730354</c:v>
                </c:pt>
                <c:pt idx="116">
                  <c:v>-0.99224634836391346</c:v>
                </c:pt>
                <c:pt idx="117">
                  <c:v>-1.4922463483639135</c:v>
                </c:pt>
                <c:pt idx="118">
                  <c:v>-1.566379185060903</c:v>
                </c:pt>
                <c:pt idx="119">
                  <c:v>-1.4604751326366312</c:v>
                </c:pt>
                <c:pt idx="120">
                  <c:v>-1.6193312112730354</c:v>
                </c:pt>
                <c:pt idx="121">
                  <c:v>-0.90752310642449174</c:v>
                </c:pt>
                <c:pt idx="122">
                  <c:v>-0.81220945924265209</c:v>
                </c:pt>
                <c:pt idx="123">
                  <c:v>-1.1616928322427427</c:v>
                </c:pt>
                <c:pt idx="124">
                  <c:v>-0.92870391690934895</c:v>
                </c:pt>
                <c:pt idx="125">
                  <c:v>-0.84398067496993434</c:v>
                </c:pt>
                <c:pt idx="126">
                  <c:v>-0.939294322151774</c:v>
                </c:pt>
                <c:pt idx="127">
                  <c:v>-0.65335338060624792</c:v>
                </c:pt>
                <c:pt idx="128">
                  <c:v>-1.0451983745760458</c:v>
                </c:pt>
                <c:pt idx="129">
                  <c:v>-0.47106553787905625</c:v>
                </c:pt>
                <c:pt idx="130">
                  <c:v>-0.39693270118206669</c:v>
                </c:pt>
                <c:pt idx="131">
                  <c:v>-0.40752310642449174</c:v>
                </c:pt>
                <c:pt idx="132">
                  <c:v>-0.53460796933362076</c:v>
                </c:pt>
                <c:pt idx="133">
                  <c:v>-0.55578877981847086</c:v>
                </c:pt>
                <c:pt idx="134">
                  <c:v>-3.4607969333620758E-2</c:v>
                </c:pt>
                <c:pt idx="135">
                  <c:v>0.1242481093027834</c:v>
                </c:pt>
                <c:pt idx="136">
                  <c:v>-4.5198374576045808E-2</c:v>
                </c:pt>
                <c:pt idx="137">
                  <c:v>-2.8367536063385046E-3</c:v>
                </c:pt>
                <c:pt idx="138">
                  <c:v>5.0115272605793848E-2</c:v>
                </c:pt>
                <c:pt idx="139">
                  <c:v>-0.36516148545478444</c:v>
                </c:pt>
                <c:pt idx="140">
                  <c:v>-0.54519837457604581</c:v>
                </c:pt>
                <c:pt idx="141">
                  <c:v>-0.4816559431214813</c:v>
                </c:pt>
                <c:pt idx="142">
                  <c:v>-0.439294322151774</c:v>
                </c:pt>
                <c:pt idx="143">
                  <c:v>-0.61933121127303536</c:v>
                </c:pt>
                <c:pt idx="144">
                  <c:v>-0.49224634836391346</c:v>
                </c:pt>
                <c:pt idx="145">
                  <c:v>-0.36516148545478444</c:v>
                </c:pt>
                <c:pt idx="146">
                  <c:v>-0.38634229593964164</c:v>
                </c:pt>
                <c:pt idx="147">
                  <c:v>-0.51342715884876355</c:v>
                </c:pt>
                <c:pt idx="148">
                  <c:v>-0.58755999554575311</c:v>
                </c:pt>
                <c:pt idx="149">
                  <c:v>-0.44988472739420615</c:v>
                </c:pt>
                <c:pt idx="150">
                  <c:v>-0.38634229593964164</c:v>
                </c:pt>
                <c:pt idx="151">
                  <c:v>-0.53460796933362076</c:v>
                </c:pt>
                <c:pt idx="152">
                  <c:v>-0.53460796933362076</c:v>
                </c:pt>
                <c:pt idx="153">
                  <c:v>-0.55578877981847086</c:v>
                </c:pt>
                <c:pt idx="154">
                  <c:v>-0.54519837457604581</c:v>
                </c:pt>
                <c:pt idx="155">
                  <c:v>-0.53460796933362076</c:v>
                </c:pt>
                <c:pt idx="156">
                  <c:v>-0.36516148545478444</c:v>
                </c:pt>
                <c:pt idx="157">
                  <c:v>0.13483851454521556</c:v>
                </c:pt>
                <c:pt idx="158">
                  <c:v>1.83440568785187E-2</c:v>
                </c:pt>
                <c:pt idx="159">
                  <c:v>-3.4607969333620758E-2</c:v>
                </c:pt>
                <c:pt idx="160">
                  <c:v>-4.5198374576045808E-2</c:v>
                </c:pt>
                <c:pt idx="161">
                  <c:v>0.17720013551492286</c:v>
                </c:pt>
                <c:pt idx="162">
                  <c:v>6.0705677848226003E-2</c:v>
                </c:pt>
                <c:pt idx="163">
                  <c:v>-2.8367536063385046E-3</c:v>
                </c:pt>
                <c:pt idx="164">
                  <c:v>7.1296083090651052E-2</c:v>
                </c:pt>
                <c:pt idx="165">
                  <c:v>0.46539203066637924</c:v>
                </c:pt>
                <c:pt idx="166">
                  <c:v>0.5395248673633688</c:v>
                </c:pt>
                <c:pt idx="167">
                  <c:v>0.13483851454521556</c:v>
                </c:pt>
                <c:pt idx="168">
                  <c:v>0.15601932503006566</c:v>
                </c:pt>
                <c:pt idx="169">
                  <c:v>-2.8367536063385046E-3</c:v>
                </c:pt>
                <c:pt idx="170">
                  <c:v>0.13483851454521556</c:v>
                </c:pt>
                <c:pt idx="171">
                  <c:v>9.2476893575508257E-2</c:v>
                </c:pt>
                <c:pt idx="172">
                  <c:v>7.7536516360865448E-3</c:v>
                </c:pt>
                <c:pt idx="173">
                  <c:v>6.0705677848226003E-2</c:v>
                </c:pt>
                <c:pt idx="174">
                  <c:v>5.0115272605793848E-2</c:v>
                </c:pt>
                <c:pt idx="175">
                  <c:v>0.21956175648463017</c:v>
                </c:pt>
                <c:pt idx="176">
                  <c:v>-0.40752310642449174</c:v>
                </c:pt>
                <c:pt idx="177">
                  <c:v>-0.60874080603061032</c:v>
                </c:pt>
                <c:pt idx="178">
                  <c:v>-0.35457108021235939</c:v>
                </c:pt>
                <c:pt idx="179">
                  <c:v>0.15601932503006566</c:v>
                </c:pt>
                <c:pt idx="180">
                  <c:v>1.83440568785187E-2</c:v>
                </c:pt>
                <c:pt idx="181">
                  <c:v>0.47598243590880429</c:v>
                </c:pt>
                <c:pt idx="182">
                  <c:v>0.57129608309065105</c:v>
                </c:pt>
                <c:pt idx="183">
                  <c:v>0.41244000445424689</c:v>
                </c:pt>
                <c:pt idx="184">
                  <c:v>0.5818864883330761</c:v>
                </c:pt>
                <c:pt idx="185">
                  <c:v>0.17720013551492286</c:v>
                </c:pt>
                <c:pt idx="186">
                  <c:v>0.13483851454521556</c:v>
                </c:pt>
                <c:pt idx="187">
                  <c:v>5.0115272605793848E-2</c:v>
                </c:pt>
                <c:pt idx="188">
                  <c:v>-0.10874080603061032</c:v>
                </c:pt>
                <c:pt idx="189">
                  <c:v>-0.10874080603061032</c:v>
                </c:pt>
                <c:pt idx="190">
                  <c:v>0.59247689357550826</c:v>
                </c:pt>
                <c:pt idx="191">
                  <c:v>0.44421122018152914</c:v>
                </c:pt>
                <c:pt idx="192">
                  <c:v>6.0705677848226003E-2</c:v>
                </c:pt>
                <c:pt idx="193">
                  <c:v>-0.22523526369730718</c:v>
                </c:pt>
                <c:pt idx="194">
                  <c:v>0.14542891978764061</c:v>
                </c:pt>
                <c:pt idx="195">
                  <c:v>2.8934462120943749E-2</c:v>
                </c:pt>
                <c:pt idx="196">
                  <c:v>7.7536516360865448E-3</c:v>
                </c:pt>
                <c:pt idx="197">
                  <c:v>7.7536516360865448E-3</c:v>
                </c:pt>
                <c:pt idx="198">
                  <c:v>0.6242481093027834</c:v>
                </c:pt>
                <c:pt idx="199">
                  <c:v>0.63483851454521556</c:v>
                </c:pt>
                <c:pt idx="200">
                  <c:v>0.4971632463936615</c:v>
                </c:pt>
                <c:pt idx="201">
                  <c:v>0.64542891978764061</c:v>
                </c:pt>
                <c:pt idx="202">
                  <c:v>0.57129608309065105</c:v>
                </c:pt>
                <c:pt idx="203">
                  <c:v>1.060705677848226</c:v>
                </c:pt>
                <c:pt idx="204">
                  <c:v>0.4971632463936615</c:v>
                </c:pt>
                <c:pt idx="205">
                  <c:v>1.0395248673633688</c:v>
                </c:pt>
                <c:pt idx="206">
                  <c:v>1.7725137826967625</c:v>
                </c:pt>
                <c:pt idx="207">
                  <c:v>1.1348385145452156</c:v>
                </c:pt>
                <c:pt idx="208">
                  <c:v>0.59247689357550826</c:v>
                </c:pt>
                <c:pt idx="209">
                  <c:v>1.0924768935755083</c:v>
                </c:pt>
                <c:pt idx="210">
                  <c:v>0.5395248673633688</c:v>
                </c:pt>
                <c:pt idx="211">
                  <c:v>1.1772001355149229</c:v>
                </c:pt>
                <c:pt idx="212">
                  <c:v>1.0183440568785187</c:v>
                </c:pt>
                <c:pt idx="213">
                  <c:v>0.59247689357550826</c:v>
                </c:pt>
                <c:pt idx="214">
                  <c:v>0.19838094599977296</c:v>
                </c:pt>
                <c:pt idx="215">
                  <c:v>-8.7559995545753111E-2</c:v>
                </c:pt>
                <c:pt idx="216">
                  <c:v>0.57129608309065105</c:v>
                </c:pt>
                <c:pt idx="217">
                  <c:v>5.0115272605793848E-2</c:v>
                </c:pt>
                <c:pt idx="218">
                  <c:v>0.10306729881793331</c:v>
                </c:pt>
                <c:pt idx="219">
                  <c:v>0.57129608309065105</c:v>
                </c:pt>
                <c:pt idx="220">
                  <c:v>0.46539203066637924</c:v>
                </c:pt>
                <c:pt idx="221">
                  <c:v>0.10306729881793331</c:v>
                </c:pt>
                <c:pt idx="222">
                  <c:v>1.1348385145452156</c:v>
                </c:pt>
                <c:pt idx="223">
                  <c:v>0.52893446212094375</c:v>
                </c:pt>
                <c:pt idx="224">
                  <c:v>0.59247689357550826</c:v>
                </c:pt>
                <c:pt idx="225">
                  <c:v>0.4971632463936615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8-48DD-BB7F-50FDE1DC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655"/>
        <c:axId val="2123648175"/>
      </c:scatterChart>
      <c:valAx>
        <c:axId val="21236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8175"/>
        <c:crosses val="autoZero"/>
        <c:crossBetween val="midCat"/>
      </c:valAx>
      <c:valAx>
        <c:axId val="2123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Log'!$G$2:$G$227</c:f>
              <c:numCache>
                <c:formatCode>0.00</c:formatCode>
                <c:ptCount val="226"/>
                <c:pt idx="0">
                  <c:v>73</c:v>
                </c:pt>
                <c:pt idx="1">
                  <c:v>75</c:v>
                </c:pt>
                <c:pt idx="2">
                  <c:v>76</c:v>
                </c:pt>
                <c:pt idx="3">
                  <c:v>85</c:v>
                </c:pt>
                <c:pt idx="4">
                  <c:v>79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8">
                  <c:v>77</c:v>
                </c:pt>
                <c:pt idx="9">
                  <c:v>75</c:v>
                </c:pt>
                <c:pt idx="10">
                  <c:v>68</c:v>
                </c:pt>
                <c:pt idx="11">
                  <c:v>74</c:v>
                </c:pt>
                <c:pt idx="12">
                  <c:v>75</c:v>
                </c:pt>
                <c:pt idx="13">
                  <c:v>78</c:v>
                </c:pt>
                <c:pt idx="14">
                  <c:v>78</c:v>
                </c:pt>
                <c:pt idx="15">
                  <c:v>77</c:v>
                </c:pt>
                <c:pt idx="16">
                  <c:v>75</c:v>
                </c:pt>
                <c:pt idx="17">
                  <c:v>73</c:v>
                </c:pt>
                <c:pt idx="18">
                  <c:v>74</c:v>
                </c:pt>
                <c:pt idx="19">
                  <c:v>69</c:v>
                </c:pt>
                <c:pt idx="20">
                  <c:v>76</c:v>
                </c:pt>
                <c:pt idx="21">
                  <c:v>83</c:v>
                </c:pt>
                <c:pt idx="22">
                  <c:v>77</c:v>
                </c:pt>
                <c:pt idx="23">
                  <c:v>76</c:v>
                </c:pt>
                <c:pt idx="24">
                  <c:v>74</c:v>
                </c:pt>
                <c:pt idx="25">
                  <c:v>76</c:v>
                </c:pt>
                <c:pt idx="26">
                  <c:v>79</c:v>
                </c:pt>
                <c:pt idx="27">
                  <c:v>74</c:v>
                </c:pt>
                <c:pt idx="28">
                  <c:v>68</c:v>
                </c:pt>
                <c:pt idx="29">
                  <c:v>76</c:v>
                </c:pt>
                <c:pt idx="30">
                  <c:v>70</c:v>
                </c:pt>
                <c:pt idx="31">
                  <c:v>71</c:v>
                </c:pt>
                <c:pt idx="32">
                  <c:v>79</c:v>
                </c:pt>
                <c:pt idx="33">
                  <c:v>74</c:v>
                </c:pt>
                <c:pt idx="34">
                  <c:v>75</c:v>
                </c:pt>
                <c:pt idx="35">
                  <c:v>72</c:v>
                </c:pt>
                <c:pt idx="36">
                  <c:v>72</c:v>
                </c:pt>
                <c:pt idx="37">
                  <c:v>68</c:v>
                </c:pt>
                <c:pt idx="38">
                  <c:v>81</c:v>
                </c:pt>
                <c:pt idx="39">
                  <c:v>89</c:v>
                </c:pt>
                <c:pt idx="40">
                  <c:v>78</c:v>
                </c:pt>
                <c:pt idx="41">
                  <c:v>86</c:v>
                </c:pt>
                <c:pt idx="42">
                  <c:v>83</c:v>
                </c:pt>
                <c:pt idx="43">
                  <c:v>92</c:v>
                </c:pt>
                <c:pt idx="44">
                  <c:v>87</c:v>
                </c:pt>
                <c:pt idx="45">
                  <c:v>77</c:v>
                </c:pt>
                <c:pt idx="46">
                  <c:v>85</c:v>
                </c:pt>
                <c:pt idx="47">
                  <c:v>84</c:v>
                </c:pt>
                <c:pt idx="48">
                  <c:v>76</c:v>
                </c:pt>
                <c:pt idx="49">
                  <c:v>82</c:v>
                </c:pt>
                <c:pt idx="50">
                  <c:v>73</c:v>
                </c:pt>
                <c:pt idx="51">
                  <c:v>75</c:v>
                </c:pt>
                <c:pt idx="52">
                  <c:v>81</c:v>
                </c:pt>
                <c:pt idx="53">
                  <c:v>76</c:v>
                </c:pt>
                <c:pt idx="54">
                  <c:v>72</c:v>
                </c:pt>
                <c:pt idx="55">
                  <c:v>78</c:v>
                </c:pt>
                <c:pt idx="56">
                  <c:v>84</c:v>
                </c:pt>
                <c:pt idx="57">
                  <c:v>76</c:v>
                </c:pt>
                <c:pt idx="58">
                  <c:v>82</c:v>
                </c:pt>
                <c:pt idx="59">
                  <c:v>76</c:v>
                </c:pt>
                <c:pt idx="60">
                  <c:v>71</c:v>
                </c:pt>
                <c:pt idx="61">
                  <c:v>78</c:v>
                </c:pt>
                <c:pt idx="62">
                  <c:v>76</c:v>
                </c:pt>
                <c:pt idx="63">
                  <c:v>71</c:v>
                </c:pt>
                <c:pt idx="64">
                  <c:v>75</c:v>
                </c:pt>
                <c:pt idx="65">
                  <c:v>78</c:v>
                </c:pt>
                <c:pt idx="66">
                  <c:v>67</c:v>
                </c:pt>
                <c:pt idx="67">
                  <c:v>73</c:v>
                </c:pt>
                <c:pt idx="68">
                  <c:v>79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76</c:v>
                </c:pt>
                <c:pt idx="73">
                  <c:v>77</c:v>
                </c:pt>
                <c:pt idx="74">
                  <c:v>75</c:v>
                </c:pt>
                <c:pt idx="75">
                  <c:v>78</c:v>
                </c:pt>
                <c:pt idx="76">
                  <c:v>74</c:v>
                </c:pt>
                <c:pt idx="77">
                  <c:v>72</c:v>
                </c:pt>
                <c:pt idx="78">
                  <c:v>71</c:v>
                </c:pt>
                <c:pt idx="79">
                  <c:v>76</c:v>
                </c:pt>
                <c:pt idx="80">
                  <c:v>70</c:v>
                </c:pt>
                <c:pt idx="81">
                  <c:v>80</c:v>
                </c:pt>
                <c:pt idx="82">
                  <c:v>67</c:v>
                </c:pt>
                <c:pt idx="83">
                  <c:v>76</c:v>
                </c:pt>
                <c:pt idx="84">
                  <c:v>74</c:v>
                </c:pt>
                <c:pt idx="85">
                  <c:v>77</c:v>
                </c:pt>
                <c:pt idx="86">
                  <c:v>76</c:v>
                </c:pt>
                <c:pt idx="87">
                  <c:v>78</c:v>
                </c:pt>
                <c:pt idx="88">
                  <c:v>72</c:v>
                </c:pt>
                <c:pt idx="89">
                  <c:v>77</c:v>
                </c:pt>
                <c:pt idx="90">
                  <c:v>74</c:v>
                </c:pt>
                <c:pt idx="91">
                  <c:v>76</c:v>
                </c:pt>
                <c:pt idx="92">
                  <c:v>83</c:v>
                </c:pt>
                <c:pt idx="93">
                  <c:v>81</c:v>
                </c:pt>
                <c:pt idx="94">
                  <c:v>67</c:v>
                </c:pt>
                <c:pt idx="95">
                  <c:v>61</c:v>
                </c:pt>
                <c:pt idx="96">
                  <c:v>82</c:v>
                </c:pt>
                <c:pt idx="97">
                  <c:v>73</c:v>
                </c:pt>
                <c:pt idx="98">
                  <c:v>77</c:v>
                </c:pt>
                <c:pt idx="99">
                  <c:v>77</c:v>
                </c:pt>
                <c:pt idx="100">
                  <c:v>80</c:v>
                </c:pt>
                <c:pt idx="101">
                  <c:v>90</c:v>
                </c:pt>
                <c:pt idx="102">
                  <c:v>76</c:v>
                </c:pt>
                <c:pt idx="103">
                  <c:v>75</c:v>
                </c:pt>
                <c:pt idx="104">
                  <c:v>76</c:v>
                </c:pt>
                <c:pt idx="105">
                  <c:v>84</c:v>
                </c:pt>
                <c:pt idx="106">
                  <c:v>91</c:v>
                </c:pt>
                <c:pt idx="107">
                  <c:v>74</c:v>
                </c:pt>
                <c:pt idx="108">
                  <c:v>76</c:v>
                </c:pt>
                <c:pt idx="109">
                  <c:v>88</c:v>
                </c:pt>
                <c:pt idx="110">
                  <c:v>85</c:v>
                </c:pt>
                <c:pt idx="111">
                  <c:v>71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68</c:v>
                </c:pt>
                <c:pt idx="116">
                  <c:v>85</c:v>
                </c:pt>
                <c:pt idx="117">
                  <c:v>75</c:v>
                </c:pt>
                <c:pt idx="118">
                  <c:v>75</c:v>
                </c:pt>
                <c:pt idx="119">
                  <c:v>79</c:v>
                </c:pt>
                <c:pt idx="120">
                  <c:v>71</c:v>
                </c:pt>
                <c:pt idx="121">
                  <c:v>73</c:v>
                </c:pt>
                <c:pt idx="122">
                  <c:v>87</c:v>
                </c:pt>
                <c:pt idx="123">
                  <c:v>73</c:v>
                </c:pt>
                <c:pt idx="124">
                  <c:v>75</c:v>
                </c:pt>
                <c:pt idx="125">
                  <c:v>76</c:v>
                </c:pt>
                <c:pt idx="126">
                  <c:v>76</c:v>
                </c:pt>
                <c:pt idx="127">
                  <c:v>85</c:v>
                </c:pt>
                <c:pt idx="128">
                  <c:v>84</c:v>
                </c:pt>
                <c:pt idx="129">
                  <c:v>75</c:v>
                </c:pt>
                <c:pt idx="130">
                  <c:v>81</c:v>
                </c:pt>
                <c:pt idx="131">
                  <c:v>74</c:v>
                </c:pt>
                <c:pt idx="132">
                  <c:v>78</c:v>
                </c:pt>
                <c:pt idx="133">
                  <c:v>73</c:v>
                </c:pt>
                <c:pt idx="134">
                  <c:v>88</c:v>
                </c:pt>
                <c:pt idx="135">
                  <c:v>77</c:v>
                </c:pt>
                <c:pt idx="136">
                  <c:v>77</c:v>
                </c:pt>
                <c:pt idx="137">
                  <c:v>80</c:v>
                </c:pt>
                <c:pt idx="138">
                  <c:v>75</c:v>
                </c:pt>
                <c:pt idx="139">
                  <c:v>85</c:v>
                </c:pt>
                <c:pt idx="140">
                  <c:v>70</c:v>
                </c:pt>
                <c:pt idx="141">
                  <c:v>72</c:v>
                </c:pt>
                <c:pt idx="142">
                  <c:v>73</c:v>
                </c:pt>
                <c:pt idx="143">
                  <c:v>71</c:v>
                </c:pt>
                <c:pt idx="144">
                  <c:v>70</c:v>
                </c:pt>
                <c:pt idx="145">
                  <c:v>77</c:v>
                </c:pt>
                <c:pt idx="146">
                  <c:v>78</c:v>
                </c:pt>
                <c:pt idx="147">
                  <c:v>69</c:v>
                </c:pt>
                <c:pt idx="148">
                  <c:v>79</c:v>
                </c:pt>
                <c:pt idx="149">
                  <c:v>81</c:v>
                </c:pt>
                <c:pt idx="150">
                  <c:v>80</c:v>
                </c:pt>
                <c:pt idx="151">
                  <c:v>75</c:v>
                </c:pt>
                <c:pt idx="152">
                  <c:v>74</c:v>
                </c:pt>
                <c:pt idx="153">
                  <c:v>72</c:v>
                </c:pt>
                <c:pt idx="154">
                  <c:v>77</c:v>
                </c:pt>
                <c:pt idx="155">
                  <c:v>78</c:v>
                </c:pt>
                <c:pt idx="156">
                  <c:v>87</c:v>
                </c:pt>
                <c:pt idx="157">
                  <c:v>80</c:v>
                </c:pt>
                <c:pt idx="158">
                  <c:v>87</c:v>
                </c:pt>
                <c:pt idx="159">
                  <c:v>69</c:v>
                </c:pt>
                <c:pt idx="160">
                  <c:v>74</c:v>
                </c:pt>
                <c:pt idx="161">
                  <c:v>83</c:v>
                </c:pt>
                <c:pt idx="162">
                  <c:v>83</c:v>
                </c:pt>
                <c:pt idx="163">
                  <c:v>65</c:v>
                </c:pt>
                <c:pt idx="164">
                  <c:v>79</c:v>
                </c:pt>
                <c:pt idx="165">
                  <c:v>70</c:v>
                </c:pt>
                <c:pt idx="166">
                  <c:v>76</c:v>
                </c:pt>
                <c:pt idx="167">
                  <c:v>83</c:v>
                </c:pt>
                <c:pt idx="168">
                  <c:v>82</c:v>
                </c:pt>
                <c:pt idx="169">
                  <c:v>71</c:v>
                </c:pt>
                <c:pt idx="170">
                  <c:v>86</c:v>
                </c:pt>
                <c:pt idx="171">
                  <c:v>82</c:v>
                </c:pt>
                <c:pt idx="172">
                  <c:v>74</c:v>
                </c:pt>
                <c:pt idx="173">
                  <c:v>78</c:v>
                </c:pt>
                <c:pt idx="174">
                  <c:v>80</c:v>
                </c:pt>
                <c:pt idx="175">
                  <c:v>83</c:v>
                </c:pt>
                <c:pt idx="176">
                  <c:v>74</c:v>
                </c:pt>
                <c:pt idx="177">
                  <c:v>68</c:v>
                </c:pt>
                <c:pt idx="178">
                  <c:v>80</c:v>
                </c:pt>
                <c:pt idx="179">
                  <c:v>81</c:v>
                </c:pt>
                <c:pt idx="180">
                  <c:v>76</c:v>
                </c:pt>
                <c:pt idx="181">
                  <c:v>79</c:v>
                </c:pt>
                <c:pt idx="182">
                  <c:v>81</c:v>
                </c:pt>
                <c:pt idx="183">
                  <c:v>74</c:v>
                </c:pt>
                <c:pt idx="184">
                  <c:v>78</c:v>
                </c:pt>
                <c:pt idx="185">
                  <c:v>79</c:v>
                </c:pt>
                <c:pt idx="186">
                  <c:v>81</c:v>
                </c:pt>
                <c:pt idx="187">
                  <c:v>78</c:v>
                </c:pt>
                <c:pt idx="188">
                  <c:v>78</c:v>
                </c:pt>
                <c:pt idx="189">
                  <c:v>81</c:v>
                </c:pt>
                <c:pt idx="190">
                  <c:v>72</c:v>
                </c:pt>
                <c:pt idx="191">
                  <c:v>71</c:v>
                </c:pt>
                <c:pt idx="192">
                  <c:v>80</c:v>
                </c:pt>
                <c:pt idx="193">
                  <c:v>42</c:v>
                </c:pt>
                <c:pt idx="194">
                  <c:v>83</c:v>
                </c:pt>
                <c:pt idx="195">
                  <c:v>78</c:v>
                </c:pt>
                <c:pt idx="196">
                  <c:v>74</c:v>
                </c:pt>
                <c:pt idx="197">
                  <c:v>79</c:v>
                </c:pt>
                <c:pt idx="198">
                  <c:v>66</c:v>
                </c:pt>
                <c:pt idx="199">
                  <c:v>87</c:v>
                </c:pt>
                <c:pt idx="200">
                  <c:v>76</c:v>
                </c:pt>
                <c:pt idx="201">
                  <c:v>99</c:v>
                </c:pt>
                <c:pt idx="202">
                  <c:v>78</c:v>
                </c:pt>
                <c:pt idx="203">
                  <c:v>82</c:v>
                </c:pt>
                <c:pt idx="204">
                  <c:v>84</c:v>
                </c:pt>
                <c:pt idx="205">
                  <c:v>91</c:v>
                </c:pt>
                <c:pt idx="206">
                  <c:v>84</c:v>
                </c:pt>
                <c:pt idx="207">
                  <c:v>82</c:v>
                </c:pt>
                <c:pt idx="208">
                  <c:v>77</c:v>
                </c:pt>
                <c:pt idx="209">
                  <c:v>85</c:v>
                </c:pt>
                <c:pt idx="210">
                  <c:v>83</c:v>
                </c:pt>
                <c:pt idx="211">
                  <c:v>82</c:v>
                </c:pt>
                <c:pt idx="212">
                  <c:v>82</c:v>
                </c:pt>
                <c:pt idx="213">
                  <c:v>81</c:v>
                </c:pt>
                <c:pt idx="214">
                  <c:v>80</c:v>
                </c:pt>
                <c:pt idx="215">
                  <c:v>80</c:v>
                </c:pt>
                <c:pt idx="216">
                  <c:v>73</c:v>
                </c:pt>
                <c:pt idx="217">
                  <c:v>83</c:v>
                </c:pt>
                <c:pt idx="218">
                  <c:v>81</c:v>
                </c:pt>
                <c:pt idx="219">
                  <c:v>76</c:v>
                </c:pt>
                <c:pt idx="220">
                  <c:v>73</c:v>
                </c:pt>
                <c:pt idx="221">
                  <c:v>84</c:v>
                </c:pt>
                <c:pt idx="222">
                  <c:v>86</c:v>
                </c:pt>
                <c:pt idx="223">
                  <c:v>80</c:v>
                </c:pt>
                <c:pt idx="224">
                  <c:v>75</c:v>
                </c:pt>
                <c:pt idx="225">
                  <c:v>70</c:v>
                </c:pt>
              </c:numCache>
            </c:numRef>
          </c:xVal>
          <c:yVal>
            <c:numRef>
              <c:f>Residuals!$CH$2:$CH$227</c:f>
              <c:numCache>
                <c:formatCode>0.00</c:formatCode>
                <c:ptCount val="226"/>
                <c:pt idx="0">
                  <c:v>3.0697258145311537</c:v>
                </c:pt>
                <c:pt idx="1">
                  <c:v>2.558454573193444</c:v>
                </c:pt>
                <c:pt idx="2">
                  <c:v>2.5528189525245963</c:v>
                </c:pt>
                <c:pt idx="3">
                  <c:v>2.502098366504903</c:v>
                </c:pt>
                <c:pt idx="4">
                  <c:v>2.0359120905180319</c:v>
                </c:pt>
                <c:pt idx="5">
                  <c:v>2.558454573193444</c:v>
                </c:pt>
                <c:pt idx="6">
                  <c:v>2.0866326765377181</c:v>
                </c:pt>
                <c:pt idx="7">
                  <c:v>2.0866326765377181</c:v>
                </c:pt>
                <c:pt idx="8">
                  <c:v>2.5471833318557415</c:v>
                </c:pt>
                <c:pt idx="9">
                  <c:v>2.558454573193444</c:v>
                </c:pt>
                <c:pt idx="10">
                  <c:v>2.0979039178754277</c:v>
                </c:pt>
                <c:pt idx="11">
                  <c:v>1.5640901938622989</c:v>
                </c:pt>
                <c:pt idx="12">
                  <c:v>2.058454573193444</c:v>
                </c:pt>
                <c:pt idx="13">
                  <c:v>1.5415477111868867</c:v>
                </c:pt>
                <c:pt idx="14">
                  <c:v>1.5415477111868867</c:v>
                </c:pt>
                <c:pt idx="15">
                  <c:v>1.5471833318557415</c:v>
                </c:pt>
                <c:pt idx="16">
                  <c:v>1.558454573193444</c:v>
                </c:pt>
                <c:pt idx="17">
                  <c:v>1.5697258145311537</c:v>
                </c:pt>
                <c:pt idx="18">
                  <c:v>1.5640901938622989</c:v>
                </c:pt>
                <c:pt idx="19">
                  <c:v>1.5922682972065729</c:v>
                </c:pt>
                <c:pt idx="20">
                  <c:v>1.5528189525245963</c:v>
                </c:pt>
                <c:pt idx="21">
                  <c:v>1.0133696078426127</c:v>
                </c:pt>
                <c:pt idx="22">
                  <c:v>1.0471833318557415</c:v>
                </c:pt>
                <c:pt idx="23">
                  <c:v>0.55281895252459634</c:v>
                </c:pt>
                <c:pt idx="24">
                  <c:v>1.0640901938622989</c:v>
                </c:pt>
                <c:pt idx="25">
                  <c:v>0.55281895252459634</c:v>
                </c:pt>
                <c:pt idx="26">
                  <c:v>1.5359120905180319</c:v>
                </c:pt>
                <c:pt idx="27">
                  <c:v>0.56409019386229886</c:v>
                </c:pt>
                <c:pt idx="28">
                  <c:v>0.59790391787542774</c:v>
                </c:pt>
                <c:pt idx="29">
                  <c:v>0.55281895252459634</c:v>
                </c:pt>
                <c:pt idx="30">
                  <c:v>0.58663267653771811</c:v>
                </c:pt>
                <c:pt idx="31">
                  <c:v>0.5809970558688633</c:v>
                </c:pt>
                <c:pt idx="32">
                  <c:v>3.5912090518031903E-2</c:v>
                </c:pt>
                <c:pt idx="33">
                  <c:v>6.4090193862298861E-2</c:v>
                </c:pt>
                <c:pt idx="34">
                  <c:v>5.8454573193444048E-2</c:v>
                </c:pt>
                <c:pt idx="35">
                  <c:v>7.5361435200008486E-2</c:v>
                </c:pt>
                <c:pt idx="36">
                  <c:v>7.5361435200008486E-2</c:v>
                </c:pt>
                <c:pt idx="37">
                  <c:v>9.7903917875427737E-2</c:v>
                </c:pt>
                <c:pt idx="38">
                  <c:v>0.52464084918032228</c:v>
                </c:pt>
                <c:pt idx="39">
                  <c:v>0.47955588382949088</c:v>
                </c:pt>
                <c:pt idx="40">
                  <c:v>-0.45845228881311328</c:v>
                </c:pt>
                <c:pt idx="41">
                  <c:v>-3.5372541639517863E-3</c:v>
                </c:pt>
                <c:pt idx="42">
                  <c:v>1.3369607842612652E-2</c:v>
                </c:pt>
                <c:pt idx="43">
                  <c:v>-3.7350978177073557E-2</c:v>
                </c:pt>
                <c:pt idx="44">
                  <c:v>-9.1728748327994936E-3</c:v>
                </c:pt>
                <c:pt idx="45">
                  <c:v>0.54718333185574153</c:v>
                </c:pt>
                <c:pt idx="46">
                  <c:v>0.50209836650490303</c:v>
                </c:pt>
                <c:pt idx="47">
                  <c:v>7.7339871737578392E-3</c:v>
                </c:pt>
                <c:pt idx="48">
                  <c:v>5.2818952524596341E-2</c:v>
                </c:pt>
                <c:pt idx="49">
                  <c:v>1.9005228511467465E-2</c:v>
                </c:pt>
                <c:pt idx="50">
                  <c:v>6.9725814531153674E-2</c:v>
                </c:pt>
                <c:pt idx="51">
                  <c:v>5.8454573193444048E-2</c:v>
                </c:pt>
                <c:pt idx="52">
                  <c:v>2.4640849180322277E-2</c:v>
                </c:pt>
                <c:pt idx="53">
                  <c:v>5.2818952524596341E-2</c:v>
                </c:pt>
                <c:pt idx="54">
                  <c:v>-0.42463856479999151</c:v>
                </c:pt>
                <c:pt idx="55">
                  <c:v>-0.45845228881311328</c:v>
                </c:pt>
                <c:pt idx="56">
                  <c:v>-0.49226601282624216</c:v>
                </c:pt>
                <c:pt idx="57">
                  <c:v>-0.44718104747540366</c:v>
                </c:pt>
                <c:pt idx="58">
                  <c:v>-0.48099477148853254</c:v>
                </c:pt>
                <c:pt idx="59">
                  <c:v>-0.94718104747540366</c:v>
                </c:pt>
                <c:pt idx="60">
                  <c:v>-0.9190029441311367</c:v>
                </c:pt>
                <c:pt idx="61">
                  <c:v>-0.95845228881311328</c:v>
                </c:pt>
                <c:pt idx="62">
                  <c:v>-0.94718104747540366</c:v>
                </c:pt>
                <c:pt idx="63">
                  <c:v>-1.4190029441311367</c:v>
                </c:pt>
                <c:pt idx="64">
                  <c:v>-1.441545426806556</c:v>
                </c:pt>
                <c:pt idx="65">
                  <c:v>-0.95845228881311328</c:v>
                </c:pt>
                <c:pt idx="66">
                  <c:v>-0.89646046145571745</c:v>
                </c:pt>
                <c:pt idx="67">
                  <c:v>-0.93027418546884633</c:v>
                </c:pt>
                <c:pt idx="68">
                  <c:v>-0.4640879094819681</c:v>
                </c:pt>
                <c:pt idx="69">
                  <c:v>-0.96972353015082291</c:v>
                </c:pt>
                <c:pt idx="70">
                  <c:v>-0.92463856479999151</c:v>
                </c:pt>
                <c:pt idx="71">
                  <c:v>-1.4528166681442585</c:v>
                </c:pt>
                <c:pt idx="72">
                  <c:v>-1.4471810474754037</c:v>
                </c:pt>
                <c:pt idx="73">
                  <c:v>-1.4528166681442585</c:v>
                </c:pt>
                <c:pt idx="74">
                  <c:v>-0.44154542680655595</c:v>
                </c:pt>
                <c:pt idx="75">
                  <c:v>-0.95845228881311328</c:v>
                </c:pt>
                <c:pt idx="76">
                  <c:v>-1.4359098061377011</c:v>
                </c:pt>
                <c:pt idx="77">
                  <c:v>-0.92463856479999151</c:v>
                </c:pt>
                <c:pt idx="78">
                  <c:v>-0.9190029441311367</c:v>
                </c:pt>
                <c:pt idx="79">
                  <c:v>-0.94718104747540366</c:v>
                </c:pt>
                <c:pt idx="80">
                  <c:v>-0.91336732346228189</c:v>
                </c:pt>
                <c:pt idx="81">
                  <c:v>-1.4697235301508229</c:v>
                </c:pt>
                <c:pt idx="82">
                  <c:v>-0.89646046145571745</c:v>
                </c:pt>
                <c:pt idx="83">
                  <c:v>-0.94718104747540366</c:v>
                </c:pt>
                <c:pt idx="84">
                  <c:v>-0.93590980613770114</c:v>
                </c:pt>
                <c:pt idx="85">
                  <c:v>-0.95281666814425847</c:v>
                </c:pt>
                <c:pt idx="86">
                  <c:v>-0.94718104747540366</c:v>
                </c:pt>
                <c:pt idx="87">
                  <c:v>-0.95845228881311328</c:v>
                </c:pt>
                <c:pt idx="88">
                  <c:v>-0.92463856479999151</c:v>
                </c:pt>
                <c:pt idx="89">
                  <c:v>-0.45281666814425847</c:v>
                </c:pt>
                <c:pt idx="90">
                  <c:v>-0.93590980613770114</c:v>
                </c:pt>
                <c:pt idx="91">
                  <c:v>-0.94718104747540366</c:v>
                </c:pt>
                <c:pt idx="92">
                  <c:v>-0.48663039215738735</c:v>
                </c:pt>
                <c:pt idx="93">
                  <c:v>2.4640849180322277E-2</c:v>
                </c:pt>
                <c:pt idx="94">
                  <c:v>0.10353953854428255</c:v>
                </c:pt>
                <c:pt idx="95">
                  <c:v>-0.36264673744259568</c:v>
                </c:pt>
                <c:pt idx="96">
                  <c:v>-0.48099477148853254</c:v>
                </c:pt>
                <c:pt idx="97">
                  <c:v>-0.43027418546884633</c:v>
                </c:pt>
                <c:pt idx="98">
                  <c:v>-0.95281666814425847</c:v>
                </c:pt>
                <c:pt idx="99">
                  <c:v>-1.4528166681442585</c:v>
                </c:pt>
                <c:pt idx="100">
                  <c:v>-0.96972353015082291</c:v>
                </c:pt>
                <c:pt idx="101">
                  <c:v>-1.5260797368393639</c:v>
                </c:pt>
                <c:pt idx="102">
                  <c:v>-0.44718104747540366</c:v>
                </c:pt>
                <c:pt idx="103">
                  <c:v>5.8454573193444048E-2</c:v>
                </c:pt>
                <c:pt idx="104">
                  <c:v>5.2818952524596341E-2</c:v>
                </c:pt>
                <c:pt idx="105">
                  <c:v>7.7339871737578392E-3</c:v>
                </c:pt>
                <c:pt idx="106">
                  <c:v>-0.53171535750821874</c:v>
                </c:pt>
                <c:pt idx="107">
                  <c:v>-0.43590980613770114</c:v>
                </c:pt>
                <c:pt idx="108">
                  <c:v>-0.94718104747540366</c:v>
                </c:pt>
                <c:pt idx="109">
                  <c:v>-1.0148084955016543</c:v>
                </c:pt>
                <c:pt idx="110">
                  <c:v>-0.99790163349509697</c:v>
                </c:pt>
                <c:pt idx="111">
                  <c:v>-0.4190029441311367</c:v>
                </c:pt>
                <c:pt idx="112">
                  <c:v>-0.93590980613770114</c:v>
                </c:pt>
                <c:pt idx="113">
                  <c:v>-0.93590980613770114</c:v>
                </c:pt>
                <c:pt idx="114">
                  <c:v>-0.93590980613770114</c:v>
                </c:pt>
                <c:pt idx="115">
                  <c:v>-0.90209608212457226</c:v>
                </c:pt>
                <c:pt idx="116">
                  <c:v>-0.99790163349509697</c:v>
                </c:pt>
                <c:pt idx="117">
                  <c:v>-1.441545426806556</c:v>
                </c:pt>
                <c:pt idx="118">
                  <c:v>-1.441545426806556</c:v>
                </c:pt>
                <c:pt idx="119">
                  <c:v>-1.4640879094819681</c:v>
                </c:pt>
                <c:pt idx="120">
                  <c:v>-1.4190029441311367</c:v>
                </c:pt>
                <c:pt idx="121">
                  <c:v>-0.93027418546884633</c:v>
                </c:pt>
                <c:pt idx="122">
                  <c:v>-1.0091728748327995</c:v>
                </c:pt>
                <c:pt idx="123">
                  <c:v>-0.93027418546884633</c:v>
                </c:pt>
                <c:pt idx="124">
                  <c:v>-0.94154542680655595</c:v>
                </c:pt>
                <c:pt idx="125">
                  <c:v>-0.94718104747540366</c:v>
                </c:pt>
                <c:pt idx="126">
                  <c:v>-0.94718104747540366</c:v>
                </c:pt>
                <c:pt idx="127">
                  <c:v>-0.99790163349509697</c:v>
                </c:pt>
                <c:pt idx="128">
                  <c:v>-0.99226601282624216</c:v>
                </c:pt>
                <c:pt idx="129">
                  <c:v>-0.44154542680655595</c:v>
                </c:pt>
                <c:pt idx="130">
                  <c:v>-0.47535915081967772</c:v>
                </c:pt>
                <c:pt idx="131">
                  <c:v>-0.43590980613770114</c:v>
                </c:pt>
                <c:pt idx="132">
                  <c:v>-0.45845228881311328</c:v>
                </c:pt>
                <c:pt idx="133">
                  <c:v>-0.43027418546884633</c:v>
                </c:pt>
                <c:pt idx="134">
                  <c:v>-1.4808495501654306E-2</c:v>
                </c:pt>
                <c:pt idx="135">
                  <c:v>4.7183331855741528E-2</c:v>
                </c:pt>
                <c:pt idx="136">
                  <c:v>4.7183331855741528E-2</c:v>
                </c:pt>
                <c:pt idx="137">
                  <c:v>3.027646984917709E-2</c:v>
                </c:pt>
                <c:pt idx="138">
                  <c:v>5.8454573193444048E-2</c:v>
                </c:pt>
                <c:pt idx="139">
                  <c:v>-0.49790163349509697</c:v>
                </c:pt>
                <c:pt idx="140">
                  <c:v>-0.41336732346228189</c:v>
                </c:pt>
                <c:pt idx="141">
                  <c:v>-0.42463856479999151</c:v>
                </c:pt>
                <c:pt idx="142">
                  <c:v>-0.43027418546884633</c:v>
                </c:pt>
                <c:pt idx="143">
                  <c:v>-0.4190029441311367</c:v>
                </c:pt>
                <c:pt idx="144">
                  <c:v>-0.41336732346228189</c:v>
                </c:pt>
                <c:pt idx="145">
                  <c:v>-0.45281666814425847</c:v>
                </c:pt>
                <c:pt idx="146">
                  <c:v>-0.45845228881311328</c:v>
                </c:pt>
                <c:pt idx="147">
                  <c:v>-0.40773170279342708</c:v>
                </c:pt>
                <c:pt idx="148">
                  <c:v>-0.4640879094819681</c:v>
                </c:pt>
                <c:pt idx="149">
                  <c:v>-0.47535915081967772</c:v>
                </c:pt>
                <c:pt idx="150">
                  <c:v>-0.46972353015082291</c:v>
                </c:pt>
                <c:pt idx="151">
                  <c:v>-0.44154542680655595</c:v>
                </c:pt>
                <c:pt idx="152">
                  <c:v>-0.43590980613770114</c:v>
                </c:pt>
                <c:pt idx="153">
                  <c:v>-0.42463856479999151</c:v>
                </c:pt>
                <c:pt idx="154">
                  <c:v>-0.45281666814425847</c:v>
                </c:pt>
                <c:pt idx="155">
                  <c:v>-0.45845228881311328</c:v>
                </c:pt>
                <c:pt idx="156">
                  <c:v>-0.50917287483279949</c:v>
                </c:pt>
                <c:pt idx="157">
                  <c:v>3.027646984917709E-2</c:v>
                </c:pt>
                <c:pt idx="158">
                  <c:v>-9.1728748327994936E-3</c:v>
                </c:pt>
                <c:pt idx="159">
                  <c:v>9.2268297206572925E-2</c:v>
                </c:pt>
                <c:pt idx="160">
                  <c:v>6.4090193862298861E-2</c:v>
                </c:pt>
                <c:pt idx="161">
                  <c:v>1.3369607842612652E-2</c:v>
                </c:pt>
                <c:pt idx="162">
                  <c:v>1.3369607842612652E-2</c:v>
                </c:pt>
                <c:pt idx="163">
                  <c:v>0.11481077988198507</c:v>
                </c:pt>
                <c:pt idx="164">
                  <c:v>3.5912090518031903E-2</c:v>
                </c:pt>
                <c:pt idx="165">
                  <c:v>0.58663267653771811</c:v>
                </c:pt>
                <c:pt idx="166">
                  <c:v>0.55281895252459634</c:v>
                </c:pt>
                <c:pt idx="167">
                  <c:v>1.3369607842612652E-2</c:v>
                </c:pt>
                <c:pt idx="168">
                  <c:v>1.9005228511467465E-2</c:v>
                </c:pt>
                <c:pt idx="169">
                  <c:v>8.0997055868863299E-2</c:v>
                </c:pt>
                <c:pt idx="170">
                  <c:v>-3.5372541639517863E-3</c:v>
                </c:pt>
                <c:pt idx="171">
                  <c:v>1.9005228511467465E-2</c:v>
                </c:pt>
                <c:pt idx="172">
                  <c:v>6.4090193862298861E-2</c:v>
                </c:pt>
                <c:pt idx="173">
                  <c:v>4.1547711186886715E-2</c:v>
                </c:pt>
                <c:pt idx="174">
                  <c:v>3.027646984917709E-2</c:v>
                </c:pt>
                <c:pt idx="175">
                  <c:v>1.3369607842612652E-2</c:v>
                </c:pt>
                <c:pt idx="176">
                  <c:v>-0.43590980613770114</c:v>
                </c:pt>
                <c:pt idx="177">
                  <c:v>-0.40209608212457226</c:v>
                </c:pt>
                <c:pt idx="178">
                  <c:v>-0.46972353015082291</c:v>
                </c:pt>
                <c:pt idx="179">
                  <c:v>2.4640849180322277E-2</c:v>
                </c:pt>
                <c:pt idx="180">
                  <c:v>5.2818952524596341E-2</c:v>
                </c:pt>
                <c:pt idx="181">
                  <c:v>0.5359120905180319</c:v>
                </c:pt>
                <c:pt idx="182">
                  <c:v>0.52464084918032228</c:v>
                </c:pt>
                <c:pt idx="183">
                  <c:v>0.56409019386229886</c:v>
                </c:pt>
                <c:pt idx="184">
                  <c:v>0.54154771118688672</c:v>
                </c:pt>
                <c:pt idx="185">
                  <c:v>3.5912090518031903E-2</c:v>
                </c:pt>
                <c:pt idx="186">
                  <c:v>2.4640849180322277E-2</c:v>
                </c:pt>
                <c:pt idx="187">
                  <c:v>4.1547711186886715E-2</c:v>
                </c:pt>
                <c:pt idx="188">
                  <c:v>4.1547711186886715E-2</c:v>
                </c:pt>
                <c:pt idx="189">
                  <c:v>2.4640849180322277E-2</c:v>
                </c:pt>
                <c:pt idx="190">
                  <c:v>0.57536143520000849</c:v>
                </c:pt>
                <c:pt idx="191">
                  <c:v>0.5809970558688633</c:v>
                </c:pt>
                <c:pt idx="192">
                  <c:v>3.027646984917709E-2</c:v>
                </c:pt>
                <c:pt idx="193">
                  <c:v>0.24443005526563155</c:v>
                </c:pt>
                <c:pt idx="194">
                  <c:v>1.3369607842612652E-2</c:v>
                </c:pt>
                <c:pt idx="195">
                  <c:v>4.1547711186886715E-2</c:v>
                </c:pt>
                <c:pt idx="196">
                  <c:v>6.4090193862298861E-2</c:v>
                </c:pt>
                <c:pt idx="197">
                  <c:v>3.5912090518031903E-2</c:v>
                </c:pt>
                <c:pt idx="198">
                  <c:v>0.60917515921313736</c:v>
                </c:pt>
                <c:pt idx="199">
                  <c:v>0.49082712516720051</c:v>
                </c:pt>
                <c:pt idx="200">
                  <c:v>0.55281895252459634</c:v>
                </c:pt>
                <c:pt idx="201">
                  <c:v>0.42319967714094986</c:v>
                </c:pt>
                <c:pt idx="202">
                  <c:v>0.54154771118688672</c:v>
                </c:pt>
                <c:pt idx="203">
                  <c:v>1.0190052285114675</c:v>
                </c:pt>
                <c:pt idx="204">
                  <c:v>0.50773398717375784</c:v>
                </c:pt>
                <c:pt idx="205">
                  <c:v>0.96828464249178126</c:v>
                </c:pt>
                <c:pt idx="206">
                  <c:v>1.5077339871737578</c:v>
                </c:pt>
                <c:pt idx="207">
                  <c:v>1.0190052285114675</c:v>
                </c:pt>
                <c:pt idx="208">
                  <c:v>0.54718333185574153</c:v>
                </c:pt>
                <c:pt idx="209">
                  <c:v>1.002098366504903</c:v>
                </c:pt>
                <c:pt idx="210">
                  <c:v>0.51336960784261265</c:v>
                </c:pt>
                <c:pt idx="211">
                  <c:v>1.0190052285114675</c:v>
                </c:pt>
                <c:pt idx="212">
                  <c:v>1.0190052285114675</c:v>
                </c:pt>
                <c:pt idx="213">
                  <c:v>0.52464084918032228</c:v>
                </c:pt>
                <c:pt idx="214">
                  <c:v>3.027646984917709E-2</c:v>
                </c:pt>
                <c:pt idx="215">
                  <c:v>3.027646984917709E-2</c:v>
                </c:pt>
                <c:pt idx="216">
                  <c:v>0.56972581453115367</c:v>
                </c:pt>
                <c:pt idx="217">
                  <c:v>1.3369607842612652E-2</c:v>
                </c:pt>
                <c:pt idx="218">
                  <c:v>2.4640849180322277E-2</c:v>
                </c:pt>
                <c:pt idx="219">
                  <c:v>0.55281895252459634</c:v>
                </c:pt>
                <c:pt idx="220">
                  <c:v>0.56972581453115367</c:v>
                </c:pt>
                <c:pt idx="221">
                  <c:v>7.7339871737578392E-3</c:v>
                </c:pt>
                <c:pt idx="222">
                  <c:v>0.99646274583604821</c:v>
                </c:pt>
                <c:pt idx="223">
                  <c:v>0.53027646984917709</c:v>
                </c:pt>
                <c:pt idx="224">
                  <c:v>0.55845457319344405</c:v>
                </c:pt>
                <c:pt idx="225">
                  <c:v>0.58663267653771811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D-4338-B0D1-AAE9FF33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3455"/>
        <c:axId val="2123654895"/>
      </c:scatterChart>
      <c:valAx>
        <c:axId val="21236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4895"/>
        <c:crosses val="autoZero"/>
        <c:crossBetween val="midCat"/>
      </c:valAx>
      <c:valAx>
        <c:axId val="21236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Log'!$H$2:$H$227</c:f>
              <c:numCache>
                <c:formatCode>0.00</c:formatCode>
                <c:ptCount val="226"/>
                <c:pt idx="0">
                  <c:v>74</c:v>
                </c:pt>
                <c:pt idx="1">
                  <c:v>67</c:v>
                </c:pt>
                <c:pt idx="2">
                  <c:v>71</c:v>
                </c:pt>
                <c:pt idx="3">
                  <c:v>76</c:v>
                </c:pt>
                <c:pt idx="4">
                  <c:v>84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76</c:v>
                </c:pt>
                <c:pt idx="9">
                  <c:v>71</c:v>
                </c:pt>
                <c:pt idx="10">
                  <c:v>67</c:v>
                </c:pt>
                <c:pt idx="11">
                  <c:v>60</c:v>
                </c:pt>
                <c:pt idx="12">
                  <c:v>67</c:v>
                </c:pt>
                <c:pt idx="13">
                  <c:v>62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67</c:v>
                </c:pt>
                <c:pt idx="18">
                  <c:v>67</c:v>
                </c:pt>
                <c:pt idx="19">
                  <c:v>60</c:v>
                </c:pt>
                <c:pt idx="20">
                  <c:v>74</c:v>
                </c:pt>
                <c:pt idx="21">
                  <c:v>61</c:v>
                </c:pt>
                <c:pt idx="22">
                  <c:v>69</c:v>
                </c:pt>
                <c:pt idx="23">
                  <c:v>58</c:v>
                </c:pt>
                <c:pt idx="24">
                  <c:v>59</c:v>
                </c:pt>
                <c:pt idx="25">
                  <c:v>62</c:v>
                </c:pt>
                <c:pt idx="26">
                  <c:v>65</c:v>
                </c:pt>
                <c:pt idx="27">
                  <c:v>73</c:v>
                </c:pt>
                <c:pt idx="28">
                  <c:v>61</c:v>
                </c:pt>
                <c:pt idx="29">
                  <c:v>72</c:v>
                </c:pt>
                <c:pt idx="30">
                  <c:v>70</c:v>
                </c:pt>
                <c:pt idx="31">
                  <c:v>70</c:v>
                </c:pt>
                <c:pt idx="32">
                  <c:v>64</c:v>
                </c:pt>
                <c:pt idx="33">
                  <c:v>55</c:v>
                </c:pt>
                <c:pt idx="34">
                  <c:v>60</c:v>
                </c:pt>
                <c:pt idx="35">
                  <c:v>64</c:v>
                </c:pt>
                <c:pt idx="36">
                  <c:v>68</c:v>
                </c:pt>
                <c:pt idx="37">
                  <c:v>73</c:v>
                </c:pt>
                <c:pt idx="38">
                  <c:v>69</c:v>
                </c:pt>
                <c:pt idx="39">
                  <c:v>76</c:v>
                </c:pt>
                <c:pt idx="40">
                  <c:v>83</c:v>
                </c:pt>
                <c:pt idx="41">
                  <c:v>81</c:v>
                </c:pt>
                <c:pt idx="42">
                  <c:v>73</c:v>
                </c:pt>
                <c:pt idx="43">
                  <c:v>72</c:v>
                </c:pt>
                <c:pt idx="44">
                  <c:v>76</c:v>
                </c:pt>
                <c:pt idx="45">
                  <c:v>74</c:v>
                </c:pt>
                <c:pt idx="46">
                  <c:v>86</c:v>
                </c:pt>
                <c:pt idx="47">
                  <c:v>70</c:v>
                </c:pt>
                <c:pt idx="48">
                  <c:v>68</c:v>
                </c:pt>
                <c:pt idx="49">
                  <c:v>67</c:v>
                </c:pt>
                <c:pt idx="50">
                  <c:v>65</c:v>
                </c:pt>
                <c:pt idx="51">
                  <c:v>71</c:v>
                </c:pt>
                <c:pt idx="52">
                  <c:v>69</c:v>
                </c:pt>
                <c:pt idx="53">
                  <c:v>64</c:v>
                </c:pt>
                <c:pt idx="54">
                  <c:v>78</c:v>
                </c:pt>
                <c:pt idx="55">
                  <c:v>64</c:v>
                </c:pt>
                <c:pt idx="56">
                  <c:v>78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65</c:v>
                </c:pt>
                <c:pt idx="61">
                  <c:v>62</c:v>
                </c:pt>
                <c:pt idx="62">
                  <c:v>64</c:v>
                </c:pt>
                <c:pt idx="63">
                  <c:v>66</c:v>
                </c:pt>
                <c:pt idx="64">
                  <c:v>65</c:v>
                </c:pt>
                <c:pt idx="65">
                  <c:v>80</c:v>
                </c:pt>
                <c:pt idx="66">
                  <c:v>79</c:v>
                </c:pt>
                <c:pt idx="67">
                  <c:v>61</c:v>
                </c:pt>
                <c:pt idx="68">
                  <c:v>70</c:v>
                </c:pt>
                <c:pt idx="69">
                  <c:v>71</c:v>
                </c:pt>
                <c:pt idx="70">
                  <c:v>69</c:v>
                </c:pt>
                <c:pt idx="71">
                  <c:v>63</c:v>
                </c:pt>
                <c:pt idx="72">
                  <c:v>68</c:v>
                </c:pt>
                <c:pt idx="73">
                  <c:v>69</c:v>
                </c:pt>
                <c:pt idx="74">
                  <c:v>63</c:v>
                </c:pt>
                <c:pt idx="75">
                  <c:v>68</c:v>
                </c:pt>
                <c:pt idx="76">
                  <c:v>61</c:v>
                </c:pt>
                <c:pt idx="77">
                  <c:v>61</c:v>
                </c:pt>
                <c:pt idx="78">
                  <c:v>70</c:v>
                </c:pt>
                <c:pt idx="79">
                  <c:v>60</c:v>
                </c:pt>
                <c:pt idx="80">
                  <c:v>86</c:v>
                </c:pt>
                <c:pt idx="81">
                  <c:v>66</c:v>
                </c:pt>
                <c:pt idx="82">
                  <c:v>65</c:v>
                </c:pt>
                <c:pt idx="83">
                  <c:v>75</c:v>
                </c:pt>
                <c:pt idx="84">
                  <c:v>66</c:v>
                </c:pt>
                <c:pt idx="85">
                  <c:v>76</c:v>
                </c:pt>
                <c:pt idx="86">
                  <c:v>68</c:v>
                </c:pt>
                <c:pt idx="87">
                  <c:v>72</c:v>
                </c:pt>
                <c:pt idx="88">
                  <c:v>64</c:v>
                </c:pt>
                <c:pt idx="89">
                  <c:v>68</c:v>
                </c:pt>
                <c:pt idx="90">
                  <c:v>72</c:v>
                </c:pt>
                <c:pt idx="91">
                  <c:v>74</c:v>
                </c:pt>
                <c:pt idx="92">
                  <c:v>87</c:v>
                </c:pt>
                <c:pt idx="93">
                  <c:v>62</c:v>
                </c:pt>
                <c:pt idx="94">
                  <c:v>62</c:v>
                </c:pt>
                <c:pt idx="95">
                  <c:v>69</c:v>
                </c:pt>
                <c:pt idx="96">
                  <c:v>76</c:v>
                </c:pt>
                <c:pt idx="97">
                  <c:v>58</c:v>
                </c:pt>
                <c:pt idx="98">
                  <c:v>61</c:v>
                </c:pt>
                <c:pt idx="99">
                  <c:v>72</c:v>
                </c:pt>
                <c:pt idx="100">
                  <c:v>65</c:v>
                </c:pt>
                <c:pt idx="101">
                  <c:v>75</c:v>
                </c:pt>
                <c:pt idx="102">
                  <c:v>68</c:v>
                </c:pt>
                <c:pt idx="103">
                  <c:v>76</c:v>
                </c:pt>
                <c:pt idx="104">
                  <c:v>68</c:v>
                </c:pt>
                <c:pt idx="105">
                  <c:v>77</c:v>
                </c:pt>
                <c:pt idx="106">
                  <c:v>69</c:v>
                </c:pt>
                <c:pt idx="107">
                  <c:v>68</c:v>
                </c:pt>
                <c:pt idx="108">
                  <c:v>67</c:v>
                </c:pt>
                <c:pt idx="109">
                  <c:v>72</c:v>
                </c:pt>
                <c:pt idx="110">
                  <c:v>78</c:v>
                </c:pt>
                <c:pt idx="111">
                  <c:v>66</c:v>
                </c:pt>
                <c:pt idx="112">
                  <c:v>76</c:v>
                </c:pt>
                <c:pt idx="113">
                  <c:v>71</c:v>
                </c:pt>
                <c:pt idx="114">
                  <c:v>66</c:v>
                </c:pt>
                <c:pt idx="115">
                  <c:v>63</c:v>
                </c:pt>
                <c:pt idx="116">
                  <c:v>68</c:v>
                </c:pt>
                <c:pt idx="117">
                  <c:v>66</c:v>
                </c:pt>
                <c:pt idx="118">
                  <c:v>65</c:v>
                </c:pt>
                <c:pt idx="119">
                  <c:v>73</c:v>
                </c:pt>
                <c:pt idx="120">
                  <c:v>71</c:v>
                </c:pt>
                <c:pt idx="121">
                  <c:v>64</c:v>
                </c:pt>
                <c:pt idx="122">
                  <c:v>96</c:v>
                </c:pt>
                <c:pt idx="123">
                  <c:v>70</c:v>
                </c:pt>
                <c:pt idx="124">
                  <c:v>76</c:v>
                </c:pt>
                <c:pt idx="125">
                  <c:v>75</c:v>
                </c:pt>
                <c:pt idx="126">
                  <c:v>63</c:v>
                </c:pt>
                <c:pt idx="127">
                  <c:v>99</c:v>
                </c:pt>
                <c:pt idx="128">
                  <c:v>67</c:v>
                </c:pt>
                <c:pt idx="129">
                  <c:v>77</c:v>
                </c:pt>
                <c:pt idx="130">
                  <c:v>73</c:v>
                </c:pt>
                <c:pt idx="131">
                  <c:v>74</c:v>
                </c:pt>
                <c:pt idx="132">
                  <c:v>86</c:v>
                </c:pt>
                <c:pt idx="133">
                  <c:v>69</c:v>
                </c:pt>
                <c:pt idx="134">
                  <c:v>74</c:v>
                </c:pt>
                <c:pt idx="135">
                  <c:v>66</c:v>
                </c:pt>
                <c:pt idx="136">
                  <c:v>69</c:v>
                </c:pt>
                <c:pt idx="137">
                  <c:v>74</c:v>
                </c:pt>
                <c:pt idx="138">
                  <c:v>71</c:v>
                </c:pt>
                <c:pt idx="139">
                  <c:v>86</c:v>
                </c:pt>
                <c:pt idx="140">
                  <c:v>74</c:v>
                </c:pt>
                <c:pt idx="141">
                  <c:v>68</c:v>
                </c:pt>
                <c:pt idx="142">
                  <c:v>72</c:v>
                </c:pt>
                <c:pt idx="143">
                  <c:v>78</c:v>
                </c:pt>
                <c:pt idx="144">
                  <c:v>63</c:v>
                </c:pt>
                <c:pt idx="145">
                  <c:v>74</c:v>
                </c:pt>
                <c:pt idx="146">
                  <c:v>75</c:v>
                </c:pt>
                <c:pt idx="147">
                  <c:v>68</c:v>
                </c:pt>
                <c:pt idx="148">
                  <c:v>75</c:v>
                </c:pt>
                <c:pt idx="149">
                  <c:v>65</c:v>
                </c:pt>
                <c:pt idx="150">
                  <c:v>76</c:v>
                </c:pt>
                <c:pt idx="151">
                  <c:v>82</c:v>
                </c:pt>
                <c:pt idx="152">
                  <c:v>75</c:v>
                </c:pt>
                <c:pt idx="153">
                  <c:v>66</c:v>
                </c:pt>
                <c:pt idx="154">
                  <c:v>85</c:v>
                </c:pt>
                <c:pt idx="155">
                  <c:v>77</c:v>
                </c:pt>
                <c:pt idx="156">
                  <c:v>78</c:v>
                </c:pt>
                <c:pt idx="157">
                  <c:v>86</c:v>
                </c:pt>
                <c:pt idx="158">
                  <c:v>70</c:v>
                </c:pt>
                <c:pt idx="159">
                  <c:v>66</c:v>
                </c:pt>
                <c:pt idx="160">
                  <c:v>69</c:v>
                </c:pt>
                <c:pt idx="161">
                  <c:v>99</c:v>
                </c:pt>
                <c:pt idx="162">
                  <c:v>76</c:v>
                </c:pt>
                <c:pt idx="163">
                  <c:v>85</c:v>
                </c:pt>
                <c:pt idx="164">
                  <c:v>74</c:v>
                </c:pt>
                <c:pt idx="165">
                  <c:v>68</c:v>
                </c:pt>
                <c:pt idx="166">
                  <c:v>56</c:v>
                </c:pt>
                <c:pt idx="167">
                  <c:v>98</c:v>
                </c:pt>
                <c:pt idx="168">
                  <c:v>99</c:v>
                </c:pt>
                <c:pt idx="169">
                  <c:v>75</c:v>
                </c:pt>
                <c:pt idx="170">
                  <c:v>83</c:v>
                </c:pt>
                <c:pt idx="171">
                  <c:v>73</c:v>
                </c:pt>
                <c:pt idx="172">
                  <c:v>73</c:v>
                </c:pt>
                <c:pt idx="173">
                  <c:v>78</c:v>
                </c:pt>
                <c:pt idx="174">
                  <c:v>64</c:v>
                </c:pt>
                <c:pt idx="175">
                  <c:v>72</c:v>
                </c:pt>
                <c:pt idx="176">
                  <c:v>69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76</c:v>
                </c:pt>
                <c:pt idx="182">
                  <c:v>83</c:v>
                </c:pt>
                <c:pt idx="183">
                  <c:v>75</c:v>
                </c:pt>
                <c:pt idx="184">
                  <c:v>69</c:v>
                </c:pt>
                <c:pt idx="185">
                  <c:v>73</c:v>
                </c:pt>
                <c:pt idx="186">
                  <c:v>74</c:v>
                </c:pt>
                <c:pt idx="187">
                  <c:v>73</c:v>
                </c:pt>
                <c:pt idx="188">
                  <c:v>78</c:v>
                </c:pt>
                <c:pt idx="189">
                  <c:v>70</c:v>
                </c:pt>
                <c:pt idx="190">
                  <c:v>57</c:v>
                </c:pt>
                <c:pt idx="191">
                  <c:v>70</c:v>
                </c:pt>
                <c:pt idx="192">
                  <c:v>82</c:v>
                </c:pt>
                <c:pt idx="193">
                  <c:v>79</c:v>
                </c:pt>
                <c:pt idx="194">
                  <c:v>75</c:v>
                </c:pt>
                <c:pt idx="195">
                  <c:v>64</c:v>
                </c:pt>
                <c:pt idx="196">
                  <c:v>83</c:v>
                </c:pt>
                <c:pt idx="197">
                  <c:v>64</c:v>
                </c:pt>
                <c:pt idx="198">
                  <c:v>91</c:v>
                </c:pt>
                <c:pt idx="199">
                  <c:v>90</c:v>
                </c:pt>
                <c:pt idx="200">
                  <c:v>80</c:v>
                </c:pt>
                <c:pt idx="201">
                  <c:v>70</c:v>
                </c:pt>
                <c:pt idx="202">
                  <c:v>79</c:v>
                </c:pt>
                <c:pt idx="203">
                  <c:v>70</c:v>
                </c:pt>
                <c:pt idx="204">
                  <c:v>76</c:v>
                </c:pt>
                <c:pt idx="205">
                  <c:v>81</c:v>
                </c:pt>
                <c:pt idx="206">
                  <c:v>80</c:v>
                </c:pt>
                <c:pt idx="207">
                  <c:v>67</c:v>
                </c:pt>
                <c:pt idx="208">
                  <c:v>74</c:v>
                </c:pt>
                <c:pt idx="209">
                  <c:v>75</c:v>
                </c:pt>
                <c:pt idx="210">
                  <c:v>75</c:v>
                </c:pt>
                <c:pt idx="211">
                  <c:v>78</c:v>
                </c:pt>
                <c:pt idx="212">
                  <c:v>71</c:v>
                </c:pt>
                <c:pt idx="213">
                  <c:v>77</c:v>
                </c:pt>
                <c:pt idx="214">
                  <c:v>82</c:v>
                </c:pt>
                <c:pt idx="215">
                  <c:v>61</c:v>
                </c:pt>
                <c:pt idx="216">
                  <c:v>79</c:v>
                </c:pt>
                <c:pt idx="217">
                  <c:v>66</c:v>
                </c:pt>
                <c:pt idx="218">
                  <c:v>83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78</c:v>
                </c:pt>
                <c:pt idx="223">
                  <c:v>60</c:v>
                </c:pt>
                <c:pt idx="224">
                  <c:v>60</c:v>
                </c:pt>
                <c:pt idx="225">
                  <c:v>63</c:v>
                </c:pt>
              </c:numCache>
            </c:numRef>
          </c:xVal>
          <c:yVal>
            <c:numRef>
              <c:f>Residuals!$CK$2:$CK$227</c:f>
              <c:numCache>
                <c:formatCode>0.00</c:formatCode>
                <c:ptCount val="226"/>
                <c:pt idx="0">
                  <c:v>3.048781810214642</c:v>
                </c:pt>
                <c:pt idx="1">
                  <c:v>2.5429052921993502</c:v>
                </c:pt>
                <c:pt idx="2">
                  <c:v>2.5462633024938057</c:v>
                </c:pt>
                <c:pt idx="3">
                  <c:v>2.5504608153618733</c:v>
                </c:pt>
                <c:pt idx="4">
                  <c:v>2.0571768359507843</c:v>
                </c:pt>
                <c:pt idx="5">
                  <c:v>2.5387077793312827</c:v>
                </c:pt>
                <c:pt idx="6">
                  <c:v>2.0462633024938057</c:v>
                </c:pt>
                <c:pt idx="7">
                  <c:v>2.0462633024938057</c:v>
                </c:pt>
                <c:pt idx="8">
                  <c:v>2.5504608153618733</c:v>
                </c:pt>
                <c:pt idx="9">
                  <c:v>2.5462633024938057</c:v>
                </c:pt>
                <c:pt idx="10">
                  <c:v>2.0429052921993502</c:v>
                </c:pt>
                <c:pt idx="11">
                  <c:v>1.5370287741840514</c:v>
                </c:pt>
                <c:pt idx="12">
                  <c:v>2.0429052921993502</c:v>
                </c:pt>
                <c:pt idx="13">
                  <c:v>1.5387077793312827</c:v>
                </c:pt>
                <c:pt idx="14">
                  <c:v>1.5420657896257381</c:v>
                </c:pt>
                <c:pt idx="15">
                  <c:v>1.5370287741840514</c:v>
                </c:pt>
                <c:pt idx="16">
                  <c:v>1.534510266463208</c:v>
                </c:pt>
                <c:pt idx="17">
                  <c:v>1.5429052921993502</c:v>
                </c:pt>
                <c:pt idx="18">
                  <c:v>1.5429052921993502</c:v>
                </c:pt>
                <c:pt idx="19">
                  <c:v>1.5370287741840514</c:v>
                </c:pt>
                <c:pt idx="20">
                  <c:v>1.548781810214642</c:v>
                </c:pt>
                <c:pt idx="21">
                  <c:v>1.0378682767576635</c:v>
                </c:pt>
                <c:pt idx="22">
                  <c:v>1.0445842973465744</c:v>
                </c:pt>
                <c:pt idx="23">
                  <c:v>0.53534976903682718</c:v>
                </c:pt>
                <c:pt idx="24">
                  <c:v>1.0361892716104393</c:v>
                </c:pt>
                <c:pt idx="25">
                  <c:v>0.53870777933128267</c:v>
                </c:pt>
                <c:pt idx="26">
                  <c:v>1.5412262870521189</c:v>
                </c:pt>
                <c:pt idx="27">
                  <c:v>0.54794230764102991</c:v>
                </c:pt>
                <c:pt idx="28">
                  <c:v>0.53786827675766347</c:v>
                </c:pt>
                <c:pt idx="29">
                  <c:v>0.54710280506741782</c:v>
                </c:pt>
                <c:pt idx="30">
                  <c:v>0.54542379992019363</c:v>
                </c:pt>
                <c:pt idx="31">
                  <c:v>0.54542379992019363</c:v>
                </c:pt>
                <c:pt idx="32">
                  <c:v>4.0386784478506854E-2</c:v>
                </c:pt>
                <c:pt idx="33">
                  <c:v>3.2831261315983795E-2</c:v>
                </c:pt>
                <c:pt idx="34">
                  <c:v>3.7028774184051372E-2</c:v>
                </c:pt>
                <c:pt idx="35">
                  <c:v>4.0386784478506854E-2</c:v>
                </c:pt>
                <c:pt idx="36">
                  <c:v>4.3744794772962337E-2</c:v>
                </c:pt>
                <c:pt idx="37">
                  <c:v>4.7942307641029913E-2</c:v>
                </c:pt>
                <c:pt idx="38">
                  <c:v>0.54458429734657443</c:v>
                </c:pt>
                <c:pt idx="39">
                  <c:v>0.5504608153618733</c:v>
                </c:pt>
                <c:pt idx="40">
                  <c:v>-0.44366266662282783</c:v>
                </c:pt>
                <c:pt idx="41">
                  <c:v>5.4658328229940878E-2</c:v>
                </c:pt>
                <c:pt idx="42">
                  <c:v>4.7942307641029913E-2</c:v>
                </c:pt>
                <c:pt idx="43">
                  <c:v>4.7102805067417819E-2</c:v>
                </c:pt>
                <c:pt idx="44">
                  <c:v>5.0460815361873301E-2</c:v>
                </c:pt>
                <c:pt idx="45">
                  <c:v>0.54878181021464201</c:v>
                </c:pt>
                <c:pt idx="46">
                  <c:v>0.55885584109800845</c:v>
                </c:pt>
                <c:pt idx="47">
                  <c:v>4.542379992019363E-2</c:v>
                </c:pt>
                <c:pt idx="48">
                  <c:v>4.3744794772962337E-2</c:v>
                </c:pt>
                <c:pt idx="49">
                  <c:v>4.2905292199350242E-2</c:v>
                </c:pt>
                <c:pt idx="50">
                  <c:v>4.1226287052118948E-2</c:v>
                </c:pt>
                <c:pt idx="51">
                  <c:v>4.6263302493805725E-2</c:v>
                </c:pt>
                <c:pt idx="52">
                  <c:v>4.4584297346574431E-2</c:v>
                </c:pt>
                <c:pt idx="53">
                  <c:v>4.0386784478506854E-2</c:v>
                </c:pt>
                <c:pt idx="54">
                  <c:v>-0.44786017949090251</c:v>
                </c:pt>
                <c:pt idx="55">
                  <c:v>-0.45961321552149315</c:v>
                </c:pt>
                <c:pt idx="56">
                  <c:v>-0.44786017949090251</c:v>
                </c:pt>
                <c:pt idx="57">
                  <c:v>-0.46213172324233653</c:v>
                </c:pt>
                <c:pt idx="58">
                  <c:v>-0.46129222066871733</c:v>
                </c:pt>
                <c:pt idx="59">
                  <c:v>-0.96045271809510524</c:v>
                </c:pt>
                <c:pt idx="60">
                  <c:v>-0.95877371294788105</c:v>
                </c:pt>
                <c:pt idx="61">
                  <c:v>-0.96129222066871733</c:v>
                </c:pt>
                <c:pt idx="62">
                  <c:v>-0.95961321552149315</c:v>
                </c:pt>
                <c:pt idx="63">
                  <c:v>-1.4579342103742619</c:v>
                </c:pt>
                <c:pt idx="64">
                  <c:v>-1.4587737129478811</c:v>
                </c:pt>
                <c:pt idx="65">
                  <c:v>-0.94618117434367122</c:v>
                </c:pt>
                <c:pt idx="66">
                  <c:v>-0.94702067691728331</c:v>
                </c:pt>
                <c:pt idx="67">
                  <c:v>-0.96213172324233653</c:v>
                </c:pt>
                <c:pt idx="68">
                  <c:v>-0.45457620007980637</c:v>
                </c:pt>
                <c:pt idx="69">
                  <c:v>-0.95373669750619428</c:v>
                </c:pt>
                <c:pt idx="70">
                  <c:v>-0.95541570265342557</c:v>
                </c:pt>
                <c:pt idx="71">
                  <c:v>-1.4604527180951052</c:v>
                </c:pt>
                <c:pt idx="72">
                  <c:v>-1.4562552052270377</c:v>
                </c:pt>
                <c:pt idx="73">
                  <c:v>-1.4554157026534256</c:v>
                </c:pt>
                <c:pt idx="74">
                  <c:v>-0.46045271809510524</c:v>
                </c:pt>
                <c:pt idx="75">
                  <c:v>-0.95625520522703766</c:v>
                </c:pt>
                <c:pt idx="76">
                  <c:v>-1.4621317232423365</c:v>
                </c:pt>
                <c:pt idx="77">
                  <c:v>-0.96213172324233653</c:v>
                </c:pt>
                <c:pt idx="78">
                  <c:v>-0.95457620007980637</c:v>
                </c:pt>
                <c:pt idx="79">
                  <c:v>-0.96297122581594863</c:v>
                </c:pt>
                <c:pt idx="80">
                  <c:v>-0.94114415890199155</c:v>
                </c:pt>
                <c:pt idx="81">
                  <c:v>-1.4579342103742619</c:v>
                </c:pt>
                <c:pt idx="82">
                  <c:v>-0.95877371294788105</c:v>
                </c:pt>
                <c:pt idx="83">
                  <c:v>-0.95037868721173879</c:v>
                </c:pt>
                <c:pt idx="84">
                  <c:v>-0.95793421037426185</c:v>
                </c:pt>
                <c:pt idx="85">
                  <c:v>-0.9495391846381267</c:v>
                </c:pt>
                <c:pt idx="86">
                  <c:v>-0.95625520522703766</c:v>
                </c:pt>
                <c:pt idx="87">
                  <c:v>-0.95289719493258218</c:v>
                </c:pt>
                <c:pt idx="88">
                  <c:v>-0.95961321552149315</c:v>
                </c:pt>
                <c:pt idx="89">
                  <c:v>-0.45625520522703766</c:v>
                </c:pt>
                <c:pt idx="90">
                  <c:v>-0.95289719493258218</c:v>
                </c:pt>
                <c:pt idx="91">
                  <c:v>-0.95121818978535799</c:v>
                </c:pt>
                <c:pt idx="92">
                  <c:v>-0.44030465632837235</c:v>
                </c:pt>
                <c:pt idx="93">
                  <c:v>3.8707779331282666E-2</c:v>
                </c:pt>
                <c:pt idx="94">
                  <c:v>3.8707779331282666E-2</c:v>
                </c:pt>
                <c:pt idx="95">
                  <c:v>-0.45541570265342557</c:v>
                </c:pt>
                <c:pt idx="96">
                  <c:v>-0.4495391846381267</c:v>
                </c:pt>
                <c:pt idx="97">
                  <c:v>-0.46465023096317282</c:v>
                </c:pt>
                <c:pt idx="98">
                  <c:v>-0.96213172324233653</c:v>
                </c:pt>
                <c:pt idx="99">
                  <c:v>-1.4528971949325822</c:v>
                </c:pt>
                <c:pt idx="100">
                  <c:v>-0.95877371294788105</c:v>
                </c:pt>
                <c:pt idx="101">
                  <c:v>-1.4503786872117388</c:v>
                </c:pt>
                <c:pt idx="102">
                  <c:v>-0.45625520522703766</c:v>
                </c:pt>
                <c:pt idx="103">
                  <c:v>5.0460815361873301E-2</c:v>
                </c:pt>
                <c:pt idx="104">
                  <c:v>4.3744794772962337E-2</c:v>
                </c:pt>
                <c:pt idx="105">
                  <c:v>5.1300317935485396E-2</c:v>
                </c:pt>
                <c:pt idx="106">
                  <c:v>-0.45541570265342557</c:v>
                </c:pt>
                <c:pt idx="107">
                  <c:v>-0.45625520522703766</c:v>
                </c:pt>
                <c:pt idx="108">
                  <c:v>-0.95709470780064976</c:v>
                </c:pt>
                <c:pt idx="109">
                  <c:v>-0.95289719493258218</c:v>
                </c:pt>
                <c:pt idx="110">
                  <c:v>-0.94786017949090251</c:v>
                </c:pt>
                <c:pt idx="111">
                  <c:v>-0.45793421037426185</c:v>
                </c:pt>
                <c:pt idx="112">
                  <c:v>-0.9495391846381267</c:v>
                </c:pt>
                <c:pt idx="113">
                  <c:v>-0.95373669750619428</c:v>
                </c:pt>
                <c:pt idx="114">
                  <c:v>-0.95793421037426185</c:v>
                </c:pt>
                <c:pt idx="115">
                  <c:v>-0.96045271809510524</c:v>
                </c:pt>
                <c:pt idx="116">
                  <c:v>-0.95625520522703766</c:v>
                </c:pt>
                <c:pt idx="117">
                  <c:v>-1.4579342103742619</c:v>
                </c:pt>
                <c:pt idx="118">
                  <c:v>-1.4587737129478811</c:v>
                </c:pt>
                <c:pt idx="119">
                  <c:v>-1.4520576923589701</c:v>
                </c:pt>
                <c:pt idx="120">
                  <c:v>-1.4537366975061943</c:v>
                </c:pt>
                <c:pt idx="121">
                  <c:v>-0.95961321552149315</c:v>
                </c:pt>
                <c:pt idx="122">
                  <c:v>-0.93274913316584929</c:v>
                </c:pt>
                <c:pt idx="123">
                  <c:v>-0.95457620007980637</c:v>
                </c:pt>
                <c:pt idx="124">
                  <c:v>-0.9495391846381267</c:v>
                </c:pt>
                <c:pt idx="125">
                  <c:v>-0.95037868721173879</c:v>
                </c:pt>
                <c:pt idx="126">
                  <c:v>-0.96045271809510524</c:v>
                </c:pt>
                <c:pt idx="127">
                  <c:v>-0.930230625445013</c:v>
                </c:pt>
                <c:pt idx="128">
                  <c:v>-0.95709470780064976</c:v>
                </c:pt>
                <c:pt idx="129">
                  <c:v>-0.4486996820645146</c:v>
                </c:pt>
                <c:pt idx="130">
                  <c:v>-0.45205769235897009</c:v>
                </c:pt>
                <c:pt idx="131">
                  <c:v>-0.45121818978535799</c:v>
                </c:pt>
                <c:pt idx="132">
                  <c:v>-0.44114415890199155</c:v>
                </c:pt>
                <c:pt idx="133">
                  <c:v>-0.45541570265342557</c:v>
                </c:pt>
                <c:pt idx="134">
                  <c:v>4.8781810214642007E-2</c:v>
                </c:pt>
                <c:pt idx="135">
                  <c:v>4.2065789625738148E-2</c:v>
                </c:pt>
                <c:pt idx="136">
                  <c:v>4.4584297346574431E-2</c:v>
                </c:pt>
                <c:pt idx="137">
                  <c:v>4.8781810214642007E-2</c:v>
                </c:pt>
                <c:pt idx="138">
                  <c:v>4.6263302493805725E-2</c:v>
                </c:pt>
                <c:pt idx="139">
                  <c:v>-0.44114415890199155</c:v>
                </c:pt>
                <c:pt idx="140">
                  <c:v>-0.45121818978535799</c:v>
                </c:pt>
                <c:pt idx="141">
                  <c:v>-0.45625520522703766</c:v>
                </c:pt>
                <c:pt idx="142">
                  <c:v>-0.45289719493258218</c:v>
                </c:pt>
                <c:pt idx="143">
                  <c:v>-0.44786017949090251</c:v>
                </c:pt>
                <c:pt idx="144">
                  <c:v>-0.46045271809510524</c:v>
                </c:pt>
                <c:pt idx="145">
                  <c:v>-0.45121818978535799</c:v>
                </c:pt>
                <c:pt idx="146">
                  <c:v>-0.45037868721173879</c:v>
                </c:pt>
                <c:pt idx="147">
                  <c:v>-0.45625520522703766</c:v>
                </c:pt>
                <c:pt idx="148">
                  <c:v>-0.45037868721173879</c:v>
                </c:pt>
                <c:pt idx="149">
                  <c:v>-0.45877371294788105</c:v>
                </c:pt>
                <c:pt idx="150">
                  <c:v>-0.4495391846381267</c:v>
                </c:pt>
                <c:pt idx="151">
                  <c:v>-0.44450216919644703</c:v>
                </c:pt>
                <c:pt idx="152">
                  <c:v>-0.45037868721173879</c:v>
                </c:pt>
                <c:pt idx="153">
                  <c:v>-0.45793421037426185</c:v>
                </c:pt>
                <c:pt idx="154">
                  <c:v>-0.44198366147560364</c:v>
                </c:pt>
                <c:pt idx="155">
                  <c:v>-0.4486996820645146</c:v>
                </c:pt>
                <c:pt idx="156">
                  <c:v>-0.44786017949090251</c:v>
                </c:pt>
                <c:pt idx="157">
                  <c:v>5.8855841098008455E-2</c:v>
                </c:pt>
                <c:pt idx="158">
                  <c:v>4.542379992019363E-2</c:v>
                </c:pt>
                <c:pt idx="159">
                  <c:v>4.2065789625738148E-2</c:v>
                </c:pt>
                <c:pt idx="160">
                  <c:v>4.4584297346574431E-2</c:v>
                </c:pt>
                <c:pt idx="161">
                  <c:v>6.9769374554986996E-2</c:v>
                </c:pt>
                <c:pt idx="162">
                  <c:v>5.0460815361873301E-2</c:v>
                </c:pt>
                <c:pt idx="163">
                  <c:v>5.801633852439636E-2</c:v>
                </c:pt>
                <c:pt idx="164">
                  <c:v>4.8781810214642007E-2</c:v>
                </c:pt>
                <c:pt idx="165">
                  <c:v>0.54374479477296234</c:v>
                </c:pt>
                <c:pt idx="166">
                  <c:v>0.53367076388959589</c:v>
                </c:pt>
                <c:pt idx="167">
                  <c:v>6.8929871981374902E-2</c:v>
                </c:pt>
                <c:pt idx="168">
                  <c:v>6.9769374554986996E-2</c:v>
                </c:pt>
                <c:pt idx="169">
                  <c:v>4.9621312788261207E-2</c:v>
                </c:pt>
                <c:pt idx="170">
                  <c:v>5.6337333377172172E-2</c:v>
                </c:pt>
                <c:pt idx="171">
                  <c:v>4.7942307641029913E-2</c:v>
                </c:pt>
                <c:pt idx="172">
                  <c:v>4.7942307641029913E-2</c:v>
                </c:pt>
                <c:pt idx="173">
                  <c:v>5.213982050909749E-2</c:v>
                </c:pt>
                <c:pt idx="174">
                  <c:v>4.0386784478506854E-2</c:v>
                </c:pt>
                <c:pt idx="175">
                  <c:v>4.7102805067417819E-2</c:v>
                </c:pt>
                <c:pt idx="176">
                  <c:v>-0.45541570265342557</c:v>
                </c:pt>
                <c:pt idx="177">
                  <c:v>-0.45709470780064976</c:v>
                </c:pt>
                <c:pt idx="178">
                  <c:v>-0.45625520522703766</c:v>
                </c:pt>
                <c:pt idx="179">
                  <c:v>4.4584297346574431E-2</c:v>
                </c:pt>
                <c:pt idx="180">
                  <c:v>4.0386784478506854E-2</c:v>
                </c:pt>
                <c:pt idx="181">
                  <c:v>0.5504608153618733</c:v>
                </c:pt>
                <c:pt idx="182">
                  <c:v>0.55633733337717217</c:v>
                </c:pt>
                <c:pt idx="183">
                  <c:v>0.54962131278826121</c:v>
                </c:pt>
                <c:pt idx="184">
                  <c:v>0.54458429734657443</c:v>
                </c:pt>
                <c:pt idx="185">
                  <c:v>4.7942307641029913E-2</c:v>
                </c:pt>
                <c:pt idx="186">
                  <c:v>4.8781810214642007E-2</c:v>
                </c:pt>
                <c:pt idx="187">
                  <c:v>4.7942307641029913E-2</c:v>
                </c:pt>
                <c:pt idx="188">
                  <c:v>5.213982050909749E-2</c:v>
                </c:pt>
                <c:pt idx="189">
                  <c:v>4.542379992019363E-2</c:v>
                </c:pt>
                <c:pt idx="190">
                  <c:v>0.53451026646320798</c:v>
                </c:pt>
                <c:pt idx="191">
                  <c:v>0.54542379992019363</c:v>
                </c:pt>
                <c:pt idx="192">
                  <c:v>5.5497830803552972E-2</c:v>
                </c:pt>
                <c:pt idx="193">
                  <c:v>5.2979323082716689E-2</c:v>
                </c:pt>
                <c:pt idx="194">
                  <c:v>4.9621312788261207E-2</c:v>
                </c:pt>
                <c:pt idx="195">
                  <c:v>4.0386784478506854E-2</c:v>
                </c:pt>
                <c:pt idx="196">
                  <c:v>5.6337333377172172E-2</c:v>
                </c:pt>
                <c:pt idx="197">
                  <c:v>4.0386784478506854E-2</c:v>
                </c:pt>
                <c:pt idx="198">
                  <c:v>0.56305335396607603</c:v>
                </c:pt>
                <c:pt idx="199">
                  <c:v>0.56221385139246394</c:v>
                </c:pt>
                <c:pt idx="200">
                  <c:v>0.55381882565632878</c:v>
                </c:pt>
                <c:pt idx="201">
                  <c:v>0.54542379992019363</c:v>
                </c:pt>
                <c:pt idx="202">
                  <c:v>0.55297932308271669</c:v>
                </c:pt>
                <c:pt idx="203">
                  <c:v>1.0454237999201936</c:v>
                </c:pt>
                <c:pt idx="204">
                  <c:v>0.5504608153618733</c:v>
                </c:pt>
                <c:pt idx="205">
                  <c:v>1.0546583282299409</c:v>
                </c:pt>
                <c:pt idx="206">
                  <c:v>1.5538188256563288</c:v>
                </c:pt>
                <c:pt idx="207">
                  <c:v>1.0429052921993502</c:v>
                </c:pt>
                <c:pt idx="208">
                  <c:v>0.54878181021464201</c:v>
                </c:pt>
                <c:pt idx="209">
                  <c:v>1.0496213127882612</c:v>
                </c:pt>
                <c:pt idx="210">
                  <c:v>0.54962131278826121</c:v>
                </c:pt>
                <c:pt idx="211">
                  <c:v>1.0521398205090975</c:v>
                </c:pt>
                <c:pt idx="212">
                  <c:v>1.0462633024938057</c:v>
                </c:pt>
                <c:pt idx="213">
                  <c:v>0.5513003179354854</c:v>
                </c:pt>
                <c:pt idx="214">
                  <c:v>5.5497830803552972E-2</c:v>
                </c:pt>
                <c:pt idx="215">
                  <c:v>3.7868276757663466E-2</c:v>
                </c:pt>
                <c:pt idx="216">
                  <c:v>0.55297932308271669</c:v>
                </c:pt>
                <c:pt idx="217">
                  <c:v>4.2065789625738148E-2</c:v>
                </c:pt>
                <c:pt idx="218">
                  <c:v>5.6337333377172172E-2</c:v>
                </c:pt>
                <c:pt idx="219">
                  <c:v>0.54206578962573815</c:v>
                </c:pt>
                <c:pt idx="220">
                  <c:v>0.54290529219935024</c:v>
                </c:pt>
                <c:pt idx="221">
                  <c:v>4.3744794772962337E-2</c:v>
                </c:pt>
                <c:pt idx="222">
                  <c:v>1.0521398205090975</c:v>
                </c:pt>
                <c:pt idx="223">
                  <c:v>0.53702877418405137</c:v>
                </c:pt>
                <c:pt idx="224">
                  <c:v>0.53702877418405137</c:v>
                </c:pt>
                <c:pt idx="225">
                  <c:v>0.53954728190489476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5-4315-8017-0F21099C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8735"/>
        <c:axId val="2123659215"/>
      </c:scatterChart>
      <c:valAx>
        <c:axId val="2123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9215"/>
        <c:crosses val="autoZero"/>
        <c:crossBetween val="midCat"/>
      </c:valAx>
      <c:valAx>
        <c:axId val="2123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Log'!$I$2:$I$227</c:f>
              <c:numCache>
                <c:formatCode>0.00</c:formatCode>
                <c:ptCount val="226"/>
                <c:pt idx="0">
                  <c:v>97.4</c:v>
                </c:pt>
                <c:pt idx="1">
                  <c:v>97.8</c:v>
                </c:pt>
                <c:pt idx="2">
                  <c:v>96.1</c:v>
                </c:pt>
                <c:pt idx="3">
                  <c:v>97.1</c:v>
                </c:pt>
                <c:pt idx="4">
                  <c:v>98.6</c:v>
                </c:pt>
                <c:pt idx="5">
                  <c:v>96.5</c:v>
                </c:pt>
                <c:pt idx="6">
                  <c:v>97.3</c:v>
                </c:pt>
                <c:pt idx="7">
                  <c:v>97.3</c:v>
                </c:pt>
                <c:pt idx="8">
                  <c:v>96.5</c:v>
                </c:pt>
                <c:pt idx="9">
                  <c:v>96.4</c:v>
                </c:pt>
                <c:pt idx="10">
                  <c:v>96.7</c:v>
                </c:pt>
                <c:pt idx="11">
                  <c:v>97.5</c:v>
                </c:pt>
                <c:pt idx="12">
                  <c:v>97.3</c:v>
                </c:pt>
                <c:pt idx="13">
                  <c:v>97.2</c:v>
                </c:pt>
                <c:pt idx="14">
                  <c:v>96.9</c:v>
                </c:pt>
                <c:pt idx="15">
                  <c:v>97.7</c:v>
                </c:pt>
                <c:pt idx="16">
                  <c:v>97</c:v>
                </c:pt>
                <c:pt idx="17">
                  <c:v>97</c:v>
                </c:pt>
                <c:pt idx="18">
                  <c:v>97.8</c:v>
                </c:pt>
                <c:pt idx="19">
                  <c:v>96.8</c:v>
                </c:pt>
                <c:pt idx="20">
                  <c:v>97.1</c:v>
                </c:pt>
                <c:pt idx="21">
                  <c:v>95.5</c:v>
                </c:pt>
                <c:pt idx="22">
                  <c:v>97.6</c:v>
                </c:pt>
                <c:pt idx="23">
                  <c:v>95.7</c:v>
                </c:pt>
                <c:pt idx="24">
                  <c:v>96.3</c:v>
                </c:pt>
                <c:pt idx="25">
                  <c:v>97.2</c:v>
                </c:pt>
                <c:pt idx="26">
                  <c:v>97.3</c:v>
                </c:pt>
                <c:pt idx="27">
                  <c:v>97.1</c:v>
                </c:pt>
                <c:pt idx="28">
                  <c:v>96.2</c:v>
                </c:pt>
                <c:pt idx="29">
                  <c:v>97.2</c:v>
                </c:pt>
                <c:pt idx="30">
                  <c:v>98</c:v>
                </c:pt>
                <c:pt idx="31">
                  <c:v>96.5</c:v>
                </c:pt>
                <c:pt idx="32">
                  <c:v>96.5</c:v>
                </c:pt>
                <c:pt idx="33">
                  <c:v>96.1</c:v>
                </c:pt>
                <c:pt idx="34">
                  <c:v>98</c:v>
                </c:pt>
                <c:pt idx="35">
                  <c:v>97.5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99.2</c:v>
                </c:pt>
                <c:pt idx="41">
                  <c:v>97.6</c:v>
                </c:pt>
                <c:pt idx="42">
                  <c:v>97.3</c:v>
                </c:pt>
                <c:pt idx="43">
                  <c:v>97.2</c:v>
                </c:pt>
                <c:pt idx="44">
                  <c:v>97.6</c:v>
                </c:pt>
                <c:pt idx="45">
                  <c:v>97.3</c:v>
                </c:pt>
                <c:pt idx="46">
                  <c:v>97.6</c:v>
                </c:pt>
                <c:pt idx="47">
                  <c:v>97.2</c:v>
                </c:pt>
                <c:pt idx="48">
                  <c:v>97</c:v>
                </c:pt>
                <c:pt idx="49">
                  <c:v>97.5</c:v>
                </c:pt>
                <c:pt idx="50">
                  <c:v>98.4</c:v>
                </c:pt>
                <c:pt idx="51">
                  <c:v>96.1</c:v>
                </c:pt>
                <c:pt idx="52">
                  <c:v>96.9</c:v>
                </c:pt>
                <c:pt idx="53">
                  <c:v>95.8</c:v>
                </c:pt>
                <c:pt idx="54">
                  <c:v>96.5</c:v>
                </c:pt>
                <c:pt idx="55">
                  <c:v>97.5</c:v>
                </c:pt>
                <c:pt idx="56">
                  <c:v>97.2</c:v>
                </c:pt>
                <c:pt idx="57">
                  <c:v>96.9</c:v>
                </c:pt>
                <c:pt idx="58">
                  <c:v>96.8</c:v>
                </c:pt>
                <c:pt idx="59">
                  <c:v>97.4</c:v>
                </c:pt>
                <c:pt idx="60">
                  <c:v>97.5</c:v>
                </c:pt>
                <c:pt idx="61">
                  <c:v>97.1</c:v>
                </c:pt>
                <c:pt idx="62">
                  <c:v>96.7</c:v>
                </c:pt>
                <c:pt idx="63">
                  <c:v>96.3</c:v>
                </c:pt>
                <c:pt idx="64">
                  <c:v>98.6</c:v>
                </c:pt>
                <c:pt idx="65">
                  <c:v>97</c:v>
                </c:pt>
                <c:pt idx="66">
                  <c:v>97.6</c:v>
                </c:pt>
                <c:pt idx="67">
                  <c:v>97</c:v>
                </c:pt>
                <c:pt idx="68">
                  <c:v>96.4</c:v>
                </c:pt>
                <c:pt idx="69">
                  <c:v>97</c:v>
                </c:pt>
                <c:pt idx="70">
                  <c:v>96.9</c:v>
                </c:pt>
                <c:pt idx="71">
                  <c:v>98.3</c:v>
                </c:pt>
                <c:pt idx="72">
                  <c:v>97.2</c:v>
                </c:pt>
                <c:pt idx="73">
                  <c:v>97.3</c:v>
                </c:pt>
                <c:pt idx="74">
                  <c:v>96.7</c:v>
                </c:pt>
                <c:pt idx="75">
                  <c:v>96.8</c:v>
                </c:pt>
                <c:pt idx="76">
                  <c:v>97.4</c:v>
                </c:pt>
                <c:pt idx="77">
                  <c:v>97.5</c:v>
                </c:pt>
                <c:pt idx="78">
                  <c:v>97.2</c:v>
                </c:pt>
                <c:pt idx="79">
                  <c:v>97.2</c:v>
                </c:pt>
                <c:pt idx="80">
                  <c:v>97.5</c:v>
                </c:pt>
                <c:pt idx="81">
                  <c:v>97.3</c:v>
                </c:pt>
                <c:pt idx="82">
                  <c:v>97.1</c:v>
                </c:pt>
                <c:pt idx="83">
                  <c:v>97.2</c:v>
                </c:pt>
                <c:pt idx="84">
                  <c:v>97.3</c:v>
                </c:pt>
                <c:pt idx="85">
                  <c:v>97.3</c:v>
                </c:pt>
                <c:pt idx="86">
                  <c:v>97.2</c:v>
                </c:pt>
                <c:pt idx="87">
                  <c:v>97.6</c:v>
                </c:pt>
                <c:pt idx="88">
                  <c:v>96.2</c:v>
                </c:pt>
                <c:pt idx="89">
                  <c:v>97.3</c:v>
                </c:pt>
                <c:pt idx="90">
                  <c:v>97.2</c:v>
                </c:pt>
                <c:pt idx="91">
                  <c:v>96.2</c:v>
                </c:pt>
                <c:pt idx="92">
                  <c:v>96.9</c:v>
                </c:pt>
                <c:pt idx="93">
                  <c:v>96.9</c:v>
                </c:pt>
                <c:pt idx="94">
                  <c:v>96.3</c:v>
                </c:pt>
                <c:pt idx="95">
                  <c:v>96.8</c:v>
                </c:pt>
                <c:pt idx="96">
                  <c:v>96.4</c:v>
                </c:pt>
                <c:pt idx="97">
                  <c:v>96.3</c:v>
                </c:pt>
                <c:pt idx="98">
                  <c:v>96.6</c:v>
                </c:pt>
                <c:pt idx="99">
                  <c:v>97.6</c:v>
                </c:pt>
                <c:pt idx="100">
                  <c:v>97.1</c:v>
                </c:pt>
                <c:pt idx="101">
                  <c:v>97.2</c:v>
                </c:pt>
                <c:pt idx="102">
                  <c:v>97.9</c:v>
                </c:pt>
                <c:pt idx="103">
                  <c:v>97.8</c:v>
                </c:pt>
                <c:pt idx="104">
                  <c:v>97.1</c:v>
                </c:pt>
                <c:pt idx="105">
                  <c:v>96.1</c:v>
                </c:pt>
                <c:pt idx="106">
                  <c:v>95.7</c:v>
                </c:pt>
                <c:pt idx="107">
                  <c:v>96.9</c:v>
                </c:pt>
                <c:pt idx="108">
                  <c:v>96.6</c:v>
                </c:pt>
                <c:pt idx="109">
                  <c:v>96.4</c:v>
                </c:pt>
                <c:pt idx="110">
                  <c:v>97</c:v>
                </c:pt>
                <c:pt idx="111">
                  <c:v>97.1</c:v>
                </c:pt>
                <c:pt idx="112">
                  <c:v>96.7</c:v>
                </c:pt>
                <c:pt idx="113">
                  <c:v>96.5</c:v>
                </c:pt>
                <c:pt idx="114">
                  <c:v>96.1</c:v>
                </c:pt>
                <c:pt idx="115">
                  <c:v>96.3</c:v>
                </c:pt>
                <c:pt idx="116">
                  <c:v>95.4</c:v>
                </c:pt>
                <c:pt idx="117">
                  <c:v>96.7</c:v>
                </c:pt>
                <c:pt idx="118">
                  <c:v>95.9</c:v>
                </c:pt>
                <c:pt idx="119">
                  <c:v>97</c:v>
                </c:pt>
                <c:pt idx="120">
                  <c:v>95.7</c:v>
                </c:pt>
                <c:pt idx="121">
                  <c:v>97</c:v>
                </c:pt>
                <c:pt idx="122">
                  <c:v>96.4</c:v>
                </c:pt>
                <c:pt idx="123">
                  <c:v>97.5</c:v>
                </c:pt>
                <c:pt idx="124">
                  <c:v>98.6</c:v>
                </c:pt>
                <c:pt idx="125">
                  <c:v>98.6</c:v>
                </c:pt>
                <c:pt idx="126">
                  <c:v>98.8</c:v>
                </c:pt>
                <c:pt idx="127">
                  <c:v>97.4</c:v>
                </c:pt>
                <c:pt idx="128">
                  <c:v>97.4</c:v>
                </c:pt>
                <c:pt idx="129">
                  <c:v>96.9</c:v>
                </c:pt>
                <c:pt idx="130">
                  <c:v>97.4</c:v>
                </c:pt>
                <c:pt idx="131">
                  <c:v>97.2</c:v>
                </c:pt>
                <c:pt idx="132">
                  <c:v>96.6</c:v>
                </c:pt>
                <c:pt idx="133">
                  <c:v>97.8</c:v>
                </c:pt>
                <c:pt idx="134">
                  <c:v>97.2</c:v>
                </c:pt>
                <c:pt idx="135">
                  <c:v>98</c:v>
                </c:pt>
                <c:pt idx="136">
                  <c:v>97.1</c:v>
                </c:pt>
                <c:pt idx="137">
                  <c:v>97.4</c:v>
                </c:pt>
                <c:pt idx="138">
                  <c:v>98.3</c:v>
                </c:pt>
                <c:pt idx="139">
                  <c:v>98.2</c:v>
                </c:pt>
                <c:pt idx="140">
                  <c:v>97</c:v>
                </c:pt>
                <c:pt idx="141">
                  <c:v>97</c:v>
                </c:pt>
                <c:pt idx="142">
                  <c:v>96.8</c:v>
                </c:pt>
                <c:pt idx="143">
                  <c:v>96.8</c:v>
                </c:pt>
                <c:pt idx="144">
                  <c:v>96.4</c:v>
                </c:pt>
                <c:pt idx="145">
                  <c:v>98.2</c:v>
                </c:pt>
                <c:pt idx="146">
                  <c:v>98.4</c:v>
                </c:pt>
                <c:pt idx="147">
                  <c:v>98.6</c:v>
                </c:pt>
                <c:pt idx="148">
                  <c:v>98.2</c:v>
                </c:pt>
                <c:pt idx="149">
                  <c:v>98.3</c:v>
                </c:pt>
                <c:pt idx="150">
                  <c:v>98.5</c:v>
                </c:pt>
                <c:pt idx="151">
                  <c:v>98.1</c:v>
                </c:pt>
                <c:pt idx="152">
                  <c:v>98</c:v>
                </c:pt>
                <c:pt idx="153">
                  <c:v>97.6</c:v>
                </c:pt>
                <c:pt idx="154">
                  <c:v>97.1</c:v>
                </c:pt>
                <c:pt idx="155">
                  <c:v>96.9</c:v>
                </c:pt>
                <c:pt idx="156">
                  <c:v>97.1</c:v>
                </c:pt>
                <c:pt idx="157">
                  <c:v>97</c:v>
                </c:pt>
                <c:pt idx="158">
                  <c:v>97.6</c:v>
                </c:pt>
                <c:pt idx="159">
                  <c:v>96.9</c:v>
                </c:pt>
                <c:pt idx="160">
                  <c:v>96.9</c:v>
                </c:pt>
                <c:pt idx="161">
                  <c:v>96.8</c:v>
                </c:pt>
                <c:pt idx="162">
                  <c:v>97.8</c:v>
                </c:pt>
                <c:pt idx="163">
                  <c:v>97.3</c:v>
                </c:pt>
                <c:pt idx="164">
                  <c:v>97.7</c:v>
                </c:pt>
                <c:pt idx="165">
                  <c:v>96.9</c:v>
                </c:pt>
                <c:pt idx="166">
                  <c:v>98.6</c:v>
                </c:pt>
                <c:pt idx="167">
                  <c:v>97.1</c:v>
                </c:pt>
                <c:pt idx="168">
                  <c:v>98.1</c:v>
                </c:pt>
                <c:pt idx="169">
                  <c:v>97.1</c:v>
                </c:pt>
                <c:pt idx="170">
                  <c:v>97.2</c:v>
                </c:pt>
                <c:pt idx="171">
                  <c:v>96.9</c:v>
                </c:pt>
                <c:pt idx="172">
                  <c:v>97.7</c:v>
                </c:pt>
                <c:pt idx="173">
                  <c:v>96.9</c:v>
                </c:pt>
                <c:pt idx="174">
                  <c:v>97.8</c:v>
                </c:pt>
                <c:pt idx="175">
                  <c:v>96.2</c:v>
                </c:pt>
                <c:pt idx="176">
                  <c:v>97</c:v>
                </c:pt>
                <c:pt idx="177">
                  <c:v>96.9</c:v>
                </c:pt>
                <c:pt idx="178">
                  <c:v>98.3</c:v>
                </c:pt>
                <c:pt idx="179">
                  <c:v>97.3</c:v>
                </c:pt>
                <c:pt idx="180">
                  <c:v>97.9</c:v>
                </c:pt>
                <c:pt idx="181">
                  <c:v>97.6</c:v>
                </c:pt>
                <c:pt idx="182">
                  <c:v>97.4</c:v>
                </c:pt>
                <c:pt idx="183">
                  <c:v>97.6</c:v>
                </c:pt>
                <c:pt idx="184">
                  <c:v>96.6</c:v>
                </c:pt>
                <c:pt idx="185">
                  <c:v>97.6</c:v>
                </c:pt>
                <c:pt idx="186">
                  <c:v>97.6</c:v>
                </c:pt>
                <c:pt idx="187">
                  <c:v>97.2</c:v>
                </c:pt>
                <c:pt idx="188">
                  <c:v>97.1</c:v>
                </c:pt>
                <c:pt idx="189">
                  <c:v>96.7</c:v>
                </c:pt>
                <c:pt idx="190">
                  <c:v>96.5</c:v>
                </c:pt>
                <c:pt idx="191">
                  <c:v>96.2</c:v>
                </c:pt>
                <c:pt idx="192">
                  <c:v>98.3</c:v>
                </c:pt>
                <c:pt idx="193">
                  <c:v>97.7</c:v>
                </c:pt>
                <c:pt idx="194">
                  <c:v>98</c:v>
                </c:pt>
                <c:pt idx="195">
                  <c:v>97.5</c:v>
                </c:pt>
                <c:pt idx="196">
                  <c:v>97.7</c:v>
                </c:pt>
                <c:pt idx="197">
                  <c:v>97.8</c:v>
                </c:pt>
                <c:pt idx="198">
                  <c:v>97.5</c:v>
                </c:pt>
                <c:pt idx="199">
                  <c:v>97.9</c:v>
                </c:pt>
                <c:pt idx="200">
                  <c:v>97.5</c:v>
                </c:pt>
                <c:pt idx="201">
                  <c:v>97.2</c:v>
                </c:pt>
                <c:pt idx="202">
                  <c:v>97.8</c:v>
                </c:pt>
                <c:pt idx="203">
                  <c:v>98.2</c:v>
                </c:pt>
                <c:pt idx="204">
                  <c:v>98.3</c:v>
                </c:pt>
                <c:pt idx="205">
                  <c:v>97.8</c:v>
                </c:pt>
                <c:pt idx="206">
                  <c:v>98.1</c:v>
                </c:pt>
                <c:pt idx="207">
                  <c:v>97.2</c:v>
                </c:pt>
                <c:pt idx="208">
                  <c:v>97.7</c:v>
                </c:pt>
                <c:pt idx="209">
                  <c:v>98.2</c:v>
                </c:pt>
                <c:pt idx="210">
                  <c:v>97.9</c:v>
                </c:pt>
                <c:pt idx="211">
                  <c:v>98.2</c:v>
                </c:pt>
                <c:pt idx="212">
                  <c:v>97.9</c:v>
                </c:pt>
                <c:pt idx="213">
                  <c:v>97</c:v>
                </c:pt>
                <c:pt idx="214">
                  <c:v>97.1</c:v>
                </c:pt>
                <c:pt idx="215">
                  <c:v>96.8</c:v>
                </c:pt>
                <c:pt idx="216">
                  <c:v>97.2</c:v>
                </c:pt>
                <c:pt idx="217">
                  <c:v>98.3</c:v>
                </c:pt>
                <c:pt idx="218">
                  <c:v>97.4</c:v>
                </c:pt>
                <c:pt idx="219">
                  <c:v>98.3</c:v>
                </c:pt>
                <c:pt idx="220">
                  <c:v>97.9</c:v>
                </c:pt>
                <c:pt idx="221">
                  <c:v>98.3</c:v>
                </c:pt>
                <c:pt idx="222">
                  <c:v>97.7</c:v>
                </c:pt>
                <c:pt idx="223">
                  <c:v>96.8</c:v>
                </c:pt>
                <c:pt idx="224">
                  <c:v>98.1</c:v>
                </c:pt>
                <c:pt idx="225">
                  <c:v>97.1</c:v>
                </c:pt>
              </c:numCache>
            </c:numRef>
          </c:xVal>
          <c:yVal>
            <c:numRef>
              <c:f>Residuals!$CN$2:$CN$227</c:f>
              <c:numCache>
                <c:formatCode>0.00</c:formatCode>
                <c:ptCount val="226"/>
                <c:pt idx="0">
                  <c:v>3.0348521977310483</c:v>
                </c:pt>
                <c:pt idx="1">
                  <c:v>2.5024645025115078</c:v>
                </c:pt>
                <c:pt idx="2">
                  <c:v>2.6401122071945693</c:v>
                </c:pt>
                <c:pt idx="3">
                  <c:v>2.5591429691457108</c:v>
                </c:pt>
                <c:pt idx="4">
                  <c:v>1.9376891120724196</c:v>
                </c:pt>
                <c:pt idx="5">
                  <c:v>2.6077245119750216</c:v>
                </c:pt>
                <c:pt idx="6">
                  <c:v>2.0429491215359334</c:v>
                </c:pt>
                <c:pt idx="7">
                  <c:v>2.0429491215359334</c:v>
                </c:pt>
                <c:pt idx="8">
                  <c:v>2.6077245119750216</c:v>
                </c:pt>
                <c:pt idx="9">
                  <c:v>2.6158214357799068</c:v>
                </c:pt>
                <c:pt idx="10">
                  <c:v>2.0915306643652514</c:v>
                </c:pt>
                <c:pt idx="11">
                  <c:v>1.5267552739261632</c:v>
                </c:pt>
                <c:pt idx="12">
                  <c:v>2.0429491215359334</c:v>
                </c:pt>
                <c:pt idx="13">
                  <c:v>1.5510460453408186</c:v>
                </c:pt>
                <c:pt idx="14">
                  <c:v>1.5753368167554811</c:v>
                </c:pt>
                <c:pt idx="15">
                  <c:v>1.5105614263163929</c:v>
                </c:pt>
                <c:pt idx="16">
                  <c:v>1.567239892950596</c:v>
                </c:pt>
                <c:pt idx="17">
                  <c:v>1.567239892950596</c:v>
                </c:pt>
                <c:pt idx="18">
                  <c:v>1.5024645025115078</c:v>
                </c:pt>
                <c:pt idx="19">
                  <c:v>1.5834337405603662</c:v>
                </c:pt>
                <c:pt idx="20">
                  <c:v>1.5591429691457108</c:v>
                </c:pt>
                <c:pt idx="21">
                  <c:v>1.1886937500238801</c:v>
                </c:pt>
                <c:pt idx="22">
                  <c:v>1.018658350121278</c:v>
                </c:pt>
                <c:pt idx="23">
                  <c:v>0.67249990241410984</c:v>
                </c:pt>
                <c:pt idx="24">
                  <c:v>1.1239183595847919</c:v>
                </c:pt>
                <c:pt idx="25">
                  <c:v>0.55104604534081858</c:v>
                </c:pt>
                <c:pt idx="26">
                  <c:v>1.5429491215359334</c:v>
                </c:pt>
                <c:pt idx="27">
                  <c:v>0.55914296914571082</c:v>
                </c:pt>
                <c:pt idx="28">
                  <c:v>0.63201528338967705</c:v>
                </c:pt>
                <c:pt idx="29">
                  <c:v>0.55104604534081858</c:v>
                </c:pt>
                <c:pt idx="30">
                  <c:v>0.48627065490173749</c:v>
                </c:pt>
                <c:pt idx="31">
                  <c:v>0.60772451197502164</c:v>
                </c:pt>
                <c:pt idx="32">
                  <c:v>0.10772451197502164</c:v>
                </c:pt>
                <c:pt idx="33">
                  <c:v>0.14011220719456929</c:v>
                </c:pt>
                <c:pt idx="34">
                  <c:v>-1.3729345098262513E-2</c:v>
                </c:pt>
                <c:pt idx="35">
                  <c:v>2.675527392616317E-2</c:v>
                </c:pt>
                <c:pt idx="36">
                  <c:v>-1.3729345098262513E-2</c:v>
                </c:pt>
                <c:pt idx="37">
                  <c:v>6.7239892950595959E-2</c:v>
                </c:pt>
                <c:pt idx="38">
                  <c:v>0.48627065490173749</c:v>
                </c:pt>
                <c:pt idx="39">
                  <c:v>0.48627065490173749</c:v>
                </c:pt>
                <c:pt idx="40">
                  <c:v>-0.61089243075689836</c:v>
                </c:pt>
                <c:pt idx="41">
                  <c:v>1.8658350121278033E-2</c:v>
                </c:pt>
                <c:pt idx="42">
                  <c:v>4.2949121535933443E-2</c:v>
                </c:pt>
                <c:pt idx="43">
                  <c:v>5.104604534081858E-2</c:v>
                </c:pt>
                <c:pt idx="44">
                  <c:v>1.8658350121278033E-2</c:v>
                </c:pt>
                <c:pt idx="45">
                  <c:v>0.54294912153593344</c:v>
                </c:pt>
                <c:pt idx="46">
                  <c:v>0.51865835012127803</c:v>
                </c:pt>
                <c:pt idx="47">
                  <c:v>5.104604534081858E-2</c:v>
                </c:pt>
                <c:pt idx="48">
                  <c:v>6.7239892950595959E-2</c:v>
                </c:pt>
                <c:pt idx="49">
                  <c:v>2.675527392616317E-2</c:v>
                </c:pt>
                <c:pt idx="50">
                  <c:v>-4.6117040317810165E-2</c:v>
                </c:pt>
                <c:pt idx="51">
                  <c:v>0.14011220719456929</c:v>
                </c:pt>
                <c:pt idx="52">
                  <c:v>7.5336816755481095E-2</c:v>
                </c:pt>
                <c:pt idx="53">
                  <c:v>0.1644029786092247</c:v>
                </c:pt>
                <c:pt idx="54">
                  <c:v>-0.39227548802497836</c:v>
                </c:pt>
                <c:pt idx="55">
                  <c:v>-0.47324472607383683</c:v>
                </c:pt>
                <c:pt idx="56">
                  <c:v>-0.44895395465918142</c:v>
                </c:pt>
                <c:pt idx="57">
                  <c:v>-0.4246631832445189</c:v>
                </c:pt>
                <c:pt idx="58">
                  <c:v>-0.41656625943963377</c:v>
                </c:pt>
                <c:pt idx="59">
                  <c:v>-0.96514780226895169</c:v>
                </c:pt>
                <c:pt idx="60">
                  <c:v>-0.97324472607383683</c:v>
                </c:pt>
                <c:pt idx="61">
                  <c:v>-0.94085703085428918</c:v>
                </c:pt>
                <c:pt idx="62">
                  <c:v>-0.90846933563474863</c:v>
                </c:pt>
                <c:pt idx="63">
                  <c:v>-1.3760816404152081</c:v>
                </c:pt>
                <c:pt idx="64">
                  <c:v>-1.5623108879275804</c:v>
                </c:pt>
                <c:pt idx="65">
                  <c:v>-0.93276010704940404</c:v>
                </c:pt>
                <c:pt idx="66">
                  <c:v>-0.98134164987872197</c:v>
                </c:pt>
                <c:pt idx="67">
                  <c:v>-0.93276010704940404</c:v>
                </c:pt>
                <c:pt idx="68">
                  <c:v>-0.38417856422009322</c:v>
                </c:pt>
                <c:pt idx="69">
                  <c:v>-0.93276010704940404</c:v>
                </c:pt>
                <c:pt idx="70">
                  <c:v>-0.9246631832445189</c:v>
                </c:pt>
                <c:pt idx="71">
                  <c:v>-1.538020116512925</c:v>
                </c:pt>
                <c:pt idx="72">
                  <c:v>-1.4489539546591814</c:v>
                </c:pt>
                <c:pt idx="73">
                  <c:v>-1.4570508784640666</c:v>
                </c:pt>
                <c:pt idx="74">
                  <c:v>-0.40846933563474863</c:v>
                </c:pt>
                <c:pt idx="75">
                  <c:v>-0.91656625943963377</c:v>
                </c:pt>
                <c:pt idx="76">
                  <c:v>-1.4651478022689517</c:v>
                </c:pt>
                <c:pt idx="77">
                  <c:v>-0.97324472607383683</c:v>
                </c:pt>
                <c:pt idx="78">
                  <c:v>-0.94895395465918142</c:v>
                </c:pt>
                <c:pt idx="79">
                  <c:v>-0.94895395465918142</c:v>
                </c:pt>
                <c:pt idx="80">
                  <c:v>-0.97324472607383683</c:v>
                </c:pt>
                <c:pt idx="81">
                  <c:v>-1.4570508784640666</c:v>
                </c:pt>
                <c:pt idx="82">
                  <c:v>-0.94085703085428918</c:v>
                </c:pt>
                <c:pt idx="83">
                  <c:v>-0.94895395465918142</c:v>
                </c:pt>
                <c:pt idx="84">
                  <c:v>-0.95705087846406656</c:v>
                </c:pt>
                <c:pt idx="85">
                  <c:v>-0.95705087846406656</c:v>
                </c:pt>
                <c:pt idx="86">
                  <c:v>-0.94895395465918142</c:v>
                </c:pt>
                <c:pt idx="87">
                  <c:v>-0.98134164987872197</c:v>
                </c:pt>
                <c:pt idx="88">
                  <c:v>-0.86798471661032295</c:v>
                </c:pt>
                <c:pt idx="89">
                  <c:v>-0.45705087846406656</c:v>
                </c:pt>
                <c:pt idx="90">
                  <c:v>-0.94895395465918142</c:v>
                </c:pt>
                <c:pt idx="91">
                  <c:v>-0.86798471661032295</c:v>
                </c:pt>
                <c:pt idx="92">
                  <c:v>-0.4246631832445189</c:v>
                </c:pt>
                <c:pt idx="93">
                  <c:v>7.5336816755481095E-2</c:v>
                </c:pt>
                <c:pt idx="94">
                  <c:v>0.12391835958479192</c:v>
                </c:pt>
                <c:pt idx="95">
                  <c:v>-0.41656625943963377</c:v>
                </c:pt>
                <c:pt idx="96">
                  <c:v>-0.38417856422009322</c:v>
                </c:pt>
                <c:pt idx="97">
                  <c:v>-0.37608164041520808</c:v>
                </c:pt>
                <c:pt idx="98">
                  <c:v>-0.90037241182986349</c:v>
                </c:pt>
                <c:pt idx="99">
                  <c:v>-1.481341649878722</c:v>
                </c:pt>
                <c:pt idx="100">
                  <c:v>-0.94085703085428918</c:v>
                </c:pt>
                <c:pt idx="101">
                  <c:v>-1.4489539546591814</c:v>
                </c:pt>
                <c:pt idx="102">
                  <c:v>-0.50563242129337738</c:v>
                </c:pt>
                <c:pt idx="103">
                  <c:v>2.4645025115077601E-3</c:v>
                </c:pt>
                <c:pt idx="104">
                  <c:v>5.9142969145710822E-2</c:v>
                </c:pt>
                <c:pt idx="105">
                  <c:v>0.14011220719456929</c:v>
                </c:pt>
                <c:pt idx="106">
                  <c:v>-0.32750009758589016</c:v>
                </c:pt>
                <c:pt idx="107">
                  <c:v>-0.4246631832445189</c:v>
                </c:pt>
                <c:pt idx="108">
                  <c:v>-0.90037241182986349</c:v>
                </c:pt>
                <c:pt idx="109">
                  <c:v>-0.88417856422009322</c:v>
                </c:pt>
                <c:pt idx="110">
                  <c:v>-0.93276010704940404</c:v>
                </c:pt>
                <c:pt idx="111">
                  <c:v>-0.44085703085428918</c:v>
                </c:pt>
                <c:pt idx="112">
                  <c:v>-0.90846933563474863</c:v>
                </c:pt>
                <c:pt idx="113">
                  <c:v>-0.89227548802497836</c:v>
                </c:pt>
                <c:pt idx="114">
                  <c:v>-0.85988779280543071</c:v>
                </c:pt>
                <c:pt idx="115">
                  <c:v>-0.87608164041520808</c:v>
                </c:pt>
                <c:pt idx="116">
                  <c:v>-0.80320932617123475</c:v>
                </c:pt>
                <c:pt idx="117">
                  <c:v>-1.4084693356347486</c:v>
                </c:pt>
                <c:pt idx="118">
                  <c:v>-1.3436939451956604</c:v>
                </c:pt>
                <c:pt idx="119">
                  <c:v>-1.432760107049404</c:v>
                </c:pt>
                <c:pt idx="120">
                  <c:v>-1.3275000975858902</c:v>
                </c:pt>
                <c:pt idx="121">
                  <c:v>-0.93276010704940404</c:v>
                </c:pt>
                <c:pt idx="122">
                  <c:v>-0.88417856422009322</c:v>
                </c:pt>
                <c:pt idx="123">
                  <c:v>-0.97324472607383683</c:v>
                </c:pt>
                <c:pt idx="124">
                  <c:v>-1.0623108879275804</c:v>
                </c:pt>
                <c:pt idx="125">
                  <c:v>-1.0623108879275804</c:v>
                </c:pt>
                <c:pt idx="126">
                  <c:v>-1.0785047355373507</c:v>
                </c:pt>
                <c:pt idx="127">
                  <c:v>-0.96514780226895169</c:v>
                </c:pt>
                <c:pt idx="128">
                  <c:v>-0.96514780226895169</c:v>
                </c:pt>
                <c:pt idx="129">
                  <c:v>-0.4246631832445189</c:v>
                </c:pt>
                <c:pt idx="130">
                  <c:v>-0.46514780226895169</c:v>
                </c:pt>
                <c:pt idx="131">
                  <c:v>-0.44895395465918142</c:v>
                </c:pt>
                <c:pt idx="132">
                  <c:v>-0.40037241182986349</c:v>
                </c:pt>
                <c:pt idx="133">
                  <c:v>-0.49753549748849224</c:v>
                </c:pt>
                <c:pt idx="134">
                  <c:v>5.104604534081858E-2</c:v>
                </c:pt>
                <c:pt idx="135">
                  <c:v>-1.3729345098262513E-2</c:v>
                </c:pt>
                <c:pt idx="136">
                  <c:v>5.9142969145710822E-2</c:v>
                </c:pt>
                <c:pt idx="137">
                  <c:v>3.4852197731048307E-2</c:v>
                </c:pt>
                <c:pt idx="138">
                  <c:v>-3.8020116512925028E-2</c:v>
                </c:pt>
                <c:pt idx="139">
                  <c:v>-0.52992319270803989</c:v>
                </c:pt>
                <c:pt idx="140">
                  <c:v>-0.43276010704940404</c:v>
                </c:pt>
                <c:pt idx="141">
                  <c:v>-0.43276010704940404</c:v>
                </c:pt>
                <c:pt idx="142">
                  <c:v>-0.41656625943963377</c:v>
                </c:pt>
                <c:pt idx="143">
                  <c:v>-0.41656625943963377</c:v>
                </c:pt>
                <c:pt idx="144">
                  <c:v>-0.38417856422009322</c:v>
                </c:pt>
                <c:pt idx="145">
                  <c:v>-0.52992319270803989</c:v>
                </c:pt>
                <c:pt idx="146">
                  <c:v>-0.54611704031781017</c:v>
                </c:pt>
                <c:pt idx="147">
                  <c:v>-0.56231088792758044</c:v>
                </c:pt>
                <c:pt idx="148">
                  <c:v>-0.52992319270803989</c:v>
                </c:pt>
                <c:pt idx="149">
                  <c:v>-0.53802011651292503</c:v>
                </c:pt>
                <c:pt idx="150">
                  <c:v>-0.5542139641226953</c:v>
                </c:pt>
                <c:pt idx="151">
                  <c:v>-0.52182626890315476</c:v>
                </c:pt>
                <c:pt idx="152">
                  <c:v>-0.51372934509826251</c:v>
                </c:pt>
                <c:pt idx="153">
                  <c:v>-0.48134164987872197</c:v>
                </c:pt>
                <c:pt idx="154">
                  <c:v>-0.44085703085428918</c:v>
                </c:pt>
                <c:pt idx="155">
                  <c:v>-0.4246631832445189</c:v>
                </c:pt>
                <c:pt idx="156">
                  <c:v>-0.44085703085428918</c:v>
                </c:pt>
                <c:pt idx="157">
                  <c:v>6.7239892950595959E-2</c:v>
                </c:pt>
                <c:pt idx="158">
                  <c:v>1.8658350121278033E-2</c:v>
                </c:pt>
                <c:pt idx="159">
                  <c:v>7.5336816755481095E-2</c:v>
                </c:pt>
                <c:pt idx="160">
                  <c:v>7.5336816755481095E-2</c:v>
                </c:pt>
                <c:pt idx="161">
                  <c:v>8.3433740560366232E-2</c:v>
                </c:pt>
                <c:pt idx="162">
                  <c:v>2.4645025115077601E-3</c:v>
                </c:pt>
                <c:pt idx="163">
                  <c:v>4.2949121535933443E-2</c:v>
                </c:pt>
                <c:pt idx="164">
                  <c:v>1.0561426316392897E-2</c:v>
                </c:pt>
                <c:pt idx="165">
                  <c:v>0.5753368167554811</c:v>
                </c:pt>
                <c:pt idx="166">
                  <c:v>0.43768911207241956</c:v>
                </c:pt>
                <c:pt idx="167">
                  <c:v>5.9142969145710822E-2</c:v>
                </c:pt>
                <c:pt idx="168">
                  <c:v>-2.1826268903154755E-2</c:v>
                </c:pt>
                <c:pt idx="169">
                  <c:v>5.9142969145710822E-2</c:v>
                </c:pt>
                <c:pt idx="170">
                  <c:v>5.104604534081858E-2</c:v>
                </c:pt>
                <c:pt idx="171">
                  <c:v>7.5336816755481095E-2</c:v>
                </c:pt>
                <c:pt idx="172">
                  <c:v>1.0561426316392897E-2</c:v>
                </c:pt>
                <c:pt idx="173">
                  <c:v>7.5336816755481095E-2</c:v>
                </c:pt>
                <c:pt idx="174">
                  <c:v>2.4645025115077601E-3</c:v>
                </c:pt>
                <c:pt idx="175">
                  <c:v>0.13201528338967705</c:v>
                </c:pt>
                <c:pt idx="176">
                  <c:v>-0.43276010704940404</c:v>
                </c:pt>
                <c:pt idx="177">
                  <c:v>-0.4246631832445189</c:v>
                </c:pt>
                <c:pt idx="178">
                  <c:v>-0.53802011651292503</c:v>
                </c:pt>
                <c:pt idx="179">
                  <c:v>4.2949121535933443E-2</c:v>
                </c:pt>
                <c:pt idx="180">
                  <c:v>-5.6324212933773765E-3</c:v>
                </c:pt>
                <c:pt idx="181">
                  <c:v>0.51865835012127803</c:v>
                </c:pt>
                <c:pt idx="182">
                  <c:v>0.53485219773104831</c:v>
                </c:pt>
                <c:pt idx="183">
                  <c:v>0.51865835012127803</c:v>
                </c:pt>
                <c:pt idx="184">
                  <c:v>0.59962758817013651</c:v>
                </c:pt>
                <c:pt idx="185">
                  <c:v>1.8658350121278033E-2</c:v>
                </c:pt>
                <c:pt idx="186">
                  <c:v>1.8658350121278033E-2</c:v>
                </c:pt>
                <c:pt idx="187">
                  <c:v>5.104604534081858E-2</c:v>
                </c:pt>
                <c:pt idx="188">
                  <c:v>5.9142969145710822E-2</c:v>
                </c:pt>
                <c:pt idx="189">
                  <c:v>9.1530664365251369E-2</c:v>
                </c:pt>
                <c:pt idx="190">
                  <c:v>0.60772451197502164</c:v>
                </c:pt>
                <c:pt idx="191">
                  <c:v>0.63201528338967705</c:v>
                </c:pt>
                <c:pt idx="192">
                  <c:v>-3.8020116512925028E-2</c:v>
                </c:pt>
                <c:pt idx="193">
                  <c:v>1.0561426316392897E-2</c:v>
                </c:pt>
                <c:pt idx="194">
                  <c:v>-1.3729345098262513E-2</c:v>
                </c:pt>
                <c:pt idx="195">
                  <c:v>2.675527392616317E-2</c:v>
                </c:pt>
                <c:pt idx="196">
                  <c:v>1.0561426316392897E-2</c:v>
                </c:pt>
                <c:pt idx="197">
                  <c:v>2.4645025115077601E-3</c:v>
                </c:pt>
                <c:pt idx="198">
                  <c:v>0.52675527392616317</c:v>
                </c:pt>
                <c:pt idx="199">
                  <c:v>0.49436757870662262</c:v>
                </c:pt>
                <c:pt idx="200">
                  <c:v>0.52675527392616317</c:v>
                </c:pt>
                <c:pt idx="201">
                  <c:v>0.55104604534081858</c:v>
                </c:pt>
                <c:pt idx="202">
                  <c:v>0.50246450251150776</c:v>
                </c:pt>
                <c:pt idx="203">
                  <c:v>0.97007680729196011</c:v>
                </c:pt>
                <c:pt idx="204">
                  <c:v>0.46197988348707497</c:v>
                </c:pt>
                <c:pt idx="205">
                  <c:v>1.0024645025115078</c:v>
                </c:pt>
                <c:pt idx="206">
                  <c:v>1.4781737310968452</c:v>
                </c:pt>
                <c:pt idx="207">
                  <c:v>1.0510460453408186</c:v>
                </c:pt>
                <c:pt idx="208">
                  <c:v>0.5105614263163929</c:v>
                </c:pt>
                <c:pt idx="209">
                  <c:v>0.97007680729196011</c:v>
                </c:pt>
                <c:pt idx="210">
                  <c:v>0.49436757870662262</c:v>
                </c:pt>
                <c:pt idx="211">
                  <c:v>0.97007680729196011</c:v>
                </c:pt>
                <c:pt idx="212">
                  <c:v>0.99436757870662262</c:v>
                </c:pt>
                <c:pt idx="213">
                  <c:v>0.56723989295059596</c:v>
                </c:pt>
                <c:pt idx="214">
                  <c:v>5.9142969145710822E-2</c:v>
                </c:pt>
                <c:pt idx="215">
                  <c:v>8.3433740560366232E-2</c:v>
                </c:pt>
                <c:pt idx="216">
                  <c:v>0.55104604534081858</c:v>
                </c:pt>
                <c:pt idx="217">
                  <c:v>-3.8020116512925028E-2</c:v>
                </c:pt>
                <c:pt idx="218">
                  <c:v>3.4852197731048307E-2</c:v>
                </c:pt>
                <c:pt idx="219">
                  <c:v>0.46197988348707497</c:v>
                </c:pt>
                <c:pt idx="220">
                  <c:v>0.49436757870662262</c:v>
                </c:pt>
                <c:pt idx="221">
                  <c:v>-3.8020116512925028E-2</c:v>
                </c:pt>
                <c:pt idx="222">
                  <c:v>1.0105614263163929</c:v>
                </c:pt>
                <c:pt idx="223">
                  <c:v>0.58343374056036623</c:v>
                </c:pt>
                <c:pt idx="224">
                  <c:v>0.47817373109684524</c:v>
                </c:pt>
                <c:pt idx="225">
                  <c:v>0.55914296914571082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8-4015-BF81-0DCCF817C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8351"/>
        <c:axId val="2117177871"/>
      </c:scatterChart>
      <c:valAx>
        <c:axId val="21171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7871"/>
        <c:crosses val="autoZero"/>
        <c:crossBetween val="midCat"/>
      </c:valAx>
      <c:valAx>
        <c:axId val="21171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Log'!$J$2:$J$227</c:f>
              <c:numCache>
                <c:formatCode>0.00</c:formatCode>
                <c:ptCount val="226"/>
                <c:pt idx="0">
                  <c:v>128</c:v>
                </c:pt>
                <c:pt idx="1">
                  <c:v>108</c:v>
                </c:pt>
                <c:pt idx="2">
                  <c:v>112</c:v>
                </c:pt>
                <c:pt idx="3">
                  <c:v>158</c:v>
                </c:pt>
                <c:pt idx="4">
                  <c:v>120</c:v>
                </c:pt>
                <c:pt idx="5">
                  <c:v>156</c:v>
                </c:pt>
                <c:pt idx="6">
                  <c:v>113</c:v>
                </c:pt>
                <c:pt idx="7">
                  <c:v>113</c:v>
                </c:pt>
                <c:pt idx="8">
                  <c:v>124</c:v>
                </c:pt>
                <c:pt idx="9">
                  <c:v>116</c:v>
                </c:pt>
                <c:pt idx="10">
                  <c:v>127</c:v>
                </c:pt>
                <c:pt idx="11">
                  <c:v>108</c:v>
                </c:pt>
                <c:pt idx="12">
                  <c:v>144</c:v>
                </c:pt>
                <c:pt idx="13">
                  <c:v>104</c:v>
                </c:pt>
                <c:pt idx="14">
                  <c:v>125</c:v>
                </c:pt>
                <c:pt idx="15">
                  <c:v>107</c:v>
                </c:pt>
                <c:pt idx="16">
                  <c:v>126</c:v>
                </c:pt>
                <c:pt idx="17">
                  <c:v>124</c:v>
                </c:pt>
                <c:pt idx="18">
                  <c:v>148</c:v>
                </c:pt>
                <c:pt idx="19">
                  <c:v>137</c:v>
                </c:pt>
                <c:pt idx="20">
                  <c:v>134</c:v>
                </c:pt>
                <c:pt idx="21">
                  <c:v>136</c:v>
                </c:pt>
                <c:pt idx="22">
                  <c:v>132</c:v>
                </c:pt>
                <c:pt idx="23">
                  <c:v>139</c:v>
                </c:pt>
                <c:pt idx="24">
                  <c:v>128</c:v>
                </c:pt>
                <c:pt idx="25">
                  <c:v>135</c:v>
                </c:pt>
                <c:pt idx="26">
                  <c:v>136</c:v>
                </c:pt>
                <c:pt idx="27">
                  <c:v>138</c:v>
                </c:pt>
                <c:pt idx="28">
                  <c:v>132</c:v>
                </c:pt>
                <c:pt idx="29">
                  <c:v>134</c:v>
                </c:pt>
                <c:pt idx="30">
                  <c:v>125</c:v>
                </c:pt>
                <c:pt idx="31">
                  <c:v>122</c:v>
                </c:pt>
                <c:pt idx="32">
                  <c:v>127</c:v>
                </c:pt>
                <c:pt idx="33">
                  <c:v>128</c:v>
                </c:pt>
                <c:pt idx="34">
                  <c:v>132</c:v>
                </c:pt>
                <c:pt idx="35">
                  <c:v>127</c:v>
                </c:pt>
                <c:pt idx="36">
                  <c:v>140</c:v>
                </c:pt>
                <c:pt idx="37">
                  <c:v>159</c:v>
                </c:pt>
                <c:pt idx="38">
                  <c:v>118</c:v>
                </c:pt>
                <c:pt idx="39">
                  <c:v>140</c:v>
                </c:pt>
                <c:pt idx="40">
                  <c:v>138</c:v>
                </c:pt>
                <c:pt idx="41">
                  <c:v>152</c:v>
                </c:pt>
                <c:pt idx="42">
                  <c:v>138</c:v>
                </c:pt>
                <c:pt idx="43">
                  <c:v>152</c:v>
                </c:pt>
                <c:pt idx="44">
                  <c:v>155</c:v>
                </c:pt>
                <c:pt idx="45">
                  <c:v>144</c:v>
                </c:pt>
                <c:pt idx="46">
                  <c:v>140</c:v>
                </c:pt>
                <c:pt idx="47">
                  <c:v>159</c:v>
                </c:pt>
                <c:pt idx="48">
                  <c:v>153</c:v>
                </c:pt>
                <c:pt idx="49">
                  <c:v>159</c:v>
                </c:pt>
                <c:pt idx="50">
                  <c:v>149</c:v>
                </c:pt>
                <c:pt idx="51">
                  <c:v>136</c:v>
                </c:pt>
                <c:pt idx="52">
                  <c:v>140</c:v>
                </c:pt>
                <c:pt idx="53">
                  <c:v>133</c:v>
                </c:pt>
                <c:pt idx="54">
                  <c:v>142</c:v>
                </c:pt>
                <c:pt idx="55">
                  <c:v>134</c:v>
                </c:pt>
                <c:pt idx="56">
                  <c:v>126</c:v>
                </c:pt>
                <c:pt idx="57">
                  <c:v>156</c:v>
                </c:pt>
                <c:pt idx="58">
                  <c:v>153</c:v>
                </c:pt>
                <c:pt idx="59">
                  <c:v>148</c:v>
                </c:pt>
                <c:pt idx="60">
                  <c:v>130</c:v>
                </c:pt>
                <c:pt idx="61">
                  <c:v>143</c:v>
                </c:pt>
                <c:pt idx="62">
                  <c:v>136</c:v>
                </c:pt>
                <c:pt idx="63">
                  <c:v>144</c:v>
                </c:pt>
                <c:pt idx="64">
                  <c:v>137</c:v>
                </c:pt>
                <c:pt idx="65">
                  <c:v>149</c:v>
                </c:pt>
                <c:pt idx="66">
                  <c:v>135</c:v>
                </c:pt>
                <c:pt idx="67">
                  <c:v>129</c:v>
                </c:pt>
                <c:pt idx="68">
                  <c:v>144</c:v>
                </c:pt>
                <c:pt idx="69">
                  <c:v>132</c:v>
                </c:pt>
                <c:pt idx="70">
                  <c:v>137</c:v>
                </c:pt>
                <c:pt idx="71">
                  <c:v>160</c:v>
                </c:pt>
                <c:pt idx="72">
                  <c:v>135</c:v>
                </c:pt>
                <c:pt idx="73">
                  <c:v>136</c:v>
                </c:pt>
                <c:pt idx="74">
                  <c:v>132</c:v>
                </c:pt>
                <c:pt idx="75">
                  <c:v>132</c:v>
                </c:pt>
                <c:pt idx="76">
                  <c:v>126</c:v>
                </c:pt>
                <c:pt idx="77">
                  <c:v>133</c:v>
                </c:pt>
                <c:pt idx="78">
                  <c:v>133</c:v>
                </c:pt>
                <c:pt idx="79">
                  <c:v>135</c:v>
                </c:pt>
                <c:pt idx="80">
                  <c:v>134</c:v>
                </c:pt>
                <c:pt idx="81">
                  <c:v>138</c:v>
                </c:pt>
                <c:pt idx="82">
                  <c:v>132</c:v>
                </c:pt>
                <c:pt idx="83">
                  <c:v>135</c:v>
                </c:pt>
                <c:pt idx="84">
                  <c:v>136</c:v>
                </c:pt>
                <c:pt idx="85">
                  <c:v>135</c:v>
                </c:pt>
                <c:pt idx="86">
                  <c:v>136</c:v>
                </c:pt>
                <c:pt idx="87">
                  <c:v>130</c:v>
                </c:pt>
                <c:pt idx="88">
                  <c:v>119</c:v>
                </c:pt>
                <c:pt idx="89">
                  <c:v>128</c:v>
                </c:pt>
                <c:pt idx="90">
                  <c:v>120</c:v>
                </c:pt>
                <c:pt idx="91">
                  <c:v>148</c:v>
                </c:pt>
                <c:pt idx="92">
                  <c:v>148</c:v>
                </c:pt>
                <c:pt idx="93">
                  <c:v>120</c:v>
                </c:pt>
                <c:pt idx="94">
                  <c:v>139</c:v>
                </c:pt>
                <c:pt idx="95">
                  <c:v>120</c:v>
                </c:pt>
                <c:pt idx="96">
                  <c:v>122</c:v>
                </c:pt>
                <c:pt idx="97">
                  <c:v>126</c:v>
                </c:pt>
                <c:pt idx="98">
                  <c:v>123</c:v>
                </c:pt>
                <c:pt idx="99">
                  <c:v>136</c:v>
                </c:pt>
                <c:pt idx="100">
                  <c:v>135</c:v>
                </c:pt>
                <c:pt idx="101">
                  <c:v>134</c:v>
                </c:pt>
                <c:pt idx="102">
                  <c:v>145</c:v>
                </c:pt>
                <c:pt idx="103">
                  <c:v>111</c:v>
                </c:pt>
                <c:pt idx="104">
                  <c:v>134</c:v>
                </c:pt>
                <c:pt idx="105">
                  <c:v>127</c:v>
                </c:pt>
                <c:pt idx="106">
                  <c:v>130</c:v>
                </c:pt>
                <c:pt idx="107">
                  <c:v>141</c:v>
                </c:pt>
                <c:pt idx="108">
                  <c:v>145</c:v>
                </c:pt>
                <c:pt idx="109">
                  <c:v>133</c:v>
                </c:pt>
                <c:pt idx="110">
                  <c:v>139</c:v>
                </c:pt>
                <c:pt idx="111">
                  <c:v>143</c:v>
                </c:pt>
                <c:pt idx="112">
                  <c:v>123</c:v>
                </c:pt>
                <c:pt idx="113">
                  <c:v>132</c:v>
                </c:pt>
                <c:pt idx="114">
                  <c:v>145</c:v>
                </c:pt>
                <c:pt idx="115">
                  <c:v>129</c:v>
                </c:pt>
                <c:pt idx="116">
                  <c:v>132</c:v>
                </c:pt>
                <c:pt idx="117">
                  <c:v>137</c:v>
                </c:pt>
                <c:pt idx="118">
                  <c:v>127</c:v>
                </c:pt>
                <c:pt idx="119">
                  <c:v>140</c:v>
                </c:pt>
                <c:pt idx="120">
                  <c:v>123</c:v>
                </c:pt>
                <c:pt idx="121">
                  <c:v>134</c:v>
                </c:pt>
                <c:pt idx="122">
                  <c:v>132</c:v>
                </c:pt>
                <c:pt idx="123">
                  <c:v>115</c:v>
                </c:pt>
                <c:pt idx="124">
                  <c:v>136</c:v>
                </c:pt>
                <c:pt idx="125">
                  <c:v>146</c:v>
                </c:pt>
                <c:pt idx="126">
                  <c:v>135</c:v>
                </c:pt>
                <c:pt idx="127">
                  <c:v>140</c:v>
                </c:pt>
                <c:pt idx="128">
                  <c:v>133</c:v>
                </c:pt>
                <c:pt idx="129">
                  <c:v>146</c:v>
                </c:pt>
                <c:pt idx="130">
                  <c:v>143</c:v>
                </c:pt>
                <c:pt idx="131">
                  <c:v>127</c:v>
                </c:pt>
                <c:pt idx="132">
                  <c:v>141</c:v>
                </c:pt>
                <c:pt idx="133">
                  <c:v>162</c:v>
                </c:pt>
                <c:pt idx="134">
                  <c:v>127</c:v>
                </c:pt>
                <c:pt idx="135">
                  <c:v>131</c:v>
                </c:pt>
                <c:pt idx="136">
                  <c:v>142</c:v>
                </c:pt>
                <c:pt idx="137">
                  <c:v>137</c:v>
                </c:pt>
                <c:pt idx="138">
                  <c:v>144</c:v>
                </c:pt>
                <c:pt idx="139">
                  <c:v>134</c:v>
                </c:pt>
                <c:pt idx="140">
                  <c:v>147</c:v>
                </c:pt>
                <c:pt idx="141">
                  <c:v>147</c:v>
                </c:pt>
                <c:pt idx="142">
                  <c:v>140</c:v>
                </c:pt>
                <c:pt idx="143">
                  <c:v>124</c:v>
                </c:pt>
                <c:pt idx="144">
                  <c:v>121</c:v>
                </c:pt>
                <c:pt idx="145">
                  <c:v>139</c:v>
                </c:pt>
                <c:pt idx="146">
                  <c:v>125</c:v>
                </c:pt>
                <c:pt idx="147">
                  <c:v>129</c:v>
                </c:pt>
                <c:pt idx="148">
                  <c:v>141</c:v>
                </c:pt>
                <c:pt idx="149">
                  <c:v>136</c:v>
                </c:pt>
                <c:pt idx="150">
                  <c:v>136</c:v>
                </c:pt>
                <c:pt idx="151">
                  <c:v>131</c:v>
                </c:pt>
                <c:pt idx="152">
                  <c:v>135</c:v>
                </c:pt>
                <c:pt idx="153">
                  <c:v>133</c:v>
                </c:pt>
                <c:pt idx="154">
                  <c:v>117</c:v>
                </c:pt>
                <c:pt idx="155">
                  <c:v>116</c:v>
                </c:pt>
                <c:pt idx="156">
                  <c:v>118</c:v>
                </c:pt>
                <c:pt idx="157">
                  <c:v>137</c:v>
                </c:pt>
                <c:pt idx="158">
                  <c:v>135</c:v>
                </c:pt>
                <c:pt idx="159">
                  <c:v>134</c:v>
                </c:pt>
                <c:pt idx="160">
                  <c:v>135</c:v>
                </c:pt>
                <c:pt idx="161">
                  <c:v>124</c:v>
                </c:pt>
                <c:pt idx="162">
                  <c:v>134</c:v>
                </c:pt>
                <c:pt idx="163">
                  <c:v>129</c:v>
                </c:pt>
                <c:pt idx="164">
                  <c:v>139</c:v>
                </c:pt>
                <c:pt idx="165">
                  <c:v>112</c:v>
                </c:pt>
                <c:pt idx="166">
                  <c:v>144</c:v>
                </c:pt>
                <c:pt idx="167">
                  <c:v>148</c:v>
                </c:pt>
                <c:pt idx="168">
                  <c:v>148</c:v>
                </c:pt>
                <c:pt idx="169">
                  <c:v>134</c:v>
                </c:pt>
                <c:pt idx="170">
                  <c:v>135</c:v>
                </c:pt>
                <c:pt idx="171">
                  <c:v>129</c:v>
                </c:pt>
                <c:pt idx="172">
                  <c:v>140</c:v>
                </c:pt>
                <c:pt idx="173">
                  <c:v>124</c:v>
                </c:pt>
                <c:pt idx="174">
                  <c:v>153</c:v>
                </c:pt>
                <c:pt idx="175">
                  <c:v>123</c:v>
                </c:pt>
                <c:pt idx="176">
                  <c:v>124</c:v>
                </c:pt>
                <c:pt idx="177">
                  <c:v>116</c:v>
                </c:pt>
                <c:pt idx="178">
                  <c:v>138</c:v>
                </c:pt>
                <c:pt idx="179">
                  <c:v>135</c:v>
                </c:pt>
                <c:pt idx="180">
                  <c:v>123</c:v>
                </c:pt>
                <c:pt idx="181">
                  <c:v>129</c:v>
                </c:pt>
                <c:pt idx="182">
                  <c:v>120</c:v>
                </c:pt>
                <c:pt idx="183">
                  <c:v>125</c:v>
                </c:pt>
                <c:pt idx="184">
                  <c:v>114</c:v>
                </c:pt>
                <c:pt idx="185">
                  <c:v>146</c:v>
                </c:pt>
                <c:pt idx="186">
                  <c:v>129</c:v>
                </c:pt>
                <c:pt idx="187">
                  <c:v>145</c:v>
                </c:pt>
                <c:pt idx="188">
                  <c:v>140</c:v>
                </c:pt>
                <c:pt idx="189">
                  <c:v>132</c:v>
                </c:pt>
                <c:pt idx="190">
                  <c:v>128</c:v>
                </c:pt>
                <c:pt idx="191">
                  <c:v>118</c:v>
                </c:pt>
                <c:pt idx="192">
                  <c:v>153</c:v>
                </c:pt>
                <c:pt idx="193">
                  <c:v>124</c:v>
                </c:pt>
                <c:pt idx="194">
                  <c:v>156</c:v>
                </c:pt>
                <c:pt idx="195">
                  <c:v>148</c:v>
                </c:pt>
                <c:pt idx="196">
                  <c:v>156</c:v>
                </c:pt>
                <c:pt idx="197">
                  <c:v>150</c:v>
                </c:pt>
                <c:pt idx="198">
                  <c:v>132</c:v>
                </c:pt>
                <c:pt idx="199">
                  <c:v>139</c:v>
                </c:pt>
                <c:pt idx="200">
                  <c:v>147</c:v>
                </c:pt>
                <c:pt idx="201">
                  <c:v>133</c:v>
                </c:pt>
                <c:pt idx="202">
                  <c:v>138</c:v>
                </c:pt>
                <c:pt idx="203">
                  <c:v>152</c:v>
                </c:pt>
                <c:pt idx="204">
                  <c:v>151</c:v>
                </c:pt>
                <c:pt idx="205">
                  <c:v>140</c:v>
                </c:pt>
                <c:pt idx="206">
                  <c:v>136</c:v>
                </c:pt>
                <c:pt idx="207">
                  <c:v>152</c:v>
                </c:pt>
                <c:pt idx="208">
                  <c:v>142</c:v>
                </c:pt>
                <c:pt idx="209">
                  <c:v>118</c:v>
                </c:pt>
                <c:pt idx="210">
                  <c:v>128</c:v>
                </c:pt>
                <c:pt idx="211">
                  <c:v>126</c:v>
                </c:pt>
                <c:pt idx="212">
                  <c:v>130</c:v>
                </c:pt>
                <c:pt idx="213">
                  <c:v>130</c:v>
                </c:pt>
                <c:pt idx="214">
                  <c:v>124</c:v>
                </c:pt>
                <c:pt idx="215">
                  <c:v>144</c:v>
                </c:pt>
                <c:pt idx="216">
                  <c:v>135</c:v>
                </c:pt>
                <c:pt idx="217">
                  <c:v>125</c:v>
                </c:pt>
                <c:pt idx="218">
                  <c:v>151</c:v>
                </c:pt>
                <c:pt idx="219">
                  <c:v>114</c:v>
                </c:pt>
                <c:pt idx="220">
                  <c:v>117</c:v>
                </c:pt>
                <c:pt idx="221">
                  <c:v>109</c:v>
                </c:pt>
                <c:pt idx="222">
                  <c:v>148</c:v>
                </c:pt>
                <c:pt idx="223">
                  <c:v>132</c:v>
                </c:pt>
                <c:pt idx="224">
                  <c:v>132</c:v>
                </c:pt>
                <c:pt idx="225">
                  <c:v>124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5-40D6-A0A7-E7C42B0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9151"/>
        <c:axId val="2117207151"/>
      </c:scatterChart>
      <c:valAx>
        <c:axId val="21172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7151"/>
        <c:crosses val="autoZero"/>
        <c:crossBetween val="midCat"/>
      </c:valAx>
      <c:valAx>
        <c:axId val="21172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Log'!$J$2:$J$227</c:f>
              <c:numCache>
                <c:formatCode>0.00</c:formatCode>
                <c:ptCount val="226"/>
                <c:pt idx="0">
                  <c:v>128</c:v>
                </c:pt>
                <c:pt idx="1">
                  <c:v>108</c:v>
                </c:pt>
                <c:pt idx="2">
                  <c:v>112</c:v>
                </c:pt>
                <c:pt idx="3">
                  <c:v>158</c:v>
                </c:pt>
                <c:pt idx="4">
                  <c:v>120</c:v>
                </c:pt>
                <c:pt idx="5">
                  <c:v>156</c:v>
                </c:pt>
                <c:pt idx="6">
                  <c:v>113</c:v>
                </c:pt>
                <c:pt idx="7">
                  <c:v>113</c:v>
                </c:pt>
                <c:pt idx="8">
                  <c:v>124</c:v>
                </c:pt>
                <c:pt idx="9">
                  <c:v>116</c:v>
                </c:pt>
                <c:pt idx="10">
                  <c:v>127</c:v>
                </c:pt>
                <c:pt idx="11">
                  <c:v>108</c:v>
                </c:pt>
                <c:pt idx="12">
                  <c:v>144</c:v>
                </c:pt>
                <c:pt idx="13">
                  <c:v>104</c:v>
                </c:pt>
                <c:pt idx="14">
                  <c:v>125</c:v>
                </c:pt>
                <c:pt idx="15">
                  <c:v>107</c:v>
                </c:pt>
                <c:pt idx="16">
                  <c:v>126</c:v>
                </c:pt>
                <c:pt idx="17">
                  <c:v>124</c:v>
                </c:pt>
                <c:pt idx="18">
                  <c:v>148</c:v>
                </c:pt>
                <c:pt idx="19">
                  <c:v>137</c:v>
                </c:pt>
                <c:pt idx="20">
                  <c:v>134</c:v>
                </c:pt>
                <c:pt idx="21">
                  <c:v>136</c:v>
                </c:pt>
                <c:pt idx="22">
                  <c:v>132</c:v>
                </c:pt>
                <c:pt idx="23">
                  <c:v>139</c:v>
                </c:pt>
                <c:pt idx="24">
                  <c:v>128</c:v>
                </c:pt>
                <c:pt idx="25">
                  <c:v>135</c:v>
                </c:pt>
                <c:pt idx="26">
                  <c:v>136</c:v>
                </c:pt>
                <c:pt idx="27">
                  <c:v>138</c:v>
                </c:pt>
                <c:pt idx="28">
                  <c:v>132</c:v>
                </c:pt>
                <c:pt idx="29">
                  <c:v>134</c:v>
                </c:pt>
                <c:pt idx="30">
                  <c:v>125</c:v>
                </c:pt>
                <c:pt idx="31">
                  <c:v>122</c:v>
                </c:pt>
                <c:pt idx="32">
                  <c:v>127</c:v>
                </c:pt>
                <c:pt idx="33">
                  <c:v>128</c:v>
                </c:pt>
                <c:pt idx="34">
                  <c:v>132</c:v>
                </c:pt>
                <c:pt idx="35">
                  <c:v>127</c:v>
                </c:pt>
                <c:pt idx="36">
                  <c:v>140</c:v>
                </c:pt>
                <c:pt idx="37">
                  <c:v>159</c:v>
                </c:pt>
                <c:pt idx="38">
                  <c:v>118</c:v>
                </c:pt>
                <c:pt idx="39">
                  <c:v>140</c:v>
                </c:pt>
                <c:pt idx="40">
                  <c:v>138</c:v>
                </c:pt>
                <c:pt idx="41">
                  <c:v>152</c:v>
                </c:pt>
                <c:pt idx="42">
                  <c:v>138</c:v>
                </c:pt>
                <c:pt idx="43">
                  <c:v>152</c:v>
                </c:pt>
                <c:pt idx="44">
                  <c:v>155</c:v>
                </c:pt>
                <c:pt idx="45">
                  <c:v>144</c:v>
                </c:pt>
                <c:pt idx="46">
                  <c:v>140</c:v>
                </c:pt>
                <c:pt idx="47">
                  <c:v>159</c:v>
                </c:pt>
                <c:pt idx="48">
                  <c:v>153</c:v>
                </c:pt>
                <c:pt idx="49">
                  <c:v>159</c:v>
                </c:pt>
                <c:pt idx="50">
                  <c:v>149</c:v>
                </c:pt>
                <c:pt idx="51">
                  <c:v>136</c:v>
                </c:pt>
                <c:pt idx="52">
                  <c:v>140</c:v>
                </c:pt>
                <c:pt idx="53">
                  <c:v>133</c:v>
                </c:pt>
                <c:pt idx="54">
                  <c:v>142</c:v>
                </c:pt>
                <c:pt idx="55">
                  <c:v>134</c:v>
                </c:pt>
                <c:pt idx="56">
                  <c:v>126</c:v>
                </c:pt>
                <c:pt idx="57">
                  <c:v>156</c:v>
                </c:pt>
                <c:pt idx="58">
                  <c:v>153</c:v>
                </c:pt>
                <c:pt idx="59">
                  <c:v>148</c:v>
                </c:pt>
                <c:pt idx="60">
                  <c:v>130</c:v>
                </c:pt>
                <c:pt idx="61">
                  <c:v>143</c:v>
                </c:pt>
                <c:pt idx="62">
                  <c:v>136</c:v>
                </c:pt>
                <c:pt idx="63">
                  <c:v>144</c:v>
                </c:pt>
                <c:pt idx="64">
                  <c:v>137</c:v>
                </c:pt>
                <c:pt idx="65">
                  <c:v>149</c:v>
                </c:pt>
                <c:pt idx="66">
                  <c:v>135</c:v>
                </c:pt>
                <c:pt idx="67">
                  <c:v>129</c:v>
                </c:pt>
                <c:pt idx="68">
                  <c:v>144</c:v>
                </c:pt>
                <c:pt idx="69">
                  <c:v>132</c:v>
                </c:pt>
                <c:pt idx="70">
                  <c:v>137</c:v>
                </c:pt>
                <c:pt idx="71">
                  <c:v>160</c:v>
                </c:pt>
                <c:pt idx="72">
                  <c:v>135</c:v>
                </c:pt>
                <c:pt idx="73">
                  <c:v>136</c:v>
                </c:pt>
                <c:pt idx="74">
                  <c:v>132</c:v>
                </c:pt>
                <c:pt idx="75">
                  <c:v>132</c:v>
                </c:pt>
                <c:pt idx="76">
                  <c:v>126</c:v>
                </c:pt>
                <c:pt idx="77">
                  <c:v>133</c:v>
                </c:pt>
                <c:pt idx="78">
                  <c:v>133</c:v>
                </c:pt>
                <c:pt idx="79">
                  <c:v>135</c:v>
                </c:pt>
                <c:pt idx="80">
                  <c:v>134</c:v>
                </c:pt>
                <c:pt idx="81">
                  <c:v>138</c:v>
                </c:pt>
                <c:pt idx="82">
                  <c:v>132</c:v>
                </c:pt>
                <c:pt idx="83">
                  <c:v>135</c:v>
                </c:pt>
                <c:pt idx="84">
                  <c:v>136</c:v>
                </c:pt>
                <c:pt idx="85">
                  <c:v>135</c:v>
                </c:pt>
                <c:pt idx="86">
                  <c:v>136</c:v>
                </c:pt>
                <c:pt idx="87">
                  <c:v>130</c:v>
                </c:pt>
                <c:pt idx="88">
                  <c:v>119</c:v>
                </c:pt>
                <c:pt idx="89">
                  <c:v>128</c:v>
                </c:pt>
                <c:pt idx="90">
                  <c:v>120</c:v>
                </c:pt>
                <c:pt idx="91">
                  <c:v>148</c:v>
                </c:pt>
                <c:pt idx="92">
                  <c:v>148</c:v>
                </c:pt>
                <c:pt idx="93">
                  <c:v>120</c:v>
                </c:pt>
                <c:pt idx="94">
                  <c:v>139</c:v>
                </c:pt>
                <c:pt idx="95">
                  <c:v>120</c:v>
                </c:pt>
                <c:pt idx="96">
                  <c:v>122</c:v>
                </c:pt>
                <c:pt idx="97">
                  <c:v>126</c:v>
                </c:pt>
                <c:pt idx="98">
                  <c:v>123</c:v>
                </c:pt>
                <c:pt idx="99">
                  <c:v>136</c:v>
                </c:pt>
                <c:pt idx="100">
                  <c:v>135</c:v>
                </c:pt>
                <c:pt idx="101">
                  <c:v>134</c:v>
                </c:pt>
                <c:pt idx="102">
                  <c:v>145</c:v>
                </c:pt>
                <c:pt idx="103">
                  <c:v>111</c:v>
                </c:pt>
                <c:pt idx="104">
                  <c:v>134</c:v>
                </c:pt>
                <c:pt idx="105">
                  <c:v>127</c:v>
                </c:pt>
                <c:pt idx="106">
                  <c:v>130</c:v>
                </c:pt>
                <c:pt idx="107">
                  <c:v>141</c:v>
                </c:pt>
                <c:pt idx="108">
                  <c:v>145</c:v>
                </c:pt>
                <c:pt idx="109">
                  <c:v>133</c:v>
                </c:pt>
                <c:pt idx="110">
                  <c:v>139</c:v>
                </c:pt>
                <c:pt idx="111">
                  <c:v>143</c:v>
                </c:pt>
                <c:pt idx="112">
                  <c:v>123</c:v>
                </c:pt>
                <c:pt idx="113">
                  <c:v>132</c:v>
                </c:pt>
                <c:pt idx="114">
                  <c:v>145</c:v>
                </c:pt>
                <c:pt idx="115">
                  <c:v>129</c:v>
                </c:pt>
                <c:pt idx="116">
                  <c:v>132</c:v>
                </c:pt>
                <c:pt idx="117">
                  <c:v>137</c:v>
                </c:pt>
                <c:pt idx="118">
                  <c:v>127</c:v>
                </c:pt>
                <c:pt idx="119">
                  <c:v>140</c:v>
                </c:pt>
                <c:pt idx="120">
                  <c:v>123</c:v>
                </c:pt>
                <c:pt idx="121">
                  <c:v>134</c:v>
                </c:pt>
                <c:pt idx="122">
                  <c:v>132</c:v>
                </c:pt>
                <c:pt idx="123">
                  <c:v>115</c:v>
                </c:pt>
                <c:pt idx="124">
                  <c:v>136</c:v>
                </c:pt>
                <c:pt idx="125">
                  <c:v>146</c:v>
                </c:pt>
                <c:pt idx="126">
                  <c:v>135</c:v>
                </c:pt>
                <c:pt idx="127">
                  <c:v>140</c:v>
                </c:pt>
                <c:pt idx="128">
                  <c:v>133</c:v>
                </c:pt>
                <c:pt idx="129">
                  <c:v>146</c:v>
                </c:pt>
                <c:pt idx="130">
                  <c:v>143</c:v>
                </c:pt>
                <c:pt idx="131">
                  <c:v>127</c:v>
                </c:pt>
                <c:pt idx="132">
                  <c:v>141</c:v>
                </c:pt>
                <c:pt idx="133">
                  <c:v>162</c:v>
                </c:pt>
                <c:pt idx="134">
                  <c:v>127</c:v>
                </c:pt>
                <c:pt idx="135">
                  <c:v>131</c:v>
                </c:pt>
                <c:pt idx="136">
                  <c:v>142</c:v>
                </c:pt>
                <c:pt idx="137">
                  <c:v>137</c:v>
                </c:pt>
                <c:pt idx="138">
                  <c:v>144</c:v>
                </c:pt>
                <c:pt idx="139">
                  <c:v>134</c:v>
                </c:pt>
                <c:pt idx="140">
                  <c:v>147</c:v>
                </c:pt>
                <c:pt idx="141">
                  <c:v>147</c:v>
                </c:pt>
                <c:pt idx="142">
                  <c:v>140</c:v>
                </c:pt>
                <c:pt idx="143">
                  <c:v>124</c:v>
                </c:pt>
                <c:pt idx="144">
                  <c:v>121</c:v>
                </c:pt>
                <c:pt idx="145">
                  <c:v>139</c:v>
                </c:pt>
                <c:pt idx="146">
                  <c:v>125</c:v>
                </c:pt>
                <c:pt idx="147">
                  <c:v>129</c:v>
                </c:pt>
                <c:pt idx="148">
                  <c:v>141</c:v>
                </c:pt>
                <c:pt idx="149">
                  <c:v>136</c:v>
                </c:pt>
                <c:pt idx="150">
                  <c:v>136</c:v>
                </c:pt>
                <c:pt idx="151">
                  <c:v>131</c:v>
                </c:pt>
                <c:pt idx="152">
                  <c:v>135</c:v>
                </c:pt>
                <c:pt idx="153">
                  <c:v>133</c:v>
                </c:pt>
                <c:pt idx="154">
                  <c:v>117</c:v>
                </c:pt>
                <c:pt idx="155">
                  <c:v>116</c:v>
                </c:pt>
                <c:pt idx="156">
                  <c:v>118</c:v>
                </c:pt>
                <c:pt idx="157">
                  <c:v>137</c:v>
                </c:pt>
                <c:pt idx="158">
                  <c:v>135</c:v>
                </c:pt>
                <c:pt idx="159">
                  <c:v>134</c:v>
                </c:pt>
                <c:pt idx="160">
                  <c:v>135</c:v>
                </c:pt>
                <c:pt idx="161">
                  <c:v>124</c:v>
                </c:pt>
                <c:pt idx="162">
                  <c:v>134</c:v>
                </c:pt>
                <c:pt idx="163">
                  <c:v>129</c:v>
                </c:pt>
                <c:pt idx="164">
                  <c:v>139</c:v>
                </c:pt>
                <c:pt idx="165">
                  <c:v>112</c:v>
                </c:pt>
                <c:pt idx="166">
                  <c:v>144</c:v>
                </c:pt>
                <c:pt idx="167">
                  <c:v>148</c:v>
                </c:pt>
                <c:pt idx="168">
                  <c:v>148</c:v>
                </c:pt>
                <c:pt idx="169">
                  <c:v>134</c:v>
                </c:pt>
                <c:pt idx="170">
                  <c:v>135</c:v>
                </c:pt>
                <c:pt idx="171">
                  <c:v>129</c:v>
                </c:pt>
                <c:pt idx="172">
                  <c:v>140</c:v>
                </c:pt>
                <c:pt idx="173">
                  <c:v>124</c:v>
                </c:pt>
                <c:pt idx="174">
                  <c:v>153</c:v>
                </c:pt>
                <c:pt idx="175">
                  <c:v>123</c:v>
                </c:pt>
                <c:pt idx="176">
                  <c:v>124</c:v>
                </c:pt>
                <c:pt idx="177">
                  <c:v>116</c:v>
                </c:pt>
                <c:pt idx="178">
                  <c:v>138</c:v>
                </c:pt>
                <c:pt idx="179">
                  <c:v>135</c:v>
                </c:pt>
                <c:pt idx="180">
                  <c:v>123</c:v>
                </c:pt>
                <c:pt idx="181">
                  <c:v>129</c:v>
                </c:pt>
                <c:pt idx="182">
                  <c:v>120</c:v>
                </c:pt>
                <c:pt idx="183">
                  <c:v>125</c:v>
                </c:pt>
                <c:pt idx="184">
                  <c:v>114</c:v>
                </c:pt>
                <c:pt idx="185">
                  <c:v>146</c:v>
                </c:pt>
                <c:pt idx="186">
                  <c:v>129</c:v>
                </c:pt>
                <c:pt idx="187">
                  <c:v>145</c:v>
                </c:pt>
                <c:pt idx="188">
                  <c:v>140</c:v>
                </c:pt>
                <c:pt idx="189">
                  <c:v>132</c:v>
                </c:pt>
                <c:pt idx="190">
                  <c:v>128</c:v>
                </c:pt>
                <c:pt idx="191">
                  <c:v>118</c:v>
                </c:pt>
                <c:pt idx="192">
                  <c:v>153</c:v>
                </c:pt>
                <c:pt idx="193">
                  <c:v>124</c:v>
                </c:pt>
                <c:pt idx="194">
                  <c:v>156</c:v>
                </c:pt>
                <c:pt idx="195">
                  <c:v>148</c:v>
                </c:pt>
                <c:pt idx="196">
                  <c:v>156</c:v>
                </c:pt>
                <c:pt idx="197">
                  <c:v>150</c:v>
                </c:pt>
                <c:pt idx="198">
                  <c:v>132</c:v>
                </c:pt>
                <c:pt idx="199">
                  <c:v>139</c:v>
                </c:pt>
                <c:pt idx="200">
                  <c:v>147</c:v>
                </c:pt>
                <c:pt idx="201">
                  <c:v>133</c:v>
                </c:pt>
                <c:pt idx="202">
                  <c:v>138</c:v>
                </c:pt>
                <c:pt idx="203">
                  <c:v>152</c:v>
                </c:pt>
                <c:pt idx="204">
                  <c:v>151</c:v>
                </c:pt>
                <c:pt idx="205">
                  <c:v>140</c:v>
                </c:pt>
                <c:pt idx="206">
                  <c:v>136</c:v>
                </c:pt>
                <c:pt idx="207">
                  <c:v>152</c:v>
                </c:pt>
                <c:pt idx="208">
                  <c:v>142</c:v>
                </c:pt>
                <c:pt idx="209">
                  <c:v>118</c:v>
                </c:pt>
                <c:pt idx="210">
                  <c:v>128</c:v>
                </c:pt>
                <c:pt idx="211">
                  <c:v>126</c:v>
                </c:pt>
                <c:pt idx="212">
                  <c:v>130</c:v>
                </c:pt>
                <c:pt idx="213">
                  <c:v>130</c:v>
                </c:pt>
                <c:pt idx="214">
                  <c:v>124</c:v>
                </c:pt>
                <c:pt idx="215">
                  <c:v>144</c:v>
                </c:pt>
                <c:pt idx="216">
                  <c:v>135</c:v>
                </c:pt>
                <c:pt idx="217">
                  <c:v>125</c:v>
                </c:pt>
                <c:pt idx="218">
                  <c:v>151</c:v>
                </c:pt>
                <c:pt idx="219">
                  <c:v>114</c:v>
                </c:pt>
                <c:pt idx="220">
                  <c:v>117</c:v>
                </c:pt>
                <c:pt idx="221">
                  <c:v>109</c:v>
                </c:pt>
                <c:pt idx="222">
                  <c:v>148</c:v>
                </c:pt>
                <c:pt idx="223">
                  <c:v>132</c:v>
                </c:pt>
                <c:pt idx="224">
                  <c:v>132</c:v>
                </c:pt>
                <c:pt idx="225">
                  <c:v>124</c:v>
                </c:pt>
              </c:numCache>
            </c:numRef>
          </c:xVal>
          <c:yVal>
            <c:numRef>
              <c:f>Residuals!$CQ$2:$CQ$227</c:f>
              <c:numCache>
                <c:formatCode>0.00</c:formatCode>
                <c:ptCount val="226"/>
                <c:pt idx="0">
                  <c:v>2.9562599987411105</c:v>
                </c:pt>
                <c:pt idx="1">
                  <c:v>2.1654577122288359</c:v>
                </c:pt>
                <c:pt idx="2">
                  <c:v>2.2236181695312922</c:v>
                </c:pt>
                <c:pt idx="3">
                  <c:v>2.8924634285095081</c:v>
                </c:pt>
                <c:pt idx="4">
                  <c:v>1.8399390841361978</c:v>
                </c:pt>
                <c:pt idx="5">
                  <c:v>2.8633831998582835</c:v>
                </c:pt>
                <c:pt idx="6">
                  <c:v>1.7381582838569045</c:v>
                </c:pt>
                <c:pt idx="7">
                  <c:v>1.7381582838569045</c:v>
                </c:pt>
                <c:pt idx="8">
                  <c:v>2.3980995414386541</c:v>
                </c:pt>
                <c:pt idx="9">
                  <c:v>2.2817786268337485</c:v>
                </c:pt>
                <c:pt idx="10">
                  <c:v>1.941719884415491</c:v>
                </c:pt>
                <c:pt idx="11">
                  <c:v>1.1654577122288359</c:v>
                </c:pt>
                <c:pt idx="12">
                  <c:v>2.1889018279509216</c:v>
                </c:pt>
                <c:pt idx="13">
                  <c:v>1.1072972549263866</c:v>
                </c:pt>
                <c:pt idx="14">
                  <c:v>1.4126396557642664</c:v>
                </c:pt>
                <c:pt idx="15">
                  <c:v>1.1509175979032236</c:v>
                </c:pt>
                <c:pt idx="16">
                  <c:v>1.4271797700898787</c:v>
                </c:pt>
                <c:pt idx="17">
                  <c:v>1.3980995414386541</c:v>
                </c:pt>
                <c:pt idx="18">
                  <c:v>1.7470622852533779</c:v>
                </c:pt>
                <c:pt idx="19">
                  <c:v>1.5871210276716283</c:v>
                </c:pt>
                <c:pt idx="20">
                  <c:v>1.5435006846947914</c:v>
                </c:pt>
                <c:pt idx="21">
                  <c:v>1.072580913346016</c:v>
                </c:pt>
                <c:pt idx="22">
                  <c:v>1.0144204560435597</c:v>
                </c:pt>
                <c:pt idx="23">
                  <c:v>0.61620125632285294</c:v>
                </c:pt>
                <c:pt idx="24">
                  <c:v>0.95625999874111045</c:v>
                </c:pt>
                <c:pt idx="25">
                  <c:v>0.55804079902040371</c:v>
                </c:pt>
                <c:pt idx="26">
                  <c:v>1.572580913346016</c:v>
                </c:pt>
                <c:pt idx="27">
                  <c:v>0.60166114199724063</c:v>
                </c:pt>
                <c:pt idx="28">
                  <c:v>0.51442045604355968</c:v>
                </c:pt>
                <c:pt idx="29">
                  <c:v>0.5435006846947914</c:v>
                </c:pt>
                <c:pt idx="30">
                  <c:v>0.41263965576426642</c:v>
                </c:pt>
                <c:pt idx="31">
                  <c:v>0.3690193127874295</c:v>
                </c:pt>
                <c:pt idx="32">
                  <c:v>-5.8280115584508962E-2</c:v>
                </c:pt>
                <c:pt idx="33">
                  <c:v>-4.3740001258889549E-2</c:v>
                </c:pt>
                <c:pt idx="34">
                  <c:v>1.4420456043559682E-2</c:v>
                </c:pt>
                <c:pt idx="35">
                  <c:v>-5.8280115584508962E-2</c:v>
                </c:pt>
                <c:pt idx="36">
                  <c:v>0.13074137064846525</c:v>
                </c:pt>
                <c:pt idx="37">
                  <c:v>0.40700354283512752</c:v>
                </c:pt>
                <c:pt idx="38">
                  <c:v>0.31085885548497316</c:v>
                </c:pt>
                <c:pt idx="39">
                  <c:v>0.63074137064846525</c:v>
                </c:pt>
                <c:pt idx="40">
                  <c:v>-0.39833885800275937</c:v>
                </c:pt>
                <c:pt idx="41">
                  <c:v>0.30522274255582715</c:v>
                </c:pt>
                <c:pt idx="42">
                  <c:v>0.10166114199724063</c:v>
                </c:pt>
                <c:pt idx="43">
                  <c:v>0.30522274255582715</c:v>
                </c:pt>
                <c:pt idx="44">
                  <c:v>0.34884308553267118</c:v>
                </c:pt>
                <c:pt idx="45">
                  <c:v>0.68890182795092159</c:v>
                </c:pt>
                <c:pt idx="46">
                  <c:v>0.63074137064846525</c:v>
                </c:pt>
                <c:pt idx="47">
                  <c:v>0.40700354283512752</c:v>
                </c:pt>
                <c:pt idx="48">
                  <c:v>0.31976285688144657</c:v>
                </c:pt>
                <c:pt idx="49">
                  <c:v>0.40700354283512752</c:v>
                </c:pt>
                <c:pt idx="50">
                  <c:v>0.26160239957899023</c:v>
                </c:pt>
                <c:pt idx="51">
                  <c:v>7.2580913346016018E-2</c:v>
                </c:pt>
                <c:pt idx="52">
                  <c:v>0.13074137064846525</c:v>
                </c:pt>
                <c:pt idx="53">
                  <c:v>2.896057036917199E-2</c:v>
                </c:pt>
                <c:pt idx="54">
                  <c:v>-0.34017840070030303</c:v>
                </c:pt>
                <c:pt idx="55">
                  <c:v>-0.4564993153052086</c:v>
                </c:pt>
                <c:pt idx="56">
                  <c:v>-0.57282022991012127</c:v>
                </c:pt>
                <c:pt idx="57">
                  <c:v>-0.13661680014171651</c:v>
                </c:pt>
                <c:pt idx="58">
                  <c:v>-0.18023714311855343</c:v>
                </c:pt>
                <c:pt idx="59">
                  <c:v>-0.75293771474662208</c:v>
                </c:pt>
                <c:pt idx="60">
                  <c:v>-1.0146597726076649</c:v>
                </c:pt>
                <c:pt idx="61">
                  <c:v>-0.82563828637469072</c:v>
                </c:pt>
                <c:pt idx="62">
                  <c:v>-0.92741908665398398</c:v>
                </c:pt>
                <c:pt idx="63">
                  <c:v>-1.3110981720490784</c:v>
                </c:pt>
                <c:pt idx="64">
                  <c:v>-1.4128789723283717</c:v>
                </c:pt>
                <c:pt idx="65">
                  <c:v>-0.73839760042100977</c:v>
                </c:pt>
                <c:pt idx="66">
                  <c:v>-0.94195920097959629</c:v>
                </c:pt>
                <c:pt idx="67">
                  <c:v>-1.0291998869332772</c:v>
                </c:pt>
                <c:pt idx="68">
                  <c:v>-0.31109817204907841</c:v>
                </c:pt>
                <c:pt idx="69">
                  <c:v>-0.98557954395644032</c:v>
                </c:pt>
                <c:pt idx="70">
                  <c:v>-0.91287897232837167</c:v>
                </c:pt>
                <c:pt idx="71">
                  <c:v>-1.0784563428392602</c:v>
                </c:pt>
                <c:pt idx="72">
                  <c:v>-1.4419592009795963</c:v>
                </c:pt>
                <c:pt idx="73">
                  <c:v>-1.427419086653984</c:v>
                </c:pt>
                <c:pt idx="74">
                  <c:v>-0.48557954395644032</c:v>
                </c:pt>
                <c:pt idx="75">
                  <c:v>-0.98557954395644032</c:v>
                </c:pt>
                <c:pt idx="76">
                  <c:v>-1.5728202299101213</c:v>
                </c:pt>
                <c:pt idx="77">
                  <c:v>-0.97103942963082801</c:v>
                </c:pt>
                <c:pt idx="78">
                  <c:v>-0.97103942963082801</c:v>
                </c:pt>
                <c:pt idx="79">
                  <c:v>-0.94195920097959629</c:v>
                </c:pt>
                <c:pt idx="80">
                  <c:v>-0.9564993153052086</c:v>
                </c:pt>
                <c:pt idx="81">
                  <c:v>-1.3983388580027594</c:v>
                </c:pt>
                <c:pt idx="82">
                  <c:v>-0.98557954395644032</c:v>
                </c:pt>
                <c:pt idx="83">
                  <c:v>-0.94195920097959629</c:v>
                </c:pt>
                <c:pt idx="84">
                  <c:v>-0.92741908665398398</c:v>
                </c:pt>
                <c:pt idx="85">
                  <c:v>-0.94195920097959629</c:v>
                </c:pt>
                <c:pt idx="86">
                  <c:v>-0.92741908665398398</c:v>
                </c:pt>
                <c:pt idx="87">
                  <c:v>-1.0146597726076649</c:v>
                </c:pt>
                <c:pt idx="88">
                  <c:v>-1.1746010301894145</c:v>
                </c:pt>
                <c:pt idx="89">
                  <c:v>-0.54374000125888955</c:v>
                </c:pt>
                <c:pt idx="90">
                  <c:v>-1.1600609158638022</c:v>
                </c:pt>
                <c:pt idx="91">
                  <c:v>-0.75293771474662208</c:v>
                </c:pt>
                <c:pt idx="92">
                  <c:v>-0.25293771474662208</c:v>
                </c:pt>
                <c:pt idx="93">
                  <c:v>-0.16006091586380222</c:v>
                </c:pt>
                <c:pt idx="94">
                  <c:v>0.11620125632285294</c:v>
                </c:pt>
                <c:pt idx="95">
                  <c:v>-0.66006091586380222</c:v>
                </c:pt>
                <c:pt idx="96">
                  <c:v>-0.6309806872125705</c:v>
                </c:pt>
                <c:pt idx="97">
                  <c:v>-0.57282022991012127</c:v>
                </c:pt>
                <c:pt idx="98">
                  <c:v>-1.1164405728869582</c:v>
                </c:pt>
                <c:pt idx="99">
                  <c:v>-1.427419086653984</c:v>
                </c:pt>
                <c:pt idx="100">
                  <c:v>-0.94195920097959629</c:v>
                </c:pt>
                <c:pt idx="101">
                  <c:v>-1.4564993153052086</c:v>
                </c:pt>
                <c:pt idx="102">
                  <c:v>-0.29655805772346611</c:v>
                </c:pt>
                <c:pt idx="103">
                  <c:v>-0.2909219447943201</c:v>
                </c:pt>
                <c:pt idx="104">
                  <c:v>4.3500684694791403E-2</c:v>
                </c:pt>
                <c:pt idx="105">
                  <c:v>-5.8280115584508962E-2</c:v>
                </c:pt>
                <c:pt idx="106">
                  <c:v>-0.51465977260766493</c:v>
                </c:pt>
                <c:pt idx="107">
                  <c:v>-0.35471851502591534</c:v>
                </c:pt>
                <c:pt idx="108">
                  <c:v>-0.79655805772346611</c:v>
                </c:pt>
                <c:pt idx="109">
                  <c:v>-0.97103942963082801</c:v>
                </c:pt>
                <c:pt idx="110">
                  <c:v>-0.88379874367714706</c:v>
                </c:pt>
                <c:pt idx="111">
                  <c:v>-0.32563828637469072</c:v>
                </c:pt>
                <c:pt idx="112">
                  <c:v>-1.1164405728869582</c:v>
                </c:pt>
                <c:pt idx="113">
                  <c:v>-0.98557954395644032</c:v>
                </c:pt>
                <c:pt idx="114">
                  <c:v>-0.79655805772346611</c:v>
                </c:pt>
                <c:pt idx="115">
                  <c:v>-1.0291998869332772</c:v>
                </c:pt>
                <c:pt idx="116">
                  <c:v>-0.98557954395644032</c:v>
                </c:pt>
                <c:pt idx="117">
                  <c:v>-1.4128789723283717</c:v>
                </c:pt>
                <c:pt idx="118">
                  <c:v>-1.558280115584509</c:v>
                </c:pt>
                <c:pt idx="119">
                  <c:v>-1.3692586293515348</c:v>
                </c:pt>
                <c:pt idx="120">
                  <c:v>-1.6164405728869582</c:v>
                </c:pt>
                <c:pt idx="121">
                  <c:v>-0.9564993153052086</c:v>
                </c:pt>
                <c:pt idx="122">
                  <c:v>-0.98557954395644032</c:v>
                </c:pt>
                <c:pt idx="123">
                  <c:v>-1.2327614874918709</c:v>
                </c:pt>
                <c:pt idx="124">
                  <c:v>-0.92741908665398398</c:v>
                </c:pt>
                <c:pt idx="125">
                  <c:v>-0.78201794339784669</c:v>
                </c:pt>
                <c:pt idx="126">
                  <c:v>-0.94195920097959629</c:v>
                </c:pt>
                <c:pt idx="127">
                  <c:v>-0.86925862935153475</c:v>
                </c:pt>
                <c:pt idx="128">
                  <c:v>-0.97103942963082801</c:v>
                </c:pt>
                <c:pt idx="129">
                  <c:v>-0.28201794339784669</c:v>
                </c:pt>
                <c:pt idx="130">
                  <c:v>-0.32563828637469072</c:v>
                </c:pt>
                <c:pt idx="131">
                  <c:v>-0.55828011558450896</c:v>
                </c:pt>
                <c:pt idx="132">
                  <c:v>-0.35471851502591534</c:v>
                </c:pt>
                <c:pt idx="133">
                  <c:v>-4.9376114188035558E-2</c:v>
                </c:pt>
                <c:pt idx="134">
                  <c:v>-5.8280115584508962E-2</c:v>
                </c:pt>
                <c:pt idx="135">
                  <c:v>-1.1965828205262596E-4</c:v>
                </c:pt>
                <c:pt idx="136">
                  <c:v>0.15982159929969697</c:v>
                </c:pt>
                <c:pt idx="137">
                  <c:v>8.7121027671628326E-2</c:v>
                </c:pt>
                <c:pt idx="138">
                  <c:v>0.18890182795092159</c:v>
                </c:pt>
                <c:pt idx="139">
                  <c:v>-0.4564993153052086</c:v>
                </c:pt>
                <c:pt idx="140">
                  <c:v>-0.26747782907223439</c:v>
                </c:pt>
                <c:pt idx="141">
                  <c:v>-0.26747782907223439</c:v>
                </c:pt>
                <c:pt idx="142">
                  <c:v>-0.36925862935153475</c:v>
                </c:pt>
                <c:pt idx="143">
                  <c:v>-0.60190045856134589</c:v>
                </c:pt>
                <c:pt idx="144">
                  <c:v>-0.64552080153818991</c:v>
                </c:pt>
                <c:pt idx="145">
                  <c:v>-0.38379874367714706</c:v>
                </c:pt>
                <c:pt idx="146">
                  <c:v>-0.58736034423573358</c:v>
                </c:pt>
                <c:pt idx="147">
                  <c:v>-0.52919988693327724</c:v>
                </c:pt>
                <c:pt idx="148">
                  <c:v>-0.35471851502591534</c:v>
                </c:pt>
                <c:pt idx="149">
                  <c:v>-0.42741908665398398</c:v>
                </c:pt>
                <c:pt idx="150">
                  <c:v>-0.42741908665398398</c:v>
                </c:pt>
                <c:pt idx="151">
                  <c:v>-0.50011965828205263</c:v>
                </c:pt>
                <c:pt idx="152">
                  <c:v>-0.44195920097959629</c:v>
                </c:pt>
                <c:pt idx="153">
                  <c:v>-0.47103942963082801</c:v>
                </c:pt>
                <c:pt idx="154">
                  <c:v>-0.70368125884063915</c:v>
                </c:pt>
                <c:pt idx="155">
                  <c:v>-0.71822137316625145</c:v>
                </c:pt>
                <c:pt idx="156">
                  <c:v>-0.68914114451502684</c:v>
                </c:pt>
                <c:pt idx="157">
                  <c:v>8.7121027671628326E-2</c:v>
                </c:pt>
                <c:pt idx="158">
                  <c:v>5.8040799020403711E-2</c:v>
                </c:pt>
                <c:pt idx="159">
                  <c:v>4.3500684694791403E-2</c:v>
                </c:pt>
                <c:pt idx="160">
                  <c:v>5.8040799020403711E-2</c:v>
                </c:pt>
                <c:pt idx="161">
                  <c:v>-0.10190045856134589</c:v>
                </c:pt>
                <c:pt idx="162">
                  <c:v>4.3500684694791403E-2</c:v>
                </c:pt>
                <c:pt idx="163">
                  <c:v>-2.9199886933277241E-2</c:v>
                </c:pt>
                <c:pt idx="164">
                  <c:v>0.11620125632285294</c:v>
                </c:pt>
                <c:pt idx="165">
                  <c:v>0.22361816953129221</c:v>
                </c:pt>
                <c:pt idx="166">
                  <c:v>0.68890182795092159</c:v>
                </c:pt>
                <c:pt idx="167">
                  <c:v>0.24706228525337792</c:v>
                </c:pt>
                <c:pt idx="168">
                  <c:v>0.24706228525337792</c:v>
                </c:pt>
                <c:pt idx="169">
                  <c:v>4.3500684694791403E-2</c:v>
                </c:pt>
                <c:pt idx="170">
                  <c:v>5.8040799020403711E-2</c:v>
                </c:pt>
                <c:pt idx="171">
                  <c:v>-2.9199886933277241E-2</c:v>
                </c:pt>
                <c:pt idx="172">
                  <c:v>0.13074137064846525</c:v>
                </c:pt>
                <c:pt idx="173">
                  <c:v>-0.10190045856134589</c:v>
                </c:pt>
                <c:pt idx="174">
                  <c:v>0.31976285688144657</c:v>
                </c:pt>
                <c:pt idx="175">
                  <c:v>-0.11644057288695819</c:v>
                </c:pt>
                <c:pt idx="176">
                  <c:v>-0.60190045856134589</c:v>
                </c:pt>
                <c:pt idx="177">
                  <c:v>-0.71822137316625145</c:v>
                </c:pt>
                <c:pt idx="178">
                  <c:v>-0.39833885800275937</c:v>
                </c:pt>
                <c:pt idx="179">
                  <c:v>5.8040799020403711E-2</c:v>
                </c:pt>
                <c:pt idx="180">
                  <c:v>-0.11644057288695819</c:v>
                </c:pt>
                <c:pt idx="181">
                  <c:v>0.47080011306672276</c:v>
                </c:pt>
                <c:pt idx="182">
                  <c:v>0.33993908413619778</c:v>
                </c:pt>
                <c:pt idx="183">
                  <c:v>0.41263965576426642</c:v>
                </c:pt>
                <c:pt idx="184">
                  <c:v>0.25269839818251683</c:v>
                </c:pt>
                <c:pt idx="185">
                  <c:v>0.21798205660215331</c:v>
                </c:pt>
                <c:pt idx="186">
                  <c:v>-2.9199886933277241E-2</c:v>
                </c:pt>
                <c:pt idx="187">
                  <c:v>0.20344194227653389</c:v>
                </c:pt>
                <c:pt idx="188">
                  <c:v>0.13074137064846525</c:v>
                </c:pt>
                <c:pt idx="189">
                  <c:v>1.4420456043559682E-2</c:v>
                </c:pt>
                <c:pt idx="190">
                  <c:v>0.45625999874111045</c:v>
                </c:pt>
                <c:pt idx="191">
                  <c:v>0.31085885548497316</c:v>
                </c:pt>
                <c:pt idx="192">
                  <c:v>0.31976285688144657</c:v>
                </c:pt>
                <c:pt idx="193">
                  <c:v>-0.10190045856134589</c:v>
                </c:pt>
                <c:pt idx="194">
                  <c:v>0.36338319985828349</c:v>
                </c:pt>
                <c:pt idx="195">
                  <c:v>0.24706228525337792</c:v>
                </c:pt>
                <c:pt idx="196">
                  <c:v>0.36338319985828349</c:v>
                </c:pt>
                <c:pt idx="197">
                  <c:v>0.27614251390460254</c:v>
                </c:pt>
                <c:pt idx="198">
                  <c:v>0.51442045604355968</c:v>
                </c:pt>
                <c:pt idx="199">
                  <c:v>0.61620125632285294</c:v>
                </c:pt>
                <c:pt idx="200">
                  <c:v>0.73252217092776561</c:v>
                </c:pt>
                <c:pt idx="201">
                  <c:v>0.52896057036917199</c:v>
                </c:pt>
                <c:pt idx="202">
                  <c:v>0.60166114199724063</c:v>
                </c:pt>
                <c:pt idx="203">
                  <c:v>1.3052227425558272</c:v>
                </c:pt>
                <c:pt idx="204">
                  <c:v>0.79068262823021485</c:v>
                </c:pt>
                <c:pt idx="205">
                  <c:v>1.1307413706484652</c:v>
                </c:pt>
                <c:pt idx="206">
                  <c:v>1.572580913346016</c:v>
                </c:pt>
                <c:pt idx="207">
                  <c:v>1.3052227425558272</c:v>
                </c:pt>
                <c:pt idx="208">
                  <c:v>0.65982159929969697</c:v>
                </c:pt>
                <c:pt idx="209">
                  <c:v>0.81085885548497316</c:v>
                </c:pt>
                <c:pt idx="210">
                  <c:v>0.45625999874111045</c:v>
                </c:pt>
                <c:pt idx="211">
                  <c:v>0.92717977008987873</c:v>
                </c:pt>
                <c:pt idx="212">
                  <c:v>0.98534022739233507</c:v>
                </c:pt>
                <c:pt idx="213">
                  <c:v>0.48534022739233507</c:v>
                </c:pt>
                <c:pt idx="214">
                  <c:v>-0.10190045856134589</c:v>
                </c:pt>
                <c:pt idx="215">
                  <c:v>0.18890182795092159</c:v>
                </c:pt>
                <c:pt idx="216">
                  <c:v>0.55804079902040371</c:v>
                </c:pt>
                <c:pt idx="217">
                  <c:v>-8.7360344235733578E-2</c:v>
                </c:pt>
                <c:pt idx="218">
                  <c:v>0.29068262823021485</c:v>
                </c:pt>
                <c:pt idx="219">
                  <c:v>0.25269839818251683</c:v>
                </c:pt>
                <c:pt idx="220">
                  <c:v>0.29631874115936085</c:v>
                </c:pt>
                <c:pt idx="221">
                  <c:v>-0.32000217344554471</c:v>
                </c:pt>
                <c:pt idx="222">
                  <c:v>1.2470622852533779</c:v>
                </c:pt>
                <c:pt idx="223">
                  <c:v>0.51442045604355968</c:v>
                </c:pt>
                <c:pt idx="224">
                  <c:v>0.51442045604355968</c:v>
                </c:pt>
                <c:pt idx="225">
                  <c:v>0.39809954143865411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C-45AA-9169-02E23157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9151"/>
        <c:axId val="2117207151"/>
      </c:scatterChart>
      <c:valAx>
        <c:axId val="21172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7151"/>
        <c:crosses val="autoZero"/>
        <c:crossBetween val="midCat"/>
      </c:valAx>
      <c:valAx>
        <c:axId val="21172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 v Night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Log'!$K$2:$K$227</c:f>
              <c:numCache>
                <c:formatCode>0.00</c:formatCode>
                <c:ptCount val="226"/>
                <c:pt idx="0">
                  <c:v>79</c:v>
                </c:pt>
                <c:pt idx="1">
                  <c:v>75</c:v>
                </c:pt>
                <c:pt idx="2">
                  <c:v>63</c:v>
                </c:pt>
                <c:pt idx="3">
                  <c:v>88</c:v>
                </c:pt>
                <c:pt idx="4">
                  <c:v>71</c:v>
                </c:pt>
                <c:pt idx="5">
                  <c:v>83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68</c:v>
                </c:pt>
                <c:pt idx="12">
                  <c:v>72</c:v>
                </c:pt>
                <c:pt idx="13">
                  <c:v>58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64</c:v>
                </c:pt>
                <c:pt idx="18">
                  <c:v>71</c:v>
                </c:pt>
                <c:pt idx="19">
                  <c:v>72</c:v>
                </c:pt>
                <c:pt idx="20">
                  <c:v>80</c:v>
                </c:pt>
                <c:pt idx="21">
                  <c:v>73</c:v>
                </c:pt>
                <c:pt idx="22">
                  <c:v>74</c:v>
                </c:pt>
                <c:pt idx="23">
                  <c:v>77</c:v>
                </c:pt>
                <c:pt idx="24">
                  <c:v>72</c:v>
                </c:pt>
                <c:pt idx="25">
                  <c:v>69</c:v>
                </c:pt>
                <c:pt idx="26">
                  <c:v>67</c:v>
                </c:pt>
                <c:pt idx="27">
                  <c:v>73</c:v>
                </c:pt>
                <c:pt idx="28">
                  <c:v>73</c:v>
                </c:pt>
                <c:pt idx="29">
                  <c:v>71</c:v>
                </c:pt>
                <c:pt idx="30">
                  <c:v>69</c:v>
                </c:pt>
                <c:pt idx="31">
                  <c:v>77</c:v>
                </c:pt>
                <c:pt idx="32">
                  <c:v>76</c:v>
                </c:pt>
                <c:pt idx="33">
                  <c:v>76</c:v>
                </c:pt>
                <c:pt idx="34">
                  <c:v>72</c:v>
                </c:pt>
                <c:pt idx="35">
                  <c:v>67</c:v>
                </c:pt>
                <c:pt idx="36">
                  <c:v>79</c:v>
                </c:pt>
                <c:pt idx="37">
                  <c:v>70</c:v>
                </c:pt>
                <c:pt idx="38">
                  <c:v>83</c:v>
                </c:pt>
                <c:pt idx="39">
                  <c:v>83</c:v>
                </c:pt>
                <c:pt idx="40">
                  <c:v>93</c:v>
                </c:pt>
                <c:pt idx="41">
                  <c:v>89</c:v>
                </c:pt>
                <c:pt idx="42">
                  <c:v>87</c:v>
                </c:pt>
                <c:pt idx="43">
                  <c:v>92</c:v>
                </c:pt>
                <c:pt idx="44">
                  <c:v>87</c:v>
                </c:pt>
                <c:pt idx="45">
                  <c:v>76</c:v>
                </c:pt>
                <c:pt idx="46">
                  <c:v>75</c:v>
                </c:pt>
                <c:pt idx="47">
                  <c:v>89</c:v>
                </c:pt>
                <c:pt idx="48">
                  <c:v>91</c:v>
                </c:pt>
                <c:pt idx="49">
                  <c:v>86</c:v>
                </c:pt>
                <c:pt idx="50">
                  <c:v>78</c:v>
                </c:pt>
                <c:pt idx="51">
                  <c:v>81</c:v>
                </c:pt>
                <c:pt idx="52">
                  <c:v>83</c:v>
                </c:pt>
                <c:pt idx="53">
                  <c:v>81</c:v>
                </c:pt>
                <c:pt idx="54">
                  <c:v>82</c:v>
                </c:pt>
                <c:pt idx="55">
                  <c:v>74</c:v>
                </c:pt>
                <c:pt idx="56">
                  <c:v>71</c:v>
                </c:pt>
                <c:pt idx="57">
                  <c:v>76</c:v>
                </c:pt>
                <c:pt idx="58">
                  <c:v>78</c:v>
                </c:pt>
                <c:pt idx="59">
                  <c:v>73</c:v>
                </c:pt>
                <c:pt idx="60">
                  <c:v>74</c:v>
                </c:pt>
                <c:pt idx="61">
                  <c:v>79</c:v>
                </c:pt>
                <c:pt idx="62">
                  <c:v>69</c:v>
                </c:pt>
                <c:pt idx="63">
                  <c:v>76</c:v>
                </c:pt>
                <c:pt idx="64">
                  <c:v>76</c:v>
                </c:pt>
                <c:pt idx="65">
                  <c:v>84</c:v>
                </c:pt>
                <c:pt idx="66">
                  <c:v>77</c:v>
                </c:pt>
                <c:pt idx="67">
                  <c:v>82</c:v>
                </c:pt>
                <c:pt idx="68">
                  <c:v>77</c:v>
                </c:pt>
                <c:pt idx="69">
                  <c:v>72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83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73</c:v>
                </c:pt>
                <c:pt idx="79">
                  <c:v>76</c:v>
                </c:pt>
                <c:pt idx="80">
                  <c:v>74</c:v>
                </c:pt>
                <c:pt idx="81">
                  <c:v>81</c:v>
                </c:pt>
                <c:pt idx="82">
                  <c:v>82</c:v>
                </c:pt>
                <c:pt idx="83">
                  <c:v>76</c:v>
                </c:pt>
                <c:pt idx="84">
                  <c:v>77</c:v>
                </c:pt>
                <c:pt idx="85">
                  <c:v>76</c:v>
                </c:pt>
                <c:pt idx="86">
                  <c:v>77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78</c:v>
                </c:pt>
                <c:pt idx="91">
                  <c:v>80</c:v>
                </c:pt>
                <c:pt idx="92">
                  <c:v>81</c:v>
                </c:pt>
                <c:pt idx="93">
                  <c:v>66</c:v>
                </c:pt>
                <c:pt idx="94">
                  <c:v>74</c:v>
                </c:pt>
                <c:pt idx="95">
                  <c:v>79</c:v>
                </c:pt>
                <c:pt idx="96">
                  <c:v>73</c:v>
                </c:pt>
                <c:pt idx="97">
                  <c:v>77</c:v>
                </c:pt>
                <c:pt idx="98">
                  <c:v>84</c:v>
                </c:pt>
                <c:pt idx="99">
                  <c:v>72</c:v>
                </c:pt>
                <c:pt idx="100">
                  <c:v>76</c:v>
                </c:pt>
                <c:pt idx="101">
                  <c:v>77</c:v>
                </c:pt>
                <c:pt idx="102">
                  <c:v>109</c:v>
                </c:pt>
                <c:pt idx="103">
                  <c:v>73</c:v>
                </c:pt>
                <c:pt idx="104">
                  <c:v>76</c:v>
                </c:pt>
                <c:pt idx="105">
                  <c:v>78</c:v>
                </c:pt>
                <c:pt idx="106">
                  <c:v>74</c:v>
                </c:pt>
                <c:pt idx="107">
                  <c:v>82</c:v>
                </c:pt>
                <c:pt idx="108">
                  <c:v>77</c:v>
                </c:pt>
                <c:pt idx="109">
                  <c:v>87</c:v>
                </c:pt>
                <c:pt idx="110">
                  <c:v>68</c:v>
                </c:pt>
                <c:pt idx="111">
                  <c:v>105</c:v>
                </c:pt>
                <c:pt idx="112">
                  <c:v>74</c:v>
                </c:pt>
                <c:pt idx="113">
                  <c:v>76</c:v>
                </c:pt>
                <c:pt idx="114">
                  <c:v>75</c:v>
                </c:pt>
                <c:pt idx="115">
                  <c:v>72</c:v>
                </c:pt>
                <c:pt idx="116">
                  <c:v>80</c:v>
                </c:pt>
                <c:pt idx="117">
                  <c:v>73</c:v>
                </c:pt>
                <c:pt idx="118">
                  <c:v>89</c:v>
                </c:pt>
                <c:pt idx="119">
                  <c:v>65</c:v>
                </c:pt>
                <c:pt idx="120">
                  <c:v>71</c:v>
                </c:pt>
                <c:pt idx="121">
                  <c:v>77</c:v>
                </c:pt>
                <c:pt idx="122">
                  <c:v>76</c:v>
                </c:pt>
                <c:pt idx="123">
                  <c:v>73</c:v>
                </c:pt>
                <c:pt idx="124">
                  <c:v>78</c:v>
                </c:pt>
                <c:pt idx="125">
                  <c:v>79</c:v>
                </c:pt>
                <c:pt idx="126">
                  <c:v>78</c:v>
                </c:pt>
                <c:pt idx="127">
                  <c:v>74</c:v>
                </c:pt>
                <c:pt idx="128">
                  <c:v>74</c:v>
                </c:pt>
                <c:pt idx="129">
                  <c:v>77</c:v>
                </c:pt>
                <c:pt idx="130">
                  <c:v>77</c:v>
                </c:pt>
                <c:pt idx="131">
                  <c:v>75</c:v>
                </c:pt>
                <c:pt idx="132">
                  <c:v>74</c:v>
                </c:pt>
                <c:pt idx="133">
                  <c:v>79</c:v>
                </c:pt>
                <c:pt idx="134">
                  <c:v>74</c:v>
                </c:pt>
                <c:pt idx="135">
                  <c:v>78</c:v>
                </c:pt>
                <c:pt idx="136">
                  <c:v>84</c:v>
                </c:pt>
                <c:pt idx="137">
                  <c:v>83</c:v>
                </c:pt>
                <c:pt idx="138">
                  <c:v>82</c:v>
                </c:pt>
                <c:pt idx="139">
                  <c:v>75</c:v>
                </c:pt>
                <c:pt idx="140">
                  <c:v>85</c:v>
                </c:pt>
                <c:pt idx="141">
                  <c:v>85</c:v>
                </c:pt>
                <c:pt idx="142">
                  <c:v>91</c:v>
                </c:pt>
                <c:pt idx="143">
                  <c:v>67</c:v>
                </c:pt>
                <c:pt idx="144">
                  <c:v>75</c:v>
                </c:pt>
                <c:pt idx="145">
                  <c:v>72</c:v>
                </c:pt>
                <c:pt idx="146">
                  <c:v>75</c:v>
                </c:pt>
                <c:pt idx="147">
                  <c:v>77</c:v>
                </c:pt>
                <c:pt idx="148">
                  <c:v>86</c:v>
                </c:pt>
                <c:pt idx="149">
                  <c:v>82</c:v>
                </c:pt>
                <c:pt idx="150">
                  <c:v>80</c:v>
                </c:pt>
                <c:pt idx="151">
                  <c:v>77</c:v>
                </c:pt>
                <c:pt idx="152">
                  <c:v>79</c:v>
                </c:pt>
                <c:pt idx="153">
                  <c:v>77</c:v>
                </c:pt>
                <c:pt idx="154">
                  <c:v>68</c:v>
                </c:pt>
                <c:pt idx="155">
                  <c:v>68</c:v>
                </c:pt>
                <c:pt idx="156">
                  <c:v>67</c:v>
                </c:pt>
                <c:pt idx="157">
                  <c:v>67</c:v>
                </c:pt>
                <c:pt idx="158">
                  <c:v>69</c:v>
                </c:pt>
                <c:pt idx="159">
                  <c:v>75</c:v>
                </c:pt>
                <c:pt idx="160">
                  <c:v>69</c:v>
                </c:pt>
                <c:pt idx="161">
                  <c:v>72</c:v>
                </c:pt>
                <c:pt idx="162">
                  <c:v>77</c:v>
                </c:pt>
                <c:pt idx="163">
                  <c:v>76</c:v>
                </c:pt>
                <c:pt idx="164">
                  <c:v>75</c:v>
                </c:pt>
                <c:pt idx="165">
                  <c:v>66</c:v>
                </c:pt>
                <c:pt idx="166">
                  <c:v>80</c:v>
                </c:pt>
                <c:pt idx="167">
                  <c:v>74</c:v>
                </c:pt>
                <c:pt idx="168">
                  <c:v>79</c:v>
                </c:pt>
                <c:pt idx="169">
                  <c:v>73</c:v>
                </c:pt>
                <c:pt idx="170">
                  <c:v>79</c:v>
                </c:pt>
                <c:pt idx="171">
                  <c:v>71</c:v>
                </c:pt>
                <c:pt idx="172">
                  <c:v>78</c:v>
                </c:pt>
                <c:pt idx="173">
                  <c:v>74</c:v>
                </c:pt>
                <c:pt idx="174">
                  <c:v>85</c:v>
                </c:pt>
                <c:pt idx="175">
                  <c:v>69</c:v>
                </c:pt>
                <c:pt idx="176">
                  <c:v>66</c:v>
                </c:pt>
                <c:pt idx="177">
                  <c:v>75</c:v>
                </c:pt>
                <c:pt idx="178">
                  <c:v>75</c:v>
                </c:pt>
                <c:pt idx="179">
                  <c:v>83</c:v>
                </c:pt>
                <c:pt idx="180">
                  <c:v>73</c:v>
                </c:pt>
                <c:pt idx="181">
                  <c:v>71</c:v>
                </c:pt>
                <c:pt idx="182">
                  <c:v>65</c:v>
                </c:pt>
                <c:pt idx="183">
                  <c:v>73</c:v>
                </c:pt>
                <c:pt idx="184">
                  <c:v>70</c:v>
                </c:pt>
                <c:pt idx="185">
                  <c:v>78</c:v>
                </c:pt>
                <c:pt idx="186">
                  <c:v>72</c:v>
                </c:pt>
                <c:pt idx="187">
                  <c:v>73</c:v>
                </c:pt>
                <c:pt idx="188">
                  <c:v>63</c:v>
                </c:pt>
                <c:pt idx="189">
                  <c:v>78</c:v>
                </c:pt>
                <c:pt idx="190">
                  <c:v>70</c:v>
                </c:pt>
                <c:pt idx="191">
                  <c:v>68</c:v>
                </c:pt>
                <c:pt idx="192">
                  <c:v>84</c:v>
                </c:pt>
                <c:pt idx="193">
                  <c:v>77</c:v>
                </c:pt>
                <c:pt idx="194">
                  <c:v>89</c:v>
                </c:pt>
                <c:pt idx="195">
                  <c:v>72</c:v>
                </c:pt>
                <c:pt idx="196">
                  <c:v>82</c:v>
                </c:pt>
                <c:pt idx="197">
                  <c:v>82</c:v>
                </c:pt>
                <c:pt idx="198">
                  <c:v>78</c:v>
                </c:pt>
                <c:pt idx="199">
                  <c:v>75</c:v>
                </c:pt>
                <c:pt idx="200">
                  <c:v>83</c:v>
                </c:pt>
                <c:pt idx="201">
                  <c:v>75</c:v>
                </c:pt>
                <c:pt idx="202">
                  <c:v>82</c:v>
                </c:pt>
                <c:pt idx="203">
                  <c:v>88</c:v>
                </c:pt>
                <c:pt idx="204">
                  <c:v>87</c:v>
                </c:pt>
                <c:pt idx="205">
                  <c:v>84</c:v>
                </c:pt>
                <c:pt idx="206">
                  <c:v>80</c:v>
                </c:pt>
                <c:pt idx="207">
                  <c:v>82</c:v>
                </c:pt>
                <c:pt idx="208">
                  <c:v>69</c:v>
                </c:pt>
                <c:pt idx="209">
                  <c:v>72</c:v>
                </c:pt>
                <c:pt idx="210">
                  <c:v>74</c:v>
                </c:pt>
                <c:pt idx="211">
                  <c:v>85</c:v>
                </c:pt>
                <c:pt idx="212">
                  <c:v>80</c:v>
                </c:pt>
                <c:pt idx="213">
                  <c:v>79</c:v>
                </c:pt>
                <c:pt idx="214">
                  <c:v>81</c:v>
                </c:pt>
                <c:pt idx="215">
                  <c:v>83</c:v>
                </c:pt>
                <c:pt idx="216">
                  <c:v>81</c:v>
                </c:pt>
                <c:pt idx="217">
                  <c:v>69</c:v>
                </c:pt>
                <c:pt idx="218">
                  <c:v>79</c:v>
                </c:pt>
                <c:pt idx="219">
                  <c:v>71</c:v>
                </c:pt>
                <c:pt idx="220">
                  <c:v>72</c:v>
                </c:pt>
                <c:pt idx="221">
                  <c:v>69</c:v>
                </c:pt>
                <c:pt idx="222">
                  <c:v>72</c:v>
                </c:pt>
                <c:pt idx="223">
                  <c:v>79</c:v>
                </c:pt>
                <c:pt idx="224">
                  <c:v>76</c:v>
                </c:pt>
                <c:pt idx="225">
                  <c:v>71</c:v>
                </c:pt>
              </c:numCache>
            </c:numRef>
          </c:xVal>
          <c:yVal>
            <c:numRef>
              <c:f>Residuals!$CT$2:$CT$227</c:f>
              <c:numCache>
                <c:formatCode>0.00</c:formatCode>
                <c:ptCount val="226"/>
                <c:pt idx="0">
                  <c:v>3.0901118244685932</c:v>
                </c:pt>
                <c:pt idx="1">
                  <c:v>2.5218400436388251</c:v>
                </c:pt>
                <c:pt idx="2">
                  <c:v>2.3170247011495206</c:v>
                </c:pt>
                <c:pt idx="3">
                  <c:v>2.7437233313355733</c:v>
                </c:pt>
                <c:pt idx="4">
                  <c:v>1.9535682628090569</c:v>
                </c:pt>
                <c:pt idx="5">
                  <c:v>2.6583836052983614</c:v>
                </c:pt>
                <c:pt idx="6">
                  <c:v>2.0218400436388251</c:v>
                </c:pt>
                <c:pt idx="7">
                  <c:v>2.0218400436388251</c:v>
                </c:pt>
                <c:pt idx="8">
                  <c:v>2.5218400436388251</c:v>
                </c:pt>
                <c:pt idx="9">
                  <c:v>2.5047720984313813</c:v>
                </c:pt>
                <c:pt idx="10">
                  <c:v>1.9877041532239446</c:v>
                </c:pt>
                <c:pt idx="11">
                  <c:v>1.4023644271867326</c:v>
                </c:pt>
                <c:pt idx="12">
                  <c:v>1.9706362080165007</c:v>
                </c:pt>
                <c:pt idx="13">
                  <c:v>1.2316849751123087</c:v>
                </c:pt>
                <c:pt idx="14">
                  <c:v>1.4023644271867326</c:v>
                </c:pt>
                <c:pt idx="15">
                  <c:v>1.4194323723941764</c:v>
                </c:pt>
                <c:pt idx="16">
                  <c:v>1.4365003176016131</c:v>
                </c:pt>
                <c:pt idx="17">
                  <c:v>1.3340926463569645</c:v>
                </c:pt>
                <c:pt idx="18">
                  <c:v>1.4535682628090569</c:v>
                </c:pt>
                <c:pt idx="19">
                  <c:v>1.4706362080165007</c:v>
                </c:pt>
                <c:pt idx="20">
                  <c:v>1.607179769676037</c:v>
                </c:pt>
                <c:pt idx="21">
                  <c:v>0.98770415322394456</c:v>
                </c:pt>
                <c:pt idx="22">
                  <c:v>1.0047720984313813</c:v>
                </c:pt>
                <c:pt idx="23">
                  <c:v>0.55597593405371271</c:v>
                </c:pt>
                <c:pt idx="24">
                  <c:v>0.97063620801650075</c:v>
                </c:pt>
                <c:pt idx="25">
                  <c:v>0.41943237239417641</c:v>
                </c:pt>
                <c:pt idx="26">
                  <c:v>1.3852964819792888</c:v>
                </c:pt>
                <c:pt idx="27">
                  <c:v>0.48770415322394456</c:v>
                </c:pt>
                <c:pt idx="28">
                  <c:v>0.48770415322394456</c:v>
                </c:pt>
                <c:pt idx="29">
                  <c:v>0.45356826280905693</c:v>
                </c:pt>
                <c:pt idx="30">
                  <c:v>0.41943237239417641</c:v>
                </c:pt>
                <c:pt idx="31">
                  <c:v>0.55597593405371271</c:v>
                </c:pt>
                <c:pt idx="32">
                  <c:v>3.8907988846268893E-2</c:v>
                </c:pt>
                <c:pt idx="33">
                  <c:v>3.8907988846268893E-2</c:v>
                </c:pt>
                <c:pt idx="34">
                  <c:v>-2.9363791983499254E-2</c:v>
                </c:pt>
                <c:pt idx="35">
                  <c:v>-0.11470351802071121</c:v>
                </c:pt>
                <c:pt idx="36">
                  <c:v>9.0111824468593227E-2</c:v>
                </c:pt>
                <c:pt idx="37">
                  <c:v>-6.3499682398386881E-2</c:v>
                </c:pt>
                <c:pt idx="38">
                  <c:v>0.65838360529836137</c:v>
                </c:pt>
                <c:pt idx="39">
                  <c:v>0.65838360529836137</c:v>
                </c:pt>
                <c:pt idx="40">
                  <c:v>-0.17093694262721471</c:v>
                </c:pt>
                <c:pt idx="41">
                  <c:v>0.26079127654301715</c:v>
                </c:pt>
                <c:pt idx="42">
                  <c:v>0.22665538612812952</c:v>
                </c:pt>
                <c:pt idx="43">
                  <c:v>0.31199511216534148</c:v>
                </c:pt>
                <c:pt idx="44">
                  <c:v>0.22665538612812952</c:v>
                </c:pt>
                <c:pt idx="45">
                  <c:v>0.53890798884626889</c:v>
                </c:pt>
                <c:pt idx="46">
                  <c:v>0.52184004363882508</c:v>
                </c:pt>
                <c:pt idx="47">
                  <c:v>0.26079127654301715</c:v>
                </c:pt>
                <c:pt idx="48">
                  <c:v>0.29492716695789767</c:v>
                </c:pt>
                <c:pt idx="49">
                  <c:v>0.20958744092068571</c:v>
                </c:pt>
                <c:pt idx="50">
                  <c:v>7.3043879261149414E-2</c:v>
                </c:pt>
                <c:pt idx="51">
                  <c:v>0.12424771488348085</c:v>
                </c:pt>
                <c:pt idx="52">
                  <c:v>0.15838360529836137</c:v>
                </c:pt>
                <c:pt idx="53">
                  <c:v>0.12424771488348085</c:v>
                </c:pt>
                <c:pt idx="54">
                  <c:v>-0.35868433990908244</c:v>
                </c:pt>
                <c:pt idx="55">
                  <c:v>-0.49522790156861873</c:v>
                </c:pt>
                <c:pt idx="56">
                  <c:v>-0.54643173719094307</c:v>
                </c:pt>
                <c:pt idx="57">
                  <c:v>-0.46109201115373111</c:v>
                </c:pt>
                <c:pt idx="58">
                  <c:v>-0.42695612073885059</c:v>
                </c:pt>
                <c:pt idx="59">
                  <c:v>-1.0122958467760554</c:v>
                </c:pt>
                <c:pt idx="60">
                  <c:v>-0.99522790156861873</c:v>
                </c:pt>
                <c:pt idx="61">
                  <c:v>-0.90988817553140677</c:v>
                </c:pt>
                <c:pt idx="62">
                  <c:v>-1.0805676276058236</c:v>
                </c:pt>
                <c:pt idx="63">
                  <c:v>-1.4610920111537311</c:v>
                </c:pt>
                <c:pt idx="64">
                  <c:v>-1.4610920111537311</c:v>
                </c:pt>
                <c:pt idx="65">
                  <c:v>-0.82454844949419481</c:v>
                </c:pt>
                <c:pt idx="66">
                  <c:v>-0.94402406594628729</c:v>
                </c:pt>
                <c:pt idx="67">
                  <c:v>-0.85868433990908244</c:v>
                </c:pt>
                <c:pt idx="68">
                  <c:v>-0.44402406594628729</c:v>
                </c:pt>
                <c:pt idx="69">
                  <c:v>-1.0293637919834993</c:v>
                </c:pt>
                <c:pt idx="70">
                  <c:v>-0.97815995636117492</c:v>
                </c:pt>
                <c:pt idx="71">
                  <c:v>-1.4610920111537311</c:v>
                </c:pt>
                <c:pt idx="72">
                  <c:v>-1.4610920111537311</c:v>
                </c:pt>
                <c:pt idx="73">
                  <c:v>-1.4440240659462873</c:v>
                </c:pt>
                <c:pt idx="74">
                  <c:v>-0.34161639470163863</c:v>
                </c:pt>
                <c:pt idx="75">
                  <c:v>-0.99522790156861873</c:v>
                </c:pt>
                <c:pt idx="76">
                  <c:v>-1.4781599563611749</c:v>
                </c:pt>
                <c:pt idx="77">
                  <c:v>-0.97815995636117492</c:v>
                </c:pt>
                <c:pt idx="78">
                  <c:v>-1.0122958467760554</c:v>
                </c:pt>
                <c:pt idx="79">
                  <c:v>-0.96109201115373111</c:v>
                </c:pt>
                <c:pt idx="80">
                  <c:v>-0.99522790156861873</c:v>
                </c:pt>
                <c:pt idx="81">
                  <c:v>-1.3757522851165191</c:v>
                </c:pt>
                <c:pt idx="82">
                  <c:v>-0.85868433990908244</c:v>
                </c:pt>
                <c:pt idx="83">
                  <c:v>-0.96109201115373111</c:v>
                </c:pt>
                <c:pt idx="84">
                  <c:v>-0.94402406594628729</c:v>
                </c:pt>
                <c:pt idx="85">
                  <c:v>-0.96109201115373111</c:v>
                </c:pt>
                <c:pt idx="86">
                  <c:v>-0.94402406594628729</c:v>
                </c:pt>
                <c:pt idx="87">
                  <c:v>-1.0293637919834993</c:v>
                </c:pt>
                <c:pt idx="88">
                  <c:v>-1.0122958467760554</c:v>
                </c:pt>
                <c:pt idx="89">
                  <c:v>-0.49522790156861873</c:v>
                </c:pt>
                <c:pt idx="90">
                  <c:v>-0.92695612073885059</c:v>
                </c:pt>
                <c:pt idx="91">
                  <c:v>-0.89282023032396296</c:v>
                </c:pt>
                <c:pt idx="92">
                  <c:v>-0.37575228511651915</c:v>
                </c:pt>
                <c:pt idx="93">
                  <c:v>-0.13177146322815503</c:v>
                </c:pt>
                <c:pt idx="94">
                  <c:v>4.7720984313812664E-3</c:v>
                </c:pt>
                <c:pt idx="95">
                  <c:v>-0.40988817553140677</c:v>
                </c:pt>
                <c:pt idx="96">
                  <c:v>-0.51229584677605544</c:v>
                </c:pt>
                <c:pt idx="97">
                  <c:v>-0.44402406594628729</c:v>
                </c:pt>
                <c:pt idx="98">
                  <c:v>-0.82454844949419481</c:v>
                </c:pt>
                <c:pt idx="99">
                  <c:v>-1.5293637919834993</c:v>
                </c:pt>
                <c:pt idx="100">
                  <c:v>-0.96109201115373111</c:v>
                </c:pt>
                <c:pt idx="101">
                  <c:v>-1.4440240659462873</c:v>
                </c:pt>
                <c:pt idx="102">
                  <c:v>0.10215018069185788</c:v>
                </c:pt>
                <c:pt idx="103">
                  <c:v>-1.2295846776055441E-2</c:v>
                </c:pt>
                <c:pt idx="104">
                  <c:v>3.8907988846268893E-2</c:v>
                </c:pt>
                <c:pt idx="105">
                  <c:v>7.3043879261149414E-2</c:v>
                </c:pt>
                <c:pt idx="106">
                  <c:v>-0.49522790156861873</c:v>
                </c:pt>
                <c:pt idx="107">
                  <c:v>-0.35868433990908244</c:v>
                </c:pt>
                <c:pt idx="108">
                  <c:v>-0.94402406594628729</c:v>
                </c:pt>
                <c:pt idx="109">
                  <c:v>-0.77334461387187048</c:v>
                </c:pt>
                <c:pt idx="110">
                  <c:v>-1.0976355728132674</c:v>
                </c:pt>
                <c:pt idx="111">
                  <c:v>3.3878399862089736E-2</c:v>
                </c:pt>
                <c:pt idx="112">
                  <c:v>-0.99522790156861873</c:v>
                </c:pt>
                <c:pt idx="113">
                  <c:v>-0.96109201115373111</c:v>
                </c:pt>
                <c:pt idx="114">
                  <c:v>-0.97815995636117492</c:v>
                </c:pt>
                <c:pt idx="115">
                  <c:v>-1.0293637919834993</c:v>
                </c:pt>
                <c:pt idx="116">
                  <c:v>-0.89282023032396296</c:v>
                </c:pt>
                <c:pt idx="117">
                  <c:v>-1.5122958467760554</c:v>
                </c:pt>
                <c:pt idx="118">
                  <c:v>-1.2392087234569829</c:v>
                </c:pt>
                <c:pt idx="119">
                  <c:v>-1.6488394084355917</c:v>
                </c:pt>
                <c:pt idx="120">
                  <c:v>-1.5464317371909431</c:v>
                </c:pt>
                <c:pt idx="121">
                  <c:v>-0.94402406594628729</c:v>
                </c:pt>
                <c:pt idx="122">
                  <c:v>-0.96109201115373111</c:v>
                </c:pt>
                <c:pt idx="123">
                  <c:v>-1.0122958467760554</c:v>
                </c:pt>
                <c:pt idx="124">
                  <c:v>-0.92695612073885059</c:v>
                </c:pt>
                <c:pt idx="125">
                  <c:v>-0.90988817553140677</c:v>
                </c:pt>
                <c:pt idx="126">
                  <c:v>-0.92695612073885059</c:v>
                </c:pt>
                <c:pt idx="127">
                  <c:v>-0.99522790156861873</c:v>
                </c:pt>
                <c:pt idx="128">
                  <c:v>-0.99522790156861873</c:v>
                </c:pt>
                <c:pt idx="129">
                  <c:v>-0.44402406594628729</c:v>
                </c:pt>
                <c:pt idx="130">
                  <c:v>-0.44402406594628729</c:v>
                </c:pt>
                <c:pt idx="131">
                  <c:v>-0.47815995636117492</c:v>
                </c:pt>
                <c:pt idx="132">
                  <c:v>-0.49522790156861873</c:v>
                </c:pt>
                <c:pt idx="133">
                  <c:v>-0.40988817553140677</c:v>
                </c:pt>
                <c:pt idx="134">
                  <c:v>4.7720984313812664E-3</c:v>
                </c:pt>
                <c:pt idx="135">
                  <c:v>7.3043879261149414E-2</c:v>
                </c:pt>
                <c:pt idx="136">
                  <c:v>0.17545155050580519</c:v>
                </c:pt>
                <c:pt idx="137">
                  <c:v>0.15838360529836137</c:v>
                </c:pt>
                <c:pt idx="138">
                  <c:v>0.14131566009091756</c:v>
                </c:pt>
                <c:pt idx="139">
                  <c:v>-0.47815995636117492</c:v>
                </c:pt>
                <c:pt idx="140">
                  <c:v>-0.307480504286751</c:v>
                </c:pt>
                <c:pt idx="141">
                  <c:v>-0.307480504286751</c:v>
                </c:pt>
                <c:pt idx="142">
                  <c:v>-0.20507283304210233</c:v>
                </c:pt>
                <c:pt idx="143">
                  <c:v>-0.61470351802071121</c:v>
                </c:pt>
                <c:pt idx="144">
                  <c:v>-0.47815995636117492</c:v>
                </c:pt>
                <c:pt idx="145">
                  <c:v>-0.52936379198349925</c:v>
                </c:pt>
                <c:pt idx="146">
                  <c:v>-0.47815995636117492</c:v>
                </c:pt>
                <c:pt idx="147">
                  <c:v>-0.44402406594628729</c:v>
                </c:pt>
                <c:pt idx="148">
                  <c:v>-0.29041255907931429</c:v>
                </c:pt>
                <c:pt idx="149">
                  <c:v>-0.35868433990908244</c:v>
                </c:pt>
                <c:pt idx="150">
                  <c:v>-0.39282023032396296</c:v>
                </c:pt>
                <c:pt idx="151">
                  <c:v>-0.44402406594628729</c:v>
                </c:pt>
                <c:pt idx="152">
                  <c:v>-0.40988817553140677</c:v>
                </c:pt>
                <c:pt idx="153">
                  <c:v>-0.44402406594628729</c:v>
                </c:pt>
                <c:pt idx="154">
                  <c:v>-0.5976355728132674</c:v>
                </c:pt>
                <c:pt idx="155">
                  <c:v>-0.5976355728132674</c:v>
                </c:pt>
                <c:pt idx="156">
                  <c:v>-0.61470351802071121</c:v>
                </c:pt>
                <c:pt idx="157">
                  <c:v>-0.11470351802071121</c:v>
                </c:pt>
                <c:pt idx="158">
                  <c:v>-8.0567627605823589E-2</c:v>
                </c:pt>
                <c:pt idx="159">
                  <c:v>2.184004363882508E-2</c:v>
                </c:pt>
                <c:pt idx="160">
                  <c:v>-8.0567627605823589E-2</c:v>
                </c:pt>
                <c:pt idx="161">
                  <c:v>-2.9363791983499254E-2</c:v>
                </c:pt>
                <c:pt idx="162">
                  <c:v>5.5975934053712706E-2</c:v>
                </c:pt>
                <c:pt idx="163">
                  <c:v>3.8907988846268893E-2</c:v>
                </c:pt>
                <c:pt idx="164">
                  <c:v>2.184004363882508E-2</c:v>
                </c:pt>
                <c:pt idx="165">
                  <c:v>0.36822853677184497</c:v>
                </c:pt>
                <c:pt idx="166">
                  <c:v>0.60717976967603704</c:v>
                </c:pt>
                <c:pt idx="167">
                  <c:v>4.7720984313812664E-3</c:v>
                </c:pt>
                <c:pt idx="168">
                  <c:v>9.0111824468593227E-2</c:v>
                </c:pt>
                <c:pt idx="169">
                  <c:v>-1.2295846776055441E-2</c:v>
                </c:pt>
                <c:pt idx="170">
                  <c:v>9.0111824468593227E-2</c:v>
                </c:pt>
                <c:pt idx="171">
                  <c:v>-4.6431737190943068E-2</c:v>
                </c:pt>
                <c:pt idx="172">
                  <c:v>7.3043879261149414E-2</c:v>
                </c:pt>
                <c:pt idx="173">
                  <c:v>4.7720984313812664E-3</c:v>
                </c:pt>
                <c:pt idx="174">
                  <c:v>0.192519495713249</c:v>
                </c:pt>
                <c:pt idx="175">
                  <c:v>-8.0567627605823589E-2</c:v>
                </c:pt>
                <c:pt idx="176">
                  <c:v>-0.63177146322815503</c:v>
                </c:pt>
                <c:pt idx="177">
                  <c:v>-0.47815995636117492</c:v>
                </c:pt>
                <c:pt idx="178">
                  <c:v>-0.47815995636117492</c:v>
                </c:pt>
                <c:pt idx="179">
                  <c:v>0.15838360529836137</c:v>
                </c:pt>
                <c:pt idx="180">
                  <c:v>-1.2295846776055441E-2</c:v>
                </c:pt>
                <c:pt idx="181">
                  <c:v>0.45356826280905693</c:v>
                </c:pt>
                <c:pt idx="182">
                  <c:v>0.35116059156440826</c:v>
                </c:pt>
                <c:pt idx="183">
                  <c:v>0.48770415322394456</c:v>
                </c:pt>
                <c:pt idx="184">
                  <c:v>0.43650031760161312</c:v>
                </c:pt>
                <c:pt idx="185">
                  <c:v>7.3043879261149414E-2</c:v>
                </c:pt>
                <c:pt idx="186">
                  <c:v>-2.9363791983499254E-2</c:v>
                </c:pt>
                <c:pt idx="187">
                  <c:v>-1.2295846776055441E-2</c:v>
                </c:pt>
                <c:pt idx="188">
                  <c:v>-0.18297529885047936</c:v>
                </c:pt>
                <c:pt idx="189">
                  <c:v>7.3043879261149414E-2</c:v>
                </c:pt>
                <c:pt idx="190">
                  <c:v>0.43650031760161312</c:v>
                </c:pt>
                <c:pt idx="191">
                  <c:v>0.4023644271867326</c:v>
                </c:pt>
                <c:pt idx="192">
                  <c:v>0.17545155050580519</c:v>
                </c:pt>
                <c:pt idx="193">
                  <c:v>5.5975934053712706E-2</c:v>
                </c:pt>
                <c:pt idx="194">
                  <c:v>0.26079127654301715</c:v>
                </c:pt>
                <c:pt idx="195">
                  <c:v>-2.9363791983499254E-2</c:v>
                </c:pt>
                <c:pt idx="196">
                  <c:v>0.14131566009091756</c:v>
                </c:pt>
                <c:pt idx="197">
                  <c:v>0.14131566009091756</c:v>
                </c:pt>
                <c:pt idx="198">
                  <c:v>0.57304387926114941</c:v>
                </c:pt>
                <c:pt idx="199">
                  <c:v>0.52184004363882508</c:v>
                </c:pt>
                <c:pt idx="200">
                  <c:v>0.65838360529836137</c:v>
                </c:pt>
                <c:pt idx="201">
                  <c:v>0.52184004363882508</c:v>
                </c:pt>
                <c:pt idx="202">
                  <c:v>0.64131566009091756</c:v>
                </c:pt>
                <c:pt idx="203">
                  <c:v>1.2437233313355733</c:v>
                </c:pt>
                <c:pt idx="204">
                  <c:v>0.72665538612812952</c:v>
                </c:pt>
                <c:pt idx="205">
                  <c:v>1.1754515505058052</c:v>
                </c:pt>
                <c:pt idx="206">
                  <c:v>1.607179769676037</c:v>
                </c:pt>
                <c:pt idx="207">
                  <c:v>1.1413156600909176</c:v>
                </c:pt>
                <c:pt idx="208">
                  <c:v>0.41943237239417641</c:v>
                </c:pt>
                <c:pt idx="209">
                  <c:v>0.97063620801650075</c:v>
                </c:pt>
                <c:pt idx="210">
                  <c:v>0.50477209843138127</c:v>
                </c:pt>
                <c:pt idx="211">
                  <c:v>1.192519495713249</c:v>
                </c:pt>
                <c:pt idx="212">
                  <c:v>1.107179769676037</c:v>
                </c:pt>
                <c:pt idx="213">
                  <c:v>0.59011182446859323</c:v>
                </c:pt>
                <c:pt idx="214">
                  <c:v>0.12424771488348085</c:v>
                </c:pt>
                <c:pt idx="215">
                  <c:v>0.15838360529836137</c:v>
                </c:pt>
                <c:pt idx="216">
                  <c:v>0.62424771488348085</c:v>
                </c:pt>
                <c:pt idx="217">
                  <c:v>-8.0567627605823589E-2</c:v>
                </c:pt>
                <c:pt idx="218">
                  <c:v>9.0111824468593227E-2</c:v>
                </c:pt>
                <c:pt idx="219">
                  <c:v>0.45356826280905693</c:v>
                </c:pt>
                <c:pt idx="220">
                  <c:v>0.47063620801650075</c:v>
                </c:pt>
                <c:pt idx="221">
                  <c:v>-8.0567627605823589E-2</c:v>
                </c:pt>
                <c:pt idx="222">
                  <c:v>0.97063620801650075</c:v>
                </c:pt>
                <c:pt idx="223">
                  <c:v>0.59011182446859323</c:v>
                </c:pt>
                <c:pt idx="224">
                  <c:v>0.53890798884626889</c:v>
                </c:pt>
                <c:pt idx="225">
                  <c:v>0.45356826280905693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E-492E-8A02-2FD99689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191"/>
        <c:axId val="2117219631"/>
      </c:scatterChart>
      <c:valAx>
        <c:axId val="2117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631"/>
        <c:crosses val="autoZero"/>
        <c:crossBetween val="midCat"/>
      </c:valAx>
      <c:valAx>
        <c:axId val="2117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Log'!$L$2:$L$227</c:f>
              <c:numCache>
                <c:formatCode>0.00</c:formatCode>
                <c:ptCount val="226"/>
                <c:pt idx="0">
                  <c:v>73</c:v>
                </c:pt>
                <c:pt idx="1">
                  <c:v>82</c:v>
                </c:pt>
                <c:pt idx="2">
                  <c:v>70</c:v>
                </c:pt>
                <c:pt idx="3">
                  <c:v>86</c:v>
                </c:pt>
                <c:pt idx="4">
                  <c:v>81</c:v>
                </c:pt>
                <c:pt idx="5">
                  <c:v>73</c:v>
                </c:pt>
                <c:pt idx="6">
                  <c:v>89</c:v>
                </c:pt>
                <c:pt idx="7">
                  <c:v>89</c:v>
                </c:pt>
                <c:pt idx="8">
                  <c:v>66</c:v>
                </c:pt>
                <c:pt idx="9">
                  <c:v>68</c:v>
                </c:pt>
                <c:pt idx="10">
                  <c:v>65</c:v>
                </c:pt>
                <c:pt idx="11">
                  <c:v>74</c:v>
                </c:pt>
                <c:pt idx="12">
                  <c:v>78</c:v>
                </c:pt>
                <c:pt idx="13">
                  <c:v>60</c:v>
                </c:pt>
                <c:pt idx="14">
                  <c:v>66</c:v>
                </c:pt>
                <c:pt idx="15">
                  <c:v>71</c:v>
                </c:pt>
                <c:pt idx="16">
                  <c:v>58</c:v>
                </c:pt>
                <c:pt idx="17">
                  <c:v>63</c:v>
                </c:pt>
                <c:pt idx="18">
                  <c:v>74</c:v>
                </c:pt>
                <c:pt idx="19">
                  <c:v>73</c:v>
                </c:pt>
                <c:pt idx="20">
                  <c:v>59</c:v>
                </c:pt>
                <c:pt idx="21">
                  <c:v>70</c:v>
                </c:pt>
                <c:pt idx="22">
                  <c:v>73</c:v>
                </c:pt>
                <c:pt idx="23">
                  <c:v>73</c:v>
                </c:pt>
                <c:pt idx="24">
                  <c:v>69</c:v>
                </c:pt>
                <c:pt idx="25">
                  <c:v>59</c:v>
                </c:pt>
                <c:pt idx="26">
                  <c:v>73</c:v>
                </c:pt>
                <c:pt idx="27">
                  <c:v>61</c:v>
                </c:pt>
                <c:pt idx="28">
                  <c:v>62</c:v>
                </c:pt>
                <c:pt idx="29">
                  <c:v>71</c:v>
                </c:pt>
                <c:pt idx="30">
                  <c:v>69</c:v>
                </c:pt>
                <c:pt idx="31">
                  <c:v>69</c:v>
                </c:pt>
                <c:pt idx="32">
                  <c:v>71</c:v>
                </c:pt>
                <c:pt idx="33">
                  <c:v>53</c:v>
                </c:pt>
                <c:pt idx="34">
                  <c:v>65</c:v>
                </c:pt>
                <c:pt idx="35">
                  <c:v>70</c:v>
                </c:pt>
                <c:pt idx="36">
                  <c:v>87</c:v>
                </c:pt>
                <c:pt idx="37">
                  <c:v>97</c:v>
                </c:pt>
                <c:pt idx="38">
                  <c:v>71</c:v>
                </c:pt>
                <c:pt idx="39">
                  <c:v>82</c:v>
                </c:pt>
                <c:pt idx="40">
                  <c:v>96</c:v>
                </c:pt>
                <c:pt idx="41">
                  <c:v>81</c:v>
                </c:pt>
                <c:pt idx="42">
                  <c:v>74</c:v>
                </c:pt>
                <c:pt idx="43">
                  <c:v>82</c:v>
                </c:pt>
                <c:pt idx="44">
                  <c:v>81</c:v>
                </c:pt>
                <c:pt idx="45">
                  <c:v>86</c:v>
                </c:pt>
                <c:pt idx="46">
                  <c:v>77</c:v>
                </c:pt>
                <c:pt idx="47">
                  <c:v>67</c:v>
                </c:pt>
                <c:pt idx="48">
                  <c:v>76</c:v>
                </c:pt>
                <c:pt idx="49">
                  <c:v>70</c:v>
                </c:pt>
                <c:pt idx="50">
                  <c:v>77</c:v>
                </c:pt>
                <c:pt idx="51">
                  <c:v>63</c:v>
                </c:pt>
                <c:pt idx="52">
                  <c:v>65</c:v>
                </c:pt>
                <c:pt idx="53">
                  <c:v>63</c:v>
                </c:pt>
                <c:pt idx="54">
                  <c:v>54</c:v>
                </c:pt>
                <c:pt idx="55">
                  <c:v>80</c:v>
                </c:pt>
                <c:pt idx="56">
                  <c:v>70</c:v>
                </c:pt>
                <c:pt idx="57">
                  <c:v>60</c:v>
                </c:pt>
                <c:pt idx="58">
                  <c:v>65</c:v>
                </c:pt>
                <c:pt idx="59">
                  <c:v>66</c:v>
                </c:pt>
                <c:pt idx="60">
                  <c:v>73</c:v>
                </c:pt>
                <c:pt idx="61">
                  <c:v>71</c:v>
                </c:pt>
                <c:pt idx="62">
                  <c:v>75</c:v>
                </c:pt>
                <c:pt idx="63">
                  <c:v>70</c:v>
                </c:pt>
                <c:pt idx="64">
                  <c:v>99</c:v>
                </c:pt>
                <c:pt idx="65">
                  <c:v>73</c:v>
                </c:pt>
                <c:pt idx="66">
                  <c:v>70</c:v>
                </c:pt>
                <c:pt idx="67">
                  <c:v>70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94</c:v>
                </c:pt>
                <c:pt idx="72">
                  <c:v>72</c:v>
                </c:pt>
                <c:pt idx="73">
                  <c:v>73</c:v>
                </c:pt>
                <c:pt idx="74">
                  <c:v>66</c:v>
                </c:pt>
                <c:pt idx="75">
                  <c:v>67</c:v>
                </c:pt>
                <c:pt idx="76">
                  <c:v>67</c:v>
                </c:pt>
                <c:pt idx="77">
                  <c:v>69</c:v>
                </c:pt>
                <c:pt idx="78">
                  <c:v>62</c:v>
                </c:pt>
                <c:pt idx="79">
                  <c:v>72</c:v>
                </c:pt>
                <c:pt idx="80">
                  <c:v>70</c:v>
                </c:pt>
                <c:pt idx="81">
                  <c:v>78</c:v>
                </c:pt>
                <c:pt idx="82">
                  <c:v>69</c:v>
                </c:pt>
                <c:pt idx="83">
                  <c:v>72</c:v>
                </c:pt>
                <c:pt idx="84">
                  <c:v>73</c:v>
                </c:pt>
                <c:pt idx="85">
                  <c:v>72</c:v>
                </c:pt>
                <c:pt idx="86">
                  <c:v>73</c:v>
                </c:pt>
                <c:pt idx="87">
                  <c:v>69</c:v>
                </c:pt>
                <c:pt idx="88">
                  <c:v>63</c:v>
                </c:pt>
                <c:pt idx="89">
                  <c:v>77</c:v>
                </c:pt>
                <c:pt idx="90">
                  <c:v>72</c:v>
                </c:pt>
                <c:pt idx="91">
                  <c:v>77</c:v>
                </c:pt>
                <c:pt idx="92">
                  <c:v>82</c:v>
                </c:pt>
                <c:pt idx="93">
                  <c:v>67</c:v>
                </c:pt>
                <c:pt idx="94">
                  <c:v>62</c:v>
                </c:pt>
                <c:pt idx="95">
                  <c:v>66</c:v>
                </c:pt>
                <c:pt idx="96">
                  <c:v>61</c:v>
                </c:pt>
                <c:pt idx="97">
                  <c:v>62</c:v>
                </c:pt>
                <c:pt idx="98">
                  <c:v>66</c:v>
                </c:pt>
                <c:pt idx="99">
                  <c:v>73</c:v>
                </c:pt>
                <c:pt idx="100">
                  <c:v>71</c:v>
                </c:pt>
                <c:pt idx="101">
                  <c:v>72</c:v>
                </c:pt>
                <c:pt idx="102">
                  <c:v>76</c:v>
                </c:pt>
                <c:pt idx="103">
                  <c:v>79</c:v>
                </c:pt>
                <c:pt idx="104">
                  <c:v>72</c:v>
                </c:pt>
                <c:pt idx="105">
                  <c:v>74</c:v>
                </c:pt>
                <c:pt idx="106">
                  <c:v>59</c:v>
                </c:pt>
                <c:pt idx="107">
                  <c:v>67</c:v>
                </c:pt>
                <c:pt idx="108">
                  <c:v>68</c:v>
                </c:pt>
                <c:pt idx="109">
                  <c:v>88</c:v>
                </c:pt>
                <c:pt idx="110">
                  <c:v>74</c:v>
                </c:pt>
                <c:pt idx="111">
                  <c:v>70</c:v>
                </c:pt>
                <c:pt idx="112">
                  <c:v>59</c:v>
                </c:pt>
                <c:pt idx="113">
                  <c:v>55</c:v>
                </c:pt>
                <c:pt idx="114">
                  <c:v>58</c:v>
                </c:pt>
                <c:pt idx="115">
                  <c:v>53</c:v>
                </c:pt>
                <c:pt idx="116">
                  <c:v>64</c:v>
                </c:pt>
                <c:pt idx="117">
                  <c:v>65</c:v>
                </c:pt>
                <c:pt idx="118">
                  <c:v>89</c:v>
                </c:pt>
                <c:pt idx="119">
                  <c:v>64</c:v>
                </c:pt>
                <c:pt idx="120">
                  <c:v>88</c:v>
                </c:pt>
                <c:pt idx="121">
                  <c:v>71</c:v>
                </c:pt>
                <c:pt idx="122">
                  <c:v>71</c:v>
                </c:pt>
                <c:pt idx="123">
                  <c:v>63</c:v>
                </c:pt>
                <c:pt idx="124">
                  <c:v>94</c:v>
                </c:pt>
                <c:pt idx="125">
                  <c:v>94</c:v>
                </c:pt>
                <c:pt idx="126">
                  <c:v>87</c:v>
                </c:pt>
                <c:pt idx="127">
                  <c:v>88</c:v>
                </c:pt>
                <c:pt idx="128">
                  <c:v>72</c:v>
                </c:pt>
                <c:pt idx="129">
                  <c:v>76</c:v>
                </c:pt>
                <c:pt idx="130">
                  <c:v>77</c:v>
                </c:pt>
                <c:pt idx="131">
                  <c:v>73</c:v>
                </c:pt>
                <c:pt idx="132">
                  <c:v>80</c:v>
                </c:pt>
                <c:pt idx="133">
                  <c:v>77</c:v>
                </c:pt>
                <c:pt idx="134">
                  <c:v>77</c:v>
                </c:pt>
                <c:pt idx="135">
                  <c:v>85</c:v>
                </c:pt>
                <c:pt idx="136">
                  <c:v>80</c:v>
                </c:pt>
                <c:pt idx="137">
                  <c:v>81</c:v>
                </c:pt>
                <c:pt idx="138">
                  <c:v>83</c:v>
                </c:pt>
                <c:pt idx="139">
                  <c:v>88</c:v>
                </c:pt>
                <c:pt idx="140">
                  <c:v>78</c:v>
                </c:pt>
                <c:pt idx="141">
                  <c:v>74</c:v>
                </c:pt>
                <c:pt idx="142">
                  <c:v>81</c:v>
                </c:pt>
                <c:pt idx="143">
                  <c:v>64</c:v>
                </c:pt>
                <c:pt idx="144">
                  <c:v>66</c:v>
                </c:pt>
                <c:pt idx="145">
                  <c:v>89</c:v>
                </c:pt>
                <c:pt idx="146">
                  <c:v>90</c:v>
                </c:pt>
                <c:pt idx="147">
                  <c:v>91</c:v>
                </c:pt>
                <c:pt idx="148">
                  <c:v>91</c:v>
                </c:pt>
                <c:pt idx="149">
                  <c:v>89</c:v>
                </c:pt>
                <c:pt idx="150">
                  <c:v>90</c:v>
                </c:pt>
                <c:pt idx="151">
                  <c:v>87</c:v>
                </c:pt>
                <c:pt idx="152">
                  <c:v>90</c:v>
                </c:pt>
                <c:pt idx="153">
                  <c:v>86</c:v>
                </c:pt>
                <c:pt idx="154">
                  <c:v>66</c:v>
                </c:pt>
                <c:pt idx="155">
                  <c:v>66</c:v>
                </c:pt>
                <c:pt idx="156">
                  <c:v>67</c:v>
                </c:pt>
                <c:pt idx="157">
                  <c:v>65</c:v>
                </c:pt>
                <c:pt idx="158">
                  <c:v>67</c:v>
                </c:pt>
                <c:pt idx="159">
                  <c:v>72</c:v>
                </c:pt>
                <c:pt idx="160">
                  <c:v>71</c:v>
                </c:pt>
                <c:pt idx="161">
                  <c:v>74</c:v>
                </c:pt>
                <c:pt idx="162">
                  <c:v>77</c:v>
                </c:pt>
                <c:pt idx="163">
                  <c:v>74</c:v>
                </c:pt>
                <c:pt idx="164">
                  <c:v>77</c:v>
                </c:pt>
                <c:pt idx="165">
                  <c:v>70</c:v>
                </c:pt>
                <c:pt idx="166">
                  <c:v>77</c:v>
                </c:pt>
                <c:pt idx="167">
                  <c:v>71</c:v>
                </c:pt>
                <c:pt idx="168">
                  <c:v>74</c:v>
                </c:pt>
                <c:pt idx="169">
                  <c:v>73</c:v>
                </c:pt>
                <c:pt idx="170">
                  <c:v>75</c:v>
                </c:pt>
                <c:pt idx="171">
                  <c:v>71</c:v>
                </c:pt>
                <c:pt idx="172">
                  <c:v>68</c:v>
                </c:pt>
                <c:pt idx="173">
                  <c:v>73</c:v>
                </c:pt>
                <c:pt idx="174">
                  <c:v>76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84</c:v>
                </c:pt>
                <c:pt idx="179">
                  <c:v>76</c:v>
                </c:pt>
                <c:pt idx="180">
                  <c:v>78</c:v>
                </c:pt>
                <c:pt idx="181">
                  <c:v>72</c:v>
                </c:pt>
                <c:pt idx="182">
                  <c:v>72</c:v>
                </c:pt>
                <c:pt idx="183">
                  <c:v>71</c:v>
                </c:pt>
                <c:pt idx="184">
                  <c:v>59</c:v>
                </c:pt>
                <c:pt idx="185">
                  <c:v>73</c:v>
                </c:pt>
                <c:pt idx="186">
                  <c:v>74</c:v>
                </c:pt>
                <c:pt idx="187">
                  <c:v>76</c:v>
                </c:pt>
                <c:pt idx="188">
                  <c:v>68</c:v>
                </c:pt>
                <c:pt idx="189">
                  <c:v>64</c:v>
                </c:pt>
                <c:pt idx="190">
                  <c:v>60</c:v>
                </c:pt>
                <c:pt idx="191">
                  <c:v>63</c:v>
                </c:pt>
                <c:pt idx="192">
                  <c:v>73</c:v>
                </c:pt>
                <c:pt idx="193">
                  <c:v>75</c:v>
                </c:pt>
                <c:pt idx="194">
                  <c:v>76</c:v>
                </c:pt>
                <c:pt idx="195">
                  <c:v>68</c:v>
                </c:pt>
                <c:pt idx="196">
                  <c:v>80</c:v>
                </c:pt>
                <c:pt idx="197">
                  <c:v>86</c:v>
                </c:pt>
                <c:pt idx="198">
                  <c:v>70</c:v>
                </c:pt>
                <c:pt idx="199">
                  <c:v>71</c:v>
                </c:pt>
                <c:pt idx="200">
                  <c:v>73</c:v>
                </c:pt>
                <c:pt idx="201">
                  <c:v>69</c:v>
                </c:pt>
                <c:pt idx="202">
                  <c:v>79</c:v>
                </c:pt>
                <c:pt idx="203">
                  <c:v>75</c:v>
                </c:pt>
                <c:pt idx="204">
                  <c:v>68</c:v>
                </c:pt>
                <c:pt idx="205">
                  <c:v>80</c:v>
                </c:pt>
                <c:pt idx="206">
                  <c:v>72</c:v>
                </c:pt>
                <c:pt idx="207">
                  <c:v>75</c:v>
                </c:pt>
                <c:pt idx="208">
                  <c:v>74</c:v>
                </c:pt>
                <c:pt idx="209">
                  <c:v>70</c:v>
                </c:pt>
                <c:pt idx="210">
                  <c:v>67</c:v>
                </c:pt>
                <c:pt idx="211">
                  <c:v>66</c:v>
                </c:pt>
                <c:pt idx="212">
                  <c:v>68</c:v>
                </c:pt>
                <c:pt idx="213">
                  <c:v>68</c:v>
                </c:pt>
                <c:pt idx="214">
                  <c:v>63</c:v>
                </c:pt>
                <c:pt idx="215">
                  <c:v>62</c:v>
                </c:pt>
                <c:pt idx="216">
                  <c:v>67</c:v>
                </c:pt>
                <c:pt idx="217">
                  <c:v>88</c:v>
                </c:pt>
                <c:pt idx="218">
                  <c:v>71</c:v>
                </c:pt>
                <c:pt idx="219">
                  <c:v>95</c:v>
                </c:pt>
                <c:pt idx="220">
                  <c:v>87</c:v>
                </c:pt>
                <c:pt idx="221">
                  <c:v>86</c:v>
                </c:pt>
                <c:pt idx="222">
                  <c:v>68</c:v>
                </c:pt>
                <c:pt idx="223">
                  <c:v>65</c:v>
                </c:pt>
                <c:pt idx="224">
                  <c:v>91</c:v>
                </c:pt>
                <c:pt idx="225">
                  <c:v>95</c:v>
                </c:pt>
              </c:numCache>
            </c:numRef>
          </c:xVal>
          <c:yVal>
            <c:numRef>
              <c:f>Residuals!$CW$2:$CW$227</c:f>
              <c:numCache>
                <c:formatCode>0.00</c:formatCode>
                <c:ptCount val="226"/>
                <c:pt idx="0">
                  <c:v>3.0460051200566625</c:v>
                </c:pt>
                <c:pt idx="1">
                  <c:v>2.571715836855347</c:v>
                </c:pt>
                <c:pt idx="2">
                  <c:v>2.5374348811237653</c:v>
                </c:pt>
                <c:pt idx="3">
                  <c:v>2.5831428220992052</c:v>
                </c:pt>
                <c:pt idx="4">
                  <c:v>2.0688590905443789</c:v>
                </c:pt>
                <c:pt idx="5">
                  <c:v>2.5460051200566625</c:v>
                </c:pt>
                <c:pt idx="6">
                  <c:v>2.0917130610321024</c:v>
                </c:pt>
                <c:pt idx="7">
                  <c:v>2.0917130610321024</c:v>
                </c:pt>
                <c:pt idx="8">
                  <c:v>2.526007895879907</c:v>
                </c:pt>
                <c:pt idx="9">
                  <c:v>2.5317213885018361</c:v>
                </c:pt>
                <c:pt idx="10">
                  <c:v>2.023151149568946</c:v>
                </c:pt>
                <c:pt idx="11">
                  <c:v>1.5488618663676306</c:v>
                </c:pt>
                <c:pt idx="12">
                  <c:v>2.0602888516114888</c:v>
                </c:pt>
                <c:pt idx="13">
                  <c:v>1.5088674180141197</c:v>
                </c:pt>
                <c:pt idx="14">
                  <c:v>1.526007895879907</c:v>
                </c:pt>
                <c:pt idx="15">
                  <c:v>1.5402916274347334</c:v>
                </c:pt>
                <c:pt idx="16">
                  <c:v>1.5031539253921906</c:v>
                </c:pt>
                <c:pt idx="17">
                  <c:v>1.5174376569470169</c:v>
                </c:pt>
                <c:pt idx="18">
                  <c:v>1.5488618663676306</c:v>
                </c:pt>
                <c:pt idx="19">
                  <c:v>1.5460051200566625</c:v>
                </c:pt>
                <c:pt idx="20">
                  <c:v>1.5060106717031516</c:v>
                </c:pt>
                <c:pt idx="21">
                  <c:v>1.0374348811237653</c:v>
                </c:pt>
                <c:pt idx="22">
                  <c:v>1.0460051200566625</c:v>
                </c:pt>
                <c:pt idx="23">
                  <c:v>0.54600512005666246</c:v>
                </c:pt>
                <c:pt idx="24">
                  <c:v>1.0345781348128043</c:v>
                </c:pt>
                <c:pt idx="25">
                  <c:v>0.50601067170315162</c:v>
                </c:pt>
                <c:pt idx="26">
                  <c:v>1.5460051200566625</c:v>
                </c:pt>
                <c:pt idx="27">
                  <c:v>0.51172416432508072</c:v>
                </c:pt>
                <c:pt idx="28">
                  <c:v>0.51458091063604883</c:v>
                </c:pt>
                <c:pt idx="29">
                  <c:v>0.54029162743473336</c:v>
                </c:pt>
                <c:pt idx="30">
                  <c:v>0.53457813481280425</c:v>
                </c:pt>
                <c:pt idx="31">
                  <c:v>0.53457813481280425</c:v>
                </c:pt>
                <c:pt idx="32">
                  <c:v>4.0291627434733357E-2</c:v>
                </c:pt>
                <c:pt idx="33">
                  <c:v>-1.1129806162635703E-2</c:v>
                </c:pt>
                <c:pt idx="34">
                  <c:v>2.3151149568946039E-2</c:v>
                </c:pt>
                <c:pt idx="35">
                  <c:v>3.7434881123765251E-2</c:v>
                </c:pt>
                <c:pt idx="36">
                  <c:v>8.599956841017331E-2</c:v>
                </c:pt>
                <c:pt idx="37">
                  <c:v>0.11456703151981884</c:v>
                </c:pt>
                <c:pt idx="38">
                  <c:v>0.54029162743473336</c:v>
                </c:pt>
                <c:pt idx="39">
                  <c:v>0.57171583685534699</c:v>
                </c:pt>
                <c:pt idx="40">
                  <c:v>-0.38828971479114216</c:v>
                </c:pt>
                <c:pt idx="41">
                  <c:v>6.8859090544378887E-2</c:v>
                </c:pt>
                <c:pt idx="42">
                  <c:v>4.8861866367630569E-2</c:v>
                </c:pt>
                <c:pt idx="43">
                  <c:v>7.1715836855346993E-2</c:v>
                </c:pt>
                <c:pt idx="44">
                  <c:v>6.8859090544378887E-2</c:v>
                </c:pt>
                <c:pt idx="45">
                  <c:v>0.5831428220992052</c:v>
                </c:pt>
                <c:pt idx="46">
                  <c:v>0.55743210530052067</c:v>
                </c:pt>
                <c:pt idx="47">
                  <c:v>2.8864642190875145E-2</c:v>
                </c:pt>
                <c:pt idx="48">
                  <c:v>5.4575358989559675E-2</c:v>
                </c:pt>
                <c:pt idx="49">
                  <c:v>3.7434881123765251E-2</c:v>
                </c:pt>
                <c:pt idx="50">
                  <c:v>5.7432105300520675E-2</c:v>
                </c:pt>
                <c:pt idx="51">
                  <c:v>1.7437656947016933E-2</c:v>
                </c:pt>
                <c:pt idx="52">
                  <c:v>2.3151149568946039E-2</c:v>
                </c:pt>
                <c:pt idx="53">
                  <c:v>1.7437656947016933E-2</c:v>
                </c:pt>
                <c:pt idx="54">
                  <c:v>-0.5082730598516676</c:v>
                </c:pt>
                <c:pt idx="55">
                  <c:v>-0.43399765576658211</c:v>
                </c:pt>
                <c:pt idx="56">
                  <c:v>-0.46256511887623475</c:v>
                </c:pt>
                <c:pt idx="57">
                  <c:v>-0.49113258198588028</c:v>
                </c:pt>
                <c:pt idx="58">
                  <c:v>-0.47684885043105396</c:v>
                </c:pt>
                <c:pt idx="59">
                  <c:v>-0.97399210412009296</c:v>
                </c:pt>
                <c:pt idx="60">
                  <c:v>-0.95399487994333754</c:v>
                </c:pt>
                <c:pt idx="61">
                  <c:v>-0.95970837256526664</c:v>
                </c:pt>
                <c:pt idx="62">
                  <c:v>-0.94828138732140843</c:v>
                </c:pt>
                <c:pt idx="63">
                  <c:v>-1.4625651188762347</c:v>
                </c:pt>
                <c:pt idx="64">
                  <c:v>-1.3797194758582521</c:v>
                </c:pt>
                <c:pt idx="65">
                  <c:v>-0.95399487994333754</c:v>
                </c:pt>
                <c:pt idx="66">
                  <c:v>-0.96256511887623475</c:v>
                </c:pt>
                <c:pt idx="67">
                  <c:v>-0.96256511887623475</c:v>
                </c:pt>
                <c:pt idx="68">
                  <c:v>-0.48541908936395117</c:v>
                </c:pt>
                <c:pt idx="69">
                  <c:v>-0.98541908936395117</c:v>
                </c:pt>
                <c:pt idx="70">
                  <c:v>-0.98256234305298307</c:v>
                </c:pt>
                <c:pt idx="71">
                  <c:v>-1.3940032074130713</c:v>
                </c:pt>
                <c:pt idx="72">
                  <c:v>-1.4568516262543056</c:v>
                </c:pt>
                <c:pt idx="73">
                  <c:v>-1.4539948799433375</c:v>
                </c:pt>
                <c:pt idx="74">
                  <c:v>-0.47399210412009296</c:v>
                </c:pt>
                <c:pt idx="75">
                  <c:v>-0.97113535780912486</c:v>
                </c:pt>
                <c:pt idx="76">
                  <c:v>-1.4711353578091249</c:v>
                </c:pt>
                <c:pt idx="77">
                  <c:v>-0.96542186518719575</c:v>
                </c:pt>
                <c:pt idx="78">
                  <c:v>-0.98541908936395117</c:v>
                </c:pt>
                <c:pt idx="79">
                  <c:v>-0.95685162625430564</c:v>
                </c:pt>
                <c:pt idx="80">
                  <c:v>-0.96256511887623475</c:v>
                </c:pt>
                <c:pt idx="81">
                  <c:v>-1.4397111483885112</c:v>
                </c:pt>
                <c:pt idx="82">
                  <c:v>-0.96542186518719575</c:v>
                </c:pt>
                <c:pt idx="83">
                  <c:v>-0.95685162625430564</c:v>
                </c:pt>
                <c:pt idx="84">
                  <c:v>-0.95399487994333754</c:v>
                </c:pt>
                <c:pt idx="85">
                  <c:v>-0.95685162625430564</c:v>
                </c:pt>
                <c:pt idx="86">
                  <c:v>-0.95399487994333754</c:v>
                </c:pt>
                <c:pt idx="87">
                  <c:v>-0.96542186518719575</c:v>
                </c:pt>
                <c:pt idx="88">
                  <c:v>-0.98256234305298307</c:v>
                </c:pt>
                <c:pt idx="89">
                  <c:v>-0.44256789469947933</c:v>
                </c:pt>
                <c:pt idx="90">
                  <c:v>-0.95685162625430564</c:v>
                </c:pt>
                <c:pt idx="91">
                  <c:v>-0.94256789469947933</c:v>
                </c:pt>
                <c:pt idx="92">
                  <c:v>-0.42828416314465301</c:v>
                </c:pt>
                <c:pt idx="93">
                  <c:v>2.8864642190875145E-2</c:v>
                </c:pt>
                <c:pt idx="94">
                  <c:v>1.4580910636048827E-2</c:v>
                </c:pt>
                <c:pt idx="95">
                  <c:v>-0.47399210412009296</c:v>
                </c:pt>
                <c:pt idx="96">
                  <c:v>-0.48827583567491928</c:v>
                </c:pt>
                <c:pt idx="97">
                  <c:v>-0.48541908936395117</c:v>
                </c:pt>
                <c:pt idx="98">
                  <c:v>-0.97399210412009296</c:v>
                </c:pt>
                <c:pt idx="99">
                  <c:v>-1.4539948799433375</c:v>
                </c:pt>
                <c:pt idx="100">
                  <c:v>-0.95970837256526664</c:v>
                </c:pt>
                <c:pt idx="101">
                  <c:v>-1.4568516262543056</c:v>
                </c:pt>
                <c:pt idx="102">
                  <c:v>-0.44542464101044033</c:v>
                </c:pt>
                <c:pt idx="103">
                  <c:v>6.3145597922449781E-2</c:v>
                </c:pt>
                <c:pt idx="104">
                  <c:v>4.3148373745694357E-2</c:v>
                </c:pt>
                <c:pt idx="105">
                  <c:v>4.8861866367630569E-2</c:v>
                </c:pt>
                <c:pt idx="106">
                  <c:v>-0.49398932829684838</c:v>
                </c:pt>
                <c:pt idx="107">
                  <c:v>-0.47113535780912486</c:v>
                </c:pt>
                <c:pt idx="108">
                  <c:v>-0.96827861149816385</c:v>
                </c:pt>
                <c:pt idx="109">
                  <c:v>-0.91114368527886569</c:v>
                </c:pt>
                <c:pt idx="110">
                  <c:v>-0.95113813363236943</c:v>
                </c:pt>
                <c:pt idx="111">
                  <c:v>-0.46256511887623475</c:v>
                </c:pt>
                <c:pt idx="112">
                  <c:v>-0.99398932829684838</c:v>
                </c:pt>
                <c:pt idx="113">
                  <c:v>-1.0054163135407066</c:v>
                </c:pt>
                <c:pt idx="114">
                  <c:v>-0.99684607460780938</c:v>
                </c:pt>
                <c:pt idx="115">
                  <c:v>-1.0111298061626357</c:v>
                </c:pt>
                <c:pt idx="116">
                  <c:v>-0.97970559674202207</c:v>
                </c:pt>
                <c:pt idx="117">
                  <c:v>-1.476848850431054</c:v>
                </c:pt>
                <c:pt idx="118">
                  <c:v>-1.4082869389678976</c:v>
                </c:pt>
                <c:pt idx="119">
                  <c:v>-1.4797055967420221</c:v>
                </c:pt>
                <c:pt idx="120">
                  <c:v>-1.4111436852788657</c:v>
                </c:pt>
                <c:pt idx="121">
                  <c:v>-0.95970837256526664</c:v>
                </c:pt>
                <c:pt idx="122">
                  <c:v>-0.95970837256526664</c:v>
                </c:pt>
                <c:pt idx="123">
                  <c:v>-0.98256234305298307</c:v>
                </c:pt>
                <c:pt idx="124">
                  <c:v>-0.89400320741307127</c:v>
                </c:pt>
                <c:pt idx="125">
                  <c:v>-0.89400320741307127</c:v>
                </c:pt>
                <c:pt idx="126">
                  <c:v>-0.91400043158982669</c:v>
                </c:pt>
                <c:pt idx="127">
                  <c:v>-0.91114368527886569</c:v>
                </c:pt>
                <c:pt idx="128">
                  <c:v>-0.95685162625430564</c:v>
                </c:pt>
                <c:pt idx="129">
                  <c:v>-0.44542464101044033</c:v>
                </c:pt>
                <c:pt idx="130">
                  <c:v>-0.44256789469947933</c:v>
                </c:pt>
                <c:pt idx="131">
                  <c:v>-0.45399487994333754</c:v>
                </c:pt>
                <c:pt idx="132">
                  <c:v>-0.43399765576658211</c:v>
                </c:pt>
                <c:pt idx="133">
                  <c:v>-0.44256789469947933</c:v>
                </c:pt>
                <c:pt idx="134">
                  <c:v>5.7432105300520675E-2</c:v>
                </c:pt>
                <c:pt idx="135">
                  <c:v>8.0286075788244204E-2</c:v>
                </c:pt>
                <c:pt idx="136">
                  <c:v>6.6002344233417887E-2</c:v>
                </c:pt>
                <c:pt idx="137">
                  <c:v>6.8859090544378887E-2</c:v>
                </c:pt>
                <c:pt idx="138">
                  <c:v>7.4572583166315098E-2</c:v>
                </c:pt>
                <c:pt idx="139">
                  <c:v>-0.41114368527886569</c:v>
                </c:pt>
                <c:pt idx="140">
                  <c:v>-0.43971114838851122</c:v>
                </c:pt>
                <c:pt idx="141">
                  <c:v>-0.45113813363236943</c:v>
                </c:pt>
                <c:pt idx="142">
                  <c:v>-0.43114090945562111</c:v>
                </c:pt>
                <c:pt idx="143">
                  <c:v>-0.47970559674202207</c:v>
                </c:pt>
                <c:pt idx="144">
                  <c:v>-0.47399210412009296</c:v>
                </c:pt>
                <c:pt idx="145">
                  <c:v>-0.40828693896789758</c:v>
                </c:pt>
                <c:pt idx="146">
                  <c:v>-0.40543019265693658</c:v>
                </c:pt>
                <c:pt idx="147">
                  <c:v>-0.40257344634596848</c:v>
                </c:pt>
                <c:pt idx="148">
                  <c:v>-0.40257344634596848</c:v>
                </c:pt>
                <c:pt idx="149">
                  <c:v>-0.40828693896789758</c:v>
                </c:pt>
                <c:pt idx="150">
                  <c:v>-0.40543019265693658</c:v>
                </c:pt>
                <c:pt idx="151">
                  <c:v>-0.41400043158982669</c:v>
                </c:pt>
                <c:pt idx="152">
                  <c:v>-0.40543019265693658</c:v>
                </c:pt>
                <c:pt idx="153">
                  <c:v>-0.4168571779007948</c:v>
                </c:pt>
                <c:pt idx="154">
                  <c:v>-0.47399210412009296</c:v>
                </c:pt>
                <c:pt idx="155">
                  <c:v>-0.47399210412009296</c:v>
                </c:pt>
                <c:pt idx="156">
                  <c:v>-0.47113535780912486</c:v>
                </c:pt>
                <c:pt idx="157">
                  <c:v>2.3151149568946039E-2</c:v>
                </c:pt>
                <c:pt idx="158">
                  <c:v>2.8864642190875145E-2</c:v>
                </c:pt>
                <c:pt idx="159">
                  <c:v>4.3148373745694357E-2</c:v>
                </c:pt>
                <c:pt idx="160">
                  <c:v>4.0291627434733357E-2</c:v>
                </c:pt>
                <c:pt idx="161">
                  <c:v>4.8861866367630569E-2</c:v>
                </c:pt>
                <c:pt idx="162">
                  <c:v>5.7432105300520675E-2</c:v>
                </c:pt>
                <c:pt idx="163">
                  <c:v>4.8861866367630569E-2</c:v>
                </c:pt>
                <c:pt idx="164">
                  <c:v>5.7432105300520675E-2</c:v>
                </c:pt>
                <c:pt idx="165">
                  <c:v>0.53743488112376525</c:v>
                </c:pt>
                <c:pt idx="166">
                  <c:v>0.55743210530052067</c:v>
                </c:pt>
                <c:pt idx="167">
                  <c:v>4.0291627434733357E-2</c:v>
                </c:pt>
                <c:pt idx="168">
                  <c:v>4.8861866367630569E-2</c:v>
                </c:pt>
                <c:pt idx="169">
                  <c:v>4.6005120056662463E-2</c:v>
                </c:pt>
                <c:pt idx="170">
                  <c:v>5.1718612678591569E-2</c:v>
                </c:pt>
                <c:pt idx="171">
                  <c:v>4.0291627434733357E-2</c:v>
                </c:pt>
                <c:pt idx="172">
                  <c:v>3.1721388501836145E-2</c:v>
                </c:pt>
                <c:pt idx="173">
                  <c:v>4.6005120056662463E-2</c:v>
                </c:pt>
                <c:pt idx="174">
                  <c:v>5.4575358989559675E-2</c:v>
                </c:pt>
                <c:pt idx="175">
                  <c:v>2.8864642190875145E-2</c:v>
                </c:pt>
                <c:pt idx="176">
                  <c:v>-0.47113535780912486</c:v>
                </c:pt>
                <c:pt idx="177">
                  <c:v>-0.47113535780912486</c:v>
                </c:pt>
                <c:pt idx="178">
                  <c:v>-0.4225706705227239</c:v>
                </c:pt>
                <c:pt idx="179">
                  <c:v>5.4575358989559675E-2</c:v>
                </c:pt>
                <c:pt idx="180">
                  <c:v>6.0288851611488781E-2</c:v>
                </c:pt>
                <c:pt idx="181">
                  <c:v>0.54314837374569436</c:v>
                </c:pt>
                <c:pt idx="182">
                  <c:v>0.54314837374569436</c:v>
                </c:pt>
                <c:pt idx="183">
                  <c:v>0.54029162743473336</c:v>
                </c:pt>
                <c:pt idx="184">
                  <c:v>0.50601067170315162</c:v>
                </c:pt>
                <c:pt idx="185">
                  <c:v>4.6005120056662463E-2</c:v>
                </c:pt>
                <c:pt idx="186">
                  <c:v>4.8861866367630569E-2</c:v>
                </c:pt>
                <c:pt idx="187">
                  <c:v>5.4575358989559675E-2</c:v>
                </c:pt>
                <c:pt idx="188">
                  <c:v>3.1721388501836145E-2</c:v>
                </c:pt>
                <c:pt idx="189">
                  <c:v>2.0294403257977933E-2</c:v>
                </c:pt>
                <c:pt idx="190">
                  <c:v>0.50886741801411972</c:v>
                </c:pt>
                <c:pt idx="191">
                  <c:v>0.51743765694701693</c:v>
                </c:pt>
                <c:pt idx="192">
                  <c:v>4.6005120056662463E-2</c:v>
                </c:pt>
                <c:pt idx="193">
                  <c:v>5.1718612678591569E-2</c:v>
                </c:pt>
                <c:pt idx="194">
                  <c:v>5.4575358989559675E-2</c:v>
                </c:pt>
                <c:pt idx="195">
                  <c:v>3.1721388501836145E-2</c:v>
                </c:pt>
                <c:pt idx="196">
                  <c:v>6.6002344233417887E-2</c:v>
                </c:pt>
                <c:pt idx="197">
                  <c:v>8.3142822099205205E-2</c:v>
                </c:pt>
                <c:pt idx="198">
                  <c:v>0.53743488112376525</c:v>
                </c:pt>
                <c:pt idx="199">
                  <c:v>0.54029162743473336</c:v>
                </c:pt>
                <c:pt idx="200">
                  <c:v>0.54600512005666246</c:v>
                </c:pt>
                <c:pt idx="201">
                  <c:v>0.53457813481280425</c:v>
                </c:pt>
                <c:pt idx="202">
                  <c:v>0.56314559792244978</c:v>
                </c:pt>
                <c:pt idx="203">
                  <c:v>1.0517186126785916</c:v>
                </c:pt>
                <c:pt idx="204">
                  <c:v>0.53172138850183615</c:v>
                </c:pt>
                <c:pt idx="205">
                  <c:v>1.0660023442334179</c:v>
                </c:pt>
                <c:pt idx="206">
                  <c:v>1.5431483737456944</c:v>
                </c:pt>
                <c:pt idx="207">
                  <c:v>1.0517186126785916</c:v>
                </c:pt>
                <c:pt idx="208">
                  <c:v>0.54886186636763057</c:v>
                </c:pt>
                <c:pt idx="209">
                  <c:v>1.0374348811237653</c:v>
                </c:pt>
                <c:pt idx="210">
                  <c:v>0.52886464219087514</c:v>
                </c:pt>
                <c:pt idx="211">
                  <c:v>1.026007895879907</c:v>
                </c:pt>
                <c:pt idx="212">
                  <c:v>1.0317213885018361</c:v>
                </c:pt>
                <c:pt idx="213">
                  <c:v>0.53172138850183615</c:v>
                </c:pt>
                <c:pt idx="214">
                  <c:v>1.7437656947016933E-2</c:v>
                </c:pt>
                <c:pt idx="215">
                  <c:v>1.4580910636048827E-2</c:v>
                </c:pt>
                <c:pt idx="216">
                  <c:v>0.52886464219087514</c:v>
                </c:pt>
                <c:pt idx="217">
                  <c:v>8.8856314721134311E-2</c:v>
                </c:pt>
                <c:pt idx="218">
                  <c:v>4.0291627434733357E-2</c:v>
                </c:pt>
                <c:pt idx="219">
                  <c:v>0.60885353889788973</c:v>
                </c:pt>
                <c:pt idx="220">
                  <c:v>0.58599956841017331</c:v>
                </c:pt>
                <c:pt idx="221">
                  <c:v>8.3142822099205205E-2</c:v>
                </c:pt>
                <c:pt idx="222">
                  <c:v>1.0317213885018361</c:v>
                </c:pt>
                <c:pt idx="223">
                  <c:v>0.52315114956894604</c:v>
                </c:pt>
                <c:pt idx="224">
                  <c:v>0.59742655365403152</c:v>
                </c:pt>
                <c:pt idx="225">
                  <c:v>0.60885353889788973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C-4D2B-B90A-F1552F5A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0751"/>
        <c:axId val="2117242191"/>
      </c:scatterChart>
      <c:valAx>
        <c:axId val="21172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2191"/>
        <c:crosses val="autoZero"/>
        <c:crossBetween val="midCat"/>
      </c:valAx>
      <c:valAx>
        <c:axId val="211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Log'!$M$2:$M$227</c:f>
              <c:numCache>
                <c:formatCode>0.00</c:formatCode>
                <c:ptCount val="226"/>
                <c:pt idx="0">
                  <c:v>11.5</c:v>
                </c:pt>
                <c:pt idx="1">
                  <c:v>5.5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16.5</c:v>
                </c:pt>
                <c:pt idx="9">
                  <c:v>10</c:v>
                </c:pt>
                <c:pt idx="10">
                  <c:v>8.5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7.5</c:v>
                </c:pt>
                <c:pt idx="16">
                  <c:v>11</c:v>
                </c:pt>
                <c:pt idx="17">
                  <c:v>7</c:v>
                </c:pt>
                <c:pt idx="18">
                  <c:v>10.5</c:v>
                </c:pt>
                <c:pt idx="19">
                  <c:v>2</c:v>
                </c:pt>
                <c:pt idx="20">
                  <c:v>13</c:v>
                </c:pt>
                <c:pt idx="21">
                  <c:v>7.5</c:v>
                </c:pt>
                <c:pt idx="22">
                  <c:v>11.5</c:v>
                </c:pt>
                <c:pt idx="23">
                  <c:v>10</c:v>
                </c:pt>
                <c:pt idx="24">
                  <c:v>5</c:v>
                </c:pt>
                <c:pt idx="25">
                  <c:v>12</c:v>
                </c:pt>
                <c:pt idx="26">
                  <c:v>0</c:v>
                </c:pt>
                <c:pt idx="27">
                  <c:v>8</c:v>
                </c:pt>
                <c:pt idx="28">
                  <c:v>5</c:v>
                </c:pt>
                <c:pt idx="29">
                  <c:v>10</c:v>
                </c:pt>
                <c:pt idx="30">
                  <c:v>10</c:v>
                </c:pt>
                <c:pt idx="31">
                  <c:v>7.5</c:v>
                </c:pt>
                <c:pt idx="32">
                  <c:v>9</c:v>
                </c:pt>
                <c:pt idx="33">
                  <c:v>9.5</c:v>
                </c:pt>
                <c:pt idx="34">
                  <c:v>6.5</c:v>
                </c:pt>
                <c:pt idx="35">
                  <c:v>1</c:v>
                </c:pt>
                <c:pt idx="36">
                  <c:v>9.5</c:v>
                </c:pt>
                <c:pt idx="37">
                  <c:v>2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10</c:v>
                </c:pt>
                <c:pt idx="42">
                  <c:v>6</c:v>
                </c:pt>
                <c:pt idx="43">
                  <c:v>8</c:v>
                </c:pt>
                <c:pt idx="44">
                  <c:v>12</c:v>
                </c:pt>
                <c:pt idx="45">
                  <c:v>11</c:v>
                </c:pt>
                <c:pt idx="46">
                  <c:v>8.5</c:v>
                </c:pt>
                <c:pt idx="47">
                  <c:v>5</c:v>
                </c:pt>
                <c:pt idx="48">
                  <c:v>10</c:v>
                </c:pt>
                <c:pt idx="49">
                  <c:v>11</c:v>
                </c:pt>
                <c:pt idx="50">
                  <c:v>7</c:v>
                </c:pt>
                <c:pt idx="51">
                  <c:v>7</c:v>
                </c:pt>
                <c:pt idx="52">
                  <c:v>13</c:v>
                </c:pt>
                <c:pt idx="53">
                  <c:v>3.5</c:v>
                </c:pt>
                <c:pt idx="54">
                  <c:v>12</c:v>
                </c:pt>
                <c:pt idx="55">
                  <c:v>7</c:v>
                </c:pt>
                <c:pt idx="56">
                  <c:v>9.5</c:v>
                </c:pt>
                <c:pt idx="57">
                  <c:v>7</c:v>
                </c:pt>
                <c:pt idx="58">
                  <c:v>8</c:v>
                </c:pt>
                <c:pt idx="59">
                  <c:v>8.5</c:v>
                </c:pt>
                <c:pt idx="60">
                  <c:v>0</c:v>
                </c:pt>
                <c:pt idx="61">
                  <c:v>5.5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11</c:v>
                </c:pt>
                <c:pt idx="66">
                  <c:v>1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11</c:v>
                </c:pt>
                <c:pt idx="75">
                  <c:v>9.5</c:v>
                </c:pt>
                <c:pt idx="76">
                  <c:v>3</c:v>
                </c:pt>
                <c:pt idx="77">
                  <c:v>2</c:v>
                </c:pt>
                <c:pt idx="78">
                  <c:v>0.5</c:v>
                </c:pt>
                <c:pt idx="79">
                  <c:v>3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2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7</c:v>
                </c:pt>
                <c:pt idx="94">
                  <c:v>6.5</c:v>
                </c:pt>
                <c:pt idx="95">
                  <c:v>5</c:v>
                </c:pt>
                <c:pt idx="96">
                  <c:v>2</c:v>
                </c:pt>
                <c:pt idx="97">
                  <c:v>10</c:v>
                </c:pt>
                <c:pt idx="98">
                  <c:v>8</c:v>
                </c:pt>
                <c:pt idx="99">
                  <c:v>7.5</c:v>
                </c:pt>
                <c:pt idx="100">
                  <c:v>10</c:v>
                </c:pt>
                <c:pt idx="101">
                  <c:v>12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4.5</c:v>
                </c:pt>
                <c:pt idx="106">
                  <c:v>6</c:v>
                </c:pt>
                <c:pt idx="107">
                  <c:v>12</c:v>
                </c:pt>
                <c:pt idx="108">
                  <c:v>6</c:v>
                </c:pt>
                <c:pt idx="109">
                  <c:v>4</c:v>
                </c:pt>
                <c:pt idx="110">
                  <c:v>12</c:v>
                </c:pt>
                <c:pt idx="111">
                  <c:v>4</c:v>
                </c:pt>
                <c:pt idx="112">
                  <c:v>4</c:v>
                </c:pt>
                <c:pt idx="113">
                  <c:v>13.5</c:v>
                </c:pt>
                <c:pt idx="114">
                  <c:v>7.5</c:v>
                </c:pt>
                <c:pt idx="115">
                  <c:v>10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2</c:v>
                </c:pt>
                <c:pt idx="122">
                  <c:v>19</c:v>
                </c:pt>
                <c:pt idx="123">
                  <c:v>8</c:v>
                </c:pt>
                <c:pt idx="124">
                  <c:v>2</c:v>
                </c:pt>
                <c:pt idx="125">
                  <c:v>8</c:v>
                </c:pt>
                <c:pt idx="126">
                  <c:v>9</c:v>
                </c:pt>
                <c:pt idx="127">
                  <c:v>10</c:v>
                </c:pt>
                <c:pt idx="128">
                  <c:v>14</c:v>
                </c:pt>
                <c:pt idx="129">
                  <c:v>10</c:v>
                </c:pt>
                <c:pt idx="130">
                  <c:v>1</c:v>
                </c:pt>
                <c:pt idx="131">
                  <c:v>5</c:v>
                </c:pt>
                <c:pt idx="132">
                  <c:v>10</c:v>
                </c:pt>
                <c:pt idx="133">
                  <c:v>10</c:v>
                </c:pt>
                <c:pt idx="134">
                  <c:v>6</c:v>
                </c:pt>
                <c:pt idx="135">
                  <c:v>9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9</c:v>
                </c:pt>
                <c:pt idx="140">
                  <c:v>16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3</c:v>
                </c:pt>
                <c:pt idx="149">
                  <c:v>9</c:v>
                </c:pt>
                <c:pt idx="150">
                  <c:v>12</c:v>
                </c:pt>
                <c:pt idx="151">
                  <c:v>8</c:v>
                </c:pt>
                <c:pt idx="152">
                  <c:v>6</c:v>
                </c:pt>
                <c:pt idx="153">
                  <c:v>12</c:v>
                </c:pt>
                <c:pt idx="154">
                  <c:v>14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12</c:v>
                </c:pt>
                <c:pt idx="159">
                  <c:v>8</c:v>
                </c:pt>
                <c:pt idx="160">
                  <c:v>8</c:v>
                </c:pt>
                <c:pt idx="161">
                  <c:v>6</c:v>
                </c:pt>
                <c:pt idx="162">
                  <c:v>6</c:v>
                </c:pt>
                <c:pt idx="163">
                  <c:v>19</c:v>
                </c:pt>
                <c:pt idx="164">
                  <c:v>6</c:v>
                </c:pt>
                <c:pt idx="165">
                  <c:v>8</c:v>
                </c:pt>
                <c:pt idx="166">
                  <c:v>8.5</c:v>
                </c:pt>
                <c:pt idx="167">
                  <c:v>0</c:v>
                </c:pt>
                <c:pt idx="168">
                  <c:v>16</c:v>
                </c:pt>
                <c:pt idx="169">
                  <c:v>10</c:v>
                </c:pt>
                <c:pt idx="170">
                  <c:v>8</c:v>
                </c:pt>
                <c:pt idx="171">
                  <c:v>10</c:v>
                </c:pt>
                <c:pt idx="172">
                  <c:v>8</c:v>
                </c:pt>
                <c:pt idx="173">
                  <c:v>4</c:v>
                </c:pt>
                <c:pt idx="174">
                  <c:v>12</c:v>
                </c:pt>
                <c:pt idx="175">
                  <c:v>8</c:v>
                </c:pt>
                <c:pt idx="176">
                  <c:v>8</c:v>
                </c:pt>
                <c:pt idx="177">
                  <c:v>6.5</c:v>
                </c:pt>
                <c:pt idx="178">
                  <c:v>9</c:v>
                </c:pt>
                <c:pt idx="179">
                  <c:v>7.5</c:v>
                </c:pt>
                <c:pt idx="180">
                  <c:v>10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7.5</c:v>
                </c:pt>
                <c:pt idx="185">
                  <c:v>8</c:v>
                </c:pt>
                <c:pt idx="186">
                  <c:v>0</c:v>
                </c:pt>
                <c:pt idx="187">
                  <c:v>7.5</c:v>
                </c:pt>
                <c:pt idx="188">
                  <c:v>7</c:v>
                </c:pt>
                <c:pt idx="189">
                  <c:v>8</c:v>
                </c:pt>
                <c:pt idx="190">
                  <c:v>13</c:v>
                </c:pt>
                <c:pt idx="191">
                  <c:v>7.5</c:v>
                </c:pt>
                <c:pt idx="192">
                  <c:v>6.5</c:v>
                </c:pt>
                <c:pt idx="193">
                  <c:v>14.5</c:v>
                </c:pt>
                <c:pt idx="194">
                  <c:v>8</c:v>
                </c:pt>
                <c:pt idx="195">
                  <c:v>13</c:v>
                </c:pt>
                <c:pt idx="196">
                  <c:v>0.5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14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7</c:v>
                </c:pt>
                <c:pt idx="206">
                  <c:v>9</c:v>
                </c:pt>
                <c:pt idx="207">
                  <c:v>3</c:v>
                </c:pt>
                <c:pt idx="208">
                  <c:v>13.5</c:v>
                </c:pt>
                <c:pt idx="209">
                  <c:v>6</c:v>
                </c:pt>
                <c:pt idx="210">
                  <c:v>11</c:v>
                </c:pt>
                <c:pt idx="211">
                  <c:v>8</c:v>
                </c:pt>
                <c:pt idx="212">
                  <c:v>7</c:v>
                </c:pt>
                <c:pt idx="213">
                  <c:v>12</c:v>
                </c:pt>
                <c:pt idx="214">
                  <c:v>17</c:v>
                </c:pt>
                <c:pt idx="215">
                  <c:v>1</c:v>
                </c:pt>
                <c:pt idx="216">
                  <c:v>3</c:v>
                </c:pt>
                <c:pt idx="217">
                  <c:v>9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12</c:v>
                </c:pt>
                <c:pt idx="222">
                  <c:v>12</c:v>
                </c:pt>
                <c:pt idx="223">
                  <c:v>3.5</c:v>
                </c:pt>
                <c:pt idx="224">
                  <c:v>4.5</c:v>
                </c:pt>
                <c:pt idx="225">
                  <c:v>4.5</c:v>
                </c:pt>
              </c:numCache>
            </c:numRef>
          </c:xVal>
          <c:yVal>
            <c:numRef>
              <c:f>Residuals!$CZ$2:$CZ$227</c:f>
              <c:numCache>
                <c:formatCode>0.00</c:formatCode>
                <c:ptCount val="226"/>
                <c:pt idx="0">
                  <c:v>2.9589349531495017</c:v>
                </c:pt>
                <c:pt idx="1">
                  <c:v>2.6032318571364712</c:v>
                </c:pt>
                <c:pt idx="2">
                  <c:v>2.5431081471419006</c:v>
                </c:pt>
                <c:pt idx="3">
                  <c:v>2.5431081471419006</c:v>
                </c:pt>
                <c:pt idx="4">
                  <c:v>1.9950091791462441</c:v>
                </c:pt>
                <c:pt idx="5">
                  <c:v>2.5190586631440723</c:v>
                </c:pt>
                <c:pt idx="6">
                  <c:v>1.9950091791462441</c:v>
                </c:pt>
                <c:pt idx="7">
                  <c:v>2.2355040191245195</c:v>
                </c:pt>
                <c:pt idx="8">
                  <c:v>2.3386875331603676</c:v>
                </c:pt>
                <c:pt idx="9">
                  <c:v>2.4950091791462441</c:v>
                </c:pt>
                <c:pt idx="10">
                  <c:v>2.0310834051429865</c:v>
                </c:pt>
                <c:pt idx="11">
                  <c:v>1.5190586631440723</c:v>
                </c:pt>
                <c:pt idx="12">
                  <c:v>2.0431081471419006</c:v>
                </c:pt>
                <c:pt idx="13">
                  <c:v>1.5190586631440723</c:v>
                </c:pt>
                <c:pt idx="14">
                  <c:v>1.5190586631440723</c:v>
                </c:pt>
                <c:pt idx="15">
                  <c:v>1.5551328891408147</c:v>
                </c:pt>
                <c:pt idx="16">
                  <c:v>1.4709596951484158</c:v>
                </c:pt>
                <c:pt idx="17">
                  <c:v>1.5671576311397288</c:v>
                </c:pt>
                <c:pt idx="18">
                  <c:v>1.48298443714733</c:v>
                </c:pt>
                <c:pt idx="19">
                  <c:v>1.687405051128863</c:v>
                </c:pt>
                <c:pt idx="20">
                  <c:v>1.4228607271527594</c:v>
                </c:pt>
                <c:pt idx="21">
                  <c:v>1.0551328891408147</c:v>
                </c:pt>
                <c:pt idx="22">
                  <c:v>0.95893495314950172</c:v>
                </c:pt>
                <c:pt idx="23">
                  <c:v>0.49500917914624409</c:v>
                </c:pt>
                <c:pt idx="24">
                  <c:v>1.1152565991353782</c:v>
                </c:pt>
                <c:pt idx="25">
                  <c:v>0.4469102111505876</c:v>
                </c:pt>
                <c:pt idx="26">
                  <c:v>1.7355040191245195</c:v>
                </c:pt>
                <c:pt idx="27">
                  <c:v>0.54310814714190059</c:v>
                </c:pt>
                <c:pt idx="28">
                  <c:v>0.61525659913537822</c:v>
                </c:pt>
                <c:pt idx="29">
                  <c:v>0.49500917914624409</c:v>
                </c:pt>
                <c:pt idx="30">
                  <c:v>0.49500917914624409</c:v>
                </c:pt>
                <c:pt idx="31">
                  <c:v>0.55513288914081471</c:v>
                </c:pt>
                <c:pt idx="32">
                  <c:v>1.9058663144072341E-2</c:v>
                </c:pt>
                <c:pt idx="33">
                  <c:v>7.0339211451582173E-3</c:v>
                </c:pt>
                <c:pt idx="34">
                  <c:v>7.9182373138642959E-2</c:v>
                </c:pt>
                <c:pt idx="35">
                  <c:v>0.21145453512669121</c:v>
                </c:pt>
                <c:pt idx="36">
                  <c:v>7.0339211451582173E-3</c:v>
                </c:pt>
                <c:pt idx="37">
                  <c:v>0.18740505112886297</c:v>
                </c:pt>
                <c:pt idx="38">
                  <c:v>0.4469102111505876</c:v>
                </c:pt>
                <c:pt idx="39">
                  <c:v>0.4469102111505876</c:v>
                </c:pt>
                <c:pt idx="40">
                  <c:v>-0.38474340086462178</c:v>
                </c:pt>
                <c:pt idx="41">
                  <c:v>-4.9908208537559062E-3</c:v>
                </c:pt>
                <c:pt idx="42">
                  <c:v>9.1207115137557082E-2</c:v>
                </c:pt>
                <c:pt idx="43">
                  <c:v>4.3108147141900588E-2</c:v>
                </c:pt>
                <c:pt idx="44">
                  <c:v>-5.30897888494124E-2</c:v>
                </c:pt>
                <c:pt idx="45">
                  <c:v>0.47095969514841585</c:v>
                </c:pt>
                <c:pt idx="46">
                  <c:v>0.53108340514298646</c:v>
                </c:pt>
                <c:pt idx="47">
                  <c:v>0.11525659913537822</c:v>
                </c:pt>
                <c:pt idx="48">
                  <c:v>-4.9908208537559062E-3</c:v>
                </c:pt>
                <c:pt idx="49">
                  <c:v>-2.9040304851584153E-2</c:v>
                </c:pt>
                <c:pt idx="50">
                  <c:v>6.7157631139728835E-2</c:v>
                </c:pt>
                <c:pt idx="51">
                  <c:v>6.7157631139728835E-2</c:v>
                </c:pt>
                <c:pt idx="52">
                  <c:v>-7.7139272847240647E-2</c:v>
                </c:pt>
                <c:pt idx="53">
                  <c:v>0.15133082513212059</c:v>
                </c:pt>
                <c:pt idx="54">
                  <c:v>-0.5530897888494124</c:v>
                </c:pt>
                <c:pt idx="55">
                  <c:v>-0.43284236886027116</c:v>
                </c:pt>
                <c:pt idx="56">
                  <c:v>-0.49296607885484178</c:v>
                </c:pt>
                <c:pt idx="57">
                  <c:v>-0.43284236886027116</c:v>
                </c:pt>
                <c:pt idx="58">
                  <c:v>-0.45689185285809941</c:v>
                </c:pt>
                <c:pt idx="59">
                  <c:v>-0.96891659485701354</c:v>
                </c:pt>
                <c:pt idx="60">
                  <c:v>-0.76449598087548054</c:v>
                </c:pt>
                <c:pt idx="61">
                  <c:v>-0.89676814286352879</c:v>
                </c:pt>
                <c:pt idx="62">
                  <c:v>-0.98094133685592766</c:v>
                </c:pt>
                <c:pt idx="63">
                  <c:v>-1.5290403048515842</c:v>
                </c:pt>
                <c:pt idx="64">
                  <c:v>-1.4809413368559277</c:v>
                </c:pt>
                <c:pt idx="65">
                  <c:v>-1.0290403048515842</c:v>
                </c:pt>
                <c:pt idx="66">
                  <c:v>-0.78854546487330879</c:v>
                </c:pt>
                <c:pt idx="67">
                  <c:v>-0.95689185285809941</c:v>
                </c:pt>
                <c:pt idx="68">
                  <c:v>-0.52904030485158415</c:v>
                </c:pt>
                <c:pt idx="69">
                  <c:v>-0.95689185285809941</c:v>
                </c:pt>
                <c:pt idx="70">
                  <c:v>-0.98094133685592766</c:v>
                </c:pt>
                <c:pt idx="71">
                  <c:v>-1.4328423688602712</c:v>
                </c:pt>
                <c:pt idx="72">
                  <c:v>-1.3606939168667935</c:v>
                </c:pt>
                <c:pt idx="73">
                  <c:v>-1.3606939168667935</c:v>
                </c:pt>
                <c:pt idx="74">
                  <c:v>-0.52904030485158415</c:v>
                </c:pt>
                <c:pt idx="75">
                  <c:v>-0.99296607885484178</c:v>
                </c:pt>
                <c:pt idx="76">
                  <c:v>-1.3366444328689653</c:v>
                </c:pt>
                <c:pt idx="77">
                  <c:v>-0.81259494887113703</c:v>
                </c:pt>
                <c:pt idx="78">
                  <c:v>-0.77652072287439466</c:v>
                </c:pt>
                <c:pt idx="79">
                  <c:v>-0.83664443286896528</c:v>
                </c:pt>
                <c:pt idx="80">
                  <c:v>-0.93284236886027116</c:v>
                </c:pt>
                <c:pt idx="81">
                  <c:v>-1.4328423688602712</c:v>
                </c:pt>
                <c:pt idx="82">
                  <c:v>-0.95689185285809941</c:v>
                </c:pt>
                <c:pt idx="83">
                  <c:v>-0.81259494887113703</c:v>
                </c:pt>
                <c:pt idx="84">
                  <c:v>-0.98094133685592766</c:v>
                </c:pt>
                <c:pt idx="85">
                  <c:v>-1.0049908208537559</c:v>
                </c:pt>
                <c:pt idx="86">
                  <c:v>-1.0049908208537559</c:v>
                </c:pt>
                <c:pt idx="87">
                  <c:v>-0.95689185285809941</c:v>
                </c:pt>
                <c:pt idx="88">
                  <c:v>-1.0049908208537559</c:v>
                </c:pt>
                <c:pt idx="89">
                  <c:v>-0.38474340086462178</c:v>
                </c:pt>
                <c:pt idx="90">
                  <c:v>-0.93284236886027116</c:v>
                </c:pt>
                <c:pt idx="91">
                  <c:v>-0.88474340086462178</c:v>
                </c:pt>
                <c:pt idx="92">
                  <c:v>-0.45689185285809941</c:v>
                </c:pt>
                <c:pt idx="93">
                  <c:v>6.7157631139728835E-2</c:v>
                </c:pt>
                <c:pt idx="94">
                  <c:v>7.9182373138642959E-2</c:v>
                </c:pt>
                <c:pt idx="95">
                  <c:v>-0.38474340086462178</c:v>
                </c:pt>
                <c:pt idx="96">
                  <c:v>-0.31259494887113703</c:v>
                </c:pt>
                <c:pt idx="97">
                  <c:v>-0.50499082085375591</c:v>
                </c:pt>
                <c:pt idx="98">
                  <c:v>-0.95689185285809941</c:v>
                </c:pt>
                <c:pt idx="99">
                  <c:v>-1.4448671108591853</c:v>
                </c:pt>
                <c:pt idx="100">
                  <c:v>-1.0049908208537559</c:v>
                </c:pt>
                <c:pt idx="101">
                  <c:v>-1.5530897888494124</c:v>
                </c:pt>
                <c:pt idx="102">
                  <c:v>-0.48094133685592766</c:v>
                </c:pt>
                <c:pt idx="103">
                  <c:v>4.3108147141900588E-2</c:v>
                </c:pt>
                <c:pt idx="104">
                  <c:v>4.3108147141900588E-2</c:v>
                </c:pt>
                <c:pt idx="105">
                  <c:v>0.12728134113429235</c:v>
                </c:pt>
                <c:pt idx="106">
                  <c:v>-0.40879288486244292</c:v>
                </c:pt>
                <c:pt idx="107">
                  <c:v>-0.5530897888494124</c:v>
                </c:pt>
                <c:pt idx="108">
                  <c:v>-0.90879288486244292</c:v>
                </c:pt>
                <c:pt idx="109">
                  <c:v>-0.86069391686679353</c:v>
                </c:pt>
                <c:pt idx="110">
                  <c:v>-1.0530897888494124</c:v>
                </c:pt>
                <c:pt idx="111">
                  <c:v>-0.36069391686679353</c:v>
                </c:pt>
                <c:pt idx="112">
                  <c:v>-0.86069391686679353</c:v>
                </c:pt>
                <c:pt idx="113">
                  <c:v>-1.0891640148461548</c:v>
                </c:pt>
                <c:pt idx="114">
                  <c:v>-0.94486711085918529</c:v>
                </c:pt>
                <c:pt idx="115">
                  <c:v>-1.0049908208537559</c:v>
                </c:pt>
                <c:pt idx="116">
                  <c:v>-0.95689185285809941</c:v>
                </c:pt>
                <c:pt idx="117">
                  <c:v>-1.4087928848624429</c:v>
                </c:pt>
                <c:pt idx="118">
                  <c:v>-1.4568918528580994</c:v>
                </c:pt>
                <c:pt idx="119">
                  <c:v>-1.4809413368559277</c:v>
                </c:pt>
                <c:pt idx="120">
                  <c:v>-1.4328423688602712</c:v>
                </c:pt>
                <c:pt idx="121">
                  <c:v>-0.81259494887113703</c:v>
                </c:pt>
                <c:pt idx="122">
                  <c:v>-1.221436176834203</c:v>
                </c:pt>
                <c:pt idx="123">
                  <c:v>-0.95689185285809941</c:v>
                </c:pt>
                <c:pt idx="124">
                  <c:v>-0.81259494887113703</c:v>
                </c:pt>
                <c:pt idx="125">
                  <c:v>-0.95689185285809941</c:v>
                </c:pt>
                <c:pt idx="126">
                  <c:v>-0.98094133685592766</c:v>
                </c:pt>
                <c:pt idx="127">
                  <c:v>-1.0049908208537559</c:v>
                </c:pt>
                <c:pt idx="128">
                  <c:v>-1.1011887568450689</c:v>
                </c:pt>
                <c:pt idx="129">
                  <c:v>-0.50499082085375591</c:v>
                </c:pt>
                <c:pt idx="130">
                  <c:v>-0.28854546487330879</c:v>
                </c:pt>
                <c:pt idx="131">
                  <c:v>-0.38474340086462178</c:v>
                </c:pt>
                <c:pt idx="132">
                  <c:v>-0.50499082085375591</c:v>
                </c:pt>
                <c:pt idx="133">
                  <c:v>-0.50499082085375591</c:v>
                </c:pt>
                <c:pt idx="134">
                  <c:v>9.1207115137557082E-2</c:v>
                </c:pt>
                <c:pt idx="135">
                  <c:v>1.9058663144072341E-2</c:v>
                </c:pt>
                <c:pt idx="136">
                  <c:v>0.11525659913537822</c:v>
                </c:pt>
                <c:pt idx="137">
                  <c:v>0.13930608313320647</c:v>
                </c:pt>
                <c:pt idx="138">
                  <c:v>0.13930608313320647</c:v>
                </c:pt>
                <c:pt idx="139">
                  <c:v>-0.48094133685592766</c:v>
                </c:pt>
                <c:pt idx="140">
                  <c:v>-0.64928772484071828</c:v>
                </c:pt>
                <c:pt idx="141">
                  <c:v>-0.43284236886027116</c:v>
                </c:pt>
                <c:pt idx="142">
                  <c:v>-0.45689185285809941</c:v>
                </c:pt>
                <c:pt idx="143">
                  <c:v>-0.45689185285809941</c:v>
                </c:pt>
                <c:pt idx="144">
                  <c:v>-0.40879288486244292</c:v>
                </c:pt>
                <c:pt idx="145">
                  <c:v>-0.36069391686679353</c:v>
                </c:pt>
                <c:pt idx="146">
                  <c:v>-0.38474340086462178</c:v>
                </c:pt>
                <c:pt idx="147">
                  <c:v>-0.40879288486244292</c:v>
                </c:pt>
                <c:pt idx="148">
                  <c:v>-0.33664443286896528</c:v>
                </c:pt>
                <c:pt idx="149">
                  <c:v>-0.48094133685592766</c:v>
                </c:pt>
                <c:pt idx="150">
                  <c:v>-0.5530897888494124</c:v>
                </c:pt>
                <c:pt idx="151">
                  <c:v>-0.45689185285809941</c:v>
                </c:pt>
                <c:pt idx="152">
                  <c:v>-0.40879288486244292</c:v>
                </c:pt>
                <c:pt idx="153">
                  <c:v>-0.5530897888494124</c:v>
                </c:pt>
                <c:pt idx="154">
                  <c:v>-0.60118875684506889</c:v>
                </c:pt>
                <c:pt idx="155">
                  <c:v>-0.45689185285809941</c:v>
                </c:pt>
                <c:pt idx="156">
                  <c:v>-0.40879288486244292</c:v>
                </c:pt>
                <c:pt idx="157">
                  <c:v>9.1207115137557082E-2</c:v>
                </c:pt>
                <c:pt idx="158">
                  <c:v>-5.30897888494124E-2</c:v>
                </c:pt>
                <c:pt idx="159">
                  <c:v>4.3108147141900588E-2</c:v>
                </c:pt>
                <c:pt idx="160">
                  <c:v>4.3108147141900588E-2</c:v>
                </c:pt>
                <c:pt idx="161">
                  <c:v>9.1207115137557082E-2</c:v>
                </c:pt>
                <c:pt idx="162">
                  <c:v>9.1207115137557082E-2</c:v>
                </c:pt>
                <c:pt idx="163">
                  <c:v>-0.22143617683420302</c:v>
                </c:pt>
                <c:pt idx="164">
                  <c:v>9.1207115137557082E-2</c:v>
                </c:pt>
                <c:pt idx="165">
                  <c:v>0.54310814714190059</c:v>
                </c:pt>
                <c:pt idx="166">
                  <c:v>0.53108340514298646</c:v>
                </c:pt>
                <c:pt idx="167">
                  <c:v>0.23550401912451946</c:v>
                </c:pt>
                <c:pt idx="168">
                  <c:v>-0.14928772484071828</c:v>
                </c:pt>
                <c:pt idx="169">
                  <c:v>-4.9908208537559062E-3</c:v>
                </c:pt>
                <c:pt idx="170">
                  <c:v>4.3108147141900588E-2</c:v>
                </c:pt>
                <c:pt idx="171">
                  <c:v>-4.9908208537559062E-3</c:v>
                </c:pt>
                <c:pt idx="172">
                  <c:v>4.3108147141900588E-2</c:v>
                </c:pt>
                <c:pt idx="173">
                  <c:v>0.13930608313320647</c:v>
                </c:pt>
                <c:pt idx="174">
                  <c:v>-5.30897888494124E-2</c:v>
                </c:pt>
                <c:pt idx="175">
                  <c:v>4.3108147141900588E-2</c:v>
                </c:pt>
                <c:pt idx="176">
                  <c:v>-0.45689185285809941</c:v>
                </c:pt>
                <c:pt idx="177">
                  <c:v>-0.42081762686135704</c:v>
                </c:pt>
                <c:pt idx="178">
                  <c:v>-0.48094133685592766</c:v>
                </c:pt>
                <c:pt idx="179">
                  <c:v>5.5132889140814711E-2</c:v>
                </c:pt>
                <c:pt idx="180">
                  <c:v>-4.9908208537559062E-3</c:v>
                </c:pt>
                <c:pt idx="181">
                  <c:v>0.47095969514841585</c:v>
                </c:pt>
                <c:pt idx="182">
                  <c:v>0.56715763113972884</c:v>
                </c:pt>
                <c:pt idx="183">
                  <c:v>0.51905866314407234</c:v>
                </c:pt>
                <c:pt idx="184">
                  <c:v>0.55513288914081471</c:v>
                </c:pt>
                <c:pt idx="185">
                  <c:v>4.3108147141900588E-2</c:v>
                </c:pt>
                <c:pt idx="186">
                  <c:v>0.23550401912451946</c:v>
                </c:pt>
                <c:pt idx="187">
                  <c:v>5.5132889140814711E-2</c:v>
                </c:pt>
                <c:pt idx="188">
                  <c:v>6.7157631139728835E-2</c:v>
                </c:pt>
                <c:pt idx="189">
                  <c:v>4.3108147141900588E-2</c:v>
                </c:pt>
                <c:pt idx="190">
                  <c:v>0.42286072715275935</c:v>
                </c:pt>
                <c:pt idx="191">
                  <c:v>0.55513288914081471</c:v>
                </c:pt>
                <c:pt idx="192">
                  <c:v>7.9182373138642959E-2</c:v>
                </c:pt>
                <c:pt idx="193">
                  <c:v>-0.11321349884398302</c:v>
                </c:pt>
                <c:pt idx="194">
                  <c:v>4.3108147141900588E-2</c:v>
                </c:pt>
                <c:pt idx="195">
                  <c:v>-7.7139272847240647E-2</c:v>
                </c:pt>
                <c:pt idx="196">
                  <c:v>0.22347927712560534</c:v>
                </c:pt>
                <c:pt idx="197">
                  <c:v>4.3108147141900588E-2</c:v>
                </c:pt>
                <c:pt idx="198">
                  <c:v>0.59120711513755708</c:v>
                </c:pt>
                <c:pt idx="199">
                  <c:v>0.54310814714190059</c:v>
                </c:pt>
                <c:pt idx="200">
                  <c:v>0.63930608313320647</c:v>
                </c:pt>
                <c:pt idx="201">
                  <c:v>0.39881124315493111</c:v>
                </c:pt>
                <c:pt idx="202">
                  <c:v>0.56715763113972884</c:v>
                </c:pt>
                <c:pt idx="203">
                  <c:v>1.0431081471419006</c:v>
                </c:pt>
                <c:pt idx="204">
                  <c:v>0.54310814714190059</c:v>
                </c:pt>
                <c:pt idx="205">
                  <c:v>1.0671576311397288</c:v>
                </c:pt>
                <c:pt idx="206">
                  <c:v>1.5190586631440723</c:v>
                </c:pt>
                <c:pt idx="207">
                  <c:v>1.1633555671310347</c:v>
                </c:pt>
                <c:pt idx="208">
                  <c:v>0.41083598515384523</c:v>
                </c:pt>
                <c:pt idx="209">
                  <c:v>1.0912071151375571</c:v>
                </c:pt>
                <c:pt idx="210">
                  <c:v>0.47095969514841585</c:v>
                </c:pt>
                <c:pt idx="211">
                  <c:v>1.0431081471419006</c:v>
                </c:pt>
                <c:pt idx="212">
                  <c:v>1.0671576311397288</c:v>
                </c:pt>
                <c:pt idx="213">
                  <c:v>0.4469102111505876</c:v>
                </c:pt>
                <c:pt idx="214">
                  <c:v>-0.17333720883854653</c:v>
                </c:pt>
                <c:pt idx="215">
                  <c:v>0.21145453512669121</c:v>
                </c:pt>
                <c:pt idx="216">
                  <c:v>0.66335556713103472</c:v>
                </c:pt>
                <c:pt idx="217">
                  <c:v>1.9058663144072341E-2</c:v>
                </c:pt>
                <c:pt idx="218">
                  <c:v>0.11525659913537822</c:v>
                </c:pt>
                <c:pt idx="219">
                  <c:v>0.61525659913537822</c:v>
                </c:pt>
                <c:pt idx="220">
                  <c:v>0.54310814714190059</c:v>
                </c:pt>
                <c:pt idx="221">
                  <c:v>-5.30897888494124E-2</c:v>
                </c:pt>
                <c:pt idx="222">
                  <c:v>0.9469102111505876</c:v>
                </c:pt>
                <c:pt idx="223">
                  <c:v>0.65133082513212059</c:v>
                </c:pt>
                <c:pt idx="224">
                  <c:v>0.62728134113429235</c:v>
                </c:pt>
                <c:pt idx="225">
                  <c:v>0.62728134113429235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B-45A5-86D3-3BC370E2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1951"/>
        <c:axId val="2117217231"/>
      </c:scatterChart>
      <c:valAx>
        <c:axId val="2117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7231"/>
        <c:crosses val="autoZero"/>
        <c:crossBetween val="midCat"/>
      </c:valAx>
      <c:valAx>
        <c:axId val="2117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Body Mass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Log'!$N$2:$N$227</c:f>
              <c:numCache>
                <c:formatCode>0.00</c:formatCode>
                <c:ptCount val="226"/>
                <c:pt idx="0">
                  <c:v>39.540163265306127</c:v>
                </c:pt>
                <c:pt idx="1">
                  <c:v>38.994979591836739</c:v>
                </c:pt>
                <c:pt idx="2">
                  <c:v>38.994979591836739</c:v>
                </c:pt>
                <c:pt idx="3">
                  <c:v>39.138448979591836</c:v>
                </c:pt>
                <c:pt idx="4">
                  <c:v>38.679346938775517</c:v>
                </c:pt>
                <c:pt idx="5">
                  <c:v>38.535877551020413</c:v>
                </c:pt>
                <c:pt idx="6">
                  <c:v>38.564571428571433</c:v>
                </c:pt>
                <c:pt idx="7">
                  <c:v>38.564571428571433</c:v>
                </c:pt>
                <c:pt idx="8">
                  <c:v>38.650653061224489</c:v>
                </c:pt>
                <c:pt idx="9">
                  <c:v>39.109755102040822</c:v>
                </c:pt>
                <c:pt idx="10">
                  <c:v>38.851510204081634</c:v>
                </c:pt>
                <c:pt idx="11">
                  <c:v>38.507183673469385</c:v>
                </c:pt>
                <c:pt idx="12">
                  <c:v>38.248938775510204</c:v>
                </c:pt>
                <c:pt idx="13">
                  <c:v>38.679346938775517</c:v>
                </c:pt>
                <c:pt idx="14">
                  <c:v>38.392408163265308</c:v>
                </c:pt>
                <c:pt idx="15">
                  <c:v>38.392408163265308</c:v>
                </c:pt>
                <c:pt idx="16">
                  <c:v>37.990693877551024</c:v>
                </c:pt>
                <c:pt idx="17">
                  <c:v>37.962000000000003</c:v>
                </c:pt>
                <c:pt idx="18">
                  <c:v>37.761142857142858</c:v>
                </c:pt>
                <c:pt idx="19">
                  <c:v>37.732448979591837</c:v>
                </c:pt>
                <c:pt idx="20">
                  <c:v>37.560285714285712</c:v>
                </c:pt>
                <c:pt idx="21">
                  <c:v>37.560285714285712</c:v>
                </c:pt>
                <c:pt idx="22">
                  <c:v>37.273346938775511</c:v>
                </c:pt>
                <c:pt idx="23">
                  <c:v>37.330734693877552</c:v>
                </c:pt>
                <c:pt idx="24">
                  <c:v>37.158571428571427</c:v>
                </c:pt>
                <c:pt idx="25">
                  <c:v>36.871632653061219</c:v>
                </c:pt>
                <c:pt idx="26">
                  <c:v>37.273346938775511</c:v>
                </c:pt>
                <c:pt idx="27">
                  <c:v>37.273346938775511</c:v>
                </c:pt>
                <c:pt idx="28">
                  <c:v>37.158571428571427</c:v>
                </c:pt>
                <c:pt idx="29">
                  <c:v>37.043795918367344</c:v>
                </c:pt>
                <c:pt idx="30">
                  <c:v>37.015102040816323</c:v>
                </c:pt>
                <c:pt idx="31">
                  <c:v>36.728163265306122</c:v>
                </c:pt>
                <c:pt idx="32">
                  <c:v>36.728163265306122</c:v>
                </c:pt>
                <c:pt idx="33">
                  <c:v>36.584693877551018</c:v>
                </c:pt>
                <c:pt idx="34">
                  <c:v>36.670775510204081</c:v>
                </c:pt>
                <c:pt idx="35">
                  <c:v>36.670775510204081</c:v>
                </c:pt>
                <c:pt idx="36">
                  <c:v>36.269061224489796</c:v>
                </c:pt>
                <c:pt idx="37">
                  <c:v>36.269061224489796</c:v>
                </c:pt>
                <c:pt idx="38">
                  <c:v>36.871632653061219</c:v>
                </c:pt>
                <c:pt idx="39">
                  <c:v>37.474204081632649</c:v>
                </c:pt>
                <c:pt idx="40">
                  <c:v>37.445510204081636</c:v>
                </c:pt>
                <c:pt idx="41">
                  <c:v>37.101183673469393</c:v>
                </c:pt>
                <c:pt idx="42">
                  <c:v>37.015102040816323</c:v>
                </c:pt>
                <c:pt idx="43">
                  <c:v>37.302040816326532</c:v>
                </c:pt>
                <c:pt idx="44">
                  <c:v>37.187265306122448</c:v>
                </c:pt>
                <c:pt idx="45">
                  <c:v>37.416816326530615</c:v>
                </c:pt>
                <c:pt idx="46">
                  <c:v>37.560285714285712</c:v>
                </c:pt>
                <c:pt idx="47">
                  <c:v>36.98640816326531</c:v>
                </c:pt>
                <c:pt idx="48">
                  <c:v>36.699469387755101</c:v>
                </c:pt>
                <c:pt idx="49">
                  <c:v>36.441224489795914</c:v>
                </c:pt>
                <c:pt idx="50">
                  <c:v>36.297755102040817</c:v>
                </c:pt>
                <c:pt idx="51">
                  <c:v>36.240367346938775</c:v>
                </c:pt>
                <c:pt idx="52">
                  <c:v>36.498612244897963</c:v>
                </c:pt>
                <c:pt idx="53">
                  <c:v>36.269061224489796</c:v>
                </c:pt>
                <c:pt idx="54">
                  <c:v>36.326448979591831</c:v>
                </c:pt>
                <c:pt idx="55">
                  <c:v>36.096897959183678</c:v>
                </c:pt>
                <c:pt idx="56">
                  <c:v>36.068204081632651</c:v>
                </c:pt>
                <c:pt idx="57">
                  <c:v>35.867346938775512</c:v>
                </c:pt>
                <c:pt idx="58">
                  <c:v>35.80995918367347</c:v>
                </c:pt>
                <c:pt idx="59">
                  <c:v>35.752571428571429</c:v>
                </c:pt>
                <c:pt idx="60">
                  <c:v>35.637795918367345</c:v>
                </c:pt>
                <c:pt idx="61">
                  <c:v>35.523020408163262</c:v>
                </c:pt>
                <c:pt idx="62">
                  <c:v>35.379551020408158</c:v>
                </c:pt>
                <c:pt idx="63">
                  <c:v>35.379551020408158</c:v>
                </c:pt>
                <c:pt idx="64">
                  <c:v>35.436938775510207</c:v>
                </c:pt>
                <c:pt idx="65">
                  <c:v>35.982122448979595</c:v>
                </c:pt>
                <c:pt idx="66">
                  <c:v>35.723877551020408</c:v>
                </c:pt>
                <c:pt idx="67">
                  <c:v>35.695183673469387</c:v>
                </c:pt>
                <c:pt idx="68">
                  <c:v>36.211673469387755</c:v>
                </c:pt>
                <c:pt idx="69">
                  <c:v>35.80995918367347</c:v>
                </c:pt>
                <c:pt idx="70">
                  <c:v>35.494326530612248</c:v>
                </c:pt>
                <c:pt idx="71">
                  <c:v>35.264775510204082</c:v>
                </c:pt>
                <c:pt idx="72">
                  <c:v>36.154285714285713</c:v>
                </c:pt>
                <c:pt idx="73">
                  <c:v>36.154285714285713</c:v>
                </c:pt>
                <c:pt idx="74">
                  <c:v>36.355142857142859</c:v>
                </c:pt>
                <c:pt idx="75">
                  <c:v>35.80995918367347</c:v>
                </c:pt>
                <c:pt idx="76">
                  <c:v>35.695183673469387</c:v>
                </c:pt>
                <c:pt idx="77">
                  <c:v>35.580408163265311</c:v>
                </c:pt>
                <c:pt idx="78">
                  <c:v>35.379551020408158</c:v>
                </c:pt>
                <c:pt idx="79">
                  <c:v>35.982122448979595</c:v>
                </c:pt>
                <c:pt idx="80">
                  <c:v>36.125591836734699</c:v>
                </c:pt>
                <c:pt idx="81">
                  <c:v>36.240367346938775</c:v>
                </c:pt>
                <c:pt idx="82">
                  <c:v>35.752571428571429</c:v>
                </c:pt>
                <c:pt idx="83">
                  <c:v>35.666489795918366</c:v>
                </c:pt>
                <c:pt idx="84">
                  <c:v>35.867346938775512</c:v>
                </c:pt>
                <c:pt idx="85">
                  <c:v>36.010816326530609</c:v>
                </c:pt>
                <c:pt idx="86">
                  <c:v>36.556000000000004</c:v>
                </c:pt>
                <c:pt idx="87">
                  <c:v>37.015102040816323</c:v>
                </c:pt>
                <c:pt idx="88">
                  <c:v>36.498612244897963</c:v>
                </c:pt>
                <c:pt idx="89">
                  <c:v>36.297755102040817</c:v>
                </c:pt>
                <c:pt idx="90">
                  <c:v>36.498612244897963</c:v>
                </c:pt>
                <c:pt idx="91">
                  <c:v>36.211673469387755</c:v>
                </c:pt>
                <c:pt idx="92">
                  <c:v>36.699469387755101</c:v>
                </c:pt>
                <c:pt idx="93">
                  <c:v>36.670775510204081</c:v>
                </c:pt>
                <c:pt idx="94">
                  <c:v>36.355142857142859</c:v>
                </c:pt>
                <c:pt idx="95">
                  <c:v>36.355142857142859</c:v>
                </c:pt>
                <c:pt idx="96">
                  <c:v>36.355142857142859</c:v>
                </c:pt>
                <c:pt idx="97">
                  <c:v>35.924734693877546</c:v>
                </c:pt>
                <c:pt idx="98">
                  <c:v>35.867346938775512</c:v>
                </c:pt>
                <c:pt idx="99">
                  <c:v>36.068204081632651</c:v>
                </c:pt>
                <c:pt idx="100">
                  <c:v>35.982122448979595</c:v>
                </c:pt>
                <c:pt idx="101">
                  <c:v>36.182979591836734</c:v>
                </c:pt>
                <c:pt idx="102">
                  <c:v>36.98640816326531</c:v>
                </c:pt>
                <c:pt idx="103">
                  <c:v>37.043795918367344</c:v>
                </c:pt>
                <c:pt idx="104">
                  <c:v>36.814244897959192</c:v>
                </c:pt>
                <c:pt idx="105">
                  <c:v>36.670775510204081</c:v>
                </c:pt>
                <c:pt idx="106">
                  <c:v>36.642081632653067</c:v>
                </c:pt>
                <c:pt idx="107">
                  <c:v>36.068204081632651</c:v>
                </c:pt>
                <c:pt idx="108">
                  <c:v>35.924734693877546</c:v>
                </c:pt>
                <c:pt idx="109">
                  <c:v>35.982122448979595</c:v>
                </c:pt>
                <c:pt idx="110">
                  <c:v>35.752571428571429</c:v>
                </c:pt>
                <c:pt idx="111">
                  <c:v>35.924734693877546</c:v>
                </c:pt>
                <c:pt idx="112">
                  <c:v>36.125591836734699</c:v>
                </c:pt>
                <c:pt idx="113">
                  <c:v>35.580408163265311</c:v>
                </c:pt>
                <c:pt idx="114">
                  <c:v>35.637795918367345</c:v>
                </c:pt>
                <c:pt idx="115">
                  <c:v>35.436938775510207</c:v>
                </c:pt>
                <c:pt idx="116">
                  <c:v>35.408244897959186</c:v>
                </c:pt>
                <c:pt idx="117">
                  <c:v>35.121306122448978</c:v>
                </c:pt>
                <c:pt idx="118">
                  <c:v>35.063918367346943</c:v>
                </c:pt>
                <c:pt idx="119">
                  <c:v>35.035224489795915</c:v>
                </c:pt>
                <c:pt idx="120">
                  <c:v>35.15</c:v>
                </c:pt>
                <c:pt idx="121">
                  <c:v>35.436938775510207</c:v>
                </c:pt>
                <c:pt idx="122">
                  <c:v>35.80995918367347</c:v>
                </c:pt>
                <c:pt idx="123">
                  <c:v>35.924734693877546</c:v>
                </c:pt>
                <c:pt idx="124">
                  <c:v>36.211673469387755</c:v>
                </c:pt>
                <c:pt idx="125">
                  <c:v>35.953428571428574</c:v>
                </c:pt>
                <c:pt idx="126">
                  <c:v>36.240367346938775</c:v>
                </c:pt>
                <c:pt idx="127">
                  <c:v>36.38383673469388</c:v>
                </c:pt>
                <c:pt idx="128">
                  <c:v>36.297755102040817</c:v>
                </c:pt>
                <c:pt idx="129">
                  <c:v>36.900326530612247</c:v>
                </c:pt>
                <c:pt idx="130">
                  <c:v>36.527306122448977</c:v>
                </c:pt>
                <c:pt idx="131">
                  <c:v>36.613387755102039</c:v>
                </c:pt>
                <c:pt idx="132">
                  <c:v>36.556000000000004</c:v>
                </c:pt>
                <c:pt idx="133">
                  <c:v>36.699469387755101</c:v>
                </c:pt>
                <c:pt idx="134">
                  <c:v>36.900326530612247</c:v>
                </c:pt>
                <c:pt idx="135">
                  <c:v>37.015102040816323</c:v>
                </c:pt>
                <c:pt idx="136">
                  <c:v>36.125591836734699</c:v>
                </c:pt>
                <c:pt idx="137">
                  <c:v>35.924734693877546</c:v>
                </c:pt>
                <c:pt idx="138">
                  <c:v>36.010816326530609</c:v>
                </c:pt>
                <c:pt idx="139">
                  <c:v>35.752571428571429</c:v>
                </c:pt>
                <c:pt idx="140">
                  <c:v>35.580408163265311</c:v>
                </c:pt>
                <c:pt idx="141">
                  <c:v>35.896040816326526</c:v>
                </c:pt>
                <c:pt idx="142">
                  <c:v>36.297755102040817</c:v>
                </c:pt>
                <c:pt idx="143">
                  <c:v>35.982122448979595</c:v>
                </c:pt>
                <c:pt idx="144">
                  <c:v>36.269061224489796</c:v>
                </c:pt>
                <c:pt idx="145">
                  <c:v>36.010816326530609</c:v>
                </c:pt>
                <c:pt idx="146">
                  <c:v>35.781265306122449</c:v>
                </c:pt>
                <c:pt idx="147">
                  <c:v>36.38383673469388</c:v>
                </c:pt>
                <c:pt idx="148">
                  <c:v>36.527306122448977</c:v>
                </c:pt>
                <c:pt idx="149">
                  <c:v>36.297755102040817</c:v>
                </c:pt>
                <c:pt idx="150">
                  <c:v>36.441224489795914</c:v>
                </c:pt>
                <c:pt idx="151">
                  <c:v>36.297755102040817</c:v>
                </c:pt>
                <c:pt idx="152">
                  <c:v>36.125591836734699</c:v>
                </c:pt>
                <c:pt idx="153">
                  <c:v>36.068204081632651</c:v>
                </c:pt>
                <c:pt idx="154">
                  <c:v>35.752571428571429</c:v>
                </c:pt>
                <c:pt idx="155">
                  <c:v>36.269061224489796</c:v>
                </c:pt>
                <c:pt idx="156">
                  <c:v>36.297755102040817</c:v>
                </c:pt>
                <c:pt idx="157">
                  <c:v>37.158571428571427</c:v>
                </c:pt>
                <c:pt idx="158">
                  <c:v>36.556000000000004</c:v>
                </c:pt>
                <c:pt idx="159">
                  <c:v>36.269061224489796</c:v>
                </c:pt>
                <c:pt idx="160">
                  <c:v>36.125591836734699</c:v>
                </c:pt>
                <c:pt idx="161">
                  <c:v>36.556000000000004</c:v>
                </c:pt>
                <c:pt idx="162">
                  <c:v>36.584693877551018</c:v>
                </c:pt>
                <c:pt idx="163">
                  <c:v>36.556000000000004</c:v>
                </c:pt>
                <c:pt idx="164">
                  <c:v>36.125591836734699</c:v>
                </c:pt>
                <c:pt idx="165">
                  <c:v>36.929020408163261</c:v>
                </c:pt>
                <c:pt idx="166">
                  <c:v>36.699469387755101</c:v>
                </c:pt>
                <c:pt idx="167">
                  <c:v>36.125591836734699</c:v>
                </c:pt>
                <c:pt idx="168">
                  <c:v>35.523020408163262</c:v>
                </c:pt>
                <c:pt idx="169">
                  <c:v>35.695183673469387</c:v>
                </c:pt>
                <c:pt idx="170">
                  <c:v>35.838653061224491</c:v>
                </c:pt>
                <c:pt idx="171">
                  <c:v>35.953428571428574</c:v>
                </c:pt>
                <c:pt idx="172">
                  <c:v>36.154285714285713</c:v>
                </c:pt>
                <c:pt idx="173">
                  <c:v>36.670775510204081</c:v>
                </c:pt>
                <c:pt idx="174">
                  <c:v>36.240367346938775</c:v>
                </c:pt>
                <c:pt idx="175">
                  <c:v>36.211673469387755</c:v>
                </c:pt>
                <c:pt idx="176">
                  <c:v>36.010816326530609</c:v>
                </c:pt>
                <c:pt idx="177">
                  <c:v>36.03951020408163</c:v>
                </c:pt>
                <c:pt idx="178">
                  <c:v>36.211673469387755</c:v>
                </c:pt>
                <c:pt idx="179">
                  <c:v>36.441224489795914</c:v>
                </c:pt>
                <c:pt idx="180">
                  <c:v>36.4125306122449</c:v>
                </c:pt>
                <c:pt idx="181">
                  <c:v>36.556000000000004</c:v>
                </c:pt>
                <c:pt idx="182">
                  <c:v>36.4125306122449</c:v>
                </c:pt>
                <c:pt idx="183">
                  <c:v>36.297755102040817</c:v>
                </c:pt>
                <c:pt idx="184">
                  <c:v>36.211673469387755</c:v>
                </c:pt>
                <c:pt idx="185">
                  <c:v>36.441224489795914</c:v>
                </c:pt>
                <c:pt idx="186">
                  <c:v>36.211673469387755</c:v>
                </c:pt>
                <c:pt idx="187">
                  <c:v>36.154285714285713</c:v>
                </c:pt>
                <c:pt idx="188">
                  <c:v>36.297755102040817</c:v>
                </c:pt>
                <c:pt idx="189">
                  <c:v>36.211673469387755</c:v>
                </c:pt>
                <c:pt idx="190">
                  <c:v>36.182979591836734</c:v>
                </c:pt>
                <c:pt idx="191">
                  <c:v>36.240367346938775</c:v>
                </c:pt>
                <c:pt idx="192">
                  <c:v>36.441224489795914</c:v>
                </c:pt>
                <c:pt idx="193">
                  <c:v>36.584693877551018</c:v>
                </c:pt>
                <c:pt idx="194">
                  <c:v>37.043795918367344</c:v>
                </c:pt>
                <c:pt idx="195">
                  <c:v>36.642081632653067</c:v>
                </c:pt>
                <c:pt idx="196">
                  <c:v>36.154285714285713</c:v>
                </c:pt>
                <c:pt idx="197">
                  <c:v>36.441224489795914</c:v>
                </c:pt>
                <c:pt idx="198">
                  <c:v>36.584693877551018</c:v>
                </c:pt>
                <c:pt idx="199">
                  <c:v>36.441224489795914</c:v>
                </c:pt>
                <c:pt idx="200">
                  <c:v>36.98640816326531</c:v>
                </c:pt>
                <c:pt idx="201">
                  <c:v>36.756857142857143</c:v>
                </c:pt>
                <c:pt idx="202">
                  <c:v>37.302040816326532</c:v>
                </c:pt>
                <c:pt idx="203">
                  <c:v>37.560285714285712</c:v>
                </c:pt>
                <c:pt idx="204">
                  <c:v>37.302040816326532</c:v>
                </c:pt>
                <c:pt idx="205">
                  <c:v>37.646367346938767</c:v>
                </c:pt>
                <c:pt idx="206">
                  <c:v>38.048081632653059</c:v>
                </c:pt>
                <c:pt idx="207">
                  <c:v>37.531591836734698</c:v>
                </c:pt>
                <c:pt idx="208">
                  <c:v>36.900326530612247</c:v>
                </c:pt>
                <c:pt idx="209">
                  <c:v>36.957714285714289</c:v>
                </c:pt>
                <c:pt idx="210">
                  <c:v>37.416816326530615</c:v>
                </c:pt>
                <c:pt idx="211">
                  <c:v>37.474204081632649</c:v>
                </c:pt>
                <c:pt idx="212">
                  <c:v>37.531591836734698</c:v>
                </c:pt>
                <c:pt idx="213">
                  <c:v>37.789836734693871</c:v>
                </c:pt>
                <c:pt idx="214">
                  <c:v>36.756857142857143</c:v>
                </c:pt>
                <c:pt idx="215">
                  <c:v>36.842938775510206</c:v>
                </c:pt>
                <c:pt idx="216">
                  <c:v>37.015102040816323</c:v>
                </c:pt>
                <c:pt idx="217">
                  <c:v>37.129877551020407</c:v>
                </c:pt>
                <c:pt idx="218">
                  <c:v>37.129877551020407</c:v>
                </c:pt>
                <c:pt idx="219">
                  <c:v>37.445510204081636</c:v>
                </c:pt>
                <c:pt idx="220">
                  <c:v>37.474204081632649</c:v>
                </c:pt>
                <c:pt idx="221">
                  <c:v>37.445510204081636</c:v>
                </c:pt>
                <c:pt idx="222">
                  <c:v>37.158571428571427</c:v>
                </c:pt>
                <c:pt idx="223">
                  <c:v>37.101183673469393</c:v>
                </c:pt>
                <c:pt idx="224">
                  <c:v>36.699469387755101</c:v>
                </c:pt>
                <c:pt idx="225">
                  <c:v>36.584693877551018</c:v>
                </c:pt>
              </c:numCache>
            </c:numRef>
          </c:xVal>
          <c:yVal>
            <c:numRef>
              <c:f>Residuals!$DC$2:$DC$227</c:f>
              <c:numCache>
                <c:formatCode>0.00</c:formatCode>
                <c:ptCount val="226"/>
                <c:pt idx="0">
                  <c:v>0.25512867728858168</c:v>
                </c:pt>
                <c:pt idx="1">
                  <c:v>0.27292621745286993</c:v>
                </c:pt>
                <c:pt idx="2">
                  <c:v>0.27292621745286993</c:v>
                </c:pt>
                <c:pt idx="3">
                  <c:v>0.13666370688332563</c:v>
                </c:pt>
                <c:pt idx="4">
                  <c:v>7.270374070587593E-2</c:v>
                </c:pt>
                <c:pt idx="5">
                  <c:v>0.70896625127542734</c:v>
                </c:pt>
                <c:pt idx="6">
                  <c:v>0.18171374916151706</c:v>
                </c:pt>
                <c:pt idx="7">
                  <c:v>0.18171374916151706</c:v>
                </c:pt>
                <c:pt idx="8">
                  <c:v>0.59995624281979332</c:v>
                </c:pt>
                <c:pt idx="9">
                  <c:v>0.16391620899722881</c:v>
                </c:pt>
                <c:pt idx="10">
                  <c:v>-9.0811271977578656E-2</c:v>
                </c:pt>
                <c:pt idx="11">
                  <c:v>-0.26378124661065527</c:v>
                </c:pt>
                <c:pt idx="12">
                  <c:v>0.48149127241453016</c:v>
                </c:pt>
                <c:pt idx="13">
                  <c:v>-0.42729625929412407</c:v>
                </c:pt>
                <c:pt idx="14">
                  <c:v>-0.15477123815502125</c:v>
                </c:pt>
                <c:pt idx="15">
                  <c:v>-0.15477123815502125</c:v>
                </c:pt>
                <c:pt idx="16">
                  <c:v>0.22676379143971559</c:v>
                </c:pt>
                <c:pt idx="17">
                  <c:v>0.25401629355362587</c:v>
                </c:pt>
                <c:pt idx="18">
                  <c:v>0.44478380835099784</c:v>
                </c:pt>
                <c:pt idx="19">
                  <c:v>0.47203631046490813</c:v>
                </c:pt>
                <c:pt idx="20">
                  <c:v>0.63555132314836982</c:v>
                </c:pt>
                <c:pt idx="21">
                  <c:v>0.13555132314836982</c:v>
                </c:pt>
                <c:pt idx="22">
                  <c:v>0.40807634428746553</c:v>
                </c:pt>
                <c:pt idx="23">
                  <c:v>-0.14642865994035503</c:v>
                </c:pt>
                <c:pt idx="24">
                  <c:v>0.51708635274310666</c:v>
                </c:pt>
                <c:pt idx="25">
                  <c:v>0.28961137388220948</c:v>
                </c:pt>
                <c:pt idx="26">
                  <c:v>0.90807634428746553</c:v>
                </c:pt>
                <c:pt idx="27">
                  <c:v>-9.1923655712534469E-2</c:v>
                </c:pt>
                <c:pt idx="28">
                  <c:v>1.7086352743106659E-2</c:v>
                </c:pt>
                <c:pt idx="29">
                  <c:v>0.12609636119874779</c:v>
                </c:pt>
                <c:pt idx="30">
                  <c:v>0.15334886331265807</c:v>
                </c:pt>
                <c:pt idx="31">
                  <c:v>0.42587388445175378</c:v>
                </c:pt>
                <c:pt idx="32">
                  <c:v>-7.4126115548246219E-2</c:v>
                </c:pt>
                <c:pt idx="33">
                  <c:v>6.2136395021305191E-2</c:v>
                </c:pt>
                <c:pt idx="34">
                  <c:v>-1.9621111320425655E-2</c:v>
                </c:pt>
                <c:pt idx="35">
                  <c:v>-1.9621111320425655E-2</c:v>
                </c:pt>
                <c:pt idx="36">
                  <c:v>0.36191391827431119</c:v>
                </c:pt>
                <c:pt idx="37">
                  <c:v>0.36191391827431119</c:v>
                </c:pt>
                <c:pt idx="38">
                  <c:v>0.28961137388220948</c:v>
                </c:pt>
                <c:pt idx="39">
                  <c:v>-0.28269117050989934</c:v>
                </c:pt>
                <c:pt idx="40">
                  <c:v>-1.2554386683959962</c:v>
                </c:pt>
                <c:pt idx="41">
                  <c:v>-0.42840864302907988</c:v>
                </c:pt>
                <c:pt idx="42">
                  <c:v>-0.34665113668734193</c:v>
                </c:pt>
                <c:pt idx="43">
                  <c:v>-0.61917615782644475</c:v>
                </c:pt>
                <c:pt idx="44">
                  <c:v>-0.51016614937080362</c:v>
                </c:pt>
                <c:pt idx="45">
                  <c:v>-0.22818616628208588</c:v>
                </c:pt>
                <c:pt idx="46">
                  <c:v>-0.36444867685163018</c:v>
                </c:pt>
                <c:pt idx="47">
                  <c:v>-0.31939863457343876</c:v>
                </c:pt>
                <c:pt idx="48">
                  <c:v>-4.6873613434335937E-2</c:v>
                </c:pt>
                <c:pt idx="49">
                  <c:v>0.1983989055908566</c:v>
                </c:pt>
                <c:pt idx="50">
                  <c:v>0.3346614161604009</c:v>
                </c:pt>
                <c:pt idx="51">
                  <c:v>0.38916642038822147</c:v>
                </c:pt>
                <c:pt idx="52">
                  <c:v>0.14389390136302893</c:v>
                </c:pt>
                <c:pt idx="53">
                  <c:v>0.36191391827431119</c:v>
                </c:pt>
                <c:pt idx="54">
                  <c:v>-0.19259108595350227</c:v>
                </c:pt>
                <c:pt idx="55">
                  <c:v>2.5428930957765772E-2</c:v>
                </c:pt>
                <c:pt idx="56">
                  <c:v>5.2681433071683159E-2</c:v>
                </c:pt>
                <c:pt idx="57">
                  <c:v>0.24344894786904803</c:v>
                </c:pt>
                <c:pt idx="58">
                  <c:v>0.29795395209686859</c:v>
                </c:pt>
                <c:pt idx="59">
                  <c:v>-0.14754104367531085</c:v>
                </c:pt>
                <c:pt idx="60">
                  <c:v>-3.8531035219669718E-2</c:v>
                </c:pt>
                <c:pt idx="61">
                  <c:v>7.0478973235971409E-2</c:v>
                </c:pt>
                <c:pt idx="62">
                  <c:v>0.20674148380552282</c:v>
                </c:pt>
                <c:pt idx="63">
                  <c:v>-0.29325851619447718</c:v>
                </c:pt>
                <c:pt idx="64">
                  <c:v>-0.34776352042230485</c:v>
                </c:pt>
                <c:pt idx="65">
                  <c:v>-0.3655610605865931</c:v>
                </c:pt>
                <c:pt idx="66">
                  <c:v>-0.12028854156140056</c:v>
                </c:pt>
                <c:pt idx="67">
                  <c:v>-9.3036039447490282E-2</c:v>
                </c:pt>
                <c:pt idx="68">
                  <c:v>-8.358107749786825E-2</c:v>
                </c:pt>
                <c:pt idx="69">
                  <c:v>-0.20204604790313141</c:v>
                </c:pt>
                <c:pt idx="70">
                  <c:v>9.7731475349874586E-2</c:v>
                </c:pt>
                <c:pt idx="71">
                  <c:v>-0.18424850773884316</c:v>
                </c:pt>
                <c:pt idx="72">
                  <c:v>-1.0290760732700477</c:v>
                </c:pt>
                <c:pt idx="73">
                  <c:v>-1.0290760732700477</c:v>
                </c:pt>
                <c:pt idx="74">
                  <c:v>-0.21984358806741966</c:v>
                </c:pt>
                <c:pt idx="75">
                  <c:v>-0.20204604790313141</c:v>
                </c:pt>
                <c:pt idx="76">
                  <c:v>-0.59303603944749028</c:v>
                </c:pt>
                <c:pt idx="77">
                  <c:v>1.597396900814374E-2</c:v>
                </c:pt>
                <c:pt idx="78">
                  <c:v>0.20674148380552282</c:v>
                </c:pt>
                <c:pt idx="79">
                  <c:v>-0.3655610605865931</c:v>
                </c:pt>
                <c:pt idx="80">
                  <c:v>-0.50182357115614451</c:v>
                </c:pt>
                <c:pt idx="81">
                  <c:v>-1.1108335796117785</c:v>
                </c:pt>
                <c:pt idx="82">
                  <c:v>-0.14754104367531085</c:v>
                </c:pt>
                <c:pt idx="83">
                  <c:v>-6.578353733358E-2</c:v>
                </c:pt>
                <c:pt idx="84">
                  <c:v>-0.25655105213095197</c:v>
                </c:pt>
                <c:pt idx="85">
                  <c:v>-0.39281356270049628</c:v>
                </c:pt>
                <c:pt idx="86">
                  <c:v>-0.91061110286479163</c:v>
                </c:pt>
                <c:pt idx="87">
                  <c:v>-1.3466511366873419</c:v>
                </c:pt>
                <c:pt idx="88">
                  <c:v>-0.85610609863697107</c:v>
                </c:pt>
                <c:pt idx="89">
                  <c:v>-0.1653385838395991</c:v>
                </c:pt>
                <c:pt idx="90">
                  <c:v>-0.85610609863697107</c:v>
                </c:pt>
                <c:pt idx="91">
                  <c:v>-0.58358107749786825</c:v>
                </c:pt>
                <c:pt idx="92">
                  <c:v>-0.54687361343433594</c:v>
                </c:pt>
                <c:pt idx="93">
                  <c:v>-1.9621111320425655E-2</c:v>
                </c:pt>
                <c:pt idx="94">
                  <c:v>0.28015641193258034</c:v>
                </c:pt>
                <c:pt idx="95">
                  <c:v>-0.21984358806741966</c:v>
                </c:pt>
                <c:pt idx="96">
                  <c:v>-0.21984358806741966</c:v>
                </c:pt>
                <c:pt idx="97">
                  <c:v>0.18894394364123457</c:v>
                </c:pt>
                <c:pt idx="98">
                  <c:v>-0.25655105213095197</c:v>
                </c:pt>
                <c:pt idx="99">
                  <c:v>-0.94731856692831684</c:v>
                </c:pt>
                <c:pt idx="100">
                  <c:v>-0.3655610605865931</c:v>
                </c:pt>
                <c:pt idx="101">
                  <c:v>-1.056328575383958</c:v>
                </c:pt>
                <c:pt idx="102">
                  <c:v>-0.81939863457343876</c:v>
                </c:pt>
                <c:pt idx="103">
                  <c:v>-0.37390363880125221</c:v>
                </c:pt>
                <c:pt idx="104">
                  <c:v>-0.15588362188998417</c:v>
                </c:pt>
                <c:pt idx="105">
                  <c:v>-1.9621111320425655E-2</c:v>
                </c:pt>
                <c:pt idx="106">
                  <c:v>-0.49236860920652248</c:v>
                </c:pt>
                <c:pt idx="107">
                  <c:v>5.2681433071683159E-2</c:v>
                </c:pt>
                <c:pt idx="108">
                  <c:v>-0.31105605635876543</c:v>
                </c:pt>
                <c:pt idx="109">
                  <c:v>-0.3655610605865931</c:v>
                </c:pt>
                <c:pt idx="110">
                  <c:v>-0.14754104367531085</c:v>
                </c:pt>
                <c:pt idx="111">
                  <c:v>0.18894394364123457</c:v>
                </c:pt>
                <c:pt idx="112">
                  <c:v>-0.50182357115614451</c:v>
                </c:pt>
                <c:pt idx="113">
                  <c:v>1.597396900814374E-2</c:v>
                </c:pt>
                <c:pt idx="114">
                  <c:v>-3.8531035219669718E-2</c:v>
                </c:pt>
                <c:pt idx="115">
                  <c:v>0.15223647957769515</c:v>
                </c:pt>
                <c:pt idx="116">
                  <c:v>0.17948898169160543</c:v>
                </c:pt>
                <c:pt idx="117">
                  <c:v>-4.798599716929175E-2</c:v>
                </c:pt>
                <c:pt idx="118">
                  <c:v>6.5190070585217086E-3</c:v>
                </c:pt>
                <c:pt idx="119">
                  <c:v>3.3771509172439096E-2</c:v>
                </c:pt>
                <c:pt idx="120">
                  <c:v>-7.5238499283202032E-2</c:v>
                </c:pt>
                <c:pt idx="121">
                  <c:v>0.15223647957769515</c:v>
                </c:pt>
                <c:pt idx="122">
                  <c:v>-0.20204604790313141</c:v>
                </c:pt>
                <c:pt idx="123">
                  <c:v>-0.31105605635876543</c:v>
                </c:pt>
                <c:pt idx="124">
                  <c:v>-0.58358107749786825</c:v>
                </c:pt>
                <c:pt idx="125">
                  <c:v>-0.33830855847268282</c:v>
                </c:pt>
                <c:pt idx="126">
                  <c:v>-0.61083357961177853</c:v>
                </c:pt>
                <c:pt idx="127">
                  <c:v>-0.74709609018132994</c:v>
                </c:pt>
                <c:pt idx="128">
                  <c:v>-0.6653385838395991</c:v>
                </c:pt>
                <c:pt idx="129">
                  <c:v>-0.73764112823170791</c:v>
                </c:pt>
                <c:pt idx="130">
                  <c:v>-0.38335860075087425</c:v>
                </c:pt>
                <c:pt idx="131">
                  <c:v>-0.46511610709260509</c:v>
                </c:pt>
                <c:pt idx="132">
                  <c:v>-0.41061110286479163</c:v>
                </c:pt>
                <c:pt idx="133">
                  <c:v>-0.54687361343433594</c:v>
                </c:pt>
                <c:pt idx="134">
                  <c:v>-0.23764112823170791</c:v>
                </c:pt>
                <c:pt idx="135">
                  <c:v>-0.34665113668734193</c:v>
                </c:pt>
                <c:pt idx="136">
                  <c:v>0.49817642884385549</c:v>
                </c:pt>
                <c:pt idx="137">
                  <c:v>0.68894394364123457</c:v>
                </c:pt>
                <c:pt idx="138">
                  <c:v>0.60718643729950372</c:v>
                </c:pt>
                <c:pt idx="139">
                  <c:v>0.35245895632468915</c:v>
                </c:pt>
                <c:pt idx="140">
                  <c:v>0.51597396900814374</c:v>
                </c:pt>
                <c:pt idx="141">
                  <c:v>0.21619644575514485</c:v>
                </c:pt>
                <c:pt idx="142">
                  <c:v>-0.1653385838395991</c:v>
                </c:pt>
                <c:pt idx="143">
                  <c:v>0.1344389394134069</c:v>
                </c:pt>
                <c:pt idx="144">
                  <c:v>-0.13808608172568881</c:v>
                </c:pt>
                <c:pt idx="145">
                  <c:v>0.10718643729950372</c:v>
                </c:pt>
                <c:pt idx="146">
                  <c:v>0.32520645421077887</c:v>
                </c:pt>
                <c:pt idx="147">
                  <c:v>-0.24709609018132994</c:v>
                </c:pt>
                <c:pt idx="148">
                  <c:v>-0.38335860075087425</c:v>
                </c:pt>
                <c:pt idx="149">
                  <c:v>-0.1653385838395991</c:v>
                </c:pt>
                <c:pt idx="150">
                  <c:v>-0.3016010944091434</c:v>
                </c:pt>
                <c:pt idx="151">
                  <c:v>-0.1653385838395991</c:v>
                </c:pt>
                <c:pt idx="152">
                  <c:v>-1.82357115614451E-3</c:v>
                </c:pt>
                <c:pt idx="153">
                  <c:v>5.2681433071683159E-2</c:v>
                </c:pt>
                <c:pt idx="154">
                  <c:v>0.35245895632468915</c:v>
                </c:pt>
                <c:pt idx="155">
                  <c:v>-0.13808608172568881</c:v>
                </c:pt>
                <c:pt idx="156">
                  <c:v>-0.1653385838395991</c:v>
                </c:pt>
                <c:pt idx="157">
                  <c:v>-0.48291364725689334</c:v>
                </c:pt>
                <c:pt idx="158">
                  <c:v>8.9388897135208367E-2</c:v>
                </c:pt>
                <c:pt idx="159">
                  <c:v>0.36191391827431119</c:v>
                </c:pt>
                <c:pt idx="160">
                  <c:v>0.49817642884385549</c:v>
                </c:pt>
                <c:pt idx="161">
                  <c:v>8.9388897135208367E-2</c:v>
                </c:pt>
                <c:pt idx="162">
                  <c:v>6.2136395021305191E-2</c:v>
                </c:pt>
                <c:pt idx="163">
                  <c:v>8.9388897135208367E-2</c:v>
                </c:pt>
                <c:pt idx="164">
                  <c:v>0.49817642884385549</c:v>
                </c:pt>
                <c:pt idx="165">
                  <c:v>0.23510636965438891</c:v>
                </c:pt>
                <c:pt idx="166">
                  <c:v>0.45312638656566406</c:v>
                </c:pt>
                <c:pt idx="167">
                  <c:v>0.49817642884385549</c:v>
                </c:pt>
                <c:pt idx="168">
                  <c:v>1.0704789732359714</c:v>
                </c:pt>
                <c:pt idx="169">
                  <c:v>0.90696396055250972</c:v>
                </c:pt>
                <c:pt idx="170">
                  <c:v>0.77070144998295831</c:v>
                </c:pt>
                <c:pt idx="171">
                  <c:v>0.66169144152731718</c:v>
                </c:pt>
                <c:pt idx="172">
                  <c:v>0.47092392672995231</c:v>
                </c:pt>
                <c:pt idx="173">
                  <c:v>-1.9621111320425655E-2</c:v>
                </c:pt>
                <c:pt idx="174">
                  <c:v>0.38916642038822147</c:v>
                </c:pt>
                <c:pt idx="175">
                  <c:v>0.41641892250213175</c:v>
                </c:pt>
                <c:pt idx="176">
                  <c:v>0.10718643729950372</c:v>
                </c:pt>
                <c:pt idx="177">
                  <c:v>7.9933935185593441E-2</c:v>
                </c:pt>
                <c:pt idx="178">
                  <c:v>-8.358107749786825E-2</c:v>
                </c:pt>
                <c:pt idx="179">
                  <c:v>0.1983989055908566</c:v>
                </c:pt>
                <c:pt idx="180">
                  <c:v>0.22565140770475978</c:v>
                </c:pt>
                <c:pt idx="181">
                  <c:v>0.58938889713520837</c:v>
                </c:pt>
                <c:pt idx="182">
                  <c:v>0.72565140770475978</c:v>
                </c:pt>
                <c:pt idx="183">
                  <c:v>0.8346614161604009</c:v>
                </c:pt>
                <c:pt idx="184">
                  <c:v>0.91641892250213175</c:v>
                </c:pt>
                <c:pt idx="185">
                  <c:v>0.1983989055908566</c:v>
                </c:pt>
                <c:pt idx="186">
                  <c:v>0.41641892250213175</c:v>
                </c:pt>
                <c:pt idx="187">
                  <c:v>0.47092392672995231</c:v>
                </c:pt>
                <c:pt idx="188">
                  <c:v>0.3346614161604009</c:v>
                </c:pt>
                <c:pt idx="189">
                  <c:v>0.41641892250213175</c:v>
                </c:pt>
                <c:pt idx="190">
                  <c:v>0.94367142461604203</c:v>
                </c:pt>
                <c:pt idx="191">
                  <c:v>0.88916642038822147</c:v>
                </c:pt>
                <c:pt idx="192">
                  <c:v>0.1983989055908566</c:v>
                </c:pt>
                <c:pt idx="193">
                  <c:v>6.2136395021305191E-2</c:v>
                </c:pt>
                <c:pt idx="194">
                  <c:v>-0.37390363880125221</c:v>
                </c:pt>
                <c:pt idx="195">
                  <c:v>7.6313907934775216E-3</c:v>
                </c:pt>
                <c:pt idx="196">
                  <c:v>0.47092392672995231</c:v>
                </c:pt>
                <c:pt idx="197">
                  <c:v>0.1983989055908566</c:v>
                </c:pt>
                <c:pt idx="198">
                  <c:v>0.56213639502130519</c:v>
                </c:pt>
                <c:pt idx="199">
                  <c:v>0.6983989055908566</c:v>
                </c:pt>
                <c:pt idx="200">
                  <c:v>0.18060136542656124</c:v>
                </c:pt>
                <c:pt idx="201">
                  <c:v>0.3986213823378435</c:v>
                </c:pt>
                <c:pt idx="202">
                  <c:v>-0.11917615782644475</c:v>
                </c:pt>
                <c:pt idx="203">
                  <c:v>0.13555132314836982</c:v>
                </c:pt>
                <c:pt idx="204">
                  <c:v>-0.11917615782644475</c:v>
                </c:pt>
                <c:pt idx="205">
                  <c:v>5.3793816806646078E-2</c:v>
                </c:pt>
                <c:pt idx="206">
                  <c:v>0.17225878721190213</c:v>
                </c:pt>
                <c:pt idx="207">
                  <c:v>0.16280382526227299</c:v>
                </c:pt>
                <c:pt idx="208">
                  <c:v>0.26235887176829209</c:v>
                </c:pt>
                <c:pt idx="209">
                  <c:v>0.70785386754047153</c:v>
                </c:pt>
                <c:pt idx="210">
                  <c:v>-0.22818616628208588</c:v>
                </c:pt>
                <c:pt idx="211">
                  <c:v>0.21730882949010066</c:v>
                </c:pt>
                <c:pt idx="212">
                  <c:v>0.16280382526227299</c:v>
                </c:pt>
                <c:pt idx="213">
                  <c:v>-0.58246869376290533</c:v>
                </c:pt>
                <c:pt idx="214">
                  <c:v>-0.1013786176621565</c:v>
                </c:pt>
                <c:pt idx="215">
                  <c:v>-0.18313612400388735</c:v>
                </c:pt>
                <c:pt idx="216">
                  <c:v>0.15334886331265807</c:v>
                </c:pt>
                <c:pt idx="217">
                  <c:v>-0.45566114514298306</c:v>
                </c:pt>
                <c:pt idx="218">
                  <c:v>-0.45566114514298306</c:v>
                </c:pt>
                <c:pt idx="219">
                  <c:v>-0.25543866839599616</c:v>
                </c:pt>
                <c:pt idx="220">
                  <c:v>-0.28269117050989934</c:v>
                </c:pt>
                <c:pt idx="221">
                  <c:v>-0.75543866839599616</c:v>
                </c:pt>
                <c:pt idx="222">
                  <c:v>0.51708635274310666</c:v>
                </c:pt>
                <c:pt idx="223">
                  <c:v>7.1591356970920117E-2</c:v>
                </c:pt>
                <c:pt idx="224">
                  <c:v>0.45312638656566406</c:v>
                </c:pt>
                <c:pt idx="225">
                  <c:v>0.56213639502130519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3-49C9-B4D4-88F24AAD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80591"/>
        <c:axId val="2117272911"/>
      </c:scatterChart>
      <c:valAx>
        <c:axId val="21172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2911"/>
        <c:crosses val="autoZero"/>
        <c:crossBetween val="midCat"/>
      </c:valAx>
      <c:valAx>
        <c:axId val="21172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Gym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Log'!$P$2:$P$227</c:f>
              <c:numCache>
                <c:formatCode>General</c:formatCode>
                <c:ptCount val="22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xVal>
          <c:yVal>
            <c:numRef>
              <c:f>Residuals!$DI$2:$DI$227</c:f>
              <c:numCache>
                <c:formatCode>0.00</c:formatCode>
                <c:ptCount val="226"/>
                <c:pt idx="0">
                  <c:v>2.949152542372893</c:v>
                </c:pt>
                <c:pt idx="1">
                  <c:v>2.449152542372893</c:v>
                </c:pt>
                <c:pt idx="2">
                  <c:v>2.6527777777777786</c:v>
                </c:pt>
                <c:pt idx="3">
                  <c:v>2.449152542372893</c:v>
                </c:pt>
                <c:pt idx="4">
                  <c:v>1.949152542372893</c:v>
                </c:pt>
                <c:pt idx="5">
                  <c:v>2.449152542372893</c:v>
                </c:pt>
                <c:pt idx="6">
                  <c:v>1.949152542372893</c:v>
                </c:pt>
                <c:pt idx="7">
                  <c:v>2.1527777777777786</c:v>
                </c:pt>
                <c:pt idx="8">
                  <c:v>2.449152542372893</c:v>
                </c:pt>
                <c:pt idx="9">
                  <c:v>2.449152542372893</c:v>
                </c:pt>
                <c:pt idx="10">
                  <c:v>1.949152542372893</c:v>
                </c:pt>
                <c:pt idx="11">
                  <c:v>1.449152542372893</c:v>
                </c:pt>
                <c:pt idx="12">
                  <c:v>1.949152542372893</c:v>
                </c:pt>
                <c:pt idx="13">
                  <c:v>1.449152542372893</c:v>
                </c:pt>
                <c:pt idx="14">
                  <c:v>1.6527777777777786</c:v>
                </c:pt>
                <c:pt idx="15">
                  <c:v>1.449152542372893</c:v>
                </c:pt>
                <c:pt idx="16">
                  <c:v>1.449152542372893</c:v>
                </c:pt>
                <c:pt idx="17">
                  <c:v>1.449152542372893</c:v>
                </c:pt>
                <c:pt idx="18">
                  <c:v>1.449152542372893</c:v>
                </c:pt>
                <c:pt idx="19">
                  <c:v>1.449152542372893</c:v>
                </c:pt>
                <c:pt idx="20">
                  <c:v>1.449152542372893</c:v>
                </c:pt>
                <c:pt idx="21">
                  <c:v>0.94915254237289304</c:v>
                </c:pt>
                <c:pt idx="22">
                  <c:v>0.94915254237289304</c:v>
                </c:pt>
                <c:pt idx="23">
                  <c:v>0.44915254237289304</c:v>
                </c:pt>
                <c:pt idx="24">
                  <c:v>1.1527777777777786</c:v>
                </c:pt>
                <c:pt idx="25">
                  <c:v>0.44915254237289304</c:v>
                </c:pt>
                <c:pt idx="26">
                  <c:v>1.449152542372893</c:v>
                </c:pt>
                <c:pt idx="27">
                  <c:v>0.44915254237289304</c:v>
                </c:pt>
                <c:pt idx="28">
                  <c:v>0.65277777777777857</c:v>
                </c:pt>
                <c:pt idx="29">
                  <c:v>0.44915254237289304</c:v>
                </c:pt>
                <c:pt idx="30">
                  <c:v>0.44915254237289304</c:v>
                </c:pt>
                <c:pt idx="31">
                  <c:v>0.44915254237289304</c:v>
                </c:pt>
                <c:pt idx="32">
                  <c:v>-5.0847457627106962E-2</c:v>
                </c:pt>
                <c:pt idx="33">
                  <c:v>-5.0847457627106962E-2</c:v>
                </c:pt>
                <c:pt idx="34">
                  <c:v>-5.0847457627106962E-2</c:v>
                </c:pt>
                <c:pt idx="35">
                  <c:v>-5.0847457627106962E-2</c:v>
                </c:pt>
                <c:pt idx="36">
                  <c:v>-5.0847457627106962E-2</c:v>
                </c:pt>
                <c:pt idx="37">
                  <c:v>-5.0847457627106962E-2</c:v>
                </c:pt>
                <c:pt idx="38">
                  <c:v>0.65277777777777857</c:v>
                </c:pt>
                <c:pt idx="39">
                  <c:v>0.65277777777777857</c:v>
                </c:pt>
                <c:pt idx="40">
                  <c:v>-0.34722222222222143</c:v>
                </c:pt>
                <c:pt idx="41">
                  <c:v>-5.0847457627106962E-2</c:v>
                </c:pt>
                <c:pt idx="42">
                  <c:v>0.15277777777777857</c:v>
                </c:pt>
                <c:pt idx="43">
                  <c:v>0.15277777777777857</c:v>
                </c:pt>
                <c:pt idx="44">
                  <c:v>0.15277777777777857</c:v>
                </c:pt>
                <c:pt idx="45">
                  <c:v>0.65277777777777857</c:v>
                </c:pt>
                <c:pt idx="46">
                  <c:v>0.44915254237289304</c:v>
                </c:pt>
                <c:pt idx="47">
                  <c:v>-5.0847457627106962E-2</c:v>
                </c:pt>
                <c:pt idx="48">
                  <c:v>-5.0847457627106962E-2</c:v>
                </c:pt>
                <c:pt idx="49">
                  <c:v>-5.0847457627106962E-2</c:v>
                </c:pt>
                <c:pt idx="50">
                  <c:v>-5.0847457627106962E-2</c:v>
                </c:pt>
                <c:pt idx="51">
                  <c:v>-5.0847457627106962E-2</c:v>
                </c:pt>
                <c:pt idx="52">
                  <c:v>-5.0847457627106962E-2</c:v>
                </c:pt>
                <c:pt idx="53">
                  <c:v>-5.0847457627106962E-2</c:v>
                </c:pt>
                <c:pt idx="54">
                  <c:v>-0.55084745762710696</c:v>
                </c:pt>
                <c:pt idx="55">
                  <c:v>-0.55084745762710696</c:v>
                </c:pt>
                <c:pt idx="56">
                  <c:v>-0.55084745762710696</c:v>
                </c:pt>
                <c:pt idx="57">
                  <c:v>-0.55084745762710696</c:v>
                </c:pt>
                <c:pt idx="58">
                  <c:v>-0.55084745762710696</c:v>
                </c:pt>
                <c:pt idx="59">
                  <c:v>-1.050847457627107</c:v>
                </c:pt>
                <c:pt idx="60">
                  <c:v>-1.050847457627107</c:v>
                </c:pt>
                <c:pt idx="61">
                  <c:v>-1.050847457627107</c:v>
                </c:pt>
                <c:pt idx="62">
                  <c:v>-1.050847457627107</c:v>
                </c:pt>
                <c:pt idx="63">
                  <c:v>-1.550847457627107</c:v>
                </c:pt>
                <c:pt idx="64">
                  <c:v>-1.3472222222222214</c:v>
                </c:pt>
                <c:pt idx="65">
                  <c:v>-1.050847457627107</c:v>
                </c:pt>
                <c:pt idx="66">
                  <c:v>-1.050847457627107</c:v>
                </c:pt>
                <c:pt idx="67">
                  <c:v>-1.050847457627107</c:v>
                </c:pt>
                <c:pt idx="68">
                  <c:v>-0.55084745762710696</c:v>
                </c:pt>
                <c:pt idx="69">
                  <c:v>-1.050847457627107</c:v>
                </c:pt>
                <c:pt idx="70">
                  <c:v>-1.050847457627107</c:v>
                </c:pt>
                <c:pt idx="71">
                  <c:v>-1.3472222222222214</c:v>
                </c:pt>
                <c:pt idx="72">
                  <c:v>-1.3472222222222214</c:v>
                </c:pt>
                <c:pt idx="73">
                  <c:v>-1.3472222222222214</c:v>
                </c:pt>
                <c:pt idx="74">
                  <c:v>-0.55084745762710696</c:v>
                </c:pt>
                <c:pt idx="75">
                  <c:v>-1.050847457627107</c:v>
                </c:pt>
                <c:pt idx="76">
                  <c:v>-1.550847457627107</c:v>
                </c:pt>
                <c:pt idx="77">
                  <c:v>-1.050847457627107</c:v>
                </c:pt>
                <c:pt idx="78">
                  <c:v>-1.050847457627107</c:v>
                </c:pt>
                <c:pt idx="79">
                  <c:v>-0.84722222222222143</c:v>
                </c:pt>
                <c:pt idx="80">
                  <c:v>-1.050847457627107</c:v>
                </c:pt>
                <c:pt idx="81">
                  <c:v>-1.550847457627107</c:v>
                </c:pt>
                <c:pt idx="82">
                  <c:v>-1.050847457627107</c:v>
                </c:pt>
                <c:pt idx="83">
                  <c:v>-0.84722222222222143</c:v>
                </c:pt>
                <c:pt idx="84">
                  <c:v>-1.050847457627107</c:v>
                </c:pt>
                <c:pt idx="85">
                  <c:v>-0.84722222222222143</c:v>
                </c:pt>
                <c:pt idx="86">
                  <c:v>-0.84722222222222143</c:v>
                </c:pt>
                <c:pt idx="87">
                  <c:v>-0.84722222222222143</c:v>
                </c:pt>
                <c:pt idx="88">
                  <c:v>-1.050847457627107</c:v>
                </c:pt>
                <c:pt idx="89">
                  <c:v>-0.55084745762710696</c:v>
                </c:pt>
                <c:pt idx="90">
                  <c:v>-1.050847457627107</c:v>
                </c:pt>
                <c:pt idx="91">
                  <c:v>-0.84722222222222143</c:v>
                </c:pt>
                <c:pt idx="92">
                  <c:v>-0.34722222222222143</c:v>
                </c:pt>
                <c:pt idx="93">
                  <c:v>-5.0847457627106962E-2</c:v>
                </c:pt>
                <c:pt idx="94">
                  <c:v>-5.0847457627106962E-2</c:v>
                </c:pt>
                <c:pt idx="95">
                  <c:v>-0.55084745762710696</c:v>
                </c:pt>
                <c:pt idx="96">
                  <c:v>-0.55084745762710696</c:v>
                </c:pt>
                <c:pt idx="97">
                  <c:v>-0.55084745762710696</c:v>
                </c:pt>
                <c:pt idx="98">
                  <c:v>-0.84722222222222143</c:v>
                </c:pt>
                <c:pt idx="99">
                  <c:v>-1.3472222222222214</c:v>
                </c:pt>
                <c:pt idx="100">
                  <c:v>-0.84722222222222143</c:v>
                </c:pt>
                <c:pt idx="101">
                  <c:v>-1.3472222222222214</c:v>
                </c:pt>
                <c:pt idx="102">
                  <c:v>-0.55084745762710696</c:v>
                </c:pt>
                <c:pt idx="103">
                  <c:v>0.15277777777777857</c:v>
                </c:pt>
                <c:pt idx="104">
                  <c:v>-5.0847457627106962E-2</c:v>
                </c:pt>
                <c:pt idx="105">
                  <c:v>0.15277777777777857</c:v>
                </c:pt>
                <c:pt idx="106">
                  <c:v>-0.55084745762710696</c:v>
                </c:pt>
                <c:pt idx="107">
                  <c:v>-0.55084745762710696</c:v>
                </c:pt>
                <c:pt idx="108">
                  <c:v>-1.050847457627107</c:v>
                </c:pt>
                <c:pt idx="109">
                  <c:v>-0.84722222222222143</c:v>
                </c:pt>
                <c:pt idx="110">
                  <c:v>-1.050847457627107</c:v>
                </c:pt>
                <c:pt idx="111">
                  <c:v>-0.34722222222222143</c:v>
                </c:pt>
                <c:pt idx="112">
                  <c:v>-1.050847457627107</c:v>
                </c:pt>
                <c:pt idx="113">
                  <c:v>-1.050847457627107</c:v>
                </c:pt>
                <c:pt idx="114">
                  <c:v>-1.050847457627107</c:v>
                </c:pt>
                <c:pt idx="115">
                  <c:v>-1.050847457627107</c:v>
                </c:pt>
                <c:pt idx="116">
                  <c:v>-1.050847457627107</c:v>
                </c:pt>
                <c:pt idx="117">
                  <c:v>-1.550847457627107</c:v>
                </c:pt>
                <c:pt idx="118">
                  <c:v>-1.550847457627107</c:v>
                </c:pt>
                <c:pt idx="119">
                  <c:v>-1.550847457627107</c:v>
                </c:pt>
                <c:pt idx="120">
                  <c:v>-1.3472222222222214</c:v>
                </c:pt>
                <c:pt idx="121">
                  <c:v>-0.84722222222222143</c:v>
                </c:pt>
                <c:pt idx="122">
                  <c:v>-0.84722222222222143</c:v>
                </c:pt>
                <c:pt idx="123">
                  <c:v>-0.84722222222222143</c:v>
                </c:pt>
                <c:pt idx="124">
                  <c:v>-0.84722222222222143</c:v>
                </c:pt>
                <c:pt idx="125">
                  <c:v>-0.84722222222222143</c:v>
                </c:pt>
                <c:pt idx="126">
                  <c:v>-0.84722222222222143</c:v>
                </c:pt>
                <c:pt idx="127">
                  <c:v>-0.84722222222222143</c:v>
                </c:pt>
                <c:pt idx="128">
                  <c:v>-0.84722222222222143</c:v>
                </c:pt>
                <c:pt idx="129">
                  <c:v>-0.34722222222222143</c:v>
                </c:pt>
                <c:pt idx="130">
                  <c:v>-0.34722222222222143</c:v>
                </c:pt>
                <c:pt idx="131">
                  <c:v>-0.34722222222222143</c:v>
                </c:pt>
                <c:pt idx="132">
                  <c:v>-0.34722222222222143</c:v>
                </c:pt>
                <c:pt idx="133">
                  <c:v>-0.34722222222222143</c:v>
                </c:pt>
                <c:pt idx="134">
                  <c:v>0.15277777777777857</c:v>
                </c:pt>
                <c:pt idx="135">
                  <c:v>-5.0847457627106962E-2</c:v>
                </c:pt>
                <c:pt idx="136">
                  <c:v>0.15277777777777857</c:v>
                </c:pt>
                <c:pt idx="137">
                  <c:v>0.15277777777777857</c:v>
                </c:pt>
                <c:pt idx="138">
                  <c:v>0.15277777777777857</c:v>
                </c:pt>
                <c:pt idx="139">
                  <c:v>-0.34722222222222143</c:v>
                </c:pt>
                <c:pt idx="140">
                  <c:v>-0.55084745762710696</c:v>
                </c:pt>
                <c:pt idx="141">
                  <c:v>-0.34722222222222143</c:v>
                </c:pt>
                <c:pt idx="142">
                  <c:v>-0.55084745762710696</c:v>
                </c:pt>
                <c:pt idx="143">
                  <c:v>-0.55084745762710696</c:v>
                </c:pt>
                <c:pt idx="144">
                  <c:v>-0.55084745762710696</c:v>
                </c:pt>
                <c:pt idx="145">
                  <c:v>-0.34722222222222143</c:v>
                </c:pt>
                <c:pt idx="146">
                  <c:v>-0.55084745762710696</c:v>
                </c:pt>
                <c:pt idx="147">
                  <c:v>-0.34722222222222143</c:v>
                </c:pt>
                <c:pt idx="148">
                  <c:v>-0.34722222222222143</c:v>
                </c:pt>
                <c:pt idx="149">
                  <c:v>-0.55084745762710696</c:v>
                </c:pt>
                <c:pt idx="150">
                  <c:v>-0.34722222222222143</c:v>
                </c:pt>
                <c:pt idx="151">
                  <c:v>-0.34722222222222143</c:v>
                </c:pt>
                <c:pt idx="152">
                  <c:v>-0.34722222222222143</c:v>
                </c:pt>
                <c:pt idx="153">
                  <c:v>-0.34722222222222143</c:v>
                </c:pt>
                <c:pt idx="154">
                  <c:v>-0.34722222222222143</c:v>
                </c:pt>
                <c:pt idx="155">
                  <c:v>-0.34722222222222143</c:v>
                </c:pt>
                <c:pt idx="156">
                  <c:v>-0.34722222222222143</c:v>
                </c:pt>
                <c:pt idx="157">
                  <c:v>0.15277777777777857</c:v>
                </c:pt>
                <c:pt idx="158">
                  <c:v>0.15277777777777857</c:v>
                </c:pt>
                <c:pt idx="159">
                  <c:v>-5.0847457627106962E-2</c:v>
                </c:pt>
                <c:pt idx="160">
                  <c:v>0.15277777777777857</c:v>
                </c:pt>
                <c:pt idx="161">
                  <c:v>0.15277777777777857</c:v>
                </c:pt>
                <c:pt idx="162">
                  <c:v>0.15277777777777857</c:v>
                </c:pt>
                <c:pt idx="163">
                  <c:v>-5.0847457627106962E-2</c:v>
                </c:pt>
                <c:pt idx="164">
                  <c:v>0.15277777777777857</c:v>
                </c:pt>
                <c:pt idx="165">
                  <c:v>0.65277777777777857</c:v>
                </c:pt>
                <c:pt idx="166">
                  <c:v>0.65277777777777857</c:v>
                </c:pt>
                <c:pt idx="167">
                  <c:v>0.15277777777777857</c:v>
                </c:pt>
                <c:pt idx="168">
                  <c:v>0.15277777777777857</c:v>
                </c:pt>
                <c:pt idx="169">
                  <c:v>0.15277777777777857</c:v>
                </c:pt>
                <c:pt idx="170">
                  <c:v>0.15277777777777857</c:v>
                </c:pt>
                <c:pt idx="171">
                  <c:v>0.15277777777777857</c:v>
                </c:pt>
                <c:pt idx="172">
                  <c:v>0.15277777777777857</c:v>
                </c:pt>
                <c:pt idx="173">
                  <c:v>0.15277777777777857</c:v>
                </c:pt>
                <c:pt idx="174">
                  <c:v>0.15277777777777857</c:v>
                </c:pt>
                <c:pt idx="175">
                  <c:v>-5.0847457627106962E-2</c:v>
                </c:pt>
                <c:pt idx="176">
                  <c:v>-0.55084745762710696</c:v>
                </c:pt>
                <c:pt idx="177">
                  <c:v>-0.55084745762710696</c:v>
                </c:pt>
                <c:pt idx="178">
                  <c:v>-0.34722222222222143</c:v>
                </c:pt>
                <c:pt idx="179">
                  <c:v>-5.0847457627106962E-2</c:v>
                </c:pt>
                <c:pt idx="180">
                  <c:v>0.15277777777777857</c:v>
                </c:pt>
                <c:pt idx="181">
                  <c:v>0.44915254237289304</c:v>
                </c:pt>
                <c:pt idx="182">
                  <c:v>0.44915254237289304</c:v>
                </c:pt>
                <c:pt idx="183">
                  <c:v>0.44915254237289304</c:v>
                </c:pt>
                <c:pt idx="184">
                  <c:v>0.44915254237289304</c:v>
                </c:pt>
                <c:pt idx="185">
                  <c:v>-5.0847457627106962E-2</c:v>
                </c:pt>
                <c:pt idx="186">
                  <c:v>0.15277777777777857</c:v>
                </c:pt>
                <c:pt idx="187">
                  <c:v>0.15277777777777857</c:v>
                </c:pt>
                <c:pt idx="188">
                  <c:v>0.15277777777777857</c:v>
                </c:pt>
                <c:pt idx="189">
                  <c:v>0.15277777777777857</c:v>
                </c:pt>
                <c:pt idx="190">
                  <c:v>0.65277777777777857</c:v>
                </c:pt>
                <c:pt idx="191">
                  <c:v>0.65277777777777857</c:v>
                </c:pt>
                <c:pt idx="192">
                  <c:v>0.15277777777777857</c:v>
                </c:pt>
                <c:pt idx="193">
                  <c:v>0.15277777777777857</c:v>
                </c:pt>
                <c:pt idx="194">
                  <c:v>0.15277777777777857</c:v>
                </c:pt>
                <c:pt idx="195">
                  <c:v>-5.0847457627106962E-2</c:v>
                </c:pt>
                <c:pt idx="196">
                  <c:v>0.15277777777777857</c:v>
                </c:pt>
                <c:pt idx="197">
                  <c:v>0.15277777777777857</c:v>
                </c:pt>
                <c:pt idx="198">
                  <c:v>0.65277777777777857</c:v>
                </c:pt>
                <c:pt idx="199">
                  <c:v>0.65277777777777857</c:v>
                </c:pt>
                <c:pt idx="200">
                  <c:v>0.65277777777777857</c:v>
                </c:pt>
                <c:pt idx="201">
                  <c:v>0.65277777777777857</c:v>
                </c:pt>
                <c:pt idx="202">
                  <c:v>0.65277777777777857</c:v>
                </c:pt>
                <c:pt idx="203">
                  <c:v>1.1527777777777786</c:v>
                </c:pt>
                <c:pt idx="204">
                  <c:v>0.44915254237289304</c:v>
                </c:pt>
                <c:pt idx="205">
                  <c:v>1.1527777777777786</c:v>
                </c:pt>
                <c:pt idx="206">
                  <c:v>1.6527777777777786</c:v>
                </c:pt>
                <c:pt idx="207">
                  <c:v>0.94915254237289304</c:v>
                </c:pt>
                <c:pt idx="208">
                  <c:v>0.44915254237289304</c:v>
                </c:pt>
                <c:pt idx="209">
                  <c:v>1.1527777777777786</c:v>
                </c:pt>
                <c:pt idx="210">
                  <c:v>0.65277777777777857</c:v>
                </c:pt>
                <c:pt idx="211">
                  <c:v>1.1527777777777786</c:v>
                </c:pt>
                <c:pt idx="212">
                  <c:v>1.1527777777777786</c:v>
                </c:pt>
                <c:pt idx="213">
                  <c:v>0.44915254237289304</c:v>
                </c:pt>
                <c:pt idx="214">
                  <c:v>0.15277777777777857</c:v>
                </c:pt>
                <c:pt idx="215">
                  <c:v>-5.0847457627106962E-2</c:v>
                </c:pt>
                <c:pt idx="216">
                  <c:v>0.44915254237289304</c:v>
                </c:pt>
                <c:pt idx="217">
                  <c:v>0.15277777777777857</c:v>
                </c:pt>
                <c:pt idx="218">
                  <c:v>0.15277777777777857</c:v>
                </c:pt>
                <c:pt idx="219">
                  <c:v>0.65277777777777857</c:v>
                </c:pt>
                <c:pt idx="220">
                  <c:v>0.65277777777777857</c:v>
                </c:pt>
                <c:pt idx="221">
                  <c:v>0.15277777777777857</c:v>
                </c:pt>
                <c:pt idx="222">
                  <c:v>0.94915254237289304</c:v>
                </c:pt>
                <c:pt idx="223">
                  <c:v>0.44915254237289304</c:v>
                </c:pt>
                <c:pt idx="224">
                  <c:v>0.44915254237289304</c:v>
                </c:pt>
                <c:pt idx="225">
                  <c:v>0.44915254237289304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B-48D2-97BE-0CC634AB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363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3631"/>
        <c:crosses val="autoZero"/>
        <c:crossBetween val="midCat"/>
      </c:valAx>
      <c:valAx>
        <c:axId val="2117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Log'!$O$2:$O$227</c:f>
              <c:numCache>
                <c:formatCode>0.00</c:formatCode>
                <c:ptCount val="226"/>
                <c:pt idx="0">
                  <c:v>35.192117361578489</c:v>
                </c:pt>
                <c:pt idx="1">
                  <c:v>34.574687297799606</c:v>
                </c:pt>
                <c:pt idx="2">
                  <c:v>34.574687297799606</c:v>
                </c:pt>
                <c:pt idx="3">
                  <c:v>34.574687297799606</c:v>
                </c:pt>
                <c:pt idx="4">
                  <c:v>33.946879773643239</c:v>
                </c:pt>
                <c:pt idx="5">
                  <c:v>34.574687297799606</c:v>
                </c:pt>
                <c:pt idx="6">
                  <c:v>33.946879773643239</c:v>
                </c:pt>
                <c:pt idx="7">
                  <c:v>33.946879773643239</c:v>
                </c:pt>
                <c:pt idx="8">
                  <c:v>34.574687297799606</c:v>
                </c:pt>
                <c:pt idx="9">
                  <c:v>34.574687297799606</c:v>
                </c:pt>
                <c:pt idx="10">
                  <c:v>33.946879773643239</c:v>
                </c:pt>
                <c:pt idx="11">
                  <c:v>33.308339978650658</c:v>
                </c:pt>
                <c:pt idx="12">
                  <c:v>33.946879773643239</c:v>
                </c:pt>
                <c:pt idx="13">
                  <c:v>33.308339978650658</c:v>
                </c:pt>
                <c:pt idx="14">
                  <c:v>33.308339978650658</c:v>
                </c:pt>
                <c:pt idx="15">
                  <c:v>33.308339978650658</c:v>
                </c:pt>
                <c:pt idx="16">
                  <c:v>33.308339978650658</c:v>
                </c:pt>
                <c:pt idx="17">
                  <c:v>33.308339978650658</c:v>
                </c:pt>
                <c:pt idx="18">
                  <c:v>33.308339978650658</c:v>
                </c:pt>
                <c:pt idx="19">
                  <c:v>33.308339978650658</c:v>
                </c:pt>
                <c:pt idx="20">
                  <c:v>33.308339978650658</c:v>
                </c:pt>
                <c:pt idx="21">
                  <c:v>32.6586945886934</c:v>
                </c:pt>
                <c:pt idx="22">
                  <c:v>32.6586945886934</c:v>
                </c:pt>
                <c:pt idx="23">
                  <c:v>31.997550455105717</c:v>
                </c:pt>
                <c:pt idx="24">
                  <c:v>32.6586945886934</c:v>
                </c:pt>
                <c:pt idx="25">
                  <c:v>31.997550455105717</c:v>
                </c:pt>
                <c:pt idx="26">
                  <c:v>33.308339978650658</c:v>
                </c:pt>
                <c:pt idx="27">
                  <c:v>31.997550455105717</c:v>
                </c:pt>
                <c:pt idx="28">
                  <c:v>31.997550455105717</c:v>
                </c:pt>
                <c:pt idx="29">
                  <c:v>31.997550455105717</c:v>
                </c:pt>
                <c:pt idx="30">
                  <c:v>31.997550455105717</c:v>
                </c:pt>
                <c:pt idx="31">
                  <c:v>31.997550455105717</c:v>
                </c:pt>
                <c:pt idx="32">
                  <c:v>31.324493175702337</c:v>
                </c:pt>
                <c:pt idx="33">
                  <c:v>31.324493175702337</c:v>
                </c:pt>
                <c:pt idx="34">
                  <c:v>31.324493175702337</c:v>
                </c:pt>
                <c:pt idx="35">
                  <c:v>31.324493175702337</c:v>
                </c:pt>
                <c:pt idx="36">
                  <c:v>31.324493175702337</c:v>
                </c:pt>
                <c:pt idx="37">
                  <c:v>31.324493175702337</c:v>
                </c:pt>
                <c:pt idx="38">
                  <c:v>31.997550455105717</c:v>
                </c:pt>
                <c:pt idx="39">
                  <c:v>31.997550455105717</c:v>
                </c:pt>
                <c:pt idx="40">
                  <c:v>30.639085534675949</c:v>
                </c:pt>
                <c:pt idx="41">
                  <c:v>31.324493175702337</c:v>
                </c:pt>
                <c:pt idx="42">
                  <c:v>31.324493175702337</c:v>
                </c:pt>
                <c:pt idx="43">
                  <c:v>31.324493175702337</c:v>
                </c:pt>
                <c:pt idx="44">
                  <c:v>31.324493175702337</c:v>
                </c:pt>
                <c:pt idx="45">
                  <c:v>31.997550455105717</c:v>
                </c:pt>
                <c:pt idx="46">
                  <c:v>31.997550455105717</c:v>
                </c:pt>
                <c:pt idx="47">
                  <c:v>31.324493175702337</c:v>
                </c:pt>
                <c:pt idx="48">
                  <c:v>31.324493175702337</c:v>
                </c:pt>
                <c:pt idx="49">
                  <c:v>31.324493175702337</c:v>
                </c:pt>
                <c:pt idx="50">
                  <c:v>31.324493175702337</c:v>
                </c:pt>
                <c:pt idx="51">
                  <c:v>31.324493175702337</c:v>
                </c:pt>
                <c:pt idx="52">
                  <c:v>31.324493175702337</c:v>
                </c:pt>
                <c:pt idx="53">
                  <c:v>31.324493175702337</c:v>
                </c:pt>
                <c:pt idx="54">
                  <c:v>30.639085534675949</c:v>
                </c:pt>
                <c:pt idx="55">
                  <c:v>30.639085534675949</c:v>
                </c:pt>
                <c:pt idx="56">
                  <c:v>30.639085534675949</c:v>
                </c:pt>
                <c:pt idx="57">
                  <c:v>30.639085534675949</c:v>
                </c:pt>
                <c:pt idx="58">
                  <c:v>30.639085534675949</c:v>
                </c:pt>
                <c:pt idx="59">
                  <c:v>29.940865796666294</c:v>
                </c:pt>
                <c:pt idx="60">
                  <c:v>29.940865796666294</c:v>
                </c:pt>
                <c:pt idx="61">
                  <c:v>30.639085534675949</c:v>
                </c:pt>
                <c:pt idx="62">
                  <c:v>31.324493175702337</c:v>
                </c:pt>
                <c:pt idx="63">
                  <c:v>30.639085534675949</c:v>
                </c:pt>
                <c:pt idx="64">
                  <c:v>30.639085534675949</c:v>
                </c:pt>
                <c:pt idx="65">
                  <c:v>30.639085534675949</c:v>
                </c:pt>
                <c:pt idx="66">
                  <c:v>30.639085534675949</c:v>
                </c:pt>
                <c:pt idx="67">
                  <c:v>30.639085534675949</c:v>
                </c:pt>
                <c:pt idx="68">
                  <c:v>31.324493175702337</c:v>
                </c:pt>
                <c:pt idx="69">
                  <c:v>30.639085534675949</c:v>
                </c:pt>
                <c:pt idx="70">
                  <c:v>30.639085534675949</c:v>
                </c:pt>
                <c:pt idx="71">
                  <c:v>29.940865796666294</c:v>
                </c:pt>
                <c:pt idx="72">
                  <c:v>29.940865796666294</c:v>
                </c:pt>
                <c:pt idx="73">
                  <c:v>29.940865796666294</c:v>
                </c:pt>
                <c:pt idx="74">
                  <c:v>31.324493175702337</c:v>
                </c:pt>
                <c:pt idx="75">
                  <c:v>30.639085534675949</c:v>
                </c:pt>
                <c:pt idx="76">
                  <c:v>29.940865796666294</c:v>
                </c:pt>
                <c:pt idx="77">
                  <c:v>30.639085534675949</c:v>
                </c:pt>
                <c:pt idx="78">
                  <c:v>30.639085534675949</c:v>
                </c:pt>
                <c:pt idx="79">
                  <c:v>30.639085534675949</c:v>
                </c:pt>
                <c:pt idx="80">
                  <c:v>30.639085534675949</c:v>
                </c:pt>
                <c:pt idx="81">
                  <c:v>29.940865796666294</c:v>
                </c:pt>
                <c:pt idx="82">
                  <c:v>30.639085534675949</c:v>
                </c:pt>
                <c:pt idx="83">
                  <c:v>30.639085534675949</c:v>
                </c:pt>
                <c:pt idx="84">
                  <c:v>30.639085534675949</c:v>
                </c:pt>
                <c:pt idx="85">
                  <c:v>30.639085534675949</c:v>
                </c:pt>
                <c:pt idx="86">
                  <c:v>30.639085534675949</c:v>
                </c:pt>
                <c:pt idx="87">
                  <c:v>30.639085534675949</c:v>
                </c:pt>
                <c:pt idx="88">
                  <c:v>30.639085534675949</c:v>
                </c:pt>
                <c:pt idx="89">
                  <c:v>31.324493175702337</c:v>
                </c:pt>
                <c:pt idx="90">
                  <c:v>30.639085534675949</c:v>
                </c:pt>
                <c:pt idx="91">
                  <c:v>30.639085534675949</c:v>
                </c:pt>
                <c:pt idx="92">
                  <c:v>31.324493175702337</c:v>
                </c:pt>
                <c:pt idx="93">
                  <c:v>31.997550455105717</c:v>
                </c:pt>
                <c:pt idx="94">
                  <c:v>31.997550455105717</c:v>
                </c:pt>
                <c:pt idx="95">
                  <c:v>31.324493175702337</c:v>
                </c:pt>
                <c:pt idx="96">
                  <c:v>31.324493175702337</c:v>
                </c:pt>
                <c:pt idx="97">
                  <c:v>31.324493175702337</c:v>
                </c:pt>
                <c:pt idx="98">
                  <c:v>30.639085534675949</c:v>
                </c:pt>
                <c:pt idx="99">
                  <c:v>29.940865796666294</c:v>
                </c:pt>
                <c:pt idx="100">
                  <c:v>30.639085534675949</c:v>
                </c:pt>
                <c:pt idx="101">
                  <c:v>29.940865796666294</c:v>
                </c:pt>
                <c:pt idx="102">
                  <c:v>31.324493175702337</c:v>
                </c:pt>
                <c:pt idx="103">
                  <c:v>31.997550455105717</c:v>
                </c:pt>
                <c:pt idx="104">
                  <c:v>31.997550455105717</c:v>
                </c:pt>
                <c:pt idx="105">
                  <c:v>31.997550455105717</c:v>
                </c:pt>
                <c:pt idx="106">
                  <c:v>31.324493175702337</c:v>
                </c:pt>
                <c:pt idx="107">
                  <c:v>31.324493175702337</c:v>
                </c:pt>
                <c:pt idx="108">
                  <c:v>30.639085534675949</c:v>
                </c:pt>
                <c:pt idx="109">
                  <c:v>30.639085534675949</c:v>
                </c:pt>
                <c:pt idx="110">
                  <c:v>30.639085534675949</c:v>
                </c:pt>
                <c:pt idx="111">
                  <c:v>31.324493175702337</c:v>
                </c:pt>
                <c:pt idx="112">
                  <c:v>30.639085534675949</c:v>
                </c:pt>
                <c:pt idx="113">
                  <c:v>30.639085534675949</c:v>
                </c:pt>
                <c:pt idx="114">
                  <c:v>30.639085534675949</c:v>
                </c:pt>
                <c:pt idx="115">
                  <c:v>30.639085534675949</c:v>
                </c:pt>
                <c:pt idx="116">
                  <c:v>30.639085534675949</c:v>
                </c:pt>
                <c:pt idx="117">
                  <c:v>29.940865796666294</c:v>
                </c:pt>
                <c:pt idx="118">
                  <c:v>29.940865796666294</c:v>
                </c:pt>
                <c:pt idx="119">
                  <c:v>29.940865796666294</c:v>
                </c:pt>
                <c:pt idx="120">
                  <c:v>29.940865796666294</c:v>
                </c:pt>
                <c:pt idx="121">
                  <c:v>30.639085534675949</c:v>
                </c:pt>
                <c:pt idx="122">
                  <c:v>30.639085534675949</c:v>
                </c:pt>
                <c:pt idx="123">
                  <c:v>30.639085534675949</c:v>
                </c:pt>
                <c:pt idx="124">
                  <c:v>30.639085534675949</c:v>
                </c:pt>
                <c:pt idx="125">
                  <c:v>30.639085534675949</c:v>
                </c:pt>
                <c:pt idx="126">
                  <c:v>30.639085534675949</c:v>
                </c:pt>
                <c:pt idx="127">
                  <c:v>30.639085534675949</c:v>
                </c:pt>
                <c:pt idx="128">
                  <c:v>30.639085534675949</c:v>
                </c:pt>
                <c:pt idx="129">
                  <c:v>31.324493175702337</c:v>
                </c:pt>
                <c:pt idx="130">
                  <c:v>31.324493175702337</c:v>
                </c:pt>
                <c:pt idx="131">
                  <c:v>31.324493175702337</c:v>
                </c:pt>
                <c:pt idx="132">
                  <c:v>31.324493175702337</c:v>
                </c:pt>
                <c:pt idx="133">
                  <c:v>31.324493175702337</c:v>
                </c:pt>
                <c:pt idx="134">
                  <c:v>31.997550455105717</c:v>
                </c:pt>
                <c:pt idx="135">
                  <c:v>31.997550455105717</c:v>
                </c:pt>
                <c:pt idx="136">
                  <c:v>31.997550455105717</c:v>
                </c:pt>
                <c:pt idx="137">
                  <c:v>31.997550455105717</c:v>
                </c:pt>
                <c:pt idx="138">
                  <c:v>31.997550455105717</c:v>
                </c:pt>
                <c:pt idx="139">
                  <c:v>31.324493175702337</c:v>
                </c:pt>
                <c:pt idx="140">
                  <c:v>31.324493175702337</c:v>
                </c:pt>
                <c:pt idx="141">
                  <c:v>31.324493175702337</c:v>
                </c:pt>
                <c:pt idx="142">
                  <c:v>31.324493175702337</c:v>
                </c:pt>
                <c:pt idx="143">
                  <c:v>31.324493175702337</c:v>
                </c:pt>
                <c:pt idx="144">
                  <c:v>31.324493175702337</c:v>
                </c:pt>
                <c:pt idx="145">
                  <c:v>31.324493175702337</c:v>
                </c:pt>
                <c:pt idx="146">
                  <c:v>31.324493175702337</c:v>
                </c:pt>
                <c:pt idx="147">
                  <c:v>31.324493175702337</c:v>
                </c:pt>
                <c:pt idx="148">
                  <c:v>31.324493175702337</c:v>
                </c:pt>
                <c:pt idx="149">
                  <c:v>31.324493175702337</c:v>
                </c:pt>
                <c:pt idx="150">
                  <c:v>31.324493175702337</c:v>
                </c:pt>
                <c:pt idx="151">
                  <c:v>31.324493175702337</c:v>
                </c:pt>
                <c:pt idx="152">
                  <c:v>31.324493175702337</c:v>
                </c:pt>
                <c:pt idx="153">
                  <c:v>31.324493175702337</c:v>
                </c:pt>
                <c:pt idx="154">
                  <c:v>31.324493175702337</c:v>
                </c:pt>
                <c:pt idx="155">
                  <c:v>31.324493175702337</c:v>
                </c:pt>
                <c:pt idx="156">
                  <c:v>31.324493175702337</c:v>
                </c:pt>
                <c:pt idx="157">
                  <c:v>31.997550455105717</c:v>
                </c:pt>
                <c:pt idx="158">
                  <c:v>31.997550455105717</c:v>
                </c:pt>
                <c:pt idx="159">
                  <c:v>31.997550455105717</c:v>
                </c:pt>
                <c:pt idx="160">
                  <c:v>31.997550455105717</c:v>
                </c:pt>
                <c:pt idx="161">
                  <c:v>31.997550455105717</c:v>
                </c:pt>
                <c:pt idx="162">
                  <c:v>31.997550455105717</c:v>
                </c:pt>
                <c:pt idx="163">
                  <c:v>31.997550455105717</c:v>
                </c:pt>
                <c:pt idx="164">
                  <c:v>31.997550455105717</c:v>
                </c:pt>
                <c:pt idx="165">
                  <c:v>32.6586945886934</c:v>
                </c:pt>
                <c:pt idx="166">
                  <c:v>32.6586945886934</c:v>
                </c:pt>
                <c:pt idx="167">
                  <c:v>31.997550455105717</c:v>
                </c:pt>
                <c:pt idx="168">
                  <c:v>31.997550455105717</c:v>
                </c:pt>
                <c:pt idx="169">
                  <c:v>31.997550455105717</c:v>
                </c:pt>
                <c:pt idx="170">
                  <c:v>31.997550455105717</c:v>
                </c:pt>
                <c:pt idx="171">
                  <c:v>31.997550455105717</c:v>
                </c:pt>
                <c:pt idx="172">
                  <c:v>31.997550455105717</c:v>
                </c:pt>
                <c:pt idx="173">
                  <c:v>31.997550455105717</c:v>
                </c:pt>
                <c:pt idx="174">
                  <c:v>31.997550455105717</c:v>
                </c:pt>
                <c:pt idx="175">
                  <c:v>31.997550455105717</c:v>
                </c:pt>
                <c:pt idx="176">
                  <c:v>31.324493175702337</c:v>
                </c:pt>
                <c:pt idx="177">
                  <c:v>31.324493175702337</c:v>
                </c:pt>
                <c:pt idx="178">
                  <c:v>31.324493175702337</c:v>
                </c:pt>
                <c:pt idx="179">
                  <c:v>31.997550455105717</c:v>
                </c:pt>
                <c:pt idx="180">
                  <c:v>31.997550455105717</c:v>
                </c:pt>
                <c:pt idx="181">
                  <c:v>32.6586945886934</c:v>
                </c:pt>
                <c:pt idx="182">
                  <c:v>32.6586945886934</c:v>
                </c:pt>
                <c:pt idx="183">
                  <c:v>32.6586945886934</c:v>
                </c:pt>
                <c:pt idx="184">
                  <c:v>32.6586945886934</c:v>
                </c:pt>
                <c:pt idx="185">
                  <c:v>31.997550455105717</c:v>
                </c:pt>
                <c:pt idx="186">
                  <c:v>31.997550455105717</c:v>
                </c:pt>
                <c:pt idx="187">
                  <c:v>31.997550455105717</c:v>
                </c:pt>
                <c:pt idx="188">
                  <c:v>31.997550455105717</c:v>
                </c:pt>
                <c:pt idx="189">
                  <c:v>31.997550455105717</c:v>
                </c:pt>
                <c:pt idx="190">
                  <c:v>32.6586945886934</c:v>
                </c:pt>
                <c:pt idx="191">
                  <c:v>32.6586945886934</c:v>
                </c:pt>
                <c:pt idx="192">
                  <c:v>31.997550455105717</c:v>
                </c:pt>
                <c:pt idx="193">
                  <c:v>31.997550455105717</c:v>
                </c:pt>
                <c:pt idx="194">
                  <c:v>31.997550455105717</c:v>
                </c:pt>
                <c:pt idx="195">
                  <c:v>31.997550455105717</c:v>
                </c:pt>
                <c:pt idx="196">
                  <c:v>31.997550455105717</c:v>
                </c:pt>
                <c:pt idx="197">
                  <c:v>31.997550455105717</c:v>
                </c:pt>
                <c:pt idx="198">
                  <c:v>32.6586945886934</c:v>
                </c:pt>
                <c:pt idx="199">
                  <c:v>32.6586945886934</c:v>
                </c:pt>
                <c:pt idx="200">
                  <c:v>32.6586945886934</c:v>
                </c:pt>
                <c:pt idx="201">
                  <c:v>32.6586945886934</c:v>
                </c:pt>
                <c:pt idx="202">
                  <c:v>32.6586945886934</c:v>
                </c:pt>
                <c:pt idx="203">
                  <c:v>33.308339978650658</c:v>
                </c:pt>
                <c:pt idx="204">
                  <c:v>32.6586945886934</c:v>
                </c:pt>
                <c:pt idx="205">
                  <c:v>33.308339978650658</c:v>
                </c:pt>
                <c:pt idx="206">
                  <c:v>33.946879773643239</c:v>
                </c:pt>
                <c:pt idx="207">
                  <c:v>33.308339978650658</c:v>
                </c:pt>
                <c:pt idx="208">
                  <c:v>32.6586945886934</c:v>
                </c:pt>
                <c:pt idx="209">
                  <c:v>33.308339978650658</c:v>
                </c:pt>
                <c:pt idx="210">
                  <c:v>32.6586945886934</c:v>
                </c:pt>
                <c:pt idx="211">
                  <c:v>33.308339978650658</c:v>
                </c:pt>
                <c:pt idx="212">
                  <c:v>33.308339978650658</c:v>
                </c:pt>
                <c:pt idx="213">
                  <c:v>32.6586945886934</c:v>
                </c:pt>
                <c:pt idx="214">
                  <c:v>31.997550455105717</c:v>
                </c:pt>
                <c:pt idx="215">
                  <c:v>31.997550455105717</c:v>
                </c:pt>
                <c:pt idx="216">
                  <c:v>32.6586945886934</c:v>
                </c:pt>
                <c:pt idx="217">
                  <c:v>31.997550455105717</c:v>
                </c:pt>
                <c:pt idx="218">
                  <c:v>31.997550455105717</c:v>
                </c:pt>
                <c:pt idx="219">
                  <c:v>32.6586945886934</c:v>
                </c:pt>
                <c:pt idx="220">
                  <c:v>32.6586945886934</c:v>
                </c:pt>
                <c:pt idx="221">
                  <c:v>31.997550455105717</c:v>
                </c:pt>
                <c:pt idx="222">
                  <c:v>33.308339978650658</c:v>
                </c:pt>
                <c:pt idx="223">
                  <c:v>32.6586945886934</c:v>
                </c:pt>
                <c:pt idx="224">
                  <c:v>32.6586945886934</c:v>
                </c:pt>
                <c:pt idx="225">
                  <c:v>32.6586945886934</c:v>
                </c:pt>
              </c:numCache>
            </c:numRef>
          </c:xVal>
          <c:yVal>
            <c:numRef>
              <c:f>Residuals!$DF$2:$DF$227</c:f>
              <c:numCache>
                <c:formatCode>0.00</c:formatCode>
                <c:ptCount val="226"/>
                <c:pt idx="0">
                  <c:v>0.21161253787020229</c:v>
                </c:pt>
                <c:pt idx="1">
                  <c:v>0.21980553007789183</c:v>
                </c:pt>
                <c:pt idx="2">
                  <c:v>0.21980553007789183</c:v>
                </c:pt>
                <c:pt idx="3">
                  <c:v>0.21980553007789183</c:v>
                </c:pt>
                <c:pt idx="4">
                  <c:v>0.23653997977223185</c:v>
                </c:pt>
                <c:pt idx="5">
                  <c:v>0.21980553007789183</c:v>
                </c:pt>
                <c:pt idx="6">
                  <c:v>0.23653997977223185</c:v>
                </c:pt>
                <c:pt idx="7">
                  <c:v>0.23653997977223185</c:v>
                </c:pt>
                <c:pt idx="8">
                  <c:v>0.21980553007789183</c:v>
                </c:pt>
                <c:pt idx="9">
                  <c:v>0.21980553007789183</c:v>
                </c:pt>
                <c:pt idx="10">
                  <c:v>0.23653997977223185</c:v>
                </c:pt>
                <c:pt idx="11">
                  <c:v>0.26210792357286294</c:v>
                </c:pt>
                <c:pt idx="12">
                  <c:v>0.23653997977223185</c:v>
                </c:pt>
                <c:pt idx="13">
                  <c:v>0.26210792357286294</c:v>
                </c:pt>
                <c:pt idx="14">
                  <c:v>0.26210792357286294</c:v>
                </c:pt>
                <c:pt idx="15">
                  <c:v>0.26210792357286294</c:v>
                </c:pt>
                <c:pt idx="16">
                  <c:v>0.26210792357286294</c:v>
                </c:pt>
                <c:pt idx="17">
                  <c:v>0.26210792357286294</c:v>
                </c:pt>
                <c:pt idx="18">
                  <c:v>0.26210792357286294</c:v>
                </c:pt>
                <c:pt idx="19">
                  <c:v>0.26210792357286294</c:v>
                </c:pt>
                <c:pt idx="20">
                  <c:v>0.26210792357286294</c:v>
                </c:pt>
                <c:pt idx="21">
                  <c:v>0.29681663629038724</c:v>
                </c:pt>
                <c:pt idx="22">
                  <c:v>0.29681663629038724</c:v>
                </c:pt>
                <c:pt idx="23">
                  <c:v>0.34098970987238886</c:v>
                </c:pt>
                <c:pt idx="24">
                  <c:v>0.29681663629038724</c:v>
                </c:pt>
                <c:pt idx="25">
                  <c:v>0.34098970987238886</c:v>
                </c:pt>
                <c:pt idx="26">
                  <c:v>0.26210792357286294</c:v>
                </c:pt>
                <c:pt idx="27">
                  <c:v>0.34098970987238886</c:v>
                </c:pt>
                <c:pt idx="28">
                  <c:v>0.34098970987238886</c:v>
                </c:pt>
                <c:pt idx="29">
                  <c:v>0.34098970987238886</c:v>
                </c:pt>
                <c:pt idx="30">
                  <c:v>0.34098970987238886</c:v>
                </c:pt>
                <c:pt idx="31">
                  <c:v>0.34098970987238886</c:v>
                </c:pt>
                <c:pt idx="32">
                  <c:v>0.39496822956698452</c:v>
                </c:pt>
                <c:pt idx="33">
                  <c:v>0.39496822956698452</c:v>
                </c:pt>
                <c:pt idx="34">
                  <c:v>0.39496822956698452</c:v>
                </c:pt>
                <c:pt idx="35">
                  <c:v>0.39496822956698452</c:v>
                </c:pt>
                <c:pt idx="36">
                  <c:v>0.39496822956698452</c:v>
                </c:pt>
                <c:pt idx="37">
                  <c:v>0.39496822956698452</c:v>
                </c:pt>
                <c:pt idx="38">
                  <c:v>0.34098970987238886</c:v>
                </c:pt>
                <c:pt idx="39">
                  <c:v>0.34098970987238886</c:v>
                </c:pt>
                <c:pt idx="40">
                  <c:v>0.45911205800867094</c:v>
                </c:pt>
                <c:pt idx="41">
                  <c:v>0.39496822956698452</c:v>
                </c:pt>
                <c:pt idx="42">
                  <c:v>0.39496822956698452</c:v>
                </c:pt>
                <c:pt idx="43">
                  <c:v>0.39496822956698452</c:v>
                </c:pt>
                <c:pt idx="44">
                  <c:v>0.39496822956698452</c:v>
                </c:pt>
                <c:pt idx="45">
                  <c:v>0.34098970987238886</c:v>
                </c:pt>
                <c:pt idx="46">
                  <c:v>0.34098970987238886</c:v>
                </c:pt>
                <c:pt idx="47">
                  <c:v>0.39496822956698452</c:v>
                </c:pt>
                <c:pt idx="48">
                  <c:v>0.39496822956698452</c:v>
                </c:pt>
                <c:pt idx="49">
                  <c:v>0.39496822956698452</c:v>
                </c:pt>
                <c:pt idx="50">
                  <c:v>0.39496822956698452</c:v>
                </c:pt>
                <c:pt idx="51">
                  <c:v>0.39496822956698452</c:v>
                </c:pt>
                <c:pt idx="52">
                  <c:v>0.39496822956698452</c:v>
                </c:pt>
                <c:pt idx="53">
                  <c:v>0.39496822956698452</c:v>
                </c:pt>
                <c:pt idx="54">
                  <c:v>0.45911205800867094</c:v>
                </c:pt>
                <c:pt idx="55">
                  <c:v>0.45911205800867094</c:v>
                </c:pt>
                <c:pt idx="56">
                  <c:v>0.45911205800867094</c:v>
                </c:pt>
                <c:pt idx="57">
                  <c:v>0.45911205800867094</c:v>
                </c:pt>
                <c:pt idx="58">
                  <c:v>0.45911205800867094</c:v>
                </c:pt>
                <c:pt idx="59">
                  <c:v>0.53380123933214918</c:v>
                </c:pt>
                <c:pt idx="60">
                  <c:v>0.53380123933214918</c:v>
                </c:pt>
                <c:pt idx="61">
                  <c:v>-4.0887941991329058E-2</c:v>
                </c:pt>
                <c:pt idx="62">
                  <c:v>-0.60503177043301548</c:v>
                </c:pt>
                <c:pt idx="63">
                  <c:v>-0.54088794199132906</c:v>
                </c:pt>
                <c:pt idx="64">
                  <c:v>-0.54088794199132906</c:v>
                </c:pt>
                <c:pt idx="65">
                  <c:v>-4.0887941991329058E-2</c:v>
                </c:pt>
                <c:pt idx="66">
                  <c:v>-4.0887941991329058E-2</c:v>
                </c:pt>
                <c:pt idx="67">
                  <c:v>-4.0887941991329058E-2</c:v>
                </c:pt>
                <c:pt idx="68">
                  <c:v>-0.10503177043301548</c:v>
                </c:pt>
                <c:pt idx="69">
                  <c:v>-4.0887941991329058E-2</c:v>
                </c:pt>
                <c:pt idx="70">
                  <c:v>-4.0887941991329058E-2</c:v>
                </c:pt>
                <c:pt idx="71">
                  <c:v>3.380123933214918E-2</c:v>
                </c:pt>
                <c:pt idx="72">
                  <c:v>3.380123933214918E-2</c:v>
                </c:pt>
                <c:pt idx="73">
                  <c:v>3.380123933214918E-2</c:v>
                </c:pt>
                <c:pt idx="74">
                  <c:v>-0.10503177043301548</c:v>
                </c:pt>
                <c:pt idx="75">
                  <c:v>-4.0887941991329058E-2</c:v>
                </c:pt>
                <c:pt idx="76">
                  <c:v>3.380123933214918E-2</c:v>
                </c:pt>
                <c:pt idx="77">
                  <c:v>-4.0887941991329058E-2</c:v>
                </c:pt>
                <c:pt idx="78">
                  <c:v>-4.0887941991329058E-2</c:v>
                </c:pt>
                <c:pt idx="79">
                  <c:v>-4.0887941991329058E-2</c:v>
                </c:pt>
                <c:pt idx="80">
                  <c:v>-4.0887941991329058E-2</c:v>
                </c:pt>
                <c:pt idx="81">
                  <c:v>3.380123933214918E-2</c:v>
                </c:pt>
                <c:pt idx="82">
                  <c:v>-4.0887941991329058E-2</c:v>
                </c:pt>
                <c:pt idx="83">
                  <c:v>-4.0887941991329058E-2</c:v>
                </c:pt>
                <c:pt idx="84">
                  <c:v>-4.0887941991329058E-2</c:v>
                </c:pt>
                <c:pt idx="85">
                  <c:v>-4.0887941991329058E-2</c:v>
                </c:pt>
                <c:pt idx="86">
                  <c:v>-4.0887941991329058E-2</c:v>
                </c:pt>
                <c:pt idx="87">
                  <c:v>-4.0887941991329058E-2</c:v>
                </c:pt>
                <c:pt idx="88">
                  <c:v>-4.0887941991329058E-2</c:v>
                </c:pt>
                <c:pt idx="89">
                  <c:v>-0.10503177043301548</c:v>
                </c:pt>
                <c:pt idx="90">
                  <c:v>-4.0887941991329058E-2</c:v>
                </c:pt>
                <c:pt idx="91">
                  <c:v>-4.0887941991329058E-2</c:v>
                </c:pt>
                <c:pt idx="92">
                  <c:v>-0.10503177043301548</c:v>
                </c:pt>
                <c:pt idx="93">
                  <c:v>-0.15901029012761114</c:v>
                </c:pt>
                <c:pt idx="94">
                  <c:v>-0.15901029012761114</c:v>
                </c:pt>
                <c:pt idx="95">
                  <c:v>-0.10503177043301548</c:v>
                </c:pt>
                <c:pt idx="96">
                  <c:v>-0.10503177043301548</c:v>
                </c:pt>
                <c:pt idx="97">
                  <c:v>-0.10503177043301548</c:v>
                </c:pt>
                <c:pt idx="98">
                  <c:v>-4.0887941991329058E-2</c:v>
                </c:pt>
                <c:pt idx="99">
                  <c:v>3.380123933214918E-2</c:v>
                </c:pt>
                <c:pt idx="100">
                  <c:v>-4.0887941991329058E-2</c:v>
                </c:pt>
                <c:pt idx="101">
                  <c:v>3.380123933214918E-2</c:v>
                </c:pt>
                <c:pt idx="102">
                  <c:v>-0.10503177043301548</c:v>
                </c:pt>
                <c:pt idx="103">
                  <c:v>-0.15901029012761114</c:v>
                </c:pt>
                <c:pt idx="104">
                  <c:v>-0.15901029012761114</c:v>
                </c:pt>
                <c:pt idx="105">
                  <c:v>-0.15901029012761114</c:v>
                </c:pt>
                <c:pt idx="106">
                  <c:v>-0.10503177043301548</c:v>
                </c:pt>
                <c:pt idx="107">
                  <c:v>-0.10503177043301548</c:v>
                </c:pt>
                <c:pt idx="108">
                  <c:v>-4.0887941991329058E-2</c:v>
                </c:pt>
                <c:pt idx="109">
                  <c:v>-4.0887941991329058E-2</c:v>
                </c:pt>
                <c:pt idx="110">
                  <c:v>-4.0887941991329058E-2</c:v>
                </c:pt>
                <c:pt idx="111">
                  <c:v>-0.10503177043301548</c:v>
                </c:pt>
                <c:pt idx="112">
                  <c:v>-4.0887941991329058E-2</c:v>
                </c:pt>
                <c:pt idx="113">
                  <c:v>-4.0887941991329058E-2</c:v>
                </c:pt>
                <c:pt idx="114">
                  <c:v>-4.0887941991329058E-2</c:v>
                </c:pt>
                <c:pt idx="115">
                  <c:v>-4.0887941991329058E-2</c:v>
                </c:pt>
                <c:pt idx="116">
                  <c:v>-4.0887941991329058E-2</c:v>
                </c:pt>
                <c:pt idx="117">
                  <c:v>3.380123933214918E-2</c:v>
                </c:pt>
                <c:pt idx="118">
                  <c:v>3.380123933214918E-2</c:v>
                </c:pt>
                <c:pt idx="119">
                  <c:v>3.380123933214918E-2</c:v>
                </c:pt>
                <c:pt idx="120">
                  <c:v>3.380123933214918E-2</c:v>
                </c:pt>
                <c:pt idx="121">
                  <c:v>-4.0887941991329058E-2</c:v>
                </c:pt>
                <c:pt idx="122">
                  <c:v>-4.0887941991329058E-2</c:v>
                </c:pt>
                <c:pt idx="123">
                  <c:v>-4.0887941991329058E-2</c:v>
                </c:pt>
                <c:pt idx="124">
                  <c:v>-4.0887941991329058E-2</c:v>
                </c:pt>
                <c:pt idx="125">
                  <c:v>-4.0887941991329058E-2</c:v>
                </c:pt>
                <c:pt idx="126">
                  <c:v>-4.0887941991329058E-2</c:v>
                </c:pt>
                <c:pt idx="127">
                  <c:v>-4.0887941991329058E-2</c:v>
                </c:pt>
                <c:pt idx="128">
                  <c:v>-4.0887941991329058E-2</c:v>
                </c:pt>
                <c:pt idx="129">
                  <c:v>-0.10503177043301548</c:v>
                </c:pt>
                <c:pt idx="130">
                  <c:v>-0.10503177043301548</c:v>
                </c:pt>
                <c:pt idx="131">
                  <c:v>-0.10503177043301548</c:v>
                </c:pt>
                <c:pt idx="132">
                  <c:v>-0.10503177043301548</c:v>
                </c:pt>
                <c:pt idx="133">
                  <c:v>-0.10503177043301548</c:v>
                </c:pt>
                <c:pt idx="134">
                  <c:v>-0.15901029012761114</c:v>
                </c:pt>
                <c:pt idx="135">
                  <c:v>-0.15901029012761114</c:v>
                </c:pt>
                <c:pt idx="136">
                  <c:v>-0.15901029012761114</c:v>
                </c:pt>
                <c:pt idx="137">
                  <c:v>-0.15901029012761114</c:v>
                </c:pt>
                <c:pt idx="138">
                  <c:v>-0.15901029012761114</c:v>
                </c:pt>
                <c:pt idx="139">
                  <c:v>-0.10503177043301548</c:v>
                </c:pt>
                <c:pt idx="140">
                  <c:v>-0.10503177043301548</c:v>
                </c:pt>
                <c:pt idx="141">
                  <c:v>-0.10503177043301548</c:v>
                </c:pt>
                <c:pt idx="142">
                  <c:v>-0.10503177043301548</c:v>
                </c:pt>
                <c:pt idx="143">
                  <c:v>-0.10503177043301548</c:v>
                </c:pt>
                <c:pt idx="144">
                  <c:v>-0.10503177043301548</c:v>
                </c:pt>
                <c:pt idx="145">
                  <c:v>-0.10503177043301548</c:v>
                </c:pt>
                <c:pt idx="146">
                  <c:v>-0.10503177043301548</c:v>
                </c:pt>
                <c:pt idx="147">
                  <c:v>-0.10503177043301548</c:v>
                </c:pt>
                <c:pt idx="148">
                  <c:v>-0.10503177043301548</c:v>
                </c:pt>
                <c:pt idx="149">
                  <c:v>-0.10503177043301548</c:v>
                </c:pt>
                <c:pt idx="150">
                  <c:v>-0.10503177043301548</c:v>
                </c:pt>
                <c:pt idx="151">
                  <c:v>-0.10503177043301548</c:v>
                </c:pt>
                <c:pt idx="152">
                  <c:v>-0.10503177043301548</c:v>
                </c:pt>
                <c:pt idx="153">
                  <c:v>-0.10503177043301548</c:v>
                </c:pt>
                <c:pt idx="154">
                  <c:v>-0.10503177043301548</c:v>
                </c:pt>
                <c:pt idx="155">
                  <c:v>-0.10503177043301548</c:v>
                </c:pt>
                <c:pt idx="156">
                  <c:v>-0.10503177043301548</c:v>
                </c:pt>
                <c:pt idx="157">
                  <c:v>-0.15901029012761114</c:v>
                </c:pt>
                <c:pt idx="158">
                  <c:v>-0.15901029012761114</c:v>
                </c:pt>
                <c:pt idx="159">
                  <c:v>-0.15901029012761114</c:v>
                </c:pt>
                <c:pt idx="160">
                  <c:v>-0.15901029012761114</c:v>
                </c:pt>
                <c:pt idx="161">
                  <c:v>-0.15901029012761114</c:v>
                </c:pt>
                <c:pt idx="162">
                  <c:v>-0.15901029012761114</c:v>
                </c:pt>
                <c:pt idx="163">
                  <c:v>-0.15901029012761114</c:v>
                </c:pt>
                <c:pt idx="164">
                  <c:v>-0.15901029012761114</c:v>
                </c:pt>
                <c:pt idx="165">
                  <c:v>-0.20318336370961276</c:v>
                </c:pt>
                <c:pt idx="166">
                  <c:v>-0.20318336370961276</c:v>
                </c:pt>
                <c:pt idx="167">
                  <c:v>-0.15901029012761114</c:v>
                </c:pt>
                <c:pt idx="168">
                  <c:v>-0.15901029012761114</c:v>
                </c:pt>
                <c:pt idx="169">
                  <c:v>-0.15901029012761114</c:v>
                </c:pt>
                <c:pt idx="170">
                  <c:v>-0.15901029012761114</c:v>
                </c:pt>
                <c:pt idx="171">
                  <c:v>-0.15901029012761114</c:v>
                </c:pt>
                <c:pt idx="172">
                  <c:v>-0.15901029012761114</c:v>
                </c:pt>
                <c:pt idx="173">
                  <c:v>-0.15901029012761114</c:v>
                </c:pt>
                <c:pt idx="174">
                  <c:v>-0.15901029012761114</c:v>
                </c:pt>
                <c:pt idx="175">
                  <c:v>-0.15901029012761114</c:v>
                </c:pt>
                <c:pt idx="176">
                  <c:v>-0.10503177043301548</c:v>
                </c:pt>
                <c:pt idx="177">
                  <c:v>-0.10503177043301548</c:v>
                </c:pt>
                <c:pt idx="178">
                  <c:v>-0.10503177043301548</c:v>
                </c:pt>
                <c:pt idx="179">
                  <c:v>-0.15901029012761114</c:v>
                </c:pt>
                <c:pt idx="180">
                  <c:v>-0.15901029012761114</c:v>
                </c:pt>
                <c:pt idx="181">
                  <c:v>-0.20318336370961276</c:v>
                </c:pt>
                <c:pt idx="182">
                  <c:v>-0.20318336370961276</c:v>
                </c:pt>
                <c:pt idx="183">
                  <c:v>-0.20318336370961276</c:v>
                </c:pt>
                <c:pt idx="184">
                  <c:v>-0.20318336370961276</c:v>
                </c:pt>
                <c:pt idx="185">
                  <c:v>-0.15901029012761114</c:v>
                </c:pt>
                <c:pt idx="186">
                  <c:v>-0.15901029012761114</c:v>
                </c:pt>
                <c:pt idx="187">
                  <c:v>-0.15901029012761114</c:v>
                </c:pt>
                <c:pt idx="188">
                  <c:v>-0.15901029012761114</c:v>
                </c:pt>
                <c:pt idx="189">
                  <c:v>-0.15901029012761114</c:v>
                </c:pt>
                <c:pt idx="190">
                  <c:v>-0.20318336370961276</c:v>
                </c:pt>
                <c:pt idx="191">
                  <c:v>-0.20318336370961276</c:v>
                </c:pt>
                <c:pt idx="192">
                  <c:v>-0.15901029012761114</c:v>
                </c:pt>
                <c:pt idx="193">
                  <c:v>-0.15901029012761114</c:v>
                </c:pt>
                <c:pt idx="194">
                  <c:v>-0.15901029012761114</c:v>
                </c:pt>
                <c:pt idx="195">
                  <c:v>-0.15901029012761114</c:v>
                </c:pt>
                <c:pt idx="196">
                  <c:v>-0.15901029012761114</c:v>
                </c:pt>
                <c:pt idx="197">
                  <c:v>-0.15901029012761114</c:v>
                </c:pt>
                <c:pt idx="198">
                  <c:v>-0.20318336370961276</c:v>
                </c:pt>
                <c:pt idx="199">
                  <c:v>-0.20318336370961276</c:v>
                </c:pt>
                <c:pt idx="200">
                  <c:v>-0.20318336370961276</c:v>
                </c:pt>
                <c:pt idx="201">
                  <c:v>-0.20318336370961276</c:v>
                </c:pt>
                <c:pt idx="202">
                  <c:v>-0.20318336370961276</c:v>
                </c:pt>
                <c:pt idx="203">
                  <c:v>-0.23789207642713706</c:v>
                </c:pt>
                <c:pt idx="204">
                  <c:v>-0.20318336370961276</c:v>
                </c:pt>
                <c:pt idx="205">
                  <c:v>-0.23789207642713706</c:v>
                </c:pt>
                <c:pt idx="206">
                  <c:v>-0.26346002022776815</c:v>
                </c:pt>
                <c:pt idx="207">
                  <c:v>-0.23789207642713706</c:v>
                </c:pt>
                <c:pt idx="208">
                  <c:v>-0.20318336370961276</c:v>
                </c:pt>
                <c:pt idx="209">
                  <c:v>-0.23789207642713706</c:v>
                </c:pt>
                <c:pt idx="210">
                  <c:v>-0.20318336370961276</c:v>
                </c:pt>
                <c:pt idx="211">
                  <c:v>-0.23789207642713706</c:v>
                </c:pt>
                <c:pt idx="212">
                  <c:v>-0.23789207642713706</c:v>
                </c:pt>
                <c:pt idx="213">
                  <c:v>-0.20318336370961276</c:v>
                </c:pt>
                <c:pt idx="214">
                  <c:v>-0.15901029012761114</c:v>
                </c:pt>
                <c:pt idx="215">
                  <c:v>-0.15901029012761114</c:v>
                </c:pt>
                <c:pt idx="216">
                  <c:v>-0.20318336370961276</c:v>
                </c:pt>
                <c:pt idx="217">
                  <c:v>-0.15901029012761114</c:v>
                </c:pt>
                <c:pt idx="218">
                  <c:v>-0.15901029012761114</c:v>
                </c:pt>
                <c:pt idx="219">
                  <c:v>-0.20318336370961276</c:v>
                </c:pt>
                <c:pt idx="220">
                  <c:v>-0.20318336370961276</c:v>
                </c:pt>
                <c:pt idx="221">
                  <c:v>-0.15901029012761114</c:v>
                </c:pt>
                <c:pt idx="222">
                  <c:v>-0.23789207642713706</c:v>
                </c:pt>
                <c:pt idx="223">
                  <c:v>-0.20318336370961276</c:v>
                </c:pt>
                <c:pt idx="224">
                  <c:v>-0.20318336370961276</c:v>
                </c:pt>
                <c:pt idx="225">
                  <c:v>-0.20318336370961276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4-4A67-8BBC-5331A9AE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9375"/>
        <c:axId val="2123675535"/>
      </c:scatterChart>
      <c:valAx>
        <c:axId val="2123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5535"/>
        <c:crosses val="autoZero"/>
        <c:crossBetween val="midCat"/>
      </c:valAx>
      <c:valAx>
        <c:axId val="2123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Log'!$Q$2:$Q$227</c:f>
              <c:numCache>
                <c:formatCode>General</c:formatCode>
                <c:ptCount val="2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xVal>
          <c:yVal>
            <c:numRef>
              <c:f>Residuals!$DL$2:$DL$227</c:f>
              <c:numCache>
                <c:formatCode>0.00</c:formatCode>
                <c:ptCount val="226"/>
                <c:pt idx="0">
                  <c:v>2.8191489361702224</c:v>
                </c:pt>
                <c:pt idx="1">
                  <c:v>2.7083333333333357</c:v>
                </c:pt>
                <c:pt idx="2">
                  <c:v>2.7083333333333357</c:v>
                </c:pt>
                <c:pt idx="3">
                  <c:v>2.7083333333333357</c:v>
                </c:pt>
                <c:pt idx="4">
                  <c:v>1.8191489361702224</c:v>
                </c:pt>
                <c:pt idx="5">
                  <c:v>2.7083333333333357</c:v>
                </c:pt>
                <c:pt idx="6">
                  <c:v>1.8191489361702224</c:v>
                </c:pt>
                <c:pt idx="7">
                  <c:v>2.2083333333333357</c:v>
                </c:pt>
                <c:pt idx="8">
                  <c:v>2.7083333333333357</c:v>
                </c:pt>
                <c:pt idx="9">
                  <c:v>2.7083333333333357</c:v>
                </c:pt>
                <c:pt idx="10">
                  <c:v>2.2083333333333357</c:v>
                </c:pt>
                <c:pt idx="11">
                  <c:v>1.3191489361702224</c:v>
                </c:pt>
                <c:pt idx="12">
                  <c:v>1.8191489361702224</c:v>
                </c:pt>
                <c:pt idx="13">
                  <c:v>1.3191489361702224</c:v>
                </c:pt>
                <c:pt idx="14">
                  <c:v>1.7083333333333357</c:v>
                </c:pt>
                <c:pt idx="15">
                  <c:v>1.3191489361702224</c:v>
                </c:pt>
                <c:pt idx="16">
                  <c:v>1.3191489361702224</c:v>
                </c:pt>
                <c:pt idx="17">
                  <c:v>1.3191489361702224</c:v>
                </c:pt>
                <c:pt idx="18">
                  <c:v>1.3191489361702224</c:v>
                </c:pt>
                <c:pt idx="19">
                  <c:v>1.3191489361702224</c:v>
                </c:pt>
                <c:pt idx="20">
                  <c:v>1.3191489361702224</c:v>
                </c:pt>
                <c:pt idx="21">
                  <c:v>0.81914893617022244</c:v>
                </c:pt>
                <c:pt idx="22">
                  <c:v>0.81914893617022244</c:v>
                </c:pt>
                <c:pt idx="23">
                  <c:v>0.31914893617022244</c:v>
                </c:pt>
                <c:pt idx="24">
                  <c:v>0.81914893617022244</c:v>
                </c:pt>
                <c:pt idx="25">
                  <c:v>0.31914893617022244</c:v>
                </c:pt>
                <c:pt idx="26">
                  <c:v>1.3191489361702224</c:v>
                </c:pt>
                <c:pt idx="27">
                  <c:v>0.31914893617022244</c:v>
                </c:pt>
                <c:pt idx="28">
                  <c:v>0.7083333333333357</c:v>
                </c:pt>
                <c:pt idx="29">
                  <c:v>0.31914893617022244</c:v>
                </c:pt>
                <c:pt idx="30">
                  <c:v>0.31914893617022244</c:v>
                </c:pt>
                <c:pt idx="31">
                  <c:v>0.31914893617022244</c:v>
                </c:pt>
                <c:pt idx="32">
                  <c:v>-0.18085106382977756</c:v>
                </c:pt>
                <c:pt idx="33">
                  <c:v>-0.18085106382977756</c:v>
                </c:pt>
                <c:pt idx="34">
                  <c:v>-0.18085106382977756</c:v>
                </c:pt>
                <c:pt idx="35">
                  <c:v>0.2083333333333357</c:v>
                </c:pt>
                <c:pt idx="36">
                  <c:v>-0.18085106382977756</c:v>
                </c:pt>
                <c:pt idx="37">
                  <c:v>-0.18085106382977756</c:v>
                </c:pt>
                <c:pt idx="38">
                  <c:v>0.7083333333333357</c:v>
                </c:pt>
                <c:pt idx="39">
                  <c:v>0.7083333333333357</c:v>
                </c:pt>
                <c:pt idx="40">
                  <c:v>-0.2916666666666643</c:v>
                </c:pt>
                <c:pt idx="41">
                  <c:v>0.2083333333333357</c:v>
                </c:pt>
                <c:pt idx="42">
                  <c:v>0.2083333333333357</c:v>
                </c:pt>
                <c:pt idx="43">
                  <c:v>0.2083333333333357</c:v>
                </c:pt>
                <c:pt idx="44">
                  <c:v>0.2083333333333357</c:v>
                </c:pt>
                <c:pt idx="45">
                  <c:v>0.7083333333333357</c:v>
                </c:pt>
                <c:pt idx="46">
                  <c:v>0.31914893617022244</c:v>
                </c:pt>
                <c:pt idx="47">
                  <c:v>-0.18085106382977756</c:v>
                </c:pt>
                <c:pt idx="48">
                  <c:v>0.2083333333333357</c:v>
                </c:pt>
                <c:pt idx="49">
                  <c:v>0.2083333333333357</c:v>
                </c:pt>
                <c:pt idx="50">
                  <c:v>0.2083333333333357</c:v>
                </c:pt>
                <c:pt idx="51">
                  <c:v>0.2083333333333357</c:v>
                </c:pt>
                <c:pt idx="52">
                  <c:v>0.2083333333333357</c:v>
                </c:pt>
                <c:pt idx="53">
                  <c:v>0.2083333333333357</c:v>
                </c:pt>
                <c:pt idx="54">
                  <c:v>-0.2916666666666643</c:v>
                </c:pt>
                <c:pt idx="55">
                  <c:v>-0.2916666666666643</c:v>
                </c:pt>
                <c:pt idx="56">
                  <c:v>-0.68085106382977756</c:v>
                </c:pt>
                <c:pt idx="57">
                  <c:v>-0.2916666666666643</c:v>
                </c:pt>
                <c:pt idx="58">
                  <c:v>-0.2916666666666643</c:v>
                </c:pt>
                <c:pt idx="59">
                  <c:v>-0.7916666666666643</c:v>
                </c:pt>
                <c:pt idx="60">
                  <c:v>-0.7916666666666643</c:v>
                </c:pt>
                <c:pt idx="61">
                  <c:v>-0.7916666666666643</c:v>
                </c:pt>
                <c:pt idx="62">
                  <c:v>-0.7916666666666643</c:v>
                </c:pt>
                <c:pt idx="63">
                  <c:v>-1.2916666666666643</c:v>
                </c:pt>
                <c:pt idx="64">
                  <c:v>-1.2916666666666643</c:v>
                </c:pt>
                <c:pt idx="65">
                  <c:v>-1.1808510638297776</c:v>
                </c:pt>
                <c:pt idx="66">
                  <c:v>-1.1808510638297776</c:v>
                </c:pt>
                <c:pt idx="67">
                  <c:v>-1.1808510638297776</c:v>
                </c:pt>
                <c:pt idx="68">
                  <c:v>-0.2916666666666643</c:v>
                </c:pt>
                <c:pt idx="69">
                  <c:v>-0.7916666666666643</c:v>
                </c:pt>
                <c:pt idx="70">
                  <c:v>-0.7916666666666643</c:v>
                </c:pt>
                <c:pt idx="71">
                  <c:v>-1.2916666666666643</c:v>
                </c:pt>
                <c:pt idx="72">
                  <c:v>-1.2916666666666643</c:v>
                </c:pt>
                <c:pt idx="73">
                  <c:v>-1.2916666666666643</c:v>
                </c:pt>
                <c:pt idx="74">
                  <c:v>-0.68085106382977756</c:v>
                </c:pt>
                <c:pt idx="75">
                  <c:v>-1.1808510638297776</c:v>
                </c:pt>
                <c:pt idx="76">
                  <c:v>-1.2916666666666643</c:v>
                </c:pt>
                <c:pt idx="77">
                  <c:v>-1.1808510638297776</c:v>
                </c:pt>
                <c:pt idx="78">
                  <c:v>-0.7916666666666643</c:v>
                </c:pt>
                <c:pt idx="79">
                  <c:v>-0.7916666666666643</c:v>
                </c:pt>
                <c:pt idx="80">
                  <c:v>-0.7916666666666643</c:v>
                </c:pt>
                <c:pt idx="81">
                  <c:v>-1.2916666666666643</c:v>
                </c:pt>
                <c:pt idx="82">
                  <c:v>-0.7916666666666643</c:v>
                </c:pt>
                <c:pt idx="83">
                  <c:v>-0.7916666666666643</c:v>
                </c:pt>
                <c:pt idx="84">
                  <c:v>-1.1808510638297776</c:v>
                </c:pt>
                <c:pt idx="85">
                  <c:v>-0.7916666666666643</c:v>
                </c:pt>
                <c:pt idx="86">
                  <c:v>-0.7916666666666643</c:v>
                </c:pt>
                <c:pt idx="87">
                  <c:v>-0.7916666666666643</c:v>
                </c:pt>
                <c:pt idx="88">
                  <c:v>-1.1808510638297776</c:v>
                </c:pt>
                <c:pt idx="89">
                  <c:v>-0.68085106382977756</c:v>
                </c:pt>
                <c:pt idx="90">
                  <c:v>-0.7916666666666643</c:v>
                </c:pt>
                <c:pt idx="91">
                  <c:v>-0.7916666666666643</c:v>
                </c:pt>
                <c:pt idx="92">
                  <c:v>-0.2916666666666643</c:v>
                </c:pt>
                <c:pt idx="93">
                  <c:v>-0.18085106382977756</c:v>
                </c:pt>
                <c:pt idx="94">
                  <c:v>-0.18085106382977756</c:v>
                </c:pt>
                <c:pt idx="95">
                  <c:v>-0.68085106382977756</c:v>
                </c:pt>
                <c:pt idx="96">
                  <c:v>-0.68085106382977756</c:v>
                </c:pt>
                <c:pt idx="97">
                  <c:v>-0.68085106382977756</c:v>
                </c:pt>
                <c:pt idx="98">
                  <c:v>-0.7916666666666643</c:v>
                </c:pt>
                <c:pt idx="99">
                  <c:v>-1.2916666666666643</c:v>
                </c:pt>
                <c:pt idx="100">
                  <c:v>-0.7916666666666643</c:v>
                </c:pt>
                <c:pt idx="101">
                  <c:v>-1.2916666666666643</c:v>
                </c:pt>
                <c:pt idx="102">
                  <c:v>-0.68085106382977756</c:v>
                </c:pt>
                <c:pt idx="103">
                  <c:v>0.2083333333333357</c:v>
                </c:pt>
                <c:pt idx="104">
                  <c:v>-0.18085106382977756</c:v>
                </c:pt>
                <c:pt idx="105">
                  <c:v>-0.18085106382977756</c:v>
                </c:pt>
                <c:pt idx="106">
                  <c:v>-0.68085106382977756</c:v>
                </c:pt>
                <c:pt idx="107">
                  <c:v>-0.2916666666666643</c:v>
                </c:pt>
                <c:pt idx="108">
                  <c:v>-0.7916666666666643</c:v>
                </c:pt>
                <c:pt idx="109">
                  <c:v>-1.1808510638297776</c:v>
                </c:pt>
                <c:pt idx="110">
                  <c:v>-0.7916666666666643</c:v>
                </c:pt>
                <c:pt idx="111">
                  <c:v>-0.2916666666666643</c:v>
                </c:pt>
                <c:pt idx="112">
                  <c:v>-1.1808510638297776</c:v>
                </c:pt>
                <c:pt idx="113">
                  <c:v>-0.7916666666666643</c:v>
                </c:pt>
                <c:pt idx="114">
                  <c:v>-0.7916666666666643</c:v>
                </c:pt>
                <c:pt idx="115">
                  <c:v>-0.7916666666666643</c:v>
                </c:pt>
                <c:pt idx="116">
                  <c:v>-1.1808510638297776</c:v>
                </c:pt>
                <c:pt idx="117">
                  <c:v>-1.6808510638297776</c:v>
                </c:pt>
                <c:pt idx="118">
                  <c:v>-1.2916666666666643</c:v>
                </c:pt>
                <c:pt idx="119">
                  <c:v>-1.2916666666666643</c:v>
                </c:pt>
                <c:pt idx="120">
                  <c:v>-1.2916666666666643</c:v>
                </c:pt>
                <c:pt idx="121">
                  <c:v>-1.1808510638297776</c:v>
                </c:pt>
                <c:pt idx="122">
                  <c:v>-1.1808510638297776</c:v>
                </c:pt>
                <c:pt idx="123">
                  <c:v>-1.1808510638297776</c:v>
                </c:pt>
                <c:pt idx="124">
                  <c:v>-0.7916666666666643</c:v>
                </c:pt>
                <c:pt idx="125">
                  <c:v>-0.7916666666666643</c:v>
                </c:pt>
                <c:pt idx="126">
                  <c:v>-0.7916666666666643</c:v>
                </c:pt>
                <c:pt idx="127">
                  <c:v>-1.1808510638297776</c:v>
                </c:pt>
                <c:pt idx="128">
                  <c:v>-1.1808510638297776</c:v>
                </c:pt>
                <c:pt idx="129">
                  <c:v>-0.68085106382977756</c:v>
                </c:pt>
                <c:pt idx="130">
                  <c:v>-0.68085106382977756</c:v>
                </c:pt>
                <c:pt idx="131">
                  <c:v>-0.2916666666666643</c:v>
                </c:pt>
                <c:pt idx="132">
                  <c:v>-0.68085106382977756</c:v>
                </c:pt>
                <c:pt idx="133">
                  <c:v>-0.2916666666666643</c:v>
                </c:pt>
                <c:pt idx="134">
                  <c:v>0.2083333333333357</c:v>
                </c:pt>
                <c:pt idx="135">
                  <c:v>-0.18085106382977756</c:v>
                </c:pt>
                <c:pt idx="136">
                  <c:v>-0.18085106382977756</c:v>
                </c:pt>
                <c:pt idx="137">
                  <c:v>-0.18085106382977756</c:v>
                </c:pt>
                <c:pt idx="138">
                  <c:v>-0.18085106382977756</c:v>
                </c:pt>
                <c:pt idx="139">
                  <c:v>-0.2916666666666643</c:v>
                </c:pt>
                <c:pt idx="140">
                  <c:v>-0.2916666666666643</c:v>
                </c:pt>
                <c:pt idx="141">
                  <c:v>-0.2916666666666643</c:v>
                </c:pt>
                <c:pt idx="142">
                  <c:v>-0.2916666666666643</c:v>
                </c:pt>
                <c:pt idx="143">
                  <c:v>-0.2916666666666643</c:v>
                </c:pt>
                <c:pt idx="144">
                  <c:v>-0.2916666666666643</c:v>
                </c:pt>
                <c:pt idx="145">
                  <c:v>-0.2916666666666643</c:v>
                </c:pt>
                <c:pt idx="146">
                  <c:v>-0.2916666666666643</c:v>
                </c:pt>
                <c:pt idx="147">
                  <c:v>-0.2916666666666643</c:v>
                </c:pt>
                <c:pt idx="148">
                  <c:v>-0.2916666666666643</c:v>
                </c:pt>
                <c:pt idx="149">
                  <c:v>-0.2916666666666643</c:v>
                </c:pt>
                <c:pt idx="150">
                  <c:v>-0.2916666666666643</c:v>
                </c:pt>
                <c:pt idx="151">
                  <c:v>-0.2916666666666643</c:v>
                </c:pt>
                <c:pt idx="152">
                  <c:v>-0.2916666666666643</c:v>
                </c:pt>
                <c:pt idx="153">
                  <c:v>-0.2916666666666643</c:v>
                </c:pt>
                <c:pt idx="154">
                  <c:v>-0.2916666666666643</c:v>
                </c:pt>
                <c:pt idx="155">
                  <c:v>-0.2916666666666643</c:v>
                </c:pt>
                <c:pt idx="156">
                  <c:v>-0.2916666666666643</c:v>
                </c:pt>
                <c:pt idx="157">
                  <c:v>0.2083333333333357</c:v>
                </c:pt>
                <c:pt idx="158">
                  <c:v>0.2083333333333357</c:v>
                </c:pt>
                <c:pt idx="159">
                  <c:v>-0.18085106382977756</c:v>
                </c:pt>
                <c:pt idx="160">
                  <c:v>0.2083333333333357</c:v>
                </c:pt>
                <c:pt idx="161">
                  <c:v>0.2083333333333357</c:v>
                </c:pt>
                <c:pt idx="162">
                  <c:v>0.2083333333333357</c:v>
                </c:pt>
                <c:pt idx="163">
                  <c:v>-0.18085106382977756</c:v>
                </c:pt>
                <c:pt idx="164">
                  <c:v>0.2083333333333357</c:v>
                </c:pt>
                <c:pt idx="165">
                  <c:v>0.7083333333333357</c:v>
                </c:pt>
                <c:pt idx="166">
                  <c:v>0.7083333333333357</c:v>
                </c:pt>
                <c:pt idx="167">
                  <c:v>0.2083333333333357</c:v>
                </c:pt>
                <c:pt idx="168">
                  <c:v>0.2083333333333357</c:v>
                </c:pt>
                <c:pt idx="169">
                  <c:v>0.2083333333333357</c:v>
                </c:pt>
                <c:pt idx="170">
                  <c:v>0.2083333333333357</c:v>
                </c:pt>
                <c:pt idx="171">
                  <c:v>0.2083333333333357</c:v>
                </c:pt>
                <c:pt idx="172">
                  <c:v>0.2083333333333357</c:v>
                </c:pt>
                <c:pt idx="173">
                  <c:v>0.2083333333333357</c:v>
                </c:pt>
                <c:pt idx="174">
                  <c:v>0.2083333333333357</c:v>
                </c:pt>
                <c:pt idx="175">
                  <c:v>0.2083333333333357</c:v>
                </c:pt>
                <c:pt idx="176">
                  <c:v>-0.2916666666666643</c:v>
                </c:pt>
                <c:pt idx="177">
                  <c:v>-0.68085106382977756</c:v>
                </c:pt>
                <c:pt idx="178">
                  <c:v>-0.2916666666666643</c:v>
                </c:pt>
                <c:pt idx="179">
                  <c:v>0.2083333333333357</c:v>
                </c:pt>
                <c:pt idx="180">
                  <c:v>0.2083333333333357</c:v>
                </c:pt>
                <c:pt idx="181">
                  <c:v>0.7083333333333357</c:v>
                </c:pt>
                <c:pt idx="182">
                  <c:v>0.7083333333333357</c:v>
                </c:pt>
                <c:pt idx="183">
                  <c:v>0.7083333333333357</c:v>
                </c:pt>
                <c:pt idx="184">
                  <c:v>0.7083333333333357</c:v>
                </c:pt>
                <c:pt idx="185">
                  <c:v>0.2083333333333357</c:v>
                </c:pt>
                <c:pt idx="186">
                  <c:v>-0.18085106382977756</c:v>
                </c:pt>
                <c:pt idx="187">
                  <c:v>-0.18085106382977756</c:v>
                </c:pt>
                <c:pt idx="188">
                  <c:v>-0.18085106382977756</c:v>
                </c:pt>
                <c:pt idx="189">
                  <c:v>-0.18085106382977756</c:v>
                </c:pt>
                <c:pt idx="190">
                  <c:v>0.31914893617022244</c:v>
                </c:pt>
                <c:pt idx="191">
                  <c:v>0.31914893617022244</c:v>
                </c:pt>
                <c:pt idx="192">
                  <c:v>-0.18085106382977756</c:v>
                </c:pt>
                <c:pt idx="193">
                  <c:v>0.2083333333333357</c:v>
                </c:pt>
                <c:pt idx="194">
                  <c:v>0.2083333333333357</c:v>
                </c:pt>
                <c:pt idx="195">
                  <c:v>0.2083333333333357</c:v>
                </c:pt>
                <c:pt idx="196">
                  <c:v>0.2083333333333357</c:v>
                </c:pt>
                <c:pt idx="197">
                  <c:v>-0.18085106382977756</c:v>
                </c:pt>
                <c:pt idx="198">
                  <c:v>0.31914893617022244</c:v>
                </c:pt>
                <c:pt idx="199">
                  <c:v>0.31914893617022244</c:v>
                </c:pt>
                <c:pt idx="200">
                  <c:v>0.7083333333333357</c:v>
                </c:pt>
                <c:pt idx="201">
                  <c:v>0.31914893617022244</c:v>
                </c:pt>
                <c:pt idx="202">
                  <c:v>0.31914893617022244</c:v>
                </c:pt>
                <c:pt idx="203">
                  <c:v>1.2083333333333357</c:v>
                </c:pt>
                <c:pt idx="204">
                  <c:v>0.7083333333333357</c:v>
                </c:pt>
                <c:pt idx="205">
                  <c:v>1.2083333333333357</c:v>
                </c:pt>
                <c:pt idx="206">
                  <c:v>1.7083333333333357</c:v>
                </c:pt>
                <c:pt idx="207">
                  <c:v>0.81914893617022244</c:v>
                </c:pt>
                <c:pt idx="208">
                  <c:v>0.31914893617022244</c:v>
                </c:pt>
                <c:pt idx="209">
                  <c:v>0.81914893617022244</c:v>
                </c:pt>
                <c:pt idx="210">
                  <c:v>0.31914893617022244</c:v>
                </c:pt>
                <c:pt idx="211">
                  <c:v>0.81914893617022244</c:v>
                </c:pt>
                <c:pt idx="212">
                  <c:v>1.2083333333333357</c:v>
                </c:pt>
                <c:pt idx="213">
                  <c:v>0.31914893617022244</c:v>
                </c:pt>
                <c:pt idx="214">
                  <c:v>-0.18085106382977756</c:v>
                </c:pt>
                <c:pt idx="215">
                  <c:v>-0.18085106382977756</c:v>
                </c:pt>
                <c:pt idx="216">
                  <c:v>0.31914893617022244</c:v>
                </c:pt>
                <c:pt idx="217">
                  <c:v>0.2083333333333357</c:v>
                </c:pt>
                <c:pt idx="218">
                  <c:v>0.2083333333333357</c:v>
                </c:pt>
                <c:pt idx="219">
                  <c:v>0.31914893617022244</c:v>
                </c:pt>
                <c:pt idx="220">
                  <c:v>0.31914893617022244</c:v>
                </c:pt>
                <c:pt idx="221">
                  <c:v>-0.18085106382977756</c:v>
                </c:pt>
                <c:pt idx="222">
                  <c:v>1.2083333333333357</c:v>
                </c:pt>
                <c:pt idx="223">
                  <c:v>0.31914893617022244</c:v>
                </c:pt>
                <c:pt idx="224">
                  <c:v>0.31914893617022244</c:v>
                </c:pt>
                <c:pt idx="225">
                  <c:v>0.31914893617022244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4-4087-A638-F0A81036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56175"/>
        <c:axId val="2123757135"/>
      </c:scatterChart>
      <c:valAx>
        <c:axId val="21237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7135"/>
        <c:crosses val="autoZero"/>
        <c:crossBetween val="midCat"/>
      </c:valAx>
      <c:valAx>
        <c:axId val="2123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Log'!$R$2:$R$227</c:f>
              <c:numCache>
                <c:formatCode>0.00</c:formatCode>
                <c:ptCount val="226"/>
                <c:pt idx="0">
                  <c:v>1465</c:v>
                </c:pt>
                <c:pt idx="1">
                  <c:v>2521</c:v>
                </c:pt>
                <c:pt idx="2">
                  <c:v>1385.1916666666666</c:v>
                </c:pt>
                <c:pt idx="3">
                  <c:v>570</c:v>
                </c:pt>
                <c:pt idx="4">
                  <c:v>1946.3333333333301</c:v>
                </c:pt>
                <c:pt idx="5">
                  <c:v>1265.2333333333333</c:v>
                </c:pt>
                <c:pt idx="6">
                  <c:v>2167.3333333333335</c:v>
                </c:pt>
                <c:pt idx="7">
                  <c:v>4080</c:v>
                </c:pt>
                <c:pt idx="8">
                  <c:v>2535.9333333333334</c:v>
                </c:pt>
                <c:pt idx="9">
                  <c:v>1635.9333333333334</c:v>
                </c:pt>
                <c:pt idx="10">
                  <c:v>1645.3333333333333</c:v>
                </c:pt>
                <c:pt idx="11">
                  <c:v>1216.2666666666669</c:v>
                </c:pt>
                <c:pt idx="12">
                  <c:v>2812.3583333333336</c:v>
                </c:pt>
                <c:pt idx="13">
                  <c:v>1805.45</c:v>
                </c:pt>
                <c:pt idx="14">
                  <c:v>1547.6925000000001</c:v>
                </c:pt>
                <c:pt idx="15">
                  <c:v>2194.1925000000001</c:v>
                </c:pt>
                <c:pt idx="16">
                  <c:v>954.40000000000009</c:v>
                </c:pt>
                <c:pt idx="17">
                  <c:v>1094.4000000000001</c:v>
                </c:pt>
                <c:pt idx="18">
                  <c:v>952.90000000000009</c:v>
                </c:pt>
                <c:pt idx="19">
                  <c:v>2076.0425</c:v>
                </c:pt>
                <c:pt idx="20">
                  <c:v>1171.1500000000001</c:v>
                </c:pt>
                <c:pt idx="21">
                  <c:v>1103.1424999999999</c:v>
                </c:pt>
                <c:pt idx="22">
                  <c:v>1099.3403333333333</c:v>
                </c:pt>
                <c:pt idx="23">
                  <c:v>929.57666666666671</c:v>
                </c:pt>
                <c:pt idx="24">
                  <c:v>1264.6766666666667</c:v>
                </c:pt>
                <c:pt idx="25">
                  <c:v>1016.4766666666667</c:v>
                </c:pt>
                <c:pt idx="26">
                  <c:v>1494.2766666666666</c:v>
                </c:pt>
                <c:pt idx="27">
                  <c:v>1373.0766666666666</c:v>
                </c:pt>
                <c:pt idx="28">
                  <c:v>1208.0766666666666</c:v>
                </c:pt>
                <c:pt idx="29">
                  <c:v>1084.4850000000001</c:v>
                </c:pt>
                <c:pt idx="30">
                  <c:v>838.5150000000001</c:v>
                </c:pt>
                <c:pt idx="31">
                  <c:v>1120.8966666666668</c:v>
                </c:pt>
                <c:pt idx="32">
                  <c:v>961.5150000000001</c:v>
                </c:pt>
                <c:pt idx="33">
                  <c:v>1679.0300000000002</c:v>
                </c:pt>
                <c:pt idx="34">
                  <c:v>910.89666666666676</c:v>
                </c:pt>
                <c:pt idx="35">
                  <c:v>1913</c:v>
                </c:pt>
                <c:pt idx="36">
                  <c:v>660.31500000000005</c:v>
                </c:pt>
                <c:pt idx="37">
                  <c:v>8729</c:v>
                </c:pt>
                <c:pt idx="38">
                  <c:v>5246</c:v>
                </c:pt>
                <c:pt idx="39">
                  <c:v>4250</c:v>
                </c:pt>
                <c:pt idx="40">
                  <c:v>3910</c:v>
                </c:pt>
                <c:pt idx="41">
                  <c:v>2672</c:v>
                </c:pt>
                <c:pt idx="42">
                  <c:v>2990</c:v>
                </c:pt>
                <c:pt idx="43">
                  <c:v>4480</c:v>
                </c:pt>
                <c:pt idx="44">
                  <c:v>4097.0910000000003</c:v>
                </c:pt>
                <c:pt idx="45">
                  <c:v>4807.8961428571429</c:v>
                </c:pt>
                <c:pt idx="46">
                  <c:v>1731.8363095238096</c:v>
                </c:pt>
                <c:pt idx="47">
                  <c:v>1426.5876015289059</c:v>
                </c:pt>
                <c:pt idx="48">
                  <c:v>1383.4785714285715</c:v>
                </c:pt>
                <c:pt idx="49">
                  <c:v>1320.5876015289059</c:v>
                </c:pt>
                <c:pt idx="50">
                  <c:v>1420.5876015289059</c:v>
                </c:pt>
                <c:pt idx="51">
                  <c:v>2715.5266666666666</c:v>
                </c:pt>
                <c:pt idx="52">
                  <c:v>1360.5876015289059</c:v>
                </c:pt>
                <c:pt idx="53">
                  <c:v>1806.7666666666669</c:v>
                </c:pt>
                <c:pt idx="54">
                  <c:v>1420.5876015289059</c:v>
                </c:pt>
                <c:pt idx="55">
                  <c:v>2139.6756967670008</c:v>
                </c:pt>
                <c:pt idx="56">
                  <c:v>1865.945238095238</c:v>
                </c:pt>
                <c:pt idx="57">
                  <c:v>950.84523809523807</c:v>
                </c:pt>
                <c:pt idx="58">
                  <c:v>1500.1</c:v>
                </c:pt>
                <c:pt idx="59">
                  <c:v>947.84523809523807</c:v>
                </c:pt>
                <c:pt idx="60">
                  <c:v>1579.1</c:v>
                </c:pt>
                <c:pt idx="61">
                  <c:v>1396.8452380952381</c:v>
                </c:pt>
                <c:pt idx="62">
                  <c:v>1535.945238095238</c:v>
                </c:pt>
                <c:pt idx="63">
                  <c:v>917.09999999999991</c:v>
                </c:pt>
                <c:pt idx="64">
                  <c:v>5571</c:v>
                </c:pt>
                <c:pt idx="65">
                  <c:v>563</c:v>
                </c:pt>
                <c:pt idx="66">
                  <c:v>1751.8452380952381</c:v>
                </c:pt>
                <c:pt idx="67">
                  <c:v>6805.1</c:v>
                </c:pt>
                <c:pt idx="68">
                  <c:v>1611.3416666666667</c:v>
                </c:pt>
                <c:pt idx="69">
                  <c:v>1531.4642857142858</c:v>
                </c:pt>
                <c:pt idx="70">
                  <c:v>1168.6833333333334</c:v>
                </c:pt>
                <c:pt idx="71">
                  <c:v>5765.9809523809527</c:v>
                </c:pt>
                <c:pt idx="72">
                  <c:v>1465</c:v>
                </c:pt>
                <c:pt idx="73">
                  <c:v>5250</c:v>
                </c:pt>
                <c:pt idx="74">
                  <c:v>1052.6833333333334</c:v>
                </c:pt>
                <c:pt idx="75">
                  <c:v>1256.7809523809524</c:v>
                </c:pt>
                <c:pt idx="76">
                  <c:v>1981.3666666666666</c:v>
                </c:pt>
                <c:pt idx="77">
                  <c:v>1446.7809523809524</c:v>
                </c:pt>
                <c:pt idx="78">
                  <c:v>6761.2809523809519</c:v>
                </c:pt>
                <c:pt idx="79">
                  <c:v>3475</c:v>
                </c:pt>
                <c:pt idx="80">
                  <c:v>1697.6833333333334</c:v>
                </c:pt>
                <c:pt idx="81">
                  <c:v>2614.1476190476192</c:v>
                </c:pt>
                <c:pt idx="82">
                  <c:v>2384.9333333333334</c:v>
                </c:pt>
                <c:pt idx="83">
                  <c:v>1826.8833333333332</c:v>
                </c:pt>
                <c:pt idx="84">
                  <c:v>3227.333333333333</c:v>
                </c:pt>
                <c:pt idx="85">
                  <c:v>5149.2775000000001</c:v>
                </c:pt>
                <c:pt idx="86">
                  <c:v>6937.7775000000001</c:v>
                </c:pt>
                <c:pt idx="87">
                  <c:v>1985.5549999999998</c:v>
                </c:pt>
                <c:pt idx="88">
                  <c:v>2473.7108333333331</c:v>
                </c:pt>
                <c:pt idx="89">
                  <c:v>3155.1333333333332</c:v>
                </c:pt>
                <c:pt idx="90">
                  <c:v>2717.6</c:v>
                </c:pt>
                <c:pt idx="91">
                  <c:v>7706.8</c:v>
                </c:pt>
                <c:pt idx="92">
                  <c:v>6005.7866666666669</c:v>
                </c:pt>
                <c:pt idx="93">
                  <c:v>1501.3583333333331</c:v>
                </c:pt>
                <c:pt idx="94">
                  <c:v>1293.1566666666668</c:v>
                </c:pt>
                <c:pt idx="95">
                  <c:v>2740.1949999999997</c:v>
                </c:pt>
                <c:pt idx="96">
                  <c:v>1731.3566666666666</c:v>
                </c:pt>
                <c:pt idx="97">
                  <c:v>2851.8975</c:v>
                </c:pt>
                <c:pt idx="98">
                  <c:v>3982.0666666666666</c:v>
                </c:pt>
                <c:pt idx="99">
                  <c:v>4340.2266666666665</c:v>
                </c:pt>
                <c:pt idx="100">
                  <c:v>6197.8975</c:v>
                </c:pt>
                <c:pt idx="101">
                  <c:v>7687</c:v>
                </c:pt>
                <c:pt idx="102">
                  <c:v>1855.9666666666667</c:v>
                </c:pt>
                <c:pt idx="103">
                  <c:v>1957.58</c:v>
                </c:pt>
                <c:pt idx="104">
                  <c:v>1957.58</c:v>
                </c:pt>
                <c:pt idx="105">
                  <c:v>2466.2033333333334</c:v>
                </c:pt>
                <c:pt idx="106">
                  <c:v>2987.55</c:v>
                </c:pt>
                <c:pt idx="107">
                  <c:v>1735.0233333333333</c:v>
                </c:pt>
                <c:pt idx="108">
                  <c:v>1204.9933333333333</c:v>
                </c:pt>
                <c:pt idx="109">
                  <c:v>2981.1</c:v>
                </c:pt>
                <c:pt idx="110">
                  <c:v>2506.7633333333333</c:v>
                </c:pt>
                <c:pt idx="111">
                  <c:v>3673.7</c:v>
                </c:pt>
                <c:pt idx="112">
                  <c:v>2366.0533333333333</c:v>
                </c:pt>
                <c:pt idx="113">
                  <c:v>1635.9233333333332</c:v>
                </c:pt>
                <c:pt idx="114">
                  <c:v>1498.1</c:v>
                </c:pt>
                <c:pt idx="115">
                  <c:v>1605.0633333333333</c:v>
                </c:pt>
                <c:pt idx="116">
                  <c:v>1748.55</c:v>
                </c:pt>
                <c:pt idx="117">
                  <c:v>1548.4</c:v>
                </c:pt>
                <c:pt idx="118">
                  <c:v>1562</c:v>
                </c:pt>
                <c:pt idx="119">
                  <c:v>1366</c:v>
                </c:pt>
                <c:pt idx="120">
                  <c:v>1257.0999999999999</c:v>
                </c:pt>
                <c:pt idx="121">
                  <c:v>8222</c:v>
                </c:pt>
                <c:pt idx="122">
                  <c:v>4515.8237499999996</c:v>
                </c:pt>
                <c:pt idx="123">
                  <c:v>5192.6812499999996</c:v>
                </c:pt>
                <c:pt idx="124">
                  <c:v>560</c:v>
                </c:pt>
                <c:pt idx="125">
                  <c:v>4345.1558333333342</c:v>
                </c:pt>
                <c:pt idx="126">
                  <c:v>5061.466071428571</c:v>
                </c:pt>
                <c:pt idx="127">
                  <c:v>7330.8238095238103</c:v>
                </c:pt>
                <c:pt idx="128">
                  <c:v>6810.4339285714286</c:v>
                </c:pt>
                <c:pt idx="129">
                  <c:v>5391.7351190476193</c:v>
                </c:pt>
                <c:pt idx="130">
                  <c:v>4849.4448214285712</c:v>
                </c:pt>
                <c:pt idx="131">
                  <c:v>500</c:v>
                </c:pt>
                <c:pt idx="132">
                  <c:v>5525</c:v>
                </c:pt>
                <c:pt idx="133">
                  <c:v>4857.2833333333328</c:v>
                </c:pt>
                <c:pt idx="134">
                  <c:v>4762.6833333333334</c:v>
                </c:pt>
                <c:pt idx="135">
                  <c:v>4631.3</c:v>
                </c:pt>
                <c:pt idx="136">
                  <c:v>3025.2295833333337</c:v>
                </c:pt>
                <c:pt idx="137">
                  <c:v>3309.7843750000002</c:v>
                </c:pt>
                <c:pt idx="138">
                  <c:v>692</c:v>
                </c:pt>
                <c:pt idx="139">
                  <c:v>3776.5233333333335</c:v>
                </c:pt>
                <c:pt idx="140">
                  <c:v>4886.0414583333331</c:v>
                </c:pt>
                <c:pt idx="141">
                  <c:v>3312.8814583333333</c:v>
                </c:pt>
                <c:pt idx="142">
                  <c:v>3113.3677083333332</c:v>
                </c:pt>
                <c:pt idx="143">
                  <c:v>4050.583333333333</c:v>
                </c:pt>
                <c:pt idx="144">
                  <c:v>2263.6781249999999</c:v>
                </c:pt>
                <c:pt idx="145">
                  <c:v>10</c:v>
                </c:pt>
                <c:pt idx="146">
                  <c:v>2235.6781249999999</c:v>
                </c:pt>
                <c:pt idx="147">
                  <c:v>6047</c:v>
                </c:pt>
                <c:pt idx="148">
                  <c:v>2667</c:v>
                </c:pt>
                <c:pt idx="149">
                  <c:v>2940</c:v>
                </c:pt>
                <c:pt idx="150">
                  <c:v>1592</c:v>
                </c:pt>
                <c:pt idx="151">
                  <c:v>5802.7849999999999</c:v>
                </c:pt>
                <c:pt idx="152">
                  <c:v>1316.9749999999999</c:v>
                </c:pt>
                <c:pt idx="153">
                  <c:v>1219.3699999999999</c:v>
                </c:pt>
                <c:pt idx="154">
                  <c:v>2270.0566666666668</c:v>
                </c:pt>
                <c:pt idx="155">
                  <c:v>2812.5150000000003</c:v>
                </c:pt>
                <c:pt idx="156">
                  <c:v>7104.37</c:v>
                </c:pt>
                <c:pt idx="157">
                  <c:v>1995.5166666666667</c:v>
                </c:pt>
                <c:pt idx="158">
                  <c:v>2392.7399999999998</c:v>
                </c:pt>
                <c:pt idx="159">
                  <c:v>1908.2166666666665</c:v>
                </c:pt>
                <c:pt idx="160">
                  <c:v>4115.6466666666665</c:v>
                </c:pt>
                <c:pt idx="161">
                  <c:v>2253.5166666666664</c:v>
                </c:pt>
                <c:pt idx="162">
                  <c:v>4339.55</c:v>
                </c:pt>
                <c:pt idx="163">
                  <c:v>2963.74</c:v>
                </c:pt>
                <c:pt idx="164">
                  <c:v>5194.74</c:v>
                </c:pt>
                <c:pt idx="165">
                  <c:v>2174</c:v>
                </c:pt>
                <c:pt idx="166">
                  <c:v>2046.3866666666668</c:v>
                </c:pt>
                <c:pt idx="167">
                  <c:v>1417.494375</c:v>
                </c:pt>
                <c:pt idx="168">
                  <c:v>2175.2666666666664</c:v>
                </c:pt>
                <c:pt idx="169">
                  <c:v>2027.547619047619</c:v>
                </c:pt>
                <c:pt idx="170">
                  <c:v>3443.7610416666666</c:v>
                </c:pt>
                <c:pt idx="171">
                  <c:v>3056.2666666666664</c:v>
                </c:pt>
                <c:pt idx="172">
                  <c:v>6201.5</c:v>
                </c:pt>
                <c:pt idx="173">
                  <c:v>3067.041994047619</c:v>
                </c:pt>
                <c:pt idx="174">
                  <c:v>2795.8586607142856</c:v>
                </c:pt>
                <c:pt idx="175">
                  <c:v>2490.5476190476193</c:v>
                </c:pt>
                <c:pt idx="176">
                  <c:v>2392.6666666666665</c:v>
                </c:pt>
                <c:pt idx="177">
                  <c:v>1220.4000000000001</c:v>
                </c:pt>
                <c:pt idx="178">
                  <c:v>4894.0476190476193</c:v>
                </c:pt>
                <c:pt idx="179">
                  <c:v>2821.5142857142855</c:v>
                </c:pt>
                <c:pt idx="180">
                  <c:v>2853.2666666666664</c:v>
                </c:pt>
                <c:pt idx="181">
                  <c:v>1625.2666666666667</c:v>
                </c:pt>
                <c:pt idx="182">
                  <c:v>3921.0125595238096</c:v>
                </c:pt>
                <c:pt idx="183">
                  <c:v>2820.7610416666666</c:v>
                </c:pt>
                <c:pt idx="184">
                  <c:v>1694.2666666666667</c:v>
                </c:pt>
                <c:pt idx="185">
                  <c:v>963.26666666666665</c:v>
                </c:pt>
                <c:pt idx="186">
                  <c:v>2564.7571428571428</c:v>
                </c:pt>
                <c:pt idx="187">
                  <c:v>3749.5142857142855</c:v>
                </c:pt>
                <c:pt idx="188">
                  <c:v>2080.6566666666668</c:v>
                </c:pt>
                <c:pt idx="189">
                  <c:v>6100.4210416666665</c:v>
                </c:pt>
                <c:pt idx="190">
                  <c:v>4590.5896130952387</c:v>
                </c:pt>
                <c:pt idx="191">
                  <c:v>4289.8196130952383</c:v>
                </c:pt>
                <c:pt idx="192">
                  <c:v>5915</c:v>
                </c:pt>
                <c:pt idx="193">
                  <c:v>5619.666666666667</c:v>
                </c:pt>
                <c:pt idx="194">
                  <c:v>2403.3229464285714</c:v>
                </c:pt>
                <c:pt idx="195">
                  <c:v>2964.7252380952382</c:v>
                </c:pt>
                <c:pt idx="196">
                  <c:v>3016.4285714285716</c:v>
                </c:pt>
                <c:pt idx="197">
                  <c:v>2835.166666666667</c:v>
                </c:pt>
                <c:pt idx="198">
                  <c:v>3105.8571428571431</c:v>
                </c:pt>
                <c:pt idx="199">
                  <c:v>4711.3943749999999</c:v>
                </c:pt>
                <c:pt idx="200">
                  <c:v>5535.3943749999999</c:v>
                </c:pt>
                <c:pt idx="201">
                  <c:v>6639</c:v>
                </c:pt>
                <c:pt idx="202">
                  <c:v>4938.1818750000002</c:v>
                </c:pt>
                <c:pt idx="203">
                  <c:v>6715.1818750000002</c:v>
                </c:pt>
                <c:pt idx="204">
                  <c:v>6197</c:v>
                </c:pt>
                <c:pt idx="205">
                  <c:v>5768.4333333333334</c:v>
                </c:pt>
                <c:pt idx="206">
                  <c:v>1053.2833333333333</c:v>
                </c:pt>
                <c:pt idx="207">
                  <c:v>3000.2233333333334</c:v>
                </c:pt>
                <c:pt idx="208">
                  <c:v>3526.6766666666667</c:v>
                </c:pt>
                <c:pt idx="209">
                  <c:v>4550.4666666666662</c:v>
                </c:pt>
                <c:pt idx="210">
                  <c:v>1650.7433333333333</c:v>
                </c:pt>
                <c:pt idx="211">
                  <c:v>2914.3553395667836</c:v>
                </c:pt>
                <c:pt idx="212">
                  <c:v>2914.3553395667836</c:v>
                </c:pt>
                <c:pt idx="213">
                  <c:v>2914.3553395667836</c:v>
                </c:pt>
                <c:pt idx="214">
                  <c:v>2914.3553395667836</c:v>
                </c:pt>
                <c:pt idx="215">
                  <c:v>2914.3553395667836</c:v>
                </c:pt>
                <c:pt idx="216">
                  <c:v>2914.3553395667836</c:v>
                </c:pt>
                <c:pt idx="217">
                  <c:v>2914.3553395667836</c:v>
                </c:pt>
                <c:pt idx="218">
                  <c:v>3404.6666666666665</c:v>
                </c:pt>
                <c:pt idx="219">
                  <c:v>3011</c:v>
                </c:pt>
                <c:pt idx="220">
                  <c:v>1508</c:v>
                </c:pt>
                <c:pt idx="221">
                  <c:v>4368</c:v>
                </c:pt>
                <c:pt idx="222">
                  <c:v>1983.9</c:v>
                </c:pt>
                <c:pt idx="223">
                  <c:v>1723.8200000000002</c:v>
                </c:pt>
                <c:pt idx="224">
                  <c:v>2553.94</c:v>
                </c:pt>
                <c:pt idx="225">
                  <c:v>8019</c:v>
                </c:pt>
              </c:numCache>
            </c:numRef>
          </c:xVal>
          <c:yVal>
            <c:numRef>
              <c:f>Residuals!$DO$2:$DO$227</c:f>
              <c:numCache>
                <c:formatCode>0.00</c:formatCode>
                <c:ptCount val="226"/>
                <c:pt idx="0">
                  <c:v>2.9133665539961342</c:v>
                </c:pt>
                <c:pt idx="1">
                  <c:v>2.5103385401239464</c:v>
                </c:pt>
                <c:pt idx="2">
                  <c:v>2.4060377920710536</c:v>
                </c:pt>
                <c:pt idx="3">
                  <c:v>2.3311791225715268</c:v>
                </c:pt>
                <c:pt idx="4">
                  <c:v>1.9575671688851983</c:v>
                </c:pt>
                <c:pt idx="5">
                  <c:v>2.3950220744234088</c:v>
                </c:pt>
                <c:pt idx="6">
                  <c:v>1.9778614955274776</c:v>
                </c:pt>
                <c:pt idx="7">
                  <c:v>2.1535007810077076</c:v>
                </c:pt>
                <c:pt idx="8">
                  <c:v>2.5117098611398916</c:v>
                </c:pt>
                <c:pt idx="9">
                  <c:v>2.4290632820536899</c:v>
                </c:pt>
                <c:pt idx="10">
                  <c:v>1.9299264796574818</c:v>
                </c:pt>
                <c:pt idx="11">
                  <c:v>1.3905254883242364</c:v>
                </c:pt>
                <c:pt idx="12">
                  <c:v>2.0370938396108969</c:v>
                </c:pt>
                <c:pt idx="13">
                  <c:v>1.4446299182737974</c:v>
                </c:pt>
                <c:pt idx="14">
                  <c:v>1.4209601675973431</c:v>
                </c:pt>
                <c:pt idx="15">
                  <c:v>1.4803279602409276</c:v>
                </c:pt>
                <c:pt idx="16">
                  <c:v>1.3664783947945622</c:v>
                </c:pt>
                <c:pt idx="17">
                  <c:v>1.3793345293190811</c:v>
                </c:pt>
                <c:pt idx="18">
                  <c:v>1.3663406504960847</c:v>
                </c:pt>
                <c:pt idx="19">
                  <c:v>1.4694783009975581</c:v>
                </c:pt>
                <c:pt idx="20">
                  <c:v>1.3863824459244896</c:v>
                </c:pt>
                <c:pt idx="21">
                  <c:v>0.88013734900537344</c:v>
                </c:pt>
                <c:pt idx="22">
                  <c:v>0.87978819781857709</c:v>
                </c:pt>
                <c:pt idx="23">
                  <c:v>0.36419887970399145</c:v>
                </c:pt>
                <c:pt idx="24">
                  <c:v>0.89497095598375154</c:v>
                </c:pt>
                <c:pt idx="25">
                  <c:v>0.37217886606242701</c:v>
                </c:pt>
                <c:pt idx="26">
                  <c:v>1.4160550166039627</c:v>
                </c:pt>
                <c:pt idx="27">
                  <c:v>0.40492527728702044</c:v>
                </c:pt>
                <c:pt idx="28">
                  <c:v>0.38977340445455155</c:v>
                </c:pt>
                <c:pt idx="29">
                  <c:v>0.37842403950615022</c:v>
                </c:pt>
                <c:pt idx="30">
                  <c:v>0.35583672944189004</c:v>
                </c:pt>
                <c:pt idx="31">
                  <c:v>0.3817677058270661</c:v>
                </c:pt>
                <c:pt idx="32">
                  <c:v>-0.13286823808299175</c:v>
                </c:pt>
                <c:pt idx="33">
                  <c:v>-6.6979171201843712E-2</c:v>
                </c:pt>
                <c:pt idx="34">
                  <c:v>-0.13751649595970861</c:v>
                </c:pt>
                <c:pt idx="35">
                  <c:v>-4.5493815525396997E-2</c:v>
                </c:pt>
                <c:pt idx="36">
                  <c:v>-0.16052729321717862</c:v>
                </c:pt>
                <c:pt idx="37">
                  <c:v>0.58041627675410012</c:v>
                </c:pt>
                <c:pt idx="38">
                  <c:v>0.76057401569050143</c:v>
                </c:pt>
                <c:pt idx="39">
                  <c:v>0.66911180150177074</c:v>
                </c:pt>
                <c:pt idx="40">
                  <c:v>-0.36211023948634846</c:v>
                </c:pt>
                <c:pt idx="41">
                  <c:v>2.4204799503962704E-2</c:v>
                </c:pt>
                <c:pt idx="42">
                  <c:v>5.3406590781087004E-2</c:v>
                </c:pt>
                <c:pt idx="43">
                  <c:v>0.19023259393490832</c:v>
                </c:pt>
                <c:pt idx="44">
                  <c:v>0.1550702395445569</c:v>
                </c:pt>
                <c:pt idx="45">
                  <c:v>0.72034314338235816</c:v>
                </c:pt>
                <c:pt idx="46">
                  <c:v>0.43787000750516825</c:v>
                </c:pt>
                <c:pt idx="47">
                  <c:v>-9.0160838590676917E-2</c:v>
                </c:pt>
                <c:pt idx="48">
                  <c:v>-9.4119520663475953E-2</c:v>
                </c:pt>
                <c:pt idx="49">
                  <c:v>-9.9894769016387386E-2</c:v>
                </c:pt>
                <c:pt idx="50">
                  <c:v>-9.0711815784587202E-2</c:v>
                </c:pt>
                <c:pt idx="51">
                  <c:v>2.820183294732459E-2</c:v>
                </c:pt>
                <c:pt idx="52">
                  <c:v>-9.6221587723668733E-2</c:v>
                </c:pt>
                <c:pt idx="53">
                  <c:v>-5.5249172841982386E-2</c:v>
                </c:pt>
                <c:pt idx="54">
                  <c:v>-0.5907118157845872</c:v>
                </c:pt>
                <c:pt idx="55">
                  <c:v>-0.52467829230342744</c:v>
                </c:pt>
                <c:pt idx="56">
                  <c:v>-0.54981483230444894</c:v>
                </c:pt>
                <c:pt idx="57">
                  <c:v>-0.63384803732865436</c:v>
                </c:pt>
                <c:pt idx="58">
                  <c:v>-0.58341022941950627</c:v>
                </c:pt>
                <c:pt idx="59">
                  <c:v>-1.1341235259256095</c:v>
                </c:pt>
                <c:pt idx="60">
                  <c:v>-1.0761556963663779</c:v>
                </c:pt>
                <c:pt idx="61">
                  <c:v>-1.0928920659148247</c:v>
                </c:pt>
                <c:pt idx="62">
                  <c:v>-1.0801185779693867</c:v>
                </c:pt>
                <c:pt idx="63">
                  <c:v>-1.6369468467608996</c:v>
                </c:pt>
                <c:pt idx="64">
                  <c:v>-1.209581386306148</c:v>
                </c:pt>
                <c:pt idx="65">
                  <c:v>-1.1694636841546995</c:v>
                </c:pt>
                <c:pt idx="66">
                  <c:v>-1.0602925819419369</c:v>
                </c:pt>
                <c:pt idx="67">
                  <c:v>-0.59625456047250225</c:v>
                </c:pt>
                <c:pt idx="68">
                  <c:v>-0.57319495919522723</c:v>
                </c:pt>
                <c:pt idx="69">
                  <c:v>-1.0805300617308689</c:v>
                </c:pt>
                <c:pt idx="70">
                  <c:v>-1.1138440669218923</c:v>
                </c:pt>
                <c:pt idx="71">
                  <c:v>-1.1916763766380924</c:v>
                </c:pt>
                <c:pt idx="72">
                  <c:v>-1.5866334460038658</c:v>
                </c:pt>
                <c:pt idx="73">
                  <c:v>-1.2390586661802274</c:v>
                </c:pt>
                <c:pt idx="74">
                  <c:v>-0.62449629267078421</c:v>
                </c:pt>
                <c:pt idx="75">
                  <c:v>-1.1057541037664222</c:v>
                </c:pt>
                <c:pt idx="76">
                  <c:v>-1.5392157364992585</c:v>
                </c:pt>
                <c:pt idx="77">
                  <c:v>-1.0883064926260033</c:v>
                </c:pt>
                <c:pt idx="78">
                  <c:v>-0.60027844312198653</c:v>
                </c:pt>
                <c:pt idx="79">
                  <c:v>-0.90205608604468068</c:v>
                </c:pt>
                <c:pt idx="80">
                  <c:v>-1.0652662443256702</c:v>
                </c:pt>
                <c:pt idx="81">
                  <c:v>-1.4811077575823788</c:v>
                </c:pt>
                <c:pt idx="82">
                  <c:v>-1.0021563982401247</c:v>
                </c:pt>
                <c:pt idx="83">
                  <c:v>-1.0534018687501856</c:v>
                </c:pt>
                <c:pt idx="84">
                  <c:v>-0.92479920021543904</c:v>
                </c:pt>
                <c:pt idx="85">
                  <c:v>-0.74830796624912921</c:v>
                </c:pt>
                <c:pt idx="86">
                  <c:v>-0.58407084769838491</c:v>
                </c:pt>
                <c:pt idx="87">
                  <c:v>-1.0388311238080661</c:v>
                </c:pt>
                <c:pt idx="88">
                  <c:v>-0.99400400193476202</c:v>
                </c:pt>
                <c:pt idx="89">
                  <c:v>-0.43142929244879724</c:v>
                </c:pt>
                <c:pt idx="90">
                  <c:v>-0.97160777382233476</c:v>
                </c:pt>
                <c:pt idx="91">
                  <c:v>-0.51345187118136693</c:v>
                </c:pt>
                <c:pt idx="92">
                  <c:v>-0.16965513004804933</c:v>
                </c:pt>
                <c:pt idx="93">
                  <c:v>-8.3294677258002991E-2</c:v>
                </c:pt>
                <c:pt idx="94">
                  <c:v>-0.10241373893583017</c:v>
                </c:pt>
                <c:pt idx="95">
                  <c:v>-0.46953288553961414</c:v>
                </c:pt>
                <c:pt idx="96">
                  <c:v>-0.56217403787408671</c:v>
                </c:pt>
                <c:pt idx="97">
                  <c:v>-0.45927529720585625</c:v>
                </c:pt>
                <c:pt idx="98">
                  <c:v>-0.85549239119063714</c:v>
                </c:pt>
                <c:pt idx="99">
                  <c:v>-1.3226027258956208</c:v>
                </c:pt>
                <c:pt idx="100">
                  <c:v>-0.65201368206982835</c:v>
                </c:pt>
                <c:pt idx="101">
                  <c:v>-1.0152700959212595</c:v>
                </c:pt>
                <c:pt idx="102">
                  <c:v>-0.5507311598519351</c:v>
                </c:pt>
                <c:pt idx="103">
                  <c:v>-4.1400054974666034E-2</c:v>
                </c:pt>
                <c:pt idx="104">
                  <c:v>-4.1400054974666034E-2</c:v>
                </c:pt>
                <c:pt idx="105">
                  <c:v>5.3065878513578468E-3</c:v>
                </c:pt>
                <c:pt idx="106">
                  <c:v>-0.446818391573089</c:v>
                </c:pt>
                <c:pt idx="107">
                  <c:v>-0.56183732958891852</c:v>
                </c:pt>
                <c:pt idx="108">
                  <c:v>-1.1105097366034258</c:v>
                </c:pt>
                <c:pt idx="109">
                  <c:v>-0.94741069205654327</c:v>
                </c:pt>
                <c:pt idx="110">
                  <c:v>-0.99096880631782369</c:v>
                </c:pt>
                <c:pt idx="111">
                  <c:v>-0.38380955797309468</c:v>
                </c:pt>
                <c:pt idx="112">
                  <c:v>-1.003890139810288</c:v>
                </c:pt>
                <c:pt idx="113">
                  <c:v>-1.0709376362416307</c:v>
                </c:pt>
                <c:pt idx="114">
                  <c:v>-1.0835938884841383</c:v>
                </c:pt>
                <c:pt idx="115">
                  <c:v>-1.0737714956089661</c:v>
                </c:pt>
                <c:pt idx="116">
                  <c:v>-1.0605951821150938</c:v>
                </c:pt>
                <c:pt idx="117">
                  <c:v>-1.5789748630085469</c:v>
                </c:pt>
                <c:pt idx="118">
                  <c:v>-1.5777259813690208</c:v>
                </c:pt>
                <c:pt idx="119">
                  <c:v>-1.59572456970335</c:v>
                </c:pt>
                <c:pt idx="120">
                  <c:v>-1.6057248057727804</c:v>
                </c:pt>
                <c:pt idx="121">
                  <c:v>-0.46614129613112709</c:v>
                </c:pt>
                <c:pt idx="122">
                  <c:v>-0.80647772785671634</c:v>
                </c:pt>
                <c:pt idx="123">
                  <c:v>-0.74432222018577932</c:v>
                </c:pt>
                <c:pt idx="124">
                  <c:v>-1.1697391727516546</c:v>
                </c:pt>
                <c:pt idx="125">
                  <c:v>-0.82215008282589963</c:v>
                </c:pt>
                <c:pt idx="126">
                  <c:v>-0.75637164866702022</c:v>
                </c:pt>
                <c:pt idx="127">
                  <c:v>-0.54797758891549364</c:v>
                </c:pt>
                <c:pt idx="128">
                  <c:v>-0.59576474830637238</c:v>
                </c:pt>
                <c:pt idx="129">
                  <c:v>-0.22604319648505111</c:v>
                </c:pt>
                <c:pt idx="130">
                  <c:v>-0.2758414608959967</c:v>
                </c:pt>
                <c:pt idx="131">
                  <c:v>-0.67524894469073615</c:v>
                </c:pt>
                <c:pt idx="132">
                  <c:v>-0.21380554479277691</c:v>
                </c:pt>
                <c:pt idx="133">
                  <c:v>-0.27512165401371647</c:v>
                </c:pt>
                <c:pt idx="134">
                  <c:v>0.21619127222900403</c:v>
                </c:pt>
                <c:pt idx="135">
                  <c:v>0.20412640217462297</c:v>
                </c:pt>
                <c:pt idx="136">
                  <c:v>5.6641706942343717E-2</c:v>
                </c:pt>
                <c:pt idx="137">
                  <c:v>8.2772240379938467E-2</c:v>
                </c:pt>
                <c:pt idx="138">
                  <c:v>-0.15761767448567809</c:v>
                </c:pt>
                <c:pt idx="139">
                  <c:v>-0.37436733936171862</c:v>
                </c:pt>
                <c:pt idx="140">
                  <c:v>-0.27248080884461956</c:v>
                </c:pt>
                <c:pt idx="141">
                  <c:v>-0.41694335590600673</c:v>
                </c:pt>
                <c:pt idx="142">
                  <c:v>-0.4352646102595159</c:v>
                </c:pt>
                <c:pt idx="143">
                  <c:v>-0.34920053773464588</c:v>
                </c:pt>
                <c:pt idx="144">
                  <c:v>-0.51329120731249844</c:v>
                </c:pt>
                <c:pt idx="145">
                  <c:v>-0.72024541552655563</c:v>
                </c:pt>
                <c:pt idx="146">
                  <c:v>-0.51586243421740363</c:v>
                </c:pt>
                <c:pt idx="147">
                  <c:v>-0.16587052892278109</c:v>
                </c:pt>
                <c:pt idx="148">
                  <c:v>-0.47625434815762446</c:v>
                </c:pt>
                <c:pt idx="149">
                  <c:v>-0.45118488583481309</c:v>
                </c:pt>
                <c:pt idx="150">
                  <c:v>-0.57497109539947644</c:v>
                </c:pt>
                <c:pt idx="151">
                  <c:v>-0.18829667815782614</c:v>
                </c:pt>
                <c:pt idx="152">
                  <c:v>-0.60022651252523929</c:v>
                </c:pt>
                <c:pt idx="153">
                  <c:v>-0.60918953402713782</c:v>
                </c:pt>
                <c:pt idx="154">
                  <c:v>-0.5127054688143744</c:v>
                </c:pt>
                <c:pt idx="155">
                  <c:v>-0.46289177376237234</c:v>
                </c:pt>
                <c:pt idx="156">
                  <c:v>-6.8772736335695583E-2</c:v>
                </c:pt>
                <c:pt idx="157">
                  <c:v>-3.7916348616960249E-2</c:v>
                </c:pt>
                <c:pt idx="158">
                  <c:v>-1.439515691160409E-3</c:v>
                </c:pt>
                <c:pt idx="159">
                  <c:v>-4.5933066788322208E-2</c:v>
                </c:pt>
                <c:pt idx="160">
                  <c:v>0.15677419773640366</c:v>
                </c:pt>
                <c:pt idx="161">
                  <c:v>-1.422432927891748E-2</c:v>
                </c:pt>
                <c:pt idx="162">
                  <c:v>0.1773351361208455</c:v>
                </c:pt>
                <c:pt idx="163">
                  <c:v>5.0995147262419493E-2</c:v>
                </c:pt>
                <c:pt idx="164">
                  <c:v>0.25586683386387676</c:v>
                </c:pt>
                <c:pt idx="165">
                  <c:v>0.47847369240960091</c:v>
                </c:pt>
                <c:pt idx="166">
                  <c:v>0.46675501969205868</c:v>
                </c:pt>
                <c:pt idx="167">
                  <c:v>-9.099586533008619E-2</c:v>
                </c:pt>
                <c:pt idx="168">
                  <c:v>-2.1409990182796435E-2</c:v>
                </c:pt>
                <c:pt idx="169">
                  <c:v>-3.4974961240116897E-2</c:v>
                </c:pt>
                <c:pt idx="170">
                  <c:v>9.5075255021463079E-2</c:v>
                </c:pt>
                <c:pt idx="171">
                  <c:v>5.9491827789358354E-2</c:v>
                </c:pt>
                <c:pt idx="172">
                  <c:v>0.3483171338203519</c:v>
                </c:pt>
                <c:pt idx="173">
                  <c:v>6.0481321063328153E-2</c:v>
                </c:pt>
                <c:pt idx="174">
                  <c:v>3.5578682390891458E-2</c:v>
                </c:pt>
                <c:pt idx="175">
                  <c:v>7.5421122231205118E-3</c:v>
                </c:pt>
                <c:pt idx="176">
                  <c:v>-0.50144624985686903</c:v>
                </c:pt>
                <c:pt idx="177">
                  <c:v>-0.60909494960884558</c:v>
                </c:pt>
                <c:pt idx="178">
                  <c:v>-0.27174560685056548</c:v>
                </c:pt>
                <c:pt idx="179">
                  <c:v>3.7934626435962571E-2</c:v>
                </c:pt>
                <c:pt idx="180">
                  <c:v>4.0850432728802843E-2</c:v>
                </c:pt>
                <c:pt idx="181">
                  <c:v>0.42808376704230255</c:v>
                </c:pt>
                <c:pt idx="182">
                  <c:v>0.638901038704347</c:v>
                </c:pt>
                <c:pt idx="183">
                  <c:v>0.53786545638735106</c:v>
                </c:pt>
                <c:pt idx="184">
                  <c:v>0.43442000477224241</c:v>
                </c:pt>
                <c:pt idx="185">
                  <c:v>-0.13270738335221921</c:v>
                </c:pt>
                <c:pt idx="186">
                  <c:v>1.4356738088089571E-2</c:v>
                </c:pt>
                <c:pt idx="187">
                  <c:v>0.12315243242706941</c:v>
                </c:pt>
                <c:pt idx="188">
                  <c:v>-3.009798223540372E-2</c:v>
                </c:pt>
                <c:pt idx="189">
                  <c:v>0.33903510034940609</c:v>
                </c:pt>
                <c:pt idx="190">
                  <c:v>0.70038798638467625</c:v>
                </c:pt>
                <c:pt idx="191">
                  <c:v>0.67276841794938491</c:v>
                </c:pt>
                <c:pt idx="192">
                  <c:v>0.32200797281124238</c:v>
                </c:pt>
                <c:pt idx="193">
                  <c:v>0.29488765093332603</c:v>
                </c:pt>
                <c:pt idx="194">
                  <c:v>-4.676886700778482E-4</c:v>
                </c:pt>
                <c:pt idx="195">
                  <c:v>5.1085621215925414E-2</c:v>
                </c:pt>
                <c:pt idx="196">
                  <c:v>5.5833514135208873E-2</c:v>
                </c:pt>
                <c:pt idx="197">
                  <c:v>3.9188318193851046E-2</c:v>
                </c:pt>
                <c:pt idx="198">
                  <c:v>0.56404569802536031</c:v>
                </c:pt>
                <c:pt idx="199">
                  <c:v>0.71148143117217444</c:v>
                </c:pt>
                <c:pt idx="200">
                  <c:v>0.78714896580220994</c:v>
                </c:pt>
                <c:pt idx="201">
                  <c:v>0.8884925542094777</c:v>
                </c:pt>
                <c:pt idx="202">
                  <c:v>0.73230722123274461</c:v>
                </c:pt>
                <c:pt idx="203">
                  <c:v>1.3954883001618299</c:v>
                </c:pt>
                <c:pt idx="204">
                  <c:v>0.84790390092491918</c:v>
                </c:pt>
                <c:pt idx="205">
                  <c:v>1.3085488243578354</c:v>
                </c:pt>
                <c:pt idx="206">
                  <c:v>1.3755588050486054</c:v>
                </c:pt>
                <c:pt idx="207">
                  <c:v>1.0543453946998156</c:v>
                </c:pt>
                <c:pt idx="208">
                  <c:v>0.60268935808706914</c:v>
                </c:pt>
                <c:pt idx="209">
                  <c:v>1.1967035149789211</c:v>
                </c:pt>
                <c:pt idx="210">
                  <c:v>0.43042327742732311</c:v>
                </c:pt>
                <c:pt idx="211">
                  <c:v>1.0464601769911539</c:v>
                </c:pt>
                <c:pt idx="212">
                  <c:v>1.0464601769911539</c:v>
                </c:pt>
                <c:pt idx="213">
                  <c:v>0.5464601769911539</c:v>
                </c:pt>
                <c:pt idx="214">
                  <c:v>4.6460176991153901E-2</c:v>
                </c:pt>
                <c:pt idx="215">
                  <c:v>4.6460176991153901E-2</c:v>
                </c:pt>
                <c:pt idx="216">
                  <c:v>0.5464601769911539</c:v>
                </c:pt>
                <c:pt idx="217">
                  <c:v>4.6460176991153901E-2</c:v>
                </c:pt>
                <c:pt idx="218">
                  <c:v>9.1485236848953377E-2</c:v>
                </c:pt>
                <c:pt idx="219">
                  <c:v>0.5553350109597659</c:v>
                </c:pt>
                <c:pt idx="220">
                  <c:v>0.417315223885808</c:v>
                </c:pt>
                <c:pt idx="221">
                  <c:v>0.17994768631529467</c:v>
                </c:pt>
                <c:pt idx="222">
                  <c:v>0.96101689831594683</c:v>
                </c:pt>
                <c:pt idx="223">
                  <c:v>0.43713387355067823</c:v>
                </c:pt>
                <c:pt idx="224">
                  <c:v>0.51336340491850052</c:v>
                </c:pt>
                <c:pt idx="225">
                  <c:v>1.0152173088083174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0-446D-9780-0B2E7601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6255"/>
        <c:axId val="2123707215"/>
      </c:scatterChart>
      <c:valAx>
        <c:axId val="212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7215"/>
        <c:crosses val="autoZero"/>
        <c:crossBetween val="midCat"/>
      </c:valAx>
      <c:valAx>
        <c:axId val="2123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47003499562554"/>
          <c:y val="0.17377333041703119"/>
          <c:w val="0.76672440944881892"/>
          <c:h val="0.701295931758530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Log'!$S$2:$S$227</c:f>
              <c:numCache>
                <c:formatCode>0.00</c:formatCode>
                <c:ptCount val="226"/>
                <c:pt idx="0">
                  <c:v>189.5</c:v>
                </c:pt>
                <c:pt idx="1">
                  <c:v>499.95</c:v>
                </c:pt>
                <c:pt idx="2">
                  <c:v>172.41208333333333</c:v>
                </c:pt>
                <c:pt idx="3">
                  <c:v>108</c:v>
                </c:pt>
                <c:pt idx="4">
                  <c:v>259.04000000000002</c:v>
                </c:pt>
                <c:pt idx="5">
                  <c:v>195.20333333333332</c:v>
                </c:pt>
                <c:pt idx="6">
                  <c:v>309.47333333333336</c:v>
                </c:pt>
                <c:pt idx="7">
                  <c:v>349</c:v>
                </c:pt>
                <c:pt idx="8">
                  <c:v>235.18333333333331</c:v>
                </c:pt>
                <c:pt idx="9">
                  <c:v>139.18333333333331</c:v>
                </c:pt>
                <c:pt idx="10">
                  <c:v>119.54166666666666</c:v>
                </c:pt>
                <c:pt idx="11">
                  <c:v>111.93333333333332</c:v>
                </c:pt>
                <c:pt idx="12">
                  <c:v>287.93333333333334</c:v>
                </c:pt>
                <c:pt idx="13">
                  <c:v>206.88333333333333</c:v>
                </c:pt>
                <c:pt idx="14">
                  <c:v>204.06225000000001</c:v>
                </c:pt>
                <c:pt idx="15">
                  <c:v>280.62708333333336</c:v>
                </c:pt>
                <c:pt idx="16">
                  <c:v>116.63333333333333</c:v>
                </c:pt>
                <c:pt idx="17">
                  <c:v>142.63333333333333</c:v>
                </c:pt>
                <c:pt idx="18">
                  <c:v>116.42333333333333</c:v>
                </c:pt>
                <c:pt idx="19">
                  <c:v>293.27308333333337</c:v>
                </c:pt>
                <c:pt idx="20">
                  <c:v>124.89999999999998</c:v>
                </c:pt>
                <c:pt idx="21">
                  <c:v>126.84975</c:v>
                </c:pt>
                <c:pt idx="22">
                  <c:v>136.31986666666666</c:v>
                </c:pt>
                <c:pt idx="23">
                  <c:v>119.70183333333333</c:v>
                </c:pt>
                <c:pt idx="24">
                  <c:v>131.39683333333335</c:v>
                </c:pt>
                <c:pt idx="25">
                  <c:v>129.08183333333335</c:v>
                </c:pt>
                <c:pt idx="26">
                  <c:v>168.80183333333335</c:v>
                </c:pt>
                <c:pt idx="27">
                  <c:v>150.42183333333332</c:v>
                </c:pt>
                <c:pt idx="28">
                  <c:v>172.42183333333332</c:v>
                </c:pt>
                <c:pt idx="29">
                  <c:v>112.8995</c:v>
                </c:pt>
                <c:pt idx="30">
                  <c:v>90.527500000000003</c:v>
                </c:pt>
                <c:pt idx="31">
                  <c:v>68.50333333333333</c:v>
                </c:pt>
                <c:pt idx="32">
                  <c:v>99.227499999999992</c:v>
                </c:pt>
                <c:pt idx="33">
                  <c:v>119.35499999999999</c:v>
                </c:pt>
                <c:pt idx="34">
                  <c:v>43.003333333333337</c:v>
                </c:pt>
                <c:pt idx="35">
                  <c:v>146.79999999999998</c:v>
                </c:pt>
                <c:pt idx="36">
                  <c:v>48.047499999999999</c:v>
                </c:pt>
                <c:pt idx="37">
                  <c:v>908.85000000000014</c:v>
                </c:pt>
                <c:pt idx="38">
                  <c:v>622.20000000000005</c:v>
                </c:pt>
                <c:pt idx="39">
                  <c:v>572.5</c:v>
                </c:pt>
                <c:pt idx="40">
                  <c:v>655</c:v>
                </c:pt>
                <c:pt idx="41">
                  <c:v>340.8</c:v>
                </c:pt>
                <c:pt idx="42">
                  <c:v>364</c:v>
                </c:pt>
                <c:pt idx="43">
                  <c:v>575</c:v>
                </c:pt>
                <c:pt idx="44">
                  <c:v>628.79999999999995</c:v>
                </c:pt>
                <c:pt idx="45">
                  <c:v>631.78571428571422</c:v>
                </c:pt>
                <c:pt idx="46">
                  <c:v>303.92931547619042</c:v>
                </c:pt>
                <c:pt idx="47">
                  <c:v>66.84253132133567</c:v>
                </c:pt>
                <c:pt idx="48">
                  <c:v>63.817261904761914</c:v>
                </c:pt>
                <c:pt idx="49">
                  <c:v>70.942531321335665</c:v>
                </c:pt>
                <c:pt idx="50">
                  <c:v>71.442531321335665</c:v>
                </c:pt>
                <c:pt idx="51">
                  <c:v>346.685</c:v>
                </c:pt>
                <c:pt idx="52">
                  <c:v>71.442531321335665</c:v>
                </c:pt>
                <c:pt idx="53">
                  <c:v>151.16</c:v>
                </c:pt>
                <c:pt idx="54">
                  <c:v>72.442531321335665</c:v>
                </c:pt>
                <c:pt idx="55">
                  <c:v>215.71526941657376</c:v>
                </c:pt>
                <c:pt idx="56">
                  <c:v>178.92202380952378</c:v>
                </c:pt>
                <c:pt idx="57">
                  <c:v>44.072023809523806</c:v>
                </c:pt>
                <c:pt idx="58">
                  <c:v>73.849999999999994</c:v>
                </c:pt>
                <c:pt idx="59">
                  <c:v>47.87202380952381</c:v>
                </c:pt>
                <c:pt idx="60">
                  <c:v>51.45</c:v>
                </c:pt>
                <c:pt idx="61">
                  <c:v>103.9720238095238</c:v>
                </c:pt>
                <c:pt idx="62">
                  <c:v>50.922023809523814</c:v>
                </c:pt>
                <c:pt idx="63">
                  <c:v>86.149999999999991</c:v>
                </c:pt>
                <c:pt idx="64">
                  <c:v>731.84999999999991</c:v>
                </c:pt>
                <c:pt idx="65">
                  <c:v>80.800000000000011</c:v>
                </c:pt>
                <c:pt idx="66">
                  <c:v>236.07202380952378</c:v>
                </c:pt>
                <c:pt idx="67">
                  <c:v>837.35000000000014</c:v>
                </c:pt>
                <c:pt idx="68">
                  <c:v>114.51944444444445</c:v>
                </c:pt>
                <c:pt idx="69">
                  <c:v>61.185317460317457</c:v>
                </c:pt>
                <c:pt idx="70">
                  <c:v>116.63888888888889</c:v>
                </c:pt>
                <c:pt idx="71">
                  <c:v>818.50642857142861</c:v>
                </c:pt>
                <c:pt idx="72">
                  <c:v>148.1</c:v>
                </c:pt>
                <c:pt idx="73">
                  <c:v>756</c:v>
                </c:pt>
                <c:pt idx="74">
                  <c:v>92.538888888888891</c:v>
                </c:pt>
                <c:pt idx="75">
                  <c:v>66.046428571428578</c:v>
                </c:pt>
                <c:pt idx="76">
                  <c:v>122.57777777777777</c:v>
                </c:pt>
                <c:pt idx="77">
                  <c:v>140.54642857142855</c:v>
                </c:pt>
                <c:pt idx="78">
                  <c:v>936.84642857142853</c:v>
                </c:pt>
                <c:pt idx="79">
                  <c:v>342.6</c:v>
                </c:pt>
                <c:pt idx="80">
                  <c:v>241.83888888888887</c:v>
                </c:pt>
                <c:pt idx="81">
                  <c:v>412.20642857142855</c:v>
                </c:pt>
                <c:pt idx="82">
                  <c:v>390.66500000000002</c:v>
                </c:pt>
                <c:pt idx="83">
                  <c:v>321.42</c:v>
                </c:pt>
                <c:pt idx="84">
                  <c:v>466.72500000000002</c:v>
                </c:pt>
                <c:pt idx="85">
                  <c:v>797.06784722222221</c:v>
                </c:pt>
                <c:pt idx="86">
                  <c:v>989.93312500000002</c:v>
                </c:pt>
                <c:pt idx="87">
                  <c:v>303.86625000000004</c:v>
                </c:pt>
                <c:pt idx="88">
                  <c:v>310.198125</c:v>
                </c:pt>
                <c:pt idx="89">
                  <c:v>326.05972222222221</c:v>
                </c:pt>
                <c:pt idx="90">
                  <c:v>268.66944444444448</c:v>
                </c:pt>
                <c:pt idx="91">
                  <c:v>934.53472222222229</c:v>
                </c:pt>
                <c:pt idx="92">
                  <c:v>970.16666666666674</c:v>
                </c:pt>
                <c:pt idx="93">
                  <c:v>99.205555555555549</c:v>
                </c:pt>
                <c:pt idx="94">
                  <c:v>101.54700000000001</c:v>
                </c:pt>
                <c:pt idx="95">
                  <c:v>193.24499999999998</c:v>
                </c:pt>
                <c:pt idx="96">
                  <c:v>208.52799999999999</c:v>
                </c:pt>
                <c:pt idx="97">
                  <c:v>267.30999999999995</c:v>
                </c:pt>
                <c:pt idx="98">
                  <c:v>648.2940000000001</c:v>
                </c:pt>
                <c:pt idx="99">
                  <c:v>671.29300000000012</c:v>
                </c:pt>
                <c:pt idx="100">
                  <c:v>850.51</c:v>
                </c:pt>
                <c:pt idx="101">
                  <c:v>1192.5999999999999</c:v>
                </c:pt>
                <c:pt idx="102">
                  <c:v>290.07400000000001</c:v>
                </c:pt>
                <c:pt idx="103">
                  <c:v>233.24</c:v>
                </c:pt>
                <c:pt idx="104">
                  <c:v>233.24</c:v>
                </c:pt>
                <c:pt idx="105">
                  <c:v>299.18766666666664</c:v>
                </c:pt>
                <c:pt idx="106">
                  <c:v>461.82499999999999</c:v>
                </c:pt>
                <c:pt idx="107">
                  <c:v>171.67666666666665</c:v>
                </c:pt>
                <c:pt idx="108">
                  <c:v>131.89766666666668</c:v>
                </c:pt>
                <c:pt idx="109">
                  <c:v>485.65000000000003</c:v>
                </c:pt>
                <c:pt idx="110">
                  <c:v>408.57266666666663</c:v>
                </c:pt>
                <c:pt idx="111">
                  <c:v>676.7</c:v>
                </c:pt>
                <c:pt idx="112">
                  <c:v>410.00766666666669</c:v>
                </c:pt>
                <c:pt idx="113">
                  <c:v>268.26966666666664</c:v>
                </c:pt>
                <c:pt idx="114">
                  <c:v>139.85</c:v>
                </c:pt>
                <c:pt idx="115">
                  <c:v>267.9496666666667</c:v>
                </c:pt>
                <c:pt idx="116">
                  <c:v>287.77500000000003</c:v>
                </c:pt>
                <c:pt idx="117">
                  <c:v>284.02999999999997</c:v>
                </c:pt>
                <c:pt idx="118">
                  <c:v>304.09999999999997</c:v>
                </c:pt>
                <c:pt idx="119">
                  <c:v>278.7</c:v>
                </c:pt>
                <c:pt idx="120">
                  <c:v>281.8</c:v>
                </c:pt>
                <c:pt idx="121">
                  <c:v>1273.9000000000001</c:v>
                </c:pt>
                <c:pt idx="122">
                  <c:v>873.69037500000002</c:v>
                </c:pt>
                <c:pt idx="123">
                  <c:v>717.67062499999997</c:v>
                </c:pt>
                <c:pt idx="124">
                  <c:v>152</c:v>
                </c:pt>
                <c:pt idx="125">
                  <c:v>606.38508333333334</c:v>
                </c:pt>
                <c:pt idx="126">
                  <c:v>708.60833333333335</c:v>
                </c:pt>
                <c:pt idx="127">
                  <c:v>1146.0858333333333</c:v>
                </c:pt>
                <c:pt idx="128">
                  <c:v>947.95781250000005</c:v>
                </c:pt>
                <c:pt idx="129">
                  <c:v>746.953125</c:v>
                </c:pt>
                <c:pt idx="130">
                  <c:v>581.27920833333326</c:v>
                </c:pt>
                <c:pt idx="131">
                  <c:v>130</c:v>
                </c:pt>
                <c:pt idx="132">
                  <c:v>761.80000000000007</c:v>
                </c:pt>
                <c:pt idx="133">
                  <c:v>656.09333333333336</c:v>
                </c:pt>
                <c:pt idx="134">
                  <c:v>648.98333333333335</c:v>
                </c:pt>
                <c:pt idx="135">
                  <c:v>742.88333333333333</c:v>
                </c:pt>
                <c:pt idx="136">
                  <c:v>520.81616666666662</c:v>
                </c:pt>
                <c:pt idx="137">
                  <c:v>587.67520833333333</c:v>
                </c:pt>
                <c:pt idx="138">
                  <c:v>138.4</c:v>
                </c:pt>
                <c:pt idx="139">
                  <c:v>640.2836666666667</c:v>
                </c:pt>
                <c:pt idx="140">
                  <c:v>730.48337500000002</c:v>
                </c:pt>
                <c:pt idx="141">
                  <c:v>511.657375</c:v>
                </c:pt>
                <c:pt idx="142">
                  <c:v>361.111875</c:v>
                </c:pt>
                <c:pt idx="143">
                  <c:v>644.8366666666667</c:v>
                </c:pt>
                <c:pt idx="144">
                  <c:v>391.88270833333331</c:v>
                </c:pt>
                <c:pt idx="145">
                  <c:v>3</c:v>
                </c:pt>
                <c:pt idx="146">
                  <c:v>412.28270833333335</c:v>
                </c:pt>
                <c:pt idx="147">
                  <c:v>759.4</c:v>
                </c:pt>
                <c:pt idx="148">
                  <c:v>441.4</c:v>
                </c:pt>
                <c:pt idx="149">
                  <c:v>420.5</c:v>
                </c:pt>
                <c:pt idx="150">
                  <c:v>244.8</c:v>
                </c:pt>
                <c:pt idx="151">
                  <c:v>833.42620370370378</c:v>
                </c:pt>
                <c:pt idx="152">
                  <c:v>186.535</c:v>
                </c:pt>
                <c:pt idx="153">
                  <c:v>127.9124074074074</c:v>
                </c:pt>
                <c:pt idx="154">
                  <c:v>329.8830740740741</c:v>
                </c:pt>
                <c:pt idx="155">
                  <c:v>441.84981481481475</c:v>
                </c:pt>
                <c:pt idx="156">
                  <c:v>816.91240740740739</c:v>
                </c:pt>
                <c:pt idx="157">
                  <c:v>299.86666666666667</c:v>
                </c:pt>
                <c:pt idx="158">
                  <c:v>133.42481481481479</c:v>
                </c:pt>
                <c:pt idx="159">
                  <c:v>213.73666666666668</c:v>
                </c:pt>
                <c:pt idx="160">
                  <c:v>463.25366666666667</c:v>
                </c:pt>
                <c:pt idx="161">
                  <c:v>285.66666666666663</c:v>
                </c:pt>
                <c:pt idx="162">
                  <c:v>871.2</c:v>
                </c:pt>
                <c:pt idx="163">
                  <c:v>434.82481481481477</c:v>
                </c:pt>
                <c:pt idx="164">
                  <c:v>666.82481481481477</c:v>
                </c:pt>
                <c:pt idx="165">
                  <c:v>437.6</c:v>
                </c:pt>
                <c:pt idx="166">
                  <c:v>419.45266666666669</c:v>
                </c:pt>
                <c:pt idx="167">
                  <c:v>267.525125</c:v>
                </c:pt>
                <c:pt idx="168">
                  <c:v>376.66666666666669</c:v>
                </c:pt>
                <c:pt idx="169">
                  <c:v>304.3630952380953</c:v>
                </c:pt>
                <c:pt idx="170">
                  <c:v>644.09179166666672</c:v>
                </c:pt>
                <c:pt idx="171">
                  <c:v>601.56666666666661</c:v>
                </c:pt>
                <c:pt idx="172">
                  <c:v>872.35</c:v>
                </c:pt>
                <c:pt idx="173">
                  <c:v>431.28822023809528</c:v>
                </c:pt>
                <c:pt idx="174">
                  <c:v>317.82588690476189</c:v>
                </c:pt>
                <c:pt idx="175">
                  <c:v>300.51309523809522</c:v>
                </c:pt>
                <c:pt idx="176">
                  <c:v>267.20166666666665</c:v>
                </c:pt>
                <c:pt idx="177">
                  <c:v>224.97499999999999</c:v>
                </c:pt>
                <c:pt idx="178">
                  <c:v>812.71309523809532</c:v>
                </c:pt>
                <c:pt idx="179">
                  <c:v>486.04285714285714</c:v>
                </c:pt>
                <c:pt idx="180">
                  <c:v>408.86666666666667</c:v>
                </c:pt>
                <c:pt idx="181">
                  <c:v>146.31666666666666</c:v>
                </c:pt>
                <c:pt idx="182">
                  <c:v>470.13834523809527</c:v>
                </c:pt>
                <c:pt idx="183">
                  <c:v>399.39179166666668</c:v>
                </c:pt>
                <c:pt idx="184">
                  <c:v>165.76666666666668</c:v>
                </c:pt>
                <c:pt idx="185">
                  <c:v>112.86666666666666</c:v>
                </c:pt>
                <c:pt idx="186">
                  <c:v>445.17142857142858</c:v>
                </c:pt>
                <c:pt idx="187">
                  <c:v>587.79285714285709</c:v>
                </c:pt>
                <c:pt idx="188">
                  <c:v>303.20566666666673</c:v>
                </c:pt>
                <c:pt idx="189">
                  <c:v>816.2897916666667</c:v>
                </c:pt>
                <c:pt idx="190">
                  <c:v>709.21607738095236</c:v>
                </c:pt>
                <c:pt idx="191">
                  <c:v>730.96207738095245</c:v>
                </c:pt>
                <c:pt idx="192">
                  <c:v>935</c:v>
                </c:pt>
                <c:pt idx="193">
                  <c:v>794.51666666666665</c:v>
                </c:pt>
                <c:pt idx="194">
                  <c:v>256.10441071428568</c:v>
                </c:pt>
                <c:pt idx="195">
                  <c:v>386.71695238095236</c:v>
                </c:pt>
                <c:pt idx="196">
                  <c:v>546.00428571428574</c:v>
                </c:pt>
                <c:pt idx="197">
                  <c:v>456.7166666666667</c:v>
                </c:pt>
                <c:pt idx="198">
                  <c:v>472.20857142857142</c:v>
                </c:pt>
                <c:pt idx="199">
                  <c:v>600.400125</c:v>
                </c:pt>
                <c:pt idx="200">
                  <c:v>785.00012500000003</c:v>
                </c:pt>
                <c:pt idx="201">
                  <c:v>808.33285714285716</c:v>
                </c:pt>
                <c:pt idx="202">
                  <c:v>646.775125</c:v>
                </c:pt>
                <c:pt idx="203">
                  <c:v>871.47512499999993</c:v>
                </c:pt>
                <c:pt idx="204">
                  <c:v>882.4</c:v>
                </c:pt>
                <c:pt idx="205">
                  <c:v>865</c:v>
                </c:pt>
                <c:pt idx="206">
                  <c:v>99.310333333333318</c:v>
                </c:pt>
                <c:pt idx="207">
                  <c:v>477.03699999999998</c:v>
                </c:pt>
                <c:pt idx="208">
                  <c:v>522.94133333333332</c:v>
                </c:pt>
                <c:pt idx="209">
                  <c:v>650.78666666666675</c:v>
                </c:pt>
                <c:pt idx="210">
                  <c:v>302.88833333333332</c:v>
                </c:pt>
                <c:pt idx="211">
                  <c:v>397.84503909680592</c:v>
                </c:pt>
                <c:pt idx="212">
                  <c:v>397.84503909680592</c:v>
                </c:pt>
                <c:pt idx="213">
                  <c:v>397.84503909680592</c:v>
                </c:pt>
                <c:pt idx="214">
                  <c:v>397.84503909680592</c:v>
                </c:pt>
                <c:pt idx="215">
                  <c:v>397.84503909680592</c:v>
                </c:pt>
                <c:pt idx="216">
                  <c:v>397.84503909680592</c:v>
                </c:pt>
                <c:pt idx="217">
                  <c:v>397.84503909680592</c:v>
                </c:pt>
                <c:pt idx="218">
                  <c:v>638.76666666666665</c:v>
                </c:pt>
                <c:pt idx="219">
                  <c:v>478.1</c:v>
                </c:pt>
                <c:pt idx="220">
                  <c:v>238.3</c:v>
                </c:pt>
                <c:pt idx="221">
                  <c:v>526.29999999999995</c:v>
                </c:pt>
                <c:pt idx="222">
                  <c:v>341.87333333333328</c:v>
                </c:pt>
                <c:pt idx="223">
                  <c:v>269.86933333333332</c:v>
                </c:pt>
                <c:pt idx="224">
                  <c:v>452.02033333333333</c:v>
                </c:pt>
                <c:pt idx="225">
                  <c:v>976.6</c:v>
                </c:pt>
              </c:numCache>
            </c:numRef>
          </c:xVal>
          <c:yVal>
            <c:numRef>
              <c:f>Residuals!$DR$2:$DR$227</c:f>
              <c:numCache>
                <c:formatCode>0.00</c:formatCode>
                <c:ptCount val="226"/>
                <c:pt idx="0">
                  <c:v>2.9099793706972434</c:v>
                </c:pt>
                <c:pt idx="1">
                  <c:v>2.6133461822979598</c:v>
                </c:pt>
                <c:pt idx="2">
                  <c:v>2.3987855709568677</c:v>
                </c:pt>
                <c:pt idx="3">
                  <c:v>2.3565910790384947</c:v>
                </c:pt>
                <c:pt idx="4">
                  <c:v>1.9555330124389556</c:v>
                </c:pt>
                <c:pt idx="5">
                  <c:v>2.4137154593282517</c:v>
                </c:pt>
                <c:pt idx="6">
                  <c:v>1.9885704297312614</c:v>
                </c:pt>
                <c:pt idx="7">
                  <c:v>2.0144632052931968</c:v>
                </c:pt>
                <c:pt idx="8">
                  <c:v>2.4399052004388864</c:v>
                </c:pt>
                <c:pt idx="9">
                  <c:v>2.3770183783623224</c:v>
                </c:pt>
                <c:pt idx="10">
                  <c:v>1.8641516908940545</c:v>
                </c:pt>
                <c:pt idx="11">
                  <c:v>1.359167691887464</c:v>
                </c:pt>
                <c:pt idx="12">
                  <c:v>1.9744601990278312</c:v>
                </c:pt>
                <c:pt idx="13">
                  <c:v>1.4213666893475647</c:v>
                </c:pt>
                <c:pt idx="14">
                  <c:v>1.4195186792887498</c:v>
                </c:pt>
                <c:pt idx="15">
                  <c:v>1.4696740860716133</c:v>
                </c:pt>
                <c:pt idx="16">
                  <c:v>1.362246525884963</c:v>
                </c:pt>
                <c:pt idx="17">
                  <c:v>1.3792783735306955</c:v>
                </c:pt>
                <c:pt idx="18">
                  <c:v>1.3621089609616703</c:v>
                </c:pt>
                <c:pt idx="19">
                  <c:v>1.4779581147380725</c:v>
                </c:pt>
                <c:pt idx="20">
                  <c:v>1.3676617800082198</c:v>
                </c:pt>
                <c:pt idx="21">
                  <c:v>0.86893900481388897</c:v>
                </c:pt>
                <c:pt idx="22">
                  <c:v>0.87514260420827128</c:v>
                </c:pt>
                <c:pt idx="23">
                  <c:v>0.36425661144269128</c:v>
                </c:pt>
                <c:pt idx="24">
                  <c:v>0.87191766752795274</c:v>
                </c:pt>
                <c:pt idx="25">
                  <c:v>0.37040117801642225</c:v>
                </c:pt>
                <c:pt idx="26">
                  <c:v>1.3964206006506004</c:v>
                </c:pt>
                <c:pt idx="27">
                  <c:v>0.38438039450718975</c:v>
                </c:pt>
                <c:pt idx="28">
                  <c:v>0.3987919578997392</c:v>
                </c:pt>
                <c:pt idx="29">
                  <c:v>0.35980059971311817</c:v>
                </c:pt>
                <c:pt idx="30">
                  <c:v>0.34514534988502987</c:v>
                </c:pt>
                <c:pt idx="31">
                  <c:v>0.33071795560844919</c:v>
                </c:pt>
                <c:pt idx="32">
                  <c:v>-0.14915553186428099</c:v>
                </c:pt>
                <c:pt idx="33">
                  <c:v>-0.13597058903776116</c:v>
                </c:pt>
                <c:pt idx="34">
                  <c:v>-0.18598635650563722</c:v>
                </c:pt>
                <c:pt idx="35">
                  <c:v>-0.11799216370555854</c:v>
                </c:pt>
                <c:pt idx="36">
                  <c:v>-0.18268206888384952</c:v>
                </c:pt>
                <c:pt idx="37">
                  <c:v>0.3812047400803209</c:v>
                </c:pt>
                <c:pt idx="38">
                  <c:v>0.69342861978608283</c:v>
                </c:pt>
                <c:pt idx="39">
                  <c:v>0.66087158794019984</c:v>
                </c:pt>
                <c:pt idx="40">
                  <c:v>-0.28508504933775214</c:v>
                </c:pt>
                <c:pt idx="41">
                  <c:v>9.0916225741608514E-3</c:v>
                </c:pt>
                <c:pt idx="42">
                  <c:v>2.4289271242665222E-2</c:v>
                </c:pt>
                <c:pt idx="43">
                  <c:v>0.16250926559844459</c:v>
                </c:pt>
                <c:pt idx="44">
                  <c:v>0.19775208880385264</c:v>
                </c:pt>
                <c:pt idx="45">
                  <c:v>0.69970794383569768</c:v>
                </c:pt>
                <c:pt idx="46">
                  <c:v>0.48493870405864214</c:v>
                </c:pt>
                <c:pt idx="47">
                  <c:v>-0.17036998773147616</c:v>
                </c:pt>
                <c:pt idx="48">
                  <c:v>-0.17235175418495174</c:v>
                </c:pt>
                <c:pt idx="49">
                  <c:v>-0.16768419637195109</c:v>
                </c:pt>
                <c:pt idx="50">
                  <c:v>-0.16735666084030498</c:v>
                </c:pt>
                <c:pt idx="51">
                  <c:v>1.2946715781666285E-2</c:v>
                </c:pt>
                <c:pt idx="52">
                  <c:v>-0.16735666084030498</c:v>
                </c:pt>
                <c:pt idx="53">
                  <c:v>-0.11513605386958403</c:v>
                </c:pt>
                <c:pt idx="54">
                  <c:v>-0.66670158977700567</c:v>
                </c:pt>
                <c:pt idx="55">
                  <c:v>-0.57284776489141365</c:v>
                </c:pt>
                <c:pt idx="56">
                  <c:v>-0.59694995541338614</c:v>
                </c:pt>
                <c:pt idx="57">
                  <c:v>-0.68528628829906069</c:v>
                </c:pt>
                <c:pt idx="58">
                  <c:v>-0.6657795977731169</c:v>
                </c:pt>
                <c:pt idx="59">
                  <c:v>-1.1827970182585332</c:v>
                </c:pt>
                <c:pt idx="60">
                  <c:v>-1.1804531895909847</c:v>
                </c:pt>
                <c:pt idx="61">
                  <c:v>-1.146047531607536</c:v>
                </c:pt>
                <c:pt idx="62">
                  <c:v>-1.1807990515154714</c:v>
                </c:pt>
                <c:pt idx="63">
                  <c:v>-1.6577222236945559</c:v>
                </c:pt>
                <c:pt idx="64">
                  <c:v>-1.2347428381233385</c:v>
                </c:pt>
                <c:pt idx="65">
                  <c:v>-1.1612268538831998</c:v>
                </c:pt>
                <c:pt idx="66">
                  <c:v>-1.0595126441459328</c:v>
                </c:pt>
                <c:pt idx="67">
                  <c:v>-0.66563284094544883</c:v>
                </c:pt>
                <c:pt idx="68">
                  <c:v>-0.63913822155717526</c:v>
                </c:pt>
                <c:pt idx="69">
                  <c:v>-1.1740758648307121</c:v>
                </c:pt>
                <c:pt idx="70">
                  <c:v>-1.1377498348313537</c:v>
                </c:pt>
                <c:pt idx="71">
                  <c:v>-1.1779767193174848</c:v>
                </c:pt>
                <c:pt idx="72">
                  <c:v>-1.6171405713232758</c:v>
                </c:pt>
                <c:pt idx="73">
                  <c:v>-1.2189228719447058</c:v>
                </c:pt>
                <c:pt idx="74">
                  <c:v>-0.65353704745682251</c:v>
                </c:pt>
                <c:pt idx="75">
                  <c:v>-1.1708914916063478</c:v>
                </c:pt>
                <c:pt idx="76">
                  <c:v>-1.6338594405721025</c:v>
                </c:pt>
                <c:pt idx="77">
                  <c:v>-1.1220886973906801</c:v>
                </c:pt>
                <c:pt idx="78">
                  <c:v>-0.60045560968685407</c:v>
                </c:pt>
                <c:pt idx="79">
                  <c:v>-0.98972924951190322</c:v>
                </c:pt>
                <c:pt idx="80">
                  <c:v>-1.0557349377065037</c:v>
                </c:pt>
                <c:pt idx="81">
                  <c:v>-1.4441320923352734</c:v>
                </c:pt>
                <c:pt idx="82">
                  <c:v>-0.95824325885450889</c:v>
                </c:pt>
                <c:pt idx="83">
                  <c:v>-1.0036036546325491</c:v>
                </c:pt>
                <c:pt idx="84">
                  <c:v>-0.90841855378009484</c:v>
                </c:pt>
                <c:pt idx="85">
                  <c:v>-0.69202051359750527</c:v>
                </c:pt>
                <c:pt idx="86">
                  <c:v>-0.56568005101043894</c:v>
                </c:pt>
                <c:pt idx="87">
                  <c:v>-1.0151026083099026</c:v>
                </c:pt>
                <c:pt idx="88">
                  <c:v>-1.0109547802209917</c:v>
                </c:pt>
                <c:pt idx="89">
                  <c:v>-0.50056430686303344</c:v>
                </c:pt>
                <c:pt idx="90">
                  <c:v>-1.0381590171498587</c:v>
                </c:pt>
                <c:pt idx="91">
                  <c:v>-0.60196994162306083</c:v>
                </c:pt>
                <c:pt idx="92">
                  <c:v>-7.8628485888479815E-2</c:v>
                </c:pt>
                <c:pt idx="93">
                  <c:v>-0.1491699070348389</c:v>
                </c:pt>
                <c:pt idx="94">
                  <c:v>-0.14763609453296311</c:v>
                </c:pt>
                <c:pt idx="95">
                  <c:v>-0.58756738817070442</c:v>
                </c:pt>
                <c:pt idx="96">
                  <c:v>-0.57755593711033271</c:v>
                </c:pt>
                <c:pt idx="97">
                  <c:v>-0.53904954986757758</c:v>
                </c:pt>
                <c:pt idx="98">
                  <c:v>-0.78947795588823055</c:v>
                </c:pt>
                <c:pt idx="99">
                  <c:v>-1.2744119765034512</c:v>
                </c:pt>
                <c:pt idx="100">
                  <c:v>-0.65701210575245739</c:v>
                </c:pt>
                <c:pt idx="101">
                  <c:v>-0.93291884570900407</c:v>
                </c:pt>
                <c:pt idx="102">
                  <c:v>-0.52413751218266924</c:v>
                </c:pt>
                <c:pt idx="103">
                  <c:v>-6.1367820994121303E-2</c:v>
                </c:pt>
                <c:pt idx="104">
                  <c:v>-6.1367820994121303E-2</c:v>
                </c:pt>
                <c:pt idx="105">
                  <c:v>-1.8167412868798749E-2</c:v>
                </c:pt>
                <c:pt idx="106">
                  <c:v>-0.41162840199025652</c:v>
                </c:pt>
                <c:pt idx="107">
                  <c:v>-0.60169617922093011</c:v>
                </c:pt>
                <c:pt idx="108">
                  <c:v>-1.1277542510478398</c:v>
                </c:pt>
                <c:pt idx="109">
                  <c:v>-0.89602133390719274</c:v>
                </c:pt>
                <c:pt idx="110">
                  <c:v>-0.94651246460999516</c:v>
                </c:pt>
                <c:pt idx="111">
                  <c:v>-0.2708700072642003</c:v>
                </c:pt>
                <c:pt idx="112">
                  <c:v>-0.9455724376341621</c:v>
                </c:pt>
                <c:pt idx="113">
                  <c:v>-1.0384209000038283</c:v>
                </c:pt>
                <c:pt idx="114">
                  <c:v>-1.1225449075954828</c:v>
                </c:pt>
                <c:pt idx="115">
                  <c:v>-1.0386305227440857</c:v>
                </c:pt>
                <c:pt idx="116">
                  <c:v>-1.025643520557189</c:v>
                </c:pt>
                <c:pt idx="117">
                  <c:v>-1.5280967616892411</c:v>
                </c:pt>
                <c:pt idx="118">
                  <c:v>-1.5149494854488594</c:v>
                </c:pt>
                <c:pt idx="119">
                  <c:v>-1.531588290456618</c:v>
                </c:pt>
                <c:pt idx="120">
                  <c:v>-1.5295575701603923</c:v>
                </c:pt>
                <c:pt idx="121">
                  <c:v>-0.37966156826291098</c:v>
                </c:pt>
                <c:pt idx="122">
                  <c:v>-0.64182731285357164</c:v>
                </c:pt>
                <c:pt idx="123">
                  <c:v>-0.74403133638148233</c:v>
                </c:pt>
                <c:pt idx="124">
                  <c:v>-1.1145857941764135</c:v>
                </c:pt>
                <c:pt idx="125">
                  <c:v>-0.81693127449070602</c:v>
                </c:pt>
                <c:pt idx="126">
                  <c:v>-0.74996778141947829</c:v>
                </c:pt>
                <c:pt idx="127">
                  <c:v>-0.4633889303257348</c:v>
                </c:pt>
                <c:pt idx="128">
                  <c:v>-0.59317686360206068</c:v>
                </c:pt>
                <c:pt idx="129">
                  <c:v>-0.22484921797047264</c:v>
                </c:pt>
                <c:pt idx="130">
                  <c:v>-0.33337740672197214</c:v>
                </c:pt>
                <c:pt idx="131">
                  <c:v>-0.62899735756896291</c:v>
                </c:pt>
                <c:pt idx="132">
                  <c:v>-0.21512345977757974</c:v>
                </c:pt>
                <c:pt idx="133">
                  <c:v>-0.28436883830855209</c:v>
                </c:pt>
                <c:pt idx="134">
                  <c:v>0.21097360643140206</c:v>
                </c:pt>
                <c:pt idx="135">
                  <c:v>0.27248477927504666</c:v>
                </c:pt>
                <c:pt idx="136">
                  <c:v>0.12701500428323698</c:v>
                </c:pt>
                <c:pt idx="137">
                  <c:v>0.17081242779887873</c:v>
                </c:pt>
                <c:pt idx="138">
                  <c:v>-0.12349476063726428</c:v>
                </c:pt>
                <c:pt idx="139">
                  <c:v>-0.29472529346226395</c:v>
                </c:pt>
                <c:pt idx="140">
                  <c:v>-0.23563807461521691</c:v>
                </c:pt>
                <c:pt idx="141">
                  <c:v>-0.37898465511236168</c:v>
                </c:pt>
                <c:pt idx="142">
                  <c:v>-0.47760265587202611</c:v>
                </c:pt>
                <c:pt idx="143">
                  <c:v>-0.29174275491106982</c:v>
                </c:pt>
                <c:pt idx="144">
                  <c:v>-0.45744557336180236</c:v>
                </c:pt>
                <c:pt idx="145">
                  <c:v>-0.71219138260774884</c:v>
                </c:pt>
                <c:pt idx="146">
                  <c:v>-0.44408212367053324</c:v>
                </c:pt>
                <c:pt idx="147">
                  <c:v>-0.21669563032948957</c:v>
                </c:pt>
                <c:pt idx="148">
                  <c:v>-0.42500822845811115</c:v>
                </c:pt>
                <c:pt idx="149">
                  <c:v>-0.43869921368102638</c:v>
                </c:pt>
                <c:pt idx="150">
                  <c:v>-0.55379519950240308</c:v>
                </c:pt>
                <c:pt idx="151">
                  <c:v>-0.16820320635742547</c:v>
                </c:pt>
                <c:pt idx="152">
                  <c:v>-0.59196291500543197</c:v>
                </c:pt>
                <c:pt idx="153">
                  <c:v>-0.63036487906832406</c:v>
                </c:pt>
                <c:pt idx="154">
                  <c:v>-0.498059739700075</c:v>
                </c:pt>
                <c:pt idx="155">
                  <c:v>-0.42471356778908387</c:v>
                </c:pt>
                <c:pt idx="156">
                  <c:v>-0.17902091645632368</c:v>
                </c:pt>
                <c:pt idx="157">
                  <c:v>-1.7722619616819202E-2</c:v>
                </c:pt>
                <c:pt idx="158">
                  <c:v>-0.12675386048662318</c:v>
                </c:pt>
                <c:pt idx="159">
                  <c:v>-7.4143890298635995E-2</c:v>
                </c:pt>
                <c:pt idx="160">
                  <c:v>8.9307476202172609E-2</c:v>
                </c:pt>
                <c:pt idx="161">
                  <c:v>-2.7024628715643928E-2</c:v>
                </c:pt>
                <c:pt idx="162">
                  <c:v>0.35654131454717231</c:v>
                </c:pt>
                <c:pt idx="163">
                  <c:v>7.0684557991256725E-2</c:v>
                </c:pt>
                <c:pt idx="164">
                  <c:v>0.22266104467627912</c:v>
                </c:pt>
                <c:pt idx="165">
                  <c:v>0.57250250150136139</c:v>
                </c:pt>
                <c:pt idx="166">
                  <c:v>0.56061470855868123</c:v>
                </c:pt>
                <c:pt idx="167">
                  <c:v>-3.8908627705083632E-2</c:v>
                </c:pt>
                <c:pt idx="168">
                  <c:v>3.2586838044430522E-2</c:v>
                </c:pt>
                <c:pt idx="169">
                  <c:v>-1.4777139371489056E-2</c:v>
                </c:pt>
                <c:pt idx="170">
                  <c:v>0.20776929903065877</c:v>
                </c:pt>
                <c:pt idx="171">
                  <c:v>0.17991232018004411</c:v>
                </c:pt>
                <c:pt idx="172">
                  <c:v>0.35729464626996332</c:v>
                </c:pt>
                <c:pt idx="173">
                  <c:v>6.836783722143025E-2</c:v>
                </c:pt>
                <c:pt idx="174">
                  <c:v>-5.9580541194534931E-3</c:v>
                </c:pt>
                <c:pt idx="175">
                  <c:v>-1.729916296518752E-2</c:v>
                </c:pt>
                <c:pt idx="176">
                  <c:v>-0.53912051589943388</c:v>
                </c:pt>
                <c:pt idx="177">
                  <c:v>-0.5667819833322767</c:v>
                </c:pt>
                <c:pt idx="178">
                  <c:v>-0.18177176434419096</c:v>
                </c:pt>
                <c:pt idx="179">
                  <c:v>0.10423601543910621</c:v>
                </c:pt>
                <c:pt idx="180">
                  <c:v>5.3680126282614538E-2</c:v>
                </c:pt>
                <c:pt idx="181">
                  <c:v>0.38169121861384525</c:v>
                </c:pt>
                <c:pt idx="182">
                  <c:v>0.59381742991442366</c:v>
                </c:pt>
                <c:pt idx="183">
                  <c:v>0.54747340984174997</c:v>
                </c:pt>
                <c:pt idx="184">
                  <c:v>0.39443235079497896</c:v>
                </c:pt>
                <c:pt idx="185">
                  <c:v>-0.14022090845345758</c:v>
                </c:pt>
                <c:pt idx="186">
                  <c:v>7.7462325266324683E-2</c:v>
                </c:pt>
                <c:pt idx="187">
                  <c:v>0.17088949612962523</c:v>
                </c:pt>
                <c:pt idx="188">
                  <c:v>-1.5535337336466171E-2</c:v>
                </c:pt>
                <c:pt idx="189">
                  <c:v>0.32057122598836685</c:v>
                </c:pt>
                <c:pt idx="190">
                  <c:v>0.75043033412000426</c:v>
                </c:pt>
                <c:pt idx="191">
                  <c:v>0.76467550946247798</c:v>
                </c:pt>
                <c:pt idx="192">
                  <c:v>0.39833484838555222</c:v>
                </c:pt>
                <c:pt idx="193">
                  <c:v>0.30630828184330738</c:v>
                </c:pt>
                <c:pt idx="194">
                  <c:v>-4.6390007155842738E-2</c:v>
                </c:pt>
                <c:pt idx="195">
                  <c:v>3.9170489393733021E-2</c:v>
                </c:pt>
                <c:pt idx="196">
                  <c:v>0.14351501221023</c:v>
                </c:pt>
                <c:pt idx="197">
                  <c:v>8.5025276661397697E-2</c:v>
                </c:pt>
                <c:pt idx="198">
                  <c:v>0.595173575186287</c:v>
                </c:pt>
                <c:pt idx="199">
                  <c:v>0.67914815249008598</c:v>
                </c:pt>
                <c:pt idx="200">
                  <c:v>0.80007427077480742</c:v>
                </c:pt>
                <c:pt idx="201">
                  <c:v>0.81535886842926431</c:v>
                </c:pt>
                <c:pt idx="202">
                  <c:v>0.70952707305050211</c:v>
                </c:pt>
                <c:pt idx="203">
                  <c:v>1.3567215409734601</c:v>
                </c:pt>
                <c:pt idx="204">
                  <c:v>0.86387811045610619</c:v>
                </c:pt>
                <c:pt idx="205">
                  <c:v>1.3524798739547279</c:v>
                </c:pt>
                <c:pt idx="206">
                  <c:v>1.3508987298554587</c:v>
                </c:pt>
                <c:pt idx="207">
                  <c:v>1.0983365390246291</c:v>
                </c:pt>
                <c:pt idx="208">
                  <c:v>0.62840713947125693</c:v>
                </c:pt>
                <c:pt idx="209">
                  <c:v>1.212154917915548</c:v>
                </c:pt>
                <c:pt idx="210">
                  <c:v>0.48425678677944717</c:v>
                </c:pt>
                <c:pt idx="211">
                  <c:v>1.0464601769911539</c:v>
                </c:pt>
                <c:pt idx="212">
                  <c:v>1.0464601769911539</c:v>
                </c:pt>
                <c:pt idx="213">
                  <c:v>0.5464601769911539</c:v>
                </c:pt>
                <c:pt idx="214">
                  <c:v>4.6460176991153901E-2</c:v>
                </c:pt>
                <c:pt idx="215">
                  <c:v>4.6460176991153901E-2</c:v>
                </c:pt>
                <c:pt idx="216">
                  <c:v>0.5464601769911539</c:v>
                </c:pt>
                <c:pt idx="217">
                  <c:v>4.6460176991153901E-2</c:v>
                </c:pt>
                <c:pt idx="218">
                  <c:v>0.2042809637347176</c:v>
                </c:pt>
                <c:pt idx="219">
                  <c:v>0.59903287956490914</c:v>
                </c:pt>
                <c:pt idx="220">
                  <c:v>0.44194683858616202</c:v>
                </c:pt>
                <c:pt idx="221">
                  <c:v>0.13060730481585381</c:v>
                </c:pt>
                <c:pt idx="222">
                  <c:v>1.009794732182101</c:v>
                </c:pt>
                <c:pt idx="223">
                  <c:v>0.46262699534042184</c:v>
                </c:pt>
                <c:pt idx="224">
                  <c:v>0.58194884459113183</c:v>
                </c:pt>
                <c:pt idx="225">
                  <c:v>0.92558580461873419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5-4B70-98BA-22B95BE6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4385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3855"/>
        <c:crosses val="autoZero"/>
        <c:crossBetween val="midCat"/>
      </c:valAx>
      <c:valAx>
        <c:axId val="2123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Log'!$K$2:$K$227</c:f>
              <c:numCache>
                <c:formatCode>0.00</c:formatCode>
                <c:ptCount val="226"/>
                <c:pt idx="0">
                  <c:v>79</c:v>
                </c:pt>
                <c:pt idx="1">
                  <c:v>75</c:v>
                </c:pt>
                <c:pt idx="2">
                  <c:v>63</c:v>
                </c:pt>
                <c:pt idx="3">
                  <c:v>88</c:v>
                </c:pt>
                <c:pt idx="4">
                  <c:v>71</c:v>
                </c:pt>
                <c:pt idx="5">
                  <c:v>83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68</c:v>
                </c:pt>
                <c:pt idx="12">
                  <c:v>72</c:v>
                </c:pt>
                <c:pt idx="13">
                  <c:v>58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64</c:v>
                </c:pt>
                <c:pt idx="18">
                  <c:v>71</c:v>
                </c:pt>
                <c:pt idx="19">
                  <c:v>72</c:v>
                </c:pt>
                <c:pt idx="20">
                  <c:v>80</c:v>
                </c:pt>
                <c:pt idx="21">
                  <c:v>73</c:v>
                </c:pt>
                <c:pt idx="22">
                  <c:v>74</c:v>
                </c:pt>
                <c:pt idx="23">
                  <c:v>77</c:v>
                </c:pt>
                <c:pt idx="24">
                  <c:v>72</c:v>
                </c:pt>
                <c:pt idx="25">
                  <c:v>69</c:v>
                </c:pt>
                <c:pt idx="26">
                  <c:v>67</c:v>
                </c:pt>
                <c:pt idx="27">
                  <c:v>73</c:v>
                </c:pt>
                <c:pt idx="28">
                  <c:v>73</c:v>
                </c:pt>
                <c:pt idx="29">
                  <c:v>71</c:v>
                </c:pt>
                <c:pt idx="30">
                  <c:v>69</c:v>
                </c:pt>
                <c:pt idx="31">
                  <c:v>77</c:v>
                </c:pt>
                <c:pt idx="32">
                  <c:v>76</c:v>
                </c:pt>
                <c:pt idx="33">
                  <c:v>76</c:v>
                </c:pt>
                <c:pt idx="34">
                  <c:v>72</c:v>
                </c:pt>
                <c:pt idx="35">
                  <c:v>67</c:v>
                </c:pt>
                <c:pt idx="36">
                  <c:v>79</c:v>
                </c:pt>
                <c:pt idx="37">
                  <c:v>70</c:v>
                </c:pt>
                <c:pt idx="38">
                  <c:v>83</c:v>
                </c:pt>
                <c:pt idx="39">
                  <c:v>83</c:v>
                </c:pt>
                <c:pt idx="40">
                  <c:v>93</c:v>
                </c:pt>
                <c:pt idx="41">
                  <c:v>89</c:v>
                </c:pt>
                <c:pt idx="42">
                  <c:v>87</c:v>
                </c:pt>
                <c:pt idx="43">
                  <c:v>92</c:v>
                </c:pt>
                <c:pt idx="44">
                  <c:v>87</c:v>
                </c:pt>
                <c:pt idx="45">
                  <c:v>76</c:v>
                </c:pt>
                <c:pt idx="46">
                  <c:v>75</c:v>
                </c:pt>
                <c:pt idx="47">
                  <c:v>89</c:v>
                </c:pt>
                <c:pt idx="48">
                  <c:v>91</c:v>
                </c:pt>
                <c:pt idx="49">
                  <c:v>86</c:v>
                </c:pt>
                <c:pt idx="50">
                  <c:v>78</c:v>
                </c:pt>
                <c:pt idx="51">
                  <c:v>81</c:v>
                </c:pt>
                <c:pt idx="52">
                  <c:v>83</c:v>
                </c:pt>
                <c:pt idx="53">
                  <c:v>81</c:v>
                </c:pt>
                <c:pt idx="54">
                  <c:v>82</c:v>
                </c:pt>
                <c:pt idx="55">
                  <c:v>74</c:v>
                </c:pt>
                <c:pt idx="56">
                  <c:v>71</c:v>
                </c:pt>
                <c:pt idx="57">
                  <c:v>76</c:v>
                </c:pt>
                <c:pt idx="58">
                  <c:v>78</c:v>
                </c:pt>
                <c:pt idx="59">
                  <c:v>73</c:v>
                </c:pt>
                <c:pt idx="60">
                  <c:v>74</c:v>
                </c:pt>
                <c:pt idx="61">
                  <c:v>79</c:v>
                </c:pt>
                <c:pt idx="62">
                  <c:v>69</c:v>
                </c:pt>
                <c:pt idx="63">
                  <c:v>76</c:v>
                </c:pt>
                <c:pt idx="64">
                  <c:v>76</c:v>
                </c:pt>
                <c:pt idx="65">
                  <c:v>84</c:v>
                </c:pt>
                <c:pt idx="66">
                  <c:v>77</c:v>
                </c:pt>
                <c:pt idx="67">
                  <c:v>82</c:v>
                </c:pt>
                <c:pt idx="68">
                  <c:v>77</c:v>
                </c:pt>
                <c:pt idx="69">
                  <c:v>72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83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73</c:v>
                </c:pt>
                <c:pt idx="79">
                  <c:v>76</c:v>
                </c:pt>
                <c:pt idx="80">
                  <c:v>74</c:v>
                </c:pt>
                <c:pt idx="81">
                  <c:v>81</c:v>
                </c:pt>
                <c:pt idx="82">
                  <c:v>82</c:v>
                </c:pt>
                <c:pt idx="83">
                  <c:v>76</c:v>
                </c:pt>
                <c:pt idx="84">
                  <c:v>77</c:v>
                </c:pt>
                <c:pt idx="85">
                  <c:v>76</c:v>
                </c:pt>
                <c:pt idx="86">
                  <c:v>77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78</c:v>
                </c:pt>
                <c:pt idx="91">
                  <c:v>80</c:v>
                </c:pt>
                <c:pt idx="92">
                  <c:v>81</c:v>
                </c:pt>
                <c:pt idx="93">
                  <c:v>66</c:v>
                </c:pt>
                <c:pt idx="94">
                  <c:v>74</c:v>
                </c:pt>
                <c:pt idx="95">
                  <c:v>79</c:v>
                </c:pt>
                <c:pt idx="96">
                  <c:v>73</c:v>
                </c:pt>
                <c:pt idx="97">
                  <c:v>77</c:v>
                </c:pt>
                <c:pt idx="98">
                  <c:v>84</c:v>
                </c:pt>
                <c:pt idx="99">
                  <c:v>72</c:v>
                </c:pt>
                <c:pt idx="100">
                  <c:v>76</c:v>
                </c:pt>
                <c:pt idx="101">
                  <c:v>77</c:v>
                </c:pt>
                <c:pt idx="102">
                  <c:v>109</c:v>
                </c:pt>
                <c:pt idx="103">
                  <c:v>73</c:v>
                </c:pt>
                <c:pt idx="104">
                  <c:v>76</c:v>
                </c:pt>
                <c:pt idx="105">
                  <c:v>78</c:v>
                </c:pt>
                <c:pt idx="106">
                  <c:v>74</c:v>
                </c:pt>
                <c:pt idx="107">
                  <c:v>82</c:v>
                </c:pt>
                <c:pt idx="108">
                  <c:v>77</c:v>
                </c:pt>
                <c:pt idx="109">
                  <c:v>87</c:v>
                </c:pt>
                <c:pt idx="110">
                  <c:v>68</c:v>
                </c:pt>
                <c:pt idx="111">
                  <c:v>105</c:v>
                </c:pt>
                <c:pt idx="112">
                  <c:v>74</c:v>
                </c:pt>
                <c:pt idx="113">
                  <c:v>76</c:v>
                </c:pt>
                <c:pt idx="114">
                  <c:v>75</c:v>
                </c:pt>
                <c:pt idx="115">
                  <c:v>72</c:v>
                </c:pt>
                <c:pt idx="116">
                  <c:v>80</c:v>
                </c:pt>
                <c:pt idx="117">
                  <c:v>73</c:v>
                </c:pt>
                <c:pt idx="118">
                  <c:v>89</c:v>
                </c:pt>
                <c:pt idx="119">
                  <c:v>65</c:v>
                </c:pt>
                <c:pt idx="120">
                  <c:v>71</c:v>
                </c:pt>
                <c:pt idx="121">
                  <c:v>77</c:v>
                </c:pt>
                <c:pt idx="122">
                  <c:v>76</c:v>
                </c:pt>
                <c:pt idx="123">
                  <c:v>73</c:v>
                </c:pt>
                <c:pt idx="124">
                  <c:v>78</c:v>
                </c:pt>
                <c:pt idx="125">
                  <c:v>79</c:v>
                </c:pt>
                <c:pt idx="126">
                  <c:v>78</c:v>
                </c:pt>
                <c:pt idx="127">
                  <c:v>74</c:v>
                </c:pt>
                <c:pt idx="128">
                  <c:v>74</c:v>
                </c:pt>
                <c:pt idx="129">
                  <c:v>77</c:v>
                </c:pt>
                <c:pt idx="130">
                  <c:v>77</c:v>
                </c:pt>
                <c:pt idx="131">
                  <c:v>75</c:v>
                </c:pt>
                <c:pt idx="132">
                  <c:v>74</c:v>
                </c:pt>
                <c:pt idx="133">
                  <c:v>79</c:v>
                </c:pt>
                <c:pt idx="134">
                  <c:v>74</c:v>
                </c:pt>
                <c:pt idx="135">
                  <c:v>78</c:v>
                </c:pt>
                <c:pt idx="136">
                  <c:v>84</c:v>
                </c:pt>
                <c:pt idx="137">
                  <c:v>83</c:v>
                </c:pt>
                <c:pt idx="138">
                  <c:v>82</c:v>
                </c:pt>
                <c:pt idx="139">
                  <c:v>75</c:v>
                </c:pt>
                <c:pt idx="140">
                  <c:v>85</c:v>
                </c:pt>
                <c:pt idx="141">
                  <c:v>85</c:v>
                </c:pt>
                <c:pt idx="142">
                  <c:v>91</c:v>
                </c:pt>
                <c:pt idx="143">
                  <c:v>67</c:v>
                </c:pt>
                <c:pt idx="144">
                  <c:v>75</c:v>
                </c:pt>
                <c:pt idx="145">
                  <c:v>72</c:v>
                </c:pt>
                <c:pt idx="146">
                  <c:v>75</c:v>
                </c:pt>
                <c:pt idx="147">
                  <c:v>77</c:v>
                </c:pt>
                <c:pt idx="148">
                  <c:v>86</c:v>
                </c:pt>
                <c:pt idx="149">
                  <c:v>82</c:v>
                </c:pt>
                <c:pt idx="150">
                  <c:v>80</c:v>
                </c:pt>
                <c:pt idx="151">
                  <c:v>77</c:v>
                </c:pt>
                <c:pt idx="152">
                  <c:v>79</c:v>
                </c:pt>
                <c:pt idx="153">
                  <c:v>77</c:v>
                </c:pt>
                <c:pt idx="154">
                  <c:v>68</c:v>
                </c:pt>
                <c:pt idx="155">
                  <c:v>68</c:v>
                </c:pt>
                <c:pt idx="156">
                  <c:v>67</c:v>
                </c:pt>
                <c:pt idx="157">
                  <c:v>67</c:v>
                </c:pt>
                <c:pt idx="158">
                  <c:v>69</c:v>
                </c:pt>
                <c:pt idx="159">
                  <c:v>75</c:v>
                </c:pt>
                <c:pt idx="160">
                  <c:v>69</c:v>
                </c:pt>
                <c:pt idx="161">
                  <c:v>72</c:v>
                </c:pt>
                <c:pt idx="162">
                  <c:v>77</c:v>
                </c:pt>
                <c:pt idx="163">
                  <c:v>76</c:v>
                </c:pt>
                <c:pt idx="164">
                  <c:v>75</c:v>
                </c:pt>
                <c:pt idx="165">
                  <c:v>66</c:v>
                </c:pt>
                <c:pt idx="166">
                  <c:v>80</c:v>
                </c:pt>
                <c:pt idx="167">
                  <c:v>74</c:v>
                </c:pt>
                <c:pt idx="168">
                  <c:v>79</c:v>
                </c:pt>
                <c:pt idx="169">
                  <c:v>73</c:v>
                </c:pt>
                <c:pt idx="170">
                  <c:v>79</c:v>
                </c:pt>
                <c:pt idx="171">
                  <c:v>71</c:v>
                </c:pt>
                <c:pt idx="172">
                  <c:v>78</c:v>
                </c:pt>
                <c:pt idx="173">
                  <c:v>74</c:v>
                </c:pt>
                <c:pt idx="174">
                  <c:v>85</c:v>
                </c:pt>
                <c:pt idx="175">
                  <c:v>69</c:v>
                </c:pt>
                <c:pt idx="176">
                  <c:v>66</c:v>
                </c:pt>
                <c:pt idx="177">
                  <c:v>75</c:v>
                </c:pt>
                <c:pt idx="178">
                  <c:v>75</c:v>
                </c:pt>
                <c:pt idx="179">
                  <c:v>83</c:v>
                </c:pt>
                <c:pt idx="180">
                  <c:v>73</c:v>
                </c:pt>
                <c:pt idx="181">
                  <c:v>71</c:v>
                </c:pt>
                <c:pt idx="182">
                  <c:v>65</c:v>
                </c:pt>
                <c:pt idx="183">
                  <c:v>73</c:v>
                </c:pt>
                <c:pt idx="184">
                  <c:v>70</c:v>
                </c:pt>
                <c:pt idx="185">
                  <c:v>78</c:v>
                </c:pt>
                <c:pt idx="186">
                  <c:v>72</c:v>
                </c:pt>
                <c:pt idx="187">
                  <c:v>73</c:v>
                </c:pt>
                <c:pt idx="188">
                  <c:v>63</c:v>
                </c:pt>
                <c:pt idx="189">
                  <c:v>78</c:v>
                </c:pt>
                <c:pt idx="190">
                  <c:v>70</c:v>
                </c:pt>
                <c:pt idx="191">
                  <c:v>68</c:v>
                </c:pt>
                <c:pt idx="192">
                  <c:v>84</c:v>
                </c:pt>
                <c:pt idx="193">
                  <c:v>77</c:v>
                </c:pt>
                <c:pt idx="194">
                  <c:v>89</c:v>
                </c:pt>
                <c:pt idx="195">
                  <c:v>72</c:v>
                </c:pt>
                <c:pt idx="196">
                  <c:v>82</c:v>
                </c:pt>
                <c:pt idx="197">
                  <c:v>82</c:v>
                </c:pt>
                <c:pt idx="198">
                  <c:v>78</c:v>
                </c:pt>
                <c:pt idx="199">
                  <c:v>75</c:v>
                </c:pt>
                <c:pt idx="200">
                  <c:v>83</c:v>
                </c:pt>
                <c:pt idx="201">
                  <c:v>75</c:v>
                </c:pt>
                <c:pt idx="202">
                  <c:v>82</c:v>
                </c:pt>
                <c:pt idx="203">
                  <c:v>88</c:v>
                </c:pt>
                <c:pt idx="204">
                  <c:v>87</c:v>
                </c:pt>
                <c:pt idx="205">
                  <c:v>84</c:v>
                </c:pt>
                <c:pt idx="206">
                  <c:v>80</c:v>
                </c:pt>
                <c:pt idx="207">
                  <c:v>82</c:v>
                </c:pt>
                <c:pt idx="208">
                  <c:v>69</c:v>
                </c:pt>
                <c:pt idx="209">
                  <c:v>72</c:v>
                </c:pt>
                <c:pt idx="210">
                  <c:v>74</c:v>
                </c:pt>
                <c:pt idx="211">
                  <c:v>85</c:v>
                </c:pt>
                <c:pt idx="212">
                  <c:v>80</c:v>
                </c:pt>
                <c:pt idx="213">
                  <c:v>79</c:v>
                </c:pt>
                <c:pt idx="214">
                  <c:v>81</c:v>
                </c:pt>
                <c:pt idx="215">
                  <c:v>83</c:v>
                </c:pt>
                <c:pt idx="216">
                  <c:v>81</c:v>
                </c:pt>
                <c:pt idx="217">
                  <c:v>69</c:v>
                </c:pt>
                <c:pt idx="218">
                  <c:v>79</c:v>
                </c:pt>
                <c:pt idx="219">
                  <c:v>71</c:v>
                </c:pt>
                <c:pt idx="220">
                  <c:v>72</c:v>
                </c:pt>
                <c:pt idx="221">
                  <c:v>69</c:v>
                </c:pt>
                <c:pt idx="222">
                  <c:v>72</c:v>
                </c:pt>
                <c:pt idx="223">
                  <c:v>79</c:v>
                </c:pt>
                <c:pt idx="224">
                  <c:v>76</c:v>
                </c:pt>
                <c:pt idx="225">
                  <c:v>71</c:v>
                </c:pt>
              </c:numCache>
            </c:numRef>
          </c:xVal>
          <c:yVal>
            <c:numRef>
              <c:f>'Cleaned Log'!$B$2:$B$227</c:f>
              <c:numCache>
                <c:formatCode>0.00</c:formatCode>
                <c:ptCount val="226"/>
                <c:pt idx="0">
                  <c:v>275.60000000000002</c:v>
                </c:pt>
                <c:pt idx="1">
                  <c:v>271.8</c:v>
                </c:pt>
                <c:pt idx="2">
                  <c:v>271.8</c:v>
                </c:pt>
                <c:pt idx="3">
                  <c:v>272.8</c:v>
                </c:pt>
                <c:pt idx="4">
                  <c:v>269.60000000000002</c:v>
                </c:pt>
                <c:pt idx="5">
                  <c:v>268.60000000000002</c:v>
                </c:pt>
                <c:pt idx="6">
                  <c:v>268.8</c:v>
                </c:pt>
                <c:pt idx="7">
                  <c:v>268.8</c:v>
                </c:pt>
                <c:pt idx="8">
                  <c:v>269.39999999999998</c:v>
                </c:pt>
                <c:pt idx="9">
                  <c:v>272.60000000000002</c:v>
                </c:pt>
                <c:pt idx="10">
                  <c:v>270.8</c:v>
                </c:pt>
                <c:pt idx="11">
                  <c:v>268.39999999999998</c:v>
                </c:pt>
                <c:pt idx="12">
                  <c:v>266.60000000000002</c:v>
                </c:pt>
                <c:pt idx="13">
                  <c:v>269.60000000000002</c:v>
                </c:pt>
                <c:pt idx="14">
                  <c:v>267.60000000000002</c:v>
                </c:pt>
                <c:pt idx="15">
                  <c:v>267.60000000000002</c:v>
                </c:pt>
                <c:pt idx="16">
                  <c:v>264.8</c:v>
                </c:pt>
                <c:pt idx="17">
                  <c:v>264.60000000000002</c:v>
                </c:pt>
                <c:pt idx="18">
                  <c:v>263.2</c:v>
                </c:pt>
                <c:pt idx="19">
                  <c:v>263</c:v>
                </c:pt>
                <c:pt idx="20">
                  <c:v>261.8</c:v>
                </c:pt>
                <c:pt idx="21">
                  <c:v>261.8</c:v>
                </c:pt>
                <c:pt idx="22">
                  <c:v>259.8</c:v>
                </c:pt>
                <c:pt idx="23">
                  <c:v>260.2</c:v>
                </c:pt>
                <c:pt idx="24">
                  <c:v>259</c:v>
                </c:pt>
                <c:pt idx="25">
                  <c:v>257</c:v>
                </c:pt>
                <c:pt idx="26">
                  <c:v>259.8</c:v>
                </c:pt>
                <c:pt idx="27">
                  <c:v>259.8</c:v>
                </c:pt>
                <c:pt idx="28">
                  <c:v>259</c:v>
                </c:pt>
                <c:pt idx="29">
                  <c:v>258.2</c:v>
                </c:pt>
                <c:pt idx="30">
                  <c:v>258</c:v>
                </c:pt>
                <c:pt idx="31">
                  <c:v>256</c:v>
                </c:pt>
                <c:pt idx="32">
                  <c:v>256</c:v>
                </c:pt>
                <c:pt idx="33">
                  <c:v>255</c:v>
                </c:pt>
                <c:pt idx="34">
                  <c:v>255.6</c:v>
                </c:pt>
                <c:pt idx="35">
                  <c:v>255.6</c:v>
                </c:pt>
                <c:pt idx="36">
                  <c:v>252.8</c:v>
                </c:pt>
                <c:pt idx="37">
                  <c:v>252.8</c:v>
                </c:pt>
                <c:pt idx="38">
                  <c:v>257</c:v>
                </c:pt>
                <c:pt idx="39">
                  <c:v>261.2</c:v>
                </c:pt>
                <c:pt idx="40">
                  <c:v>261</c:v>
                </c:pt>
                <c:pt idx="41">
                  <c:v>258.60000000000002</c:v>
                </c:pt>
                <c:pt idx="42">
                  <c:v>258</c:v>
                </c:pt>
                <c:pt idx="43">
                  <c:v>260</c:v>
                </c:pt>
                <c:pt idx="44">
                  <c:v>259.2</c:v>
                </c:pt>
                <c:pt idx="45">
                  <c:v>260.8</c:v>
                </c:pt>
                <c:pt idx="46">
                  <c:v>261.8</c:v>
                </c:pt>
                <c:pt idx="47">
                  <c:v>257.8</c:v>
                </c:pt>
                <c:pt idx="48">
                  <c:v>255.8</c:v>
                </c:pt>
                <c:pt idx="49">
                  <c:v>254</c:v>
                </c:pt>
                <c:pt idx="50">
                  <c:v>253</c:v>
                </c:pt>
                <c:pt idx="51">
                  <c:v>252.6</c:v>
                </c:pt>
                <c:pt idx="52">
                  <c:v>254.4</c:v>
                </c:pt>
                <c:pt idx="53">
                  <c:v>252.8</c:v>
                </c:pt>
                <c:pt idx="54">
                  <c:v>253.2</c:v>
                </c:pt>
                <c:pt idx="55">
                  <c:v>251.6</c:v>
                </c:pt>
                <c:pt idx="56">
                  <c:v>251.4</c:v>
                </c:pt>
                <c:pt idx="57">
                  <c:v>250</c:v>
                </c:pt>
                <c:pt idx="58">
                  <c:v>249.6</c:v>
                </c:pt>
                <c:pt idx="59">
                  <c:v>249.2</c:v>
                </c:pt>
                <c:pt idx="60">
                  <c:v>248.4</c:v>
                </c:pt>
                <c:pt idx="61">
                  <c:v>247.6</c:v>
                </c:pt>
                <c:pt idx="62">
                  <c:v>246.6</c:v>
                </c:pt>
                <c:pt idx="63">
                  <c:v>246.6</c:v>
                </c:pt>
                <c:pt idx="64">
                  <c:v>247</c:v>
                </c:pt>
                <c:pt idx="65">
                  <c:v>250.8</c:v>
                </c:pt>
                <c:pt idx="66">
                  <c:v>249</c:v>
                </c:pt>
                <c:pt idx="67">
                  <c:v>248.8</c:v>
                </c:pt>
                <c:pt idx="68">
                  <c:v>252.4</c:v>
                </c:pt>
                <c:pt idx="69">
                  <c:v>249.6</c:v>
                </c:pt>
                <c:pt idx="70">
                  <c:v>247.4</c:v>
                </c:pt>
                <c:pt idx="71">
                  <c:v>245.8</c:v>
                </c:pt>
                <c:pt idx="72">
                  <c:v>252</c:v>
                </c:pt>
                <c:pt idx="73">
                  <c:v>252</c:v>
                </c:pt>
                <c:pt idx="74">
                  <c:v>253.4</c:v>
                </c:pt>
                <c:pt idx="75">
                  <c:v>249.6</c:v>
                </c:pt>
                <c:pt idx="76">
                  <c:v>248.8</c:v>
                </c:pt>
                <c:pt idx="77">
                  <c:v>248</c:v>
                </c:pt>
                <c:pt idx="78">
                  <c:v>246.6</c:v>
                </c:pt>
                <c:pt idx="79">
                  <c:v>250.8</c:v>
                </c:pt>
                <c:pt idx="80">
                  <c:v>251.8</c:v>
                </c:pt>
                <c:pt idx="81">
                  <c:v>252.6</c:v>
                </c:pt>
                <c:pt idx="82">
                  <c:v>249.2</c:v>
                </c:pt>
                <c:pt idx="83">
                  <c:v>248.6</c:v>
                </c:pt>
                <c:pt idx="84">
                  <c:v>250</c:v>
                </c:pt>
                <c:pt idx="85">
                  <c:v>251</c:v>
                </c:pt>
                <c:pt idx="86">
                  <c:v>254.8</c:v>
                </c:pt>
                <c:pt idx="87">
                  <c:v>258</c:v>
                </c:pt>
                <c:pt idx="88">
                  <c:v>254.4</c:v>
                </c:pt>
                <c:pt idx="89">
                  <c:v>253</c:v>
                </c:pt>
                <c:pt idx="90">
                  <c:v>254.4</c:v>
                </c:pt>
                <c:pt idx="91">
                  <c:v>252.4</c:v>
                </c:pt>
                <c:pt idx="92">
                  <c:v>255.8</c:v>
                </c:pt>
                <c:pt idx="93">
                  <c:v>255.6</c:v>
                </c:pt>
                <c:pt idx="94">
                  <c:v>253.4</c:v>
                </c:pt>
                <c:pt idx="95">
                  <c:v>253.4</c:v>
                </c:pt>
                <c:pt idx="96">
                  <c:v>253.4</c:v>
                </c:pt>
                <c:pt idx="97">
                  <c:v>250.4</c:v>
                </c:pt>
                <c:pt idx="98">
                  <c:v>250</c:v>
                </c:pt>
                <c:pt idx="99">
                  <c:v>251.4</c:v>
                </c:pt>
                <c:pt idx="100">
                  <c:v>250.8</c:v>
                </c:pt>
                <c:pt idx="101">
                  <c:v>252.2</c:v>
                </c:pt>
                <c:pt idx="102">
                  <c:v>257.8</c:v>
                </c:pt>
                <c:pt idx="103">
                  <c:v>258.2</c:v>
                </c:pt>
                <c:pt idx="104">
                  <c:v>256.60000000000002</c:v>
                </c:pt>
                <c:pt idx="105">
                  <c:v>255.6</c:v>
                </c:pt>
                <c:pt idx="106">
                  <c:v>255.4</c:v>
                </c:pt>
                <c:pt idx="107">
                  <c:v>251.4</c:v>
                </c:pt>
                <c:pt idx="108">
                  <c:v>250.4</c:v>
                </c:pt>
                <c:pt idx="109">
                  <c:v>250.8</c:v>
                </c:pt>
                <c:pt idx="110">
                  <c:v>249.2</c:v>
                </c:pt>
                <c:pt idx="111">
                  <c:v>250.4</c:v>
                </c:pt>
                <c:pt idx="112">
                  <c:v>251.8</c:v>
                </c:pt>
                <c:pt idx="113">
                  <c:v>248</c:v>
                </c:pt>
                <c:pt idx="114">
                  <c:v>248.4</c:v>
                </c:pt>
                <c:pt idx="115">
                  <c:v>247</c:v>
                </c:pt>
                <c:pt idx="116">
                  <c:v>246.8</c:v>
                </c:pt>
                <c:pt idx="117">
                  <c:v>244.8</c:v>
                </c:pt>
                <c:pt idx="118">
                  <c:v>244.4</c:v>
                </c:pt>
                <c:pt idx="119">
                  <c:v>244.2</c:v>
                </c:pt>
                <c:pt idx="120">
                  <c:v>245</c:v>
                </c:pt>
                <c:pt idx="121">
                  <c:v>247</c:v>
                </c:pt>
                <c:pt idx="122">
                  <c:v>249.6</c:v>
                </c:pt>
                <c:pt idx="123">
                  <c:v>250.4</c:v>
                </c:pt>
                <c:pt idx="124">
                  <c:v>252.4</c:v>
                </c:pt>
                <c:pt idx="125">
                  <c:v>250.6</c:v>
                </c:pt>
                <c:pt idx="126">
                  <c:v>252.6</c:v>
                </c:pt>
                <c:pt idx="127">
                  <c:v>253.6</c:v>
                </c:pt>
                <c:pt idx="128">
                  <c:v>253</c:v>
                </c:pt>
                <c:pt idx="129">
                  <c:v>257.2</c:v>
                </c:pt>
                <c:pt idx="130">
                  <c:v>254.6</c:v>
                </c:pt>
                <c:pt idx="131">
                  <c:v>255.2</c:v>
                </c:pt>
                <c:pt idx="132">
                  <c:v>254.8</c:v>
                </c:pt>
                <c:pt idx="133">
                  <c:v>255.8</c:v>
                </c:pt>
                <c:pt idx="134">
                  <c:v>257.2</c:v>
                </c:pt>
                <c:pt idx="135">
                  <c:v>258</c:v>
                </c:pt>
                <c:pt idx="136">
                  <c:v>251.8</c:v>
                </c:pt>
                <c:pt idx="137">
                  <c:v>250.4</c:v>
                </c:pt>
                <c:pt idx="138">
                  <c:v>251</c:v>
                </c:pt>
                <c:pt idx="139">
                  <c:v>249.2</c:v>
                </c:pt>
                <c:pt idx="140">
                  <c:v>248</c:v>
                </c:pt>
                <c:pt idx="141">
                  <c:v>250.2</c:v>
                </c:pt>
                <c:pt idx="142">
                  <c:v>253</c:v>
                </c:pt>
                <c:pt idx="143">
                  <c:v>250.8</c:v>
                </c:pt>
                <c:pt idx="144">
                  <c:v>252.8</c:v>
                </c:pt>
                <c:pt idx="145">
                  <c:v>251</c:v>
                </c:pt>
                <c:pt idx="146">
                  <c:v>249.4</c:v>
                </c:pt>
                <c:pt idx="147">
                  <c:v>253.6</c:v>
                </c:pt>
                <c:pt idx="148">
                  <c:v>254.6</c:v>
                </c:pt>
                <c:pt idx="149">
                  <c:v>253</c:v>
                </c:pt>
                <c:pt idx="150">
                  <c:v>254</c:v>
                </c:pt>
                <c:pt idx="151">
                  <c:v>253</c:v>
                </c:pt>
                <c:pt idx="152">
                  <c:v>251.8</c:v>
                </c:pt>
                <c:pt idx="153">
                  <c:v>251.4</c:v>
                </c:pt>
                <c:pt idx="154">
                  <c:v>249.2</c:v>
                </c:pt>
                <c:pt idx="155">
                  <c:v>252.8</c:v>
                </c:pt>
                <c:pt idx="156">
                  <c:v>253</c:v>
                </c:pt>
                <c:pt idx="157">
                  <c:v>259</c:v>
                </c:pt>
                <c:pt idx="158">
                  <c:v>254.8</c:v>
                </c:pt>
                <c:pt idx="159">
                  <c:v>252.8</c:v>
                </c:pt>
                <c:pt idx="160">
                  <c:v>251.8</c:v>
                </c:pt>
                <c:pt idx="161">
                  <c:v>254.8</c:v>
                </c:pt>
                <c:pt idx="162">
                  <c:v>255</c:v>
                </c:pt>
                <c:pt idx="163">
                  <c:v>254.8</c:v>
                </c:pt>
                <c:pt idx="164">
                  <c:v>251.8</c:v>
                </c:pt>
                <c:pt idx="165">
                  <c:v>257.39999999999998</c:v>
                </c:pt>
                <c:pt idx="166">
                  <c:v>255.8</c:v>
                </c:pt>
                <c:pt idx="167">
                  <c:v>251.8</c:v>
                </c:pt>
                <c:pt idx="168">
                  <c:v>247.6</c:v>
                </c:pt>
                <c:pt idx="169">
                  <c:v>248.8</c:v>
                </c:pt>
                <c:pt idx="170">
                  <c:v>249.8</c:v>
                </c:pt>
                <c:pt idx="171">
                  <c:v>250.6</c:v>
                </c:pt>
                <c:pt idx="172">
                  <c:v>252</c:v>
                </c:pt>
                <c:pt idx="173">
                  <c:v>255.6</c:v>
                </c:pt>
                <c:pt idx="174">
                  <c:v>252.6</c:v>
                </c:pt>
                <c:pt idx="175">
                  <c:v>252.4</c:v>
                </c:pt>
                <c:pt idx="176">
                  <c:v>251</c:v>
                </c:pt>
                <c:pt idx="177">
                  <c:v>251.2</c:v>
                </c:pt>
                <c:pt idx="178">
                  <c:v>252.4</c:v>
                </c:pt>
                <c:pt idx="179">
                  <c:v>254</c:v>
                </c:pt>
                <c:pt idx="180">
                  <c:v>253.8</c:v>
                </c:pt>
                <c:pt idx="181">
                  <c:v>254.8</c:v>
                </c:pt>
                <c:pt idx="182">
                  <c:v>253.8</c:v>
                </c:pt>
                <c:pt idx="183">
                  <c:v>253</c:v>
                </c:pt>
                <c:pt idx="184">
                  <c:v>252.4</c:v>
                </c:pt>
                <c:pt idx="185">
                  <c:v>254</c:v>
                </c:pt>
                <c:pt idx="186">
                  <c:v>252.4</c:v>
                </c:pt>
                <c:pt idx="187">
                  <c:v>252</c:v>
                </c:pt>
                <c:pt idx="188">
                  <c:v>253</c:v>
                </c:pt>
                <c:pt idx="189">
                  <c:v>252.4</c:v>
                </c:pt>
                <c:pt idx="190">
                  <c:v>252.2</c:v>
                </c:pt>
                <c:pt idx="191">
                  <c:v>252.6</c:v>
                </c:pt>
                <c:pt idx="192">
                  <c:v>254</c:v>
                </c:pt>
                <c:pt idx="193">
                  <c:v>255</c:v>
                </c:pt>
                <c:pt idx="194">
                  <c:v>258.2</c:v>
                </c:pt>
                <c:pt idx="195">
                  <c:v>255.4</c:v>
                </c:pt>
                <c:pt idx="196">
                  <c:v>252</c:v>
                </c:pt>
                <c:pt idx="197">
                  <c:v>254</c:v>
                </c:pt>
                <c:pt idx="198">
                  <c:v>255</c:v>
                </c:pt>
                <c:pt idx="199">
                  <c:v>254</c:v>
                </c:pt>
                <c:pt idx="200">
                  <c:v>257.8</c:v>
                </c:pt>
                <c:pt idx="201">
                  <c:v>256.2</c:v>
                </c:pt>
                <c:pt idx="202">
                  <c:v>260</c:v>
                </c:pt>
                <c:pt idx="203">
                  <c:v>261.8</c:v>
                </c:pt>
                <c:pt idx="204">
                  <c:v>260</c:v>
                </c:pt>
                <c:pt idx="205">
                  <c:v>262.39999999999998</c:v>
                </c:pt>
                <c:pt idx="206">
                  <c:v>265.2</c:v>
                </c:pt>
                <c:pt idx="207">
                  <c:v>261.60000000000002</c:v>
                </c:pt>
                <c:pt idx="208">
                  <c:v>257.2</c:v>
                </c:pt>
                <c:pt idx="209">
                  <c:v>257.60000000000002</c:v>
                </c:pt>
                <c:pt idx="210">
                  <c:v>260.8</c:v>
                </c:pt>
                <c:pt idx="211">
                  <c:v>261.2</c:v>
                </c:pt>
                <c:pt idx="212">
                  <c:v>261.60000000000002</c:v>
                </c:pt>
                <c:pt idx="213">
                  <c:v>263.39999999999998</c:v>
                </c:pt>
                <c:pt idx="214">
                  <c:v>256.2</c:v>
                </c:pt>
                <c:pt idx="215">
                  <c:v>256.8</c:v>
                </c:pt>
                <c:pt idx="216">
                  <c:v>258</c:v>
                </c:pt>
                <c:pt idx="217">
                  <c:v>258.8</c:v>
                </c:pt>
                <c:pt idx="218">
                  <c:v>258.8</c:v>
                </c:pt>
                <c:pt idx="219">
                  <c:v>261</c:v>
                </c:pt>
                <c:pt idx="220">
                  <c:v>261.2</c:v>
                </c:pt>
                <c:pt idx="221">
                  <c:v>261</c:v>
                </c:pt>
                <c:pt idx="222">
                  <c:v>259</c:v>
                </c:pt>
                <c:pt idx="223">
                  <c:v>258.60000000000002</c:v>
                </c:pt>
                <c:pt idx="224">
                  <c:v>255.8</c:v>
                </c:pt>
                <c:pt idx="22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D-4A6C-ABAC-E2F6553A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191"/>
        <c:axId val="2117219631"/>
      </c:scatterChart>
      <c:valAx>
        <c:axId val="2117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631"/>
        <c:crosses val="autoZero"/>
        <c:crossBetween val="midCat"/>
      </c:valAx>
      <c:valAx>
        <c:axId val="2117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Log'!$T$2:$T$227</c:f>
              <c:numCache>
                <c:formatCode>0.00</c:formatCode>
                <c:ptCount val="226"/>
                <c:pt idx="0">
                  <c:v>50.5</c:v>
                </c:pt>
                <c:pt idx="1">
                  <c:v>85</c:v>
                </c:pt>
                <c:pt idx="2">
                  <c:v>39.075833333333335</c:v>
                </c:pt>
                <c:pt idx="3">
                  <c:v>12</c:v>
                </c:pt>
                <c:pt idx="4">
                  <c:v>60.098333333333343</c:v>
                </c:pt>
                <c:pt idx="5">
                  <c:v>34.861666666666672</c:v>
                </c:pt>
                <c:pt idx="6">
                  <c:v>70.801666666666662</c:v>
                </c:pt>
                <c:pt idx="7">
                  <c:v>229</c:v>
                </c:pt>
                <c:pt idx="8">
                  <c:v>120.44166666666668</c:v>
                </c:pt>
                <c:pt idx="9">
                  <c:v>82.441666666666677</c:v>
                </c:pt>
                <c:pt idx="10">
                  <c:v>76.603333333333339</c:v>
                </c:pt>
                <c:pt idx="11">
                  <c:v>55.379166666666663</c:v>
                </c:pt>
                <c:pt idx="12">
                  <c:v>127.2</c:v>
                </c:pt>
                <c:pt idx="13">
                  <c:v>83.064583333333331</c:v>
                </c:pt>
                <c:pt idx="14">
                  <c:v>56.902499999999996</c:v>
                </c:pt>
                <c:pt idx="15">
                  <c:v>82.025833333333338</c:v>
                </c:pt>
                <c:pt idx="16">
                  <c:v>34.75833333333334</c:v>
                </c:pt>
                <c:pt idx="17">
                  <c:v>37.75833333333334</c:v>
                </c:pt>
                <c:pt idx="18">
                  <c:v>34.708333333333336</c:v>
                </c:pt>
                <c:pt idx="19">
                  <c:v>59.710833333333341</c:v>
                </c:pt>
                <c:pt idx="20">
                  <c:v>43.975000000000001</c:v>
                </c:pt>
                <c:pt idx="21">
                  <c:v>45.002499999999998</c:v>
                </c:pt>
                <c:pt idx="22">
                  <c:v>36.88773333333333</c:v>
                </c:pt>
                <c:pt idx="23">
                  <c:v>29.758666666666667</c:v>
                </c:pt>
                <c:pt idx="24">
                  <c:v>55.948666666666668</c:v>
                </c:pt>
                <c:pt idx="25">
                  <c:v>34.86866666666667</c:v>
                </c:pt>
                <c:pt idx="26">
                  <c:v>64.888666666666666</c:v>
                </c:pt>
                <c:pt idx="27">
                  <c:v>56.808666666666667</c:v>
                </c:pt>
                <c:pt idx="28">
                  <c:v>31.808666666666667</c:v>
                </c:pt>
                <c:pt idx="29">
                  <c:v>44.83</c:v>
                </c:pt>
                <c:pt idx="30">
                  <c:v>35.345666666666673</c:v>
                </c:pt>
                <c:pt idx="31">
                  <c:v>65.075666666666677</c:v>
                </c:pt>
                <c:pt idx="32">
                  <c:v>42.745666666666679</c:v>
                </c:pt>
                <c:pt idx="33">
                  <c:v>89.591333333333353</c:v>
                </c:pt>
                <c:pt idx="34">
                  <c:v>52.075666666666677</c:v>
                </c:pt>
                <c:pt idx="35">
                  <c:v>93.5</c:v>
                </c:pt>
                <c:pt idx="36">
                  <c:v>29.865666666666673</c:v>
                </c:pt>
                <c:pt idx="37">
                  <c:v>275.95</c:v>
                </c:pt>
                <c:pt idx="38">
                  <c:v>233.5</c:v>
                </c:pt>
                <c:pt idx="39">
                  <c:v>165</c:v>
                </c:pt>
                <c:pt idx="40">
                  <c:v>99.25</c:v>
                </c:pt>
                <c:pt idx="41">
                  <c:v>119.6</c:v>
                </c:pt>
                <c:pt idx="42">
                  <c:v>135</c:v>
                </c:pt>
                <c:pt idx="43">
                  <c:v>198</c:v>
                </c:pt>
                <c:pt idx="44">
                  <c:v>116.2924</c:v>
                </c:pt>
                <c:pt idx="45">
                  <c:v>189.84674285714286</c:v>
                </c:pt>
                <c:pt idx="46">
                  <c:v>49.472916666666663</c:v>
                </c:pt>
                <c:pt idx="47">
                  <c:v>75.686984392419191</c:v>
                </c:pt>
                <c:pt idx="48">
                  <c:v>76.954999999999998</c:v>
                </c:pt>
                <c:pt idx="49">
                  <c:v>65.986984392419188</c:v>
                </c:pt>
                <c:pt idx="50">
                  <c:v>74.486984392419188</c:v>
                </c:pt>
                <c:pt idx="51">
                  <c:v>114.53066666666666</c:v>
                </c:pt>
                <c:pt idx="52">
                  <c:v>68.986984392419188</c:v>
                </c:pt>
                <c:pt idx="53">
                  <c:v>95.526666666666657</c:v>
                </c:pt>
                <c:pt idx="54">
                  <c:v>72.486984392419188</c:v>
                </c:pt>
                <c:pt idx="55">
                  <c:v>86.228651059085863</c:v>
                </c:pt>
                <c:pt idx="56">
                  <c:v>79.477380952380969</c:v>
                </c:pt>
                <c:pt idx="57">
                  <c:v>57.210714285714296</c:v>
                </c:pt>
                <c:pt idx="58">
                  <c:v>91.766666666666666</c:v>
                </c:pt>
                <c:pt idx="59">
                  <c:v>54.210714285714296</c:v>
                </c:pt>
                <c:pt idx="60">
                  <c:v>107.96666666666667</c:v>
                </c:pt>
                <c:pt idx="61">
                  <c:v>76.5107142857143</c:v>
                </c:pt>
                <c:pt idx="62">
                  <c:v>93.977380952380969</c:v>
                </c:pt>
                <c:pt idx="63">
                  <c:v>38.466666666666669</c:v>
                </c:pt>
                <c:pt idx="64">
                  <c:v>251.6</c:v>
                </c:pt>
                <c:pt idx="65">
                  <c:v>19.900000000000002</c:v>
                </c:pt>
                <c:pt idx="66">
                  <c:v>61.510714285714293</c:v>
                </c:pt>
                <c:pt idx="67">
                  <c:v>310.46666666666664</c:v>
                </c:pt>
                <c:pt idx="68">
                  <c:v>84.974999999999994</c:v>
                </c:pt>
                <c:pt idx="69">
                  <c:v>88.759523809523827</c:v>
                </c:pt>
                <c:pt idx="70">
                  <c:v>48.45</c:v>
                </c:pt>
                <c:pt idx="71">
                  <c:v>242.8095238095238</c:v>
                </c:pt>
                <c:pt idx="72">
                  <c:v>71.2</c:v>
                </c:pt>
                <c:pt idx="73">
                  <c:v>209</c:v>
                </c:pt>
                <c:pt idx="74">
                  <c:v>47.050000000000004</c:v>
                </c:pt>
                <c:pt idx="75">
                  <c:v>67.80952380952381</c:v>
                </c:pt>
                <c:pt idx="76">
                  <c:v>102.10000000000001</c:v>
                </c:pt>
                <c:pt idx="77">
                  <c:v>62.80952380952381</c:v>
                </c:pt>
                <c:pt idx="78">
                  <c:v>240.2095238095238</c:v>
                </c:pt>
                <c:pt idx="79">
                  <c:v>127.5</c:v>
                </c:pt>
                <c:pt idx="80">
                  <c:v>54.45</c:v>
                </c:pt>
                <c:pt idx="81">
                  <c:v>73.624523809523808</c:v>
                </c:pt>
                <c:pt idx="82">
                  <c:v>63.115000000000002</c:v>
                </c:pt>
                <c:pt idx="83">
                  <c:v>38.720000000000006</c:v>
                </c:pt>
                <c:pt idx="84">
                  <c:v>73.174999999999997</c:v>
                </c:pt>
                <c:pt idx="85">
                  <c:v>134.22624999999999</c:v>
                </c:pt>
                <c:pt idx="86">
                  <c:v>266.45125000000002</c:v>
                </c:pt>
                <c:pt idx="87">
                  <c:v>64.902500000000003</c:v>
                </c:pt>
                <c:pt idx="88">
                  <c:v>86.866250000000008</c:v>
                </c:pt>
                <c:pt idx="89">
                  <c:v>128.44999999999999</c:v>
                </c:pt>
                <c:pt idx="90">
                  <c:v>125.25000000000001</c:v>
                </c:pt>
                <c:pt idx="91">
                  <c:v>327.47499999999997</c:v>
                </c:pt>
                <c:pt idx="92">
                  <c:v>195.5</c:v>
                </c:pt>
                <c:pt idx="93">
                  <c:v>76.7</c:v>
                </c:pt>
                <c:pt idx="94">
                  <c:v>63.729333333333336</c:v>
                </c:pt>
                <c:pt idx="95">
                  <c:v>153.24</c:v>
                </c:pt>
                <c:pt idx="96">
                  <c:v>59.829333333333338</c:v>
                </c:pt>
                <c:pt idx="97">
                  <c:v>141.79500000000002</c:v>
                </c:pt>
                <c:pt idx="98">
                  <c:v>113.22833333333335</c:v>
                </c:pt>
                <c:pt idx="99">
                  <c:v>139.17233333333334</c:v>
                </c:pt>
                <c:pt idx="100">
                  <c:v>259.79499999999996</c:v>
                </c:pt>
                <c:pt idx="101">
                  <c:v>255.2</c:v>
                </c:pt>
                <c:pt idx="102">
                  <c:v>42.768333333333331</c:v>
                </c:pt>
                <c:pt idx="103">
                  <c:v>77.650000000000006</c:v>
                </c:pt>
                <c:pt idx="104">
                  <c:v>77.650000000000006</c:v>
                </c:pt>
                <c:pt idx="105">
                  <c:v>90.930500000000009</c:v>
                </c:pt>
                <c:pt idx="106">
                  <c:v>98.037500000000009</c:v>
                </c:pt>
                <c:pt idx="107">
                  <c:v>65.988500000000002</c:v>
                </c:pt>
                <c:pt idx="108">
                  <c:v>41.879000000000005</c:v>
                </c:pt>
                <c:pt idx="109">
                  <c:v>76.875000000000014</c:v>
                </c:pt>
                <c:pt idx="110">
                  <c:v>65.162000000000006</c:v>
                </c:pt>
                <c:pt idx="111">
                  <c:v>87.5</c:v>
                </c:pt>
                <c:pt idx="112">
                  <c:v>58.052999999999997</c:v>
                </c:pt>
                <c:pt idx="113">
                  <c:v>37.066000000000003</c:v>
                </c:pt>
                <c:pt idx="114">
                  <c:v>64.875000000000014</c:v>
                </c:pt>
                <c:pt idx="115">
                  <c:v>36.171999999999997</c:v>
                </c:pt>
                <c:pt idx="116">
                  <c:v>52.537500000000009</c:v>
                </c:pt>
                <c:pt idx="117">
                  <c:v>25.599999999999998</c:v>
                </c:pt>
                <c:pt idx="118">
                  <c:v>20.8</c:v>
                </c:pt>
                <c:pt idx="119">
                  <c:v>9.5</c:v>
                </c:pt>
                <c:pt idx="120">
                  <c:v>11</c:v>
                </c:pt>
                <c:pt idx="121">
                  <c:v>288</c:v>
                </c:pt>
                <c:pt idx="122">
                  <c:v>94.364999999999995</c:v>
                </c:pt>
                <c:pt idx="123">
                  <c:v>203.45</c:v>
                </c:pt>
                <c:pt idx="124">
                  <c:v>0</c:v>
                </c:pt>
                <c:pt idx="125">
                  <c:v>138.87399999999997</c:v>
                </c:pt>
                <c:pt idx="126">
                  <c:v>179.23839285714286</c:v>
                </c:pt>
                <c:pt idx="127">
                  <c:v>246.7717857142857</c:v>
                </c:pt>
                <c:pt idx="128">
                  <c:v>253.04129464285711</c:v>
                </c:pt>
                <c:pt idx="129">
                  <c:v>223.14419642857143</c:v>
                </c:pt>
                <c:pt idx="130">
                  <c:v>204.39239285714285</c:v>
                </c:pt>
                <c:pt idx="131">
                  <c:v>0</c:v>
                </c:pt>
                <c:pt idx="132">
                  <c:v>214.7</c:v>
                </c:pt>
                <c:pt idx="133">
                  <c:v>183.95499999999998</c:v>
                </c:pt>
                <c:pt idx="134">
                  <c:v>250.35499999999999</c:v>
                </c:pt>
                <c:pt idx="135">
                  <c:v>151.15875</c:v>
                </c:pt>
                <c:pt idx="136">
                  <c:v>74.574875000000006</c:v>
                </c:pt>
                <c:pt idx="137">
                  <c:v>82.926937499999994</c:v>
                </c:pt>
                <c:pt idx="138">
                  <c:v>17</c:v>
                </c:pt>
                <c:pt idx="139">
                  <c:v>99.191000000000003</c:v>
                </c:pt>
                <c:pt idx="140">
                  <c:v>148.85006249999998</c:v>
                </c:pt>
                <c:pt idx="141">
                  <c:v>93.966062500000007</c:v>
                </c:pt>
                <c:pt idx="142">
                  <c:v>111.4519375</c:v>
                </c:pt>
                <c:pt idx="143">
                  <c:v>105.22500000000001</c:v>
                </c:pt>
                <c:pt idx="144">
                  <c:v>52.483062500000003</c:v>
                </c:pt>
                <c:pt idx="145">
                  <c:v>0</c:v>
                </c:pt>
                <c:pt idx="146">
                  <c:v>47.483062500000003</c:v>
                </c:pt>
                <c:pt idx="147">
                  <c:v>264.5</c:v>
                </c:pt>
                <c:pt idx="148">
                  <c:v>82.5</c:v>
                </c:pt>
                <c:pt idx="149">
                  <c:v>99.2</c:v>
                </c:pt>
                <c:pt idx="150">
                  <c:v>47</c:v>
                </c:pt>
                <c:pt idx="151">
                  <c:v>216.76972222222221</c:v>
                </c:pt>
                <c:pt idx="152">
                  <c:v>56.275000000000006</c:v>
                </c:pt>
                <c:pt idx="153">
                  <c:v>54.449444444444445</c:v>
                </c:pt>
                <c:pt idx="154">
                  <c:v>57.797444444444444</c:v>
                </c:pt>
                <c:pt idx="155">
                  <c:v>74.048888888888882</c:v>
                </c:pt>
                <c:pt idx="156">
                  <c:v>277.44944444444445</c:v>
                </c:pt>
                <c:pt idx="157">
                  <c:v>55.525000000000006</c:v>
                </c:pt>
                <c:pt idx="158">
                  <c:v>135.09888888888889</c:v>
                </c:pt>
                <c:pt idx="159">
                  <c:v>173.85499999999999</c:v>
                </c:pt>
                <c:pt idx="160">
                  <c:v>172.392</c:v>
                </c:pt>
                <c:pt idx="161">
                  <c:v>74.325000000000003</c:v>
                </c:pt>
                <c:pt idx="162">
                  <c:v>39.975000000000001</c:v>
                </c:pt>
                <c:pt idx="163">
                  <c:v>88.898888888888891</c:v>
                </c:pt>
                <c:pt idx="164">
                  <c:v>211.09888888888889</c:v>
                </c:pt>
                <c:pt idx="165">
                  <c:v>142.5</c:v>
                </c:pt>
                <c:pt idx="166">
                  <c:v>27.042999999999999</c:v>
                </c:pt>
                <c:pt idx="167">
                  <c:v>26.328375000000001</c:v>
                </c:pt>
                <c:pt idx="168">
                  <c:v>45.075000000000003</c:v>
                </c:pt>
                <c:pt idx="169">
                  <c:v>60.359523809523822</c:v>
                </c:pt>
                <c:pt idx="170">
                  <c:v>66.703374999999994</c:v>
                </c:pt>
                <c:pt idx="171">
                  <c:v>50.875</c:v>
                </c:pt>
                <c:pt idx="172">
                  <c:v>224.2</c:v>
                </c:pt>
                <c:pt idx="173">
                  <c:v>109.68789880952382</c:v>
                </c:pt>
                <c:pt idx="174">
                  <c:v>104.82789880952382</c:v>
                </c:pt>
                <c:pt idx="175">
                  <c:v>97.509523809523827</c:v>
                </c:pt>
                <c:pt idx="176">
                  <c:v>97.130000000000024</c:v>
                </c:pt>
                <c:pt idx="177">
                  <c:v>30.3</c:v>
                </c:pt>
                <c:pt idx="178">
                  <c:v>145.65952380952382</c:v>
                </c:pt>
                <c:pt idx="179">
                  <c:v>65.01428571428572</c:v>
                </c:pt>
                <c:pt idx="180">
                  <c:v>105.075</c:v>
                </c:pt>
                <c:pt idx="181">
                  <c:v>87.275000000000006</c:v>
                </c:pt>
                <c:pt idx="182">
                  <c:v>163.58889285714284</c:v>
                </c:pt>
                <c:pt idx="183">
                  <c:v>103.903375</c:v>
                </c:pt>
                <c:pt idx="184">
                  <c:v>91.875000000000014</c:v>
                </c:pt>
                <c:pt idx="185">
                  <c:v>35.075000000000003</c:v>
                </c:pt>
                <c:pt idx="186">
                  <c:v>71.357142857142861</c:v>
                </c:pt>
                <c:pt idx="187">
                  <c:v>122.51428571428572</c:v>
                </c:pt>
                <c:pt idx="188">
                  <c:v>72.089333333333329</c:v>
                </c:pt>
                <c:pt idx="189">
                  <c:v>235.14070833333332</c:v>
                </c:pt>
                <c:pt idx="190">
                  <c:v>143.6438511904762</c:v>
                </c:pt>
                <c:pt idx="191">
                  <c:v>108.5808511904762</c:v>
                </c:pt>
                <c:pt idx="192">
                  <c:v>249</c:v>
                </c:pt>
                <c:pt idx="193">
                  <c:v>200.4083333333333</c:v>
                </c:pt>
                <c:pt idx="194">
                  <c:v>102.29551785714285</c:v>
                </c:pt>
                <c:pt idx="195">
                  <c:v>100.37247619047619</c:v>
                </c:pt>
                <c:pt idx="196">
                  <c:v>80.817142857142869</c:v>
                </c:pt>
                <c:pt idx="197">
                  <c:v>89.608333333333334</c:v>
                </c:pt>
                <c:pt idx="198">
                  <c:v>82.934285714285721</c:v>
                </c:pt>
                <c:pt idx="199">
                  <c:v>204.87837500000001</c:v>
                </c:pt>
                <c:pt idx="200">
                  <c:v>228.07837499999999</c:v>
                </c:pt>
                <c:pt idx="201">
                  <c:v>171.74571428571429</c:v>
                </c:pt>
                <c:pt idx="202">
                  <c:v>200.34087500000001</c:v>
                </c:pt>
                <c:pt idx="203">
                  <c:v>238.79087499999997</c:v>
                </c:pt>
                <c:pt idx="204">
                  <c:v>200.2</c:v>
                </c:pt>
                <c:pt idx="205">
                  <c:v>215.96666666666667</c:v>
                </c:pt>
                <c:pt idx="206">
                  <c:v>48.72</c:v>
                </c:pt>
                <c:pt idx="207">
                  <c:v>82.99766666666666</c:v>
                </c:pt>
                <c:pt idx="208">
                  <c:v>117.39066666666668</c:v>
                </c:pt>
                <c:pt idx="209">
                  <c:v>151.51999999999998</c:v>
                </c:pt>
                <c:pt idx="210">
                  <c:v>33.814</c:v>
                </c:pt>
                <c:pt idx="211">
                  <c:v>105.42853820488766</c:v>
                </c:pt>
                <c:pt idx="212">
                  <c:v>105.42853820488766</c:v>
                </c:pt>
                <c:pt idx="213">
                  <c:v>105.42853820488766</c:v>
                </c:pt>
                <c:pt idx="214">
                  <c:v>105.42853820488766</c:v>
                </c:pt>
                <c:pt idx="215">
                  <c:v>105.42853820488766</c:v>
                </c:pt>
                <c:pt idx="216">
                  <c:v>105.42853820488766</c:v>
                </c:pt>
                <c:pt idx="217">
                  <c:v>105.42853820488766</c:v>
                </c:pt>
                <c:pt idx="218">
                  <c:v>62.25</c:v>
                </c:pt>
                <c:pt idx="219">
                  <c:v>91.25</c:v>
                </c:pt>
                <c:pt idx="220">
                  <c:v>52</c:v>
                </c:pt>
                <c:pt idx="221">
                  <c:v>200.5</c:v>
                </c:pt>
                <c:pt idx="222">
                  <c:v>49.655000000000001</c:v>
                </c:pt>
                <c:pt idx="223">
                  <c:v>44.442999999999998</c:v>
                </c:pt>
                <c:pt idx="224">
                  <c:v>58.711000000000006</c:v>
                </c:pt>
                <c:pt idx="225">
                  <c:v>282.3</c:v>
                </c:pt>
              </c:numCache>
            </c:numRef>
          </c:xVal>
          <c:yVal>
            <c:numRef>
              <c:f>Residuals!$DU$2:$DU$227</c:f>
              <c:numCache>
                <c:formatCode>0.00</c:formatCode>
                <c:ptCount val="226"/>
                <c:pt idx="0">
                  <c:v>2.9455491107306386</c:v>
                </c:pt>
                <c:pt idx="1">
                  <c:v>2.5089302218936851</c:v>
                </c:pt>
                <c:pt idx="2">
                  <c:v>2.4245613896452767</c:v>
                </c:pt>
                <c:pt idx="3">
                  <c:v>2.3748194649399963</c:v>
                </c:pt>
                <c:pt idx="4">
                  <c:v>1.963182531947453</c:v>
                </c:pt>
                <c:pt idx="5">
                  <c:v>2.4168194022261531</c:v>
                </c:pt>
                <c:pt idx="6">
                  <c:v>1.9828459858551355</c:v>
                </c:pt>
                <c:pt idx="7">
                  <c:v>2.2734774684872789</c:v>
                </c:pt>
                <c:pt idx="8">
                  <c:v>2.5740413005836515</c:v>
                </c:pt>
                <c:pt idx="9">
                  <c:v>2.5042302216214551</c:v>
                </c:pt>
                <c:pt idx="10">
                  <c:v>1.9935044229545866</c:v>
                </c:pt>
                <c:pt idx="11">
                  <c:v>1.4545127920316006</c:v>
                </c:pt>
                <c:pt idx="12">
                  <c:v>2.0864572622148643</c:v>
                </c:pt>
                <c:pt idx="13">
                  <c:v>1.5053746027952286</c:v>
                </c:pt>
                <c:pt idx="14">
                  <c:v>1.4573113589689441</c:v>
                </c:pt>
                <c:pt idx="15">
                  <c:v>1.5034662802091248</c:v>
                </c:pt>
                <c:pt idx="16">
                  <c:v>1.4166295650816068</c:v>
                </c:pt>
                <c:pt idx="17">
                  <c:v>1.4221409660523108</c:v>
                </c:pt>
                <c:pt idx="18">
                  <c:v>1.4165377083987636</c:v>
                </c:pt>
                <c:pt idx="19">
                  <c:v>1.4624706426554042</c:v>
                </c:pt>
                <c:pt idx="20">
                  <c:v>1.4335618136193702</c:v>
                </c:pt>
                <c:pt idx="21">
                  <c:v>0.93544946845183574</c:v>
                </c:pt>
                <c:pt idx="22">
                  <c:v>0.9205415574906084</c:v>
                </c:pt>
                <c:pt idx="23">
                  <c:v>0.40744450917499364</c:v>
                </c:pt>
                <c:pt idx="24">
                  <c:v>0.95555903964920219</c:v>
                </c:pt>
                <c:pt idx="25">
                  <c:v>0.41683226216175484</c:v>
                </c:pt>
                <c:pt idx="26">
                  <c:v>1.4719830145418911</c:v>
                </c:pt>
                <c:pt idx="27">
                  <c:v>0.45713897459413744</c:v>
                </c:pt>
                <c:pt idx="28">
                  <c:v>0.41121063317164186</c:v>
                </c:pt>
                <c:pt idx="29">
                  <c:v>0.43513256289601543</c:v>
                </c:pt>
                <c:pt idx="30">
                  <c:v>0.41770857491609092</c:v>
                </c:pt>
                <c:pt idx="31">
                  <c:v>0.4723265585357268</c:v>
                </c:pt>
                <c:pt idx="32">
                  <c:v>-6.8696636022849589E-2</c:v>
                </c:pt>
                <c:pt idx="33">
                  <c:v>1.7365114890402822E-2</c:v>
                </c:pt>
                <c:pt idx="34">
                  <c:v>-5.1556179003966918E-2</c:v>
                </c:pt>
                <c:pt idx="35">
                  <c:v>2.4545857977336993E-2</c:v>
                </c:pt>
                <c:pt idx="36">
                  <c:v>-9.2358917523718276E-2</c:v>
                </c:pt>
                <c:pt idx="37">
                  <c:v>0.35973089367873001</c:v>
                </c:pt>
                <c:pt idx="38">
                  <c:v>0.78174456994332786</c:v>
                </c:pt>
                <c:pt idx="39">
                  <c:v>0.65590091444568088</c:v>
                </c:pt>
                <c:pt idx="40">
                  <c:v>-0.46489062349548504</c:v>
                </c:pt>
                <c:pt idx="41">
                  <c:v>7.2495046422424991E-2</c:v>
                </c:pt>
                <c:pt idx="42">
                  <c:v>0.10078690473868335</c:v>
                </c:pt>
                <c:pt idx="43">
                  <c:v>0.21652632512338243</c:v>
                </c:pt>
                <c:pt idx="44">
                  <c:v>6.6418543138865971E-2</c:v>
                </c:pt>
                <c:pt idx="45">
                  <c:v>0.7015477020128813</c:v>
                </c:pt>
                <c:pt idx="46">
                  <c:v>0.44366222137053057</c:v>
                </c:pt>
                <c:pt idx="47">
                  <c:v>-8.1790325262289798E-3</c:v>
                </c:pt>
                <c:pt idx="48">
                  <c:v>-5.8495183760740588E-3</c:v>
                </c:pt>
                <c:pt idx="49">
                  <c:v>-2.5999228998159651E-2</c:v>
                </c:pt>
                <c:pt idx="50">
                  <c:v>-1.038359291451485E-2</c:v>
                </c:pt>
                <c:pt idx="51">
                  <c:v>6.3182003537711751E-2</c:v>
                </c:pt>
                <c:pt idx="52">
                  <c:v>-2.048782802746274E-2</c:v>
                </c:pt>
                <c:pt idx="53">
                  <c:v>2.8269115521986521E-2</c:v>
                </c:pt>
                <c:pt idx="54">
                  <c:v>-0.51405786022831279</c:v>
                </c:pt>
                <c:pt idx="55">
                  <c:v>-0.48881258189307886</c:v>
                </c:pt>
                <c:pt idx="56">
                  <c:v>-0.50121556743292928</c:v>
                </c:pt>
                <c:pt idx="57">
                  <c:v>-0.5421224101932367</c:v>
                </c:pt>
                <c:pt idx="58">
                  <c:v>-0.47863850702795219</c:v>
                </c:pt>
                <c:pt idx="59">
                  <c:v>-1.0476338111639336</c:v>
                </c:pt>
                <c:pt idx="60">
                  <c:v>-0.94887694178617465</c:v>
                </c:pt>
                <c:pt idx="61">
                  <c:v>-1.0066657306150688</c:v>
                </c:pt>
                <c:pt idx="62">
                  <c:v>-0.97457712940788355</c:v>
                </c:pt>
                <c:pt idx="63">
                  <c:v>-1.5765577309407206</c:v>
                </c:pt>
                <c:pt idx="64">
                  <c:v>-1.185003310866783</c:v>
                </c:pt>
                <c:pt idx="65">
                  <c:v>-1.1106671791704983</c:v>
                </c:pt>
                <c:pt idx="66">
                  <c:v>-1.0342227354685676</c:v>
                </c:pt>
                <c:pt idx="67">
                  <c:v>-0.57685737626393774</c:v>
                </c:pt>
                <c:pt idx="68">
                  <c:v>-0.4911157064477365</c:v>
                </c:pt>
                <c:pt idx="69">
                  <c:v>-0.98416303038192154</c:v>
                </c:pt>
                <c:pt idx="70">
                  <c:v>-1.0582170132660025</c:v>
                </c:pt>
                <c:pt idx="71">
                  <c:v>-1.2011525905364877</c:v>
                </c:pt>
                <c:pt idx="72">
                  <c:v>-1.5164222225715278</c:v>
                </c:pt>
                <c:pt idx="73">
                  <c:v>-1.2632652046507218</c:v>
                </c:pt>
                <c:pt idx="74">
                  <c:v>-0.56078900038566104</c:v>
                </c:pt>
                <c:pt idx="75">
                  <c:v>-1.022650980493971</c:v>
                </c:pt>
                <c:pt idx="76">
                  <c:v>-1.4596547925733248</c:v>
                </c:pt>
                <c:pt idx="77">
                  <c:v>-1.0318366487784729</c:v>
                </c:pt>
                <c:pt idx="78">
                  <c:v>-0.70592913804442503</c:v>
                </c:pt>
                <c:pt idx="79">
                  <c:v>-0.91299159768806248</c:v>
                </c:pt>
                <c:pt idx="80">
                  <c:v>-1.0471942113246016</c:v>
                </c:pt>
                <c:pt idx="81">
                  <c:v>-1.5119680482791011</c:v>
                </c:pt>
                <c:pt idx="82">
                  <c:v>-1.0312754481875643</c:v>
                </c:pt>
                <c:pt idx="83">
                  <c:v>-1.0760923237476376</c:v>
                </c:pt>
                <c:pt idx="84">
                  <c:v>-1.0127938835991515</c:v>
                </c:pt>
                <c:pt idx="85">
                  <c:v>-0.90063457742834174</c:v>
                </c:pt>
                <c:pt idx="86">
                  <c:v>-0.65771957964474836</c:v>
                </c:pt>
                <c:pt idx="87">
                  <c:v>-1.027991571775857</c:v>
                </c:pt>
                <c:pt idx="88">
                  <c:v>-0.9876412274191253</c:v>
                </c:pt>
                <c:pt idx="89">
                  <c:v>-0.41124632071400669</c:v>
                </c:pt>
                <c:pt idx="90">
                  <c:v>-0.9171251484160905</c:v>
                </c:pt>
                <c:pt idx="91">
                  <c:v>-0.54561079464949813</c:v>
                </c:pt>
                <c:pt idx="92">
                  <c:v>-0.28806650901886854</c:v>
                </c:pt>
                <c:pt idx="93">
                  <c:v>-6.3179874585799212E-3</c:v>
                </c:pt>
                <c:pt idx="94">
                  <c:v>-3.0146835744346845E-2</c:v>
                </c:pt>
                <c:pt idx="95">
                  <c:v>-0.36570377735945669</c:v>
                </c:pt>
                <c:pt idx="96">
                  <c:v>-0.53731165700625638</c:v>
                </c:pt>
                <c:pt idx="97">
                  <c:v>-0.38672977206267944</c:v>
                </c:pt>
                <c:pt idx="98">
                  <c:v>-0.93921055686145394</c:v>
                </c:pt>
                <c:pt idx="99">
                  <c:v>-1.3915479612668449</c:v>
                </c:pt>
                <c:pt idx="100">
                  <c:v>-0.66994800054848724</c:v>
                </c:pt>
                <c:pt idx="101">
                  <c:v>-1.1783896297019467</c:v>
                </c:pt>
                <c:pt idx="102">
                  <c:v>-0.56865499432662148</c:v>
                </c:pt>
                <c:pt idx="103">
                  <c:v>-4.5727104845241229E-3</c:v>
                </c:pt>
                <c:pt idx="104">
                  <c:v>-4.5727104845241229E-3</c:v>
                </c:pt>
                <c:pt idx="105">
                  <c:v>1.982534304593031E-2</c:v>
                </c:pt>
                <c:pt idx="106">
                  <c:v>-0.46711814805448171</c:v>
                </c:pt>
                <c:pt idx="107">
                  <c:v>-0.52599644462446804</c:v>
                </c:pt>
                <c:pt idx="108">
                  <c:v>-1.0702888185254906</c:v>
                </c:pt>
                <c:pt idx="109">
                  <c:v>-1.0059964890686217</c:v>
                </c:pt>
                <c:pt idx="110">
                  <c:v>-1.0275148355918944</c:v>
                </c:pt>
                <c:pt idx="111">
                  <c:v>-0.48647694396406393</c:v>
                </c:pt>
                <c:pt idx="112">
                  <c:v>-1.0405750187587941</c:v>
                </c:pt>
                <c:pt idx="113">
                  <c:v>-1.0791309428161497</c:v>
                </c:pt>
                <c:pt idx="114">
                  <c:v>-1.0280420929514236</c:v>
                </c:pt>
                <c:pt idx="115">
                  <c:v>-1.08077334030542</c:v>
                </c:pt>
                <c:pt idx="116">
                  <c:v>-1.0507077294434239</c:v>
                </c:pt>
                <c:pt idx="117">
                  <c:v>-1.6001955173261706</c:v>
                </c:pt>
                <c:pt idx="118">
                  <c:v>-1.6090137588792857</c:v>
                </c:pt>
                <c:pt idx="119">
                  <c:v>-1.6297733692022547</c:v>
                </c:pt>
                <c:pt idx="120">
                  <c:v>-1.6270176687169098</c:v>
                </c:pt>
                <c:pt idx="121">
                  <c:v>-0.61813164575562496</c:v>
                </c:pt>
                <c:pt idx="122">
                  <c:v>-0.97386502140944486</c:v>
                </c:pt>
                <c:pt idx="123">
                  <c:v>-0.77346129644651285</c:v>
                </c:pt>
                <c:pt idx="124">
                  <c:v>-1.1472261389428056</c:v>
                </c:pt>
                <c:pt idx="125">
                  <c:v>-0.89209603947448812</c:v>
                </c:pt>
                <c:pt idx="126">
                  <c:v>-0.8179412548162972</c:v>
                </c:pt>
                <c:pt idx="127">
                  <c:v>-0.69387338583379687</c:v>
                </c:pt>
                <c:pt idx="128">
                  <c:v>-0.68235545996888192</c:v>
                </c:pt>
                <c:pt idx="129">
                  <c:v>-0.23728042534198579</c:v>
                </c:pt>
                <c:pt idx="130">
                  <c:v>-0.27172999481063442</c:v>
                </c:pt>
                <c:pt idx="131">
                  <c:v>-0.64722613894280556</c:v>
                </c:pt>
                <c:pt idx="132">
                  <c:v>-0.25279354280638699</c:v>
                </c:pt>
                <c:pt idx="133">
                  <c:v>-0.30927621708777764</c:v>
                </c:pt>
                <c:pt idx="134">
                  <c:v>0.31270945773037795</c:v>
                </c:pt>
                <c:pt idx="135">
                  <c:v>0.1304726882171181</c:v>
                </c:pt>
                <c:pt idx="136">
                  <c:v>-1.0222126121199437E-2</c:v>
                </c:pt>
                <c:pt idx="137">
                  <c:v>5.1217290020844075E-3</c:v>
                </c:pt>
                <c:pt idx="138">
                  <c:v>-0.11599486677550885</c:v>
                </c:pt>
                <c:pt idx="139">
                  <c:v>-0.46499901438124169</c:v>
                </c:pt>
                <c:pt idx="140">
                  <c:v>-0.37376867929239666</c:v>
                </c:pt>
                <c:pt idx="141">
                  <c:v>-0.47459792291769531</c:v>
                </c:pt>
                <c:pt idx="142">
                  <c:v>-0.44247403343484848</c:v>
                </c:pt>
                <c:pt idx="143">
                  <c:v>-0.45391374989551281</c:v>
                </c:pt>
                <c:pt idx="144">
                  <c:v>-0.55080773840687414</c:v>
                </c:pt>
                <c:pt idx="145">
                  <c:v>-0.64722613894280556</c:v>
                </c:pt>
                <c:pt idx="146">
                  <c:v>-0.55999340669137609</c:v>
                </c:pt>
                <c:pt idx="147">
                  <c:v>-0.16130428669277563</c:v>
                </c:pt>
                <c:pt idx="148">
                  <c:v>-0.49566261224855879</c:v>
                </c:pt>
                <c:pt idx="149">
                  <c:v>-0.46498248017833532</c:v>
                </c:pt>
                <c:pt idx="150">
                  <c:v>-0.56088085706851132</c:v>
                </c:pt>
                <c:pt idx="151">
                  <c:v>-0.24899118645151219</c:v>
                </c:pt>
                <c:pt idx="152">
                  <c:v>-0.54384144240076182</c:v>
                </c:pt>
                <c:pt idx="153">
                  <c:v>-0.54719523195441155</c:v>
                </c:pt>
                <c:pt idx="154">
                  <c:v>-0.54104450847110996</c:v>
                </c:pt>
                <c:pt idx="155">
                  <c:v>-0.51118843290898752</c:v>
                </c:pt>
                <c:pt idx="156">
                  <c:v>-0.13751442646572798</c:v>
                </c:pt>
                <c:pt idx="157">
                  <c:v>-4.5219292643437825E-2</c:v>
                </c:pt>
                <c:pt idx="158">
                  <c:v>0.1009685768447568</c:v>
                </c:pt>
                <c:pt idx="159">
                  <c:v>0.1721687329775321</c:v>
                </c:pt>
                <c:pt idx="160">
                  <c:v>0.16948100643748631</c:v>
                </c:pt>
                <c:pt idx="161">
                  <c:v>-1.0681179893715864E-2</c:v>
                </c:pt>
                <c:pt idx="162">
                  <c:v>-7.3786721008232803E-2</c:v>
                </c:pt>
                <c:pt idx="163">
                  <c:v>1.6093001895981729E-2</c:v>
                </c:pt>
                <c:pt idx="164">
                  <c:v>0.24059073476914961</c:v>
                </c:pt>
                <c:pt idx="165">
                  <c:v>0.61456540716543628</c:v>
                </c:pt>
                <c:pt idx="166">
                  <c:v>0.4024554665407365</c:v>
                </c:pt>
                <c:pt idx="167">
                  <c:v>-9.8857395098825407E-2</c:v>
                </c:pt>
                <c:pt idx="168">
                  <c:v>-6.4417339358044501E-2</c:v>
                </c:pt>
                <c:pt idx="169">
                  <c:v>-3.6337626237873621E-2</c:v>
                </c:pt>
                <c:pt idx="170">
                  <c:v>-2.4683123701485954E-2</c:v>
                </c:pt>
                <c:pt idx="171">
                  <c:v>-5.3761964148023367E-2</c:v>
                </c:pt>
                <c:pt idx="172">
                  <c:v>0.26465922693415678</c:v>
                </c:pt>
                <c:pt idx="173">
                  <c:v>5.4285191714804171E-2</c:v>
                </c:pt>
                <c:pt idx="174">
                  <c:v>4.5356722142273043E-2</c:v>
                </c:pt>
                <c:pt idx="175">
                  <c:v>3.1911889115953329E-2</c:v>
                </c:pt>
                <c:pt idx="176">
                  <c:v>-0.46878534684811513</c:v>
                </c:pt>
                <c:pt idx="177">
                  <c:v>-0.59156098913873478</c:v>
                </c:pt>
                <c:pt idx="178">
                  <c:v>-0.37963012530430973</c:v>
                </c:pt>
                <c:pt idx="179">
                  <c:v>-2.7786206477784958E-2</c:v>
                </c:pt>
                <c:pt idx="180">
                  <c:v>4.5810680055957675E-2</c:v>
                </c:pt>
                <c:pt idx="181">
                  <c:v>0.51310970096313469</c:v>
                </c:pt>
                <c:pt idx="182">
                  <c:v>0.65330852202004763</c:v>
                </c:pt>
                <c:pt idx="183">
                  <c:v>0.54365824833519127</c:v>
                </c:pt>
                <c:pt idx="184">
                  <c:v>0.52156051578487705</c:v>
                </c:pt>
                <c:pt idx="185">
                  <c:v>-8.2788675927041311E-2</c:v>
                </c:pt>
                <c:pt idx="186">
                  <c:v>-1.6133530139732954E-2</c:v>
                </c:pt>
                <c:pt idx="187">
                  <c:v>7.7848978793966239E-2</c:v>
                </c:pt>
                <c:pt idx="188">
                  <c:v>-1.4788398372658662E-2</c:v>
                </c:pt>
                <c:pt idx="189">
                  <c:v>0.28475877044365205</c:v>
                </c:pt>
                <c:pt idx="190">
                  <c:v>0.6166668146859422</c:v>
                </c:pt>
                <c:pt idx="191">
                  <c:v>0.55225139727406258</c:v>
                </c:pt>
                <c:pt idx="192">
                  <c:v>0.31022014162527967</c:v>
                </c:pt>
                <c:pt idx="193">
                  <c:v>0.22095075534708286</c:v>
                </c:pt>
                <c:pt idx="194">
                  <c:v>4.0704399862562468E-2</c:v>
                </c:pt>
                <c:pt idx="195">
                  <c:v>3.7171515293103141E-2</c:v>
                </c:pt>
                <c:pt idx="196">
                  <c:v>1.2457542545405431E-3</c:v>
                </c:pt>
                <c:pt idx="197">
                  <c:v>1.7396346162570353E-2</c:v>
                </c:pt>
                <c:pt idx="198">
                  <c:v>0.50513522865386307</c:v>
                </c:pt>
                <c:pt idx="199">
                  <c:v>0.72916281934065807</c:v>
                </c:pt>
                <c:pt idx="200">
                  <c:v>0.77178432018073551</c:v>
                </c:pt>
                <c:pt idx="201">
                  <c:v>0.66829369319980003</c:v>
                </c:pt>
                <c:pt idx="202">
                  <c:v>0.72082682537247678</c:v>
                </c:pt>
                <c:pt idx="203">
                  <c:v>1.2914646144802759</c:v>
                </c:pt>
                <c:pt idx="204">
                  <c:v>0.72056801916856017</c:v>
                </c:pt>
                <c:pt idx="205">
                  <c:v>1.2495334931590136</c:v>
                </c:pt>
                <c:pt idx="206">
                  <c:v>1.4422790128213592</c:v>
                </c:pt>
                <c:pt idx="207">
                  <c:v>1.0052516679346866</c:v>
                </c:pt>
                <c:pt idx="208">
                  <c:v>0.56843620579645204</c:v>
                </c:pt>
                <c:pt idx="209">
                  <c:v>1.1311363527506728</c:v>
                </c:pt>
                <c:pt idx="210">
                  <c:v>0.41489469853161154</c:v>
                </c:pt>
                <c:pt idx="211">
                  <c:v>1.0464601769911539</c:v>
                </c:pt>
                <c:pt idx="212">
                  <c:v>1.0464601769911539</c:v>
                </c:pt>
                <c:pt idx="213">
                  <c:v>0.5464601769911539</c:v>
                </c:pt>
                <c:pt idx="214">
                  <c:v>4.6460176991153901E-2</c:v>
                </c:pt>
                <c:pt idx="215">
                  <c:v>4.6460176991153901E-2</c:v>
                </c:pt>
                <c:pt idx="216">
                  <c:v>0.5464601769911539</c:v>
                </c:pt>
                <c:pt idx="217">
                  <c:v>4.6460176991153901E-2</c:v>
                </c:pt>
                <c:pt idx="218">
                  <c:v>-3.2864568800782479E-2</c:v>
                </c:pt>
                <c:pt idx="219">
                  <c:v>0.52041230724931609</c:v>
                </c:pt>
                <c:pt idx="220">
                  <c:v>0.44830481121599064</c:v>
                </c:pt>
                <c:pt idx="221">
                  <c:v>0.22111915926563341</c:v>
                </c:pt>
                <c:pt idx="222">
                  <c:v>0.94399673279055918</c:v>
                </c:pt>
                <c:pt idx="223">
                  <c:v>0.4344215921707999</c:v>
                </c:pt>
                <c:pt idx="224">
                  <c:v>0.46063381518744961</c:v>
                </c:pt>
                <c:pt idx="225">
                  <c:v>0.87139669240004736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B-496E-A848-27B73A39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2415"/>
        <c:axId val="2123649615"/>
      </c:scatterChart>
      <c:valAx>
        <c:axId val="21236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9615"/>
        <c:crosses val="autoZero"/>
        <c:crossBetween val="midCat"/>
      </c:valAx>
      <c:valAx>
        <c:axId val="2123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Log'!$U$2:$U$227</c:f>
              <c:numCache>
                <c:formatCode>0.00</c:formatCode>
                <c:ptCount val="226"/>
                <c:pt idx="0">
                  <c:v>73</c:v>
                </c:pt>
                <c:pt idx="1">
                  <c:v>71.5</c:v>
                </c:pt>
                <c:pt idx="2">
                  <c:v>74.289583333333354</c:v>
                </c:pt>
                <c:pt idx="3">
                  <c:v>4</c:v>
                </c:pt>
                <c:pt idx="4">
                  <c:v>104.32666666666668</c:v>
                </c:pt>
                <c:pt idx="5">
                  <c:v>69.580000000000013</c:v>
                </c:pt>
                <c:pt idx="6">
                  <c:v>67.880000000000024</c:v>
                </c:pt>
                <c:pt idx="7">
                  <c:v>163</c:v>
                </c:pt>
                <c:pt idx="8">
                  <c:v>99.950000000000031</c:v>
                </c:pt>
                <c:pt idx="9">
                  <c:v>78.450000000000017</c:v>
                </c:pt>
                <c:pt idx="10">
                  <c:v>108.05500000000001</c:v>
                </c:pt>
                <c:pt idx="11">
                  <c:v>75.029166666666669</c:v>
                </c:pt>
                <c:pt idx="12">
                  <c:v>119.9875</c:v>
                </c:pt>
                <c:pt idx="13">
                  <c:v>56.15</c:v>
                </c:pt>
                <c:pt idx="14">
                  <c:v>50.186</c:v>
                </c:pt>
                <c:pt idx="15">
                  <c:v>99.683000000000007</c:v>
                </c:pt>
                <c:pt idx="16">
                  <c:v>62.6</c:v>
                </c:pt>
                <c:pt idx="17">
                  <c:v>63.6</c:v>
                </c:pt>
                <c:pt idx="18">
                  <c:v>62.42</c:v>
                </c:pt>
                <c:pt idx="19">
                  <c:v>85.606000000000009</c:v>
                </c:pt>
                <c:pt idx="20">
                  <c:v>63.933333333333337</c:v>
                </c:pt>
                <c:pt idx="21">
                  <c:v>45.186</c:v>
                </c:pt>
                <c:pt idx="22">
                  <c:v>50.2958</c:v>
                </c:pt>
                <c:pt idx="23">
                  <c:v>61.1265</c:v>
                </c:pt>
                <c:pt idx="24">
                  <c:v>74.95150000000001</c:v>
                </c:pt>
                <c:pt idx="25">
                  <c:v>62.576499999999996</c:v>
                </c:pt>
                <c:pt idx="26">
                  <c:v>75.656499999999994</c:v>
                </c:pt>
                <c:pt idx="27">
                  <c:v>58.336499999999994</c:v>
                </c:pt>
                <c:pt idx="28">
                  <c:v>53.336499999999994</c:v>
                </c:pt>
                <c:pt idx="29">
                  <c:v>55.384499999999996</c:v>
                </c:pt>
                <c:pt idx="30">
                  <c:v>56.428166666666677</c:v>
                </c:pt>
                <c:pt idx="31">
                  <c:v>67.36966666666666</c:v>
                </c:pt>
                <c:pt idx="32">
                  <c:v>58.128166666666672</c:v>
                </c:pt>
                <c:pt idx="33">
                  <c:v>122.55633333333336</c:v>
                </c:pt>
                <c:pt idx="34">
                  <c:v>70.36966666666666</c:v>
                </c:pt>
                <c:pt idx="35">
                  <c:v>60.4</c:v>
                </c:pt>
                <c:pt idx="36">
                  <c:v>45.608166666666669</c:v>
                </c:pt>
                <c:pt idx="37">
                  <c:v>182.9</c:v>
                </c:pt>
                <c:pt idx="38">
                  <c:v>172</c:v>
                </c:pt>
                <c:pt idx="39">
                  <c:v>133.5</c:v>
                </c:pt>
                <c:pt idx="40">
                  <c:v>117</c:v>
                </c:pt>
                <c:pt idx="41">
                  <c:v>93.2</c:v>
                </c:pt>
                <c:pt idx="42">
                  <c:v>57</c:v>
                </c:pt>
                <c:pt idx="43">
                  <c:v>120</c:v>
                </c:pt>
                <c:pt idx="44">
                  <c:v>166.13659999999999</c:v>
                </c:pt>
                <c:pt idx="45">
                  <c:v>158.75139999999999</c:v>
                </c:pt>
                <c:pt idx="46">
                  <c:v>23.972023809523812</c:v>
                </c:pt>
                <c:pt idx="47">
                  <c:v>121.90903540903541</c:v>
                </c:pt>
                <c:pt idx="48">
                  <c:v>108.60142857142858</c:v>
                </c:pt>
                <c:pt idx="49">
                  <c:v>114.00903540903542</c:v>
                </c:pt>
                <c:pt idx="50">
                  <c:v>121.00903540903542</c:v>
                </c:pt>
                <c:pt idx="51">
                  <c:v>131.61566666666667</c:v>
                </c:pt>
                <c:pt idx="52">
                  <c:v>118.00903540903542</c:v>
                </c:pt>
                <c:pt idx="53">
                  <c:v>125.10666666666668</c:v>
                </c:pt>
                <c:pt idx="54">
                  <c:v>118.50903540903542</c:v>
                </c:pt>
                <c:pt idx="55">
                  <c:v>124.3742735042735</c:v>
                </c:pt>
                <c:pt idx="56">
                  <c:v>118.11428571428573</c:v>
                </c:pt>
                <c:pt idx="57">
                  <c:v>61.680952380952384</c:v>
                </c:pt>
                <c:pt idx="58">
                  <c:v>98.933333333333337</c:v>
                </c:pt>
                <c:pt idx="59">
                  <c:v>68.180952380952391</c:v>
                </c:pt>
                <c:pt idx="60">
                  <c:v>110.33333333333334</c:v>
                </c:pt>
                <c:pt idx="61">
                  <c:v>72.280952380952385</c:v>
                </c:pt>
                <c:pt idx="62">
                  <c:v>124.61428571428573</c:v>
                </c:pt>
                <c:pt idx="63">
                  <c:v>62.333333333333336</c:v>
                </c:pt>
                <c:pt idx="64">
                  <c:v>95.1</c:v>
                </c:pt>
                <c:pt idx="65">
                  <c:v>14.4</c:v>
                </c:pt>
                <c:pt idx="66">
                  <c:v>65.180952380952391</c:v>
                </c:pt>
                <c:pt idx="67">
                  <c:v>226.33333333333334</c:v>
                </c:pt>
                <c:pt idx="68">
                  <c:v>80.822222222222223</c:v>
                </c:pt>
                <c:pt idx="69">
                  <c:v>138.28492063492064</c:v>
                </c:pt>
                <c:pt idx="70">
                  <c:v>80.64444444444446</c:v>
                </c:pt>
                <c:pt idx="71">
                  <c:v>182.32047619047617</c:v>
                </c:pt>
                <c:pt idx="72">
                  <c:v>62.4</c:v>
                </c:pt>
                <c:pt idx="73">
                  <c:v>123</c:v>
                </c:pt>
                <c:pt idx="74">
                  <c:v>74.544444444444451</c:v>
                </c:pt>
                <c:pt idx="75">
                  <c:v>102.74047619047619</c:v>
                </c:pt>
                <c:pt idx="76">
                  <c:v>155.48888888888891</c:v>
                </c:pt>
                <c:pt idx="77">
                  <c:v>77.740476190476187</c:v>
                </c:pt>
                <c:pt idx="78">
                  <c:v>210.04047619047617</c:v>
                </c:pt>
                <c:pt idx="79">
                  <c:v>92.100000000000009</c:v>
                </c:pt>
                <c:pt idx="80">
                  <c:v>74.044444444444451</c:v>
                </c:pt>
                <c:pt idx="81">
                  <c:v>102.20380952380953</c:v>
                </c:pt>
                <c:pt idx="82">
                  <c:v>73.701666666666682</c:v>
                </c:pt>
                <c:pt idx="83">
                  <c:v>74.12166666666667</c:v>
                </c:pt>
                <c:pt idx="84">
                  <c:v>90.541666666666671</c:v>
                </c:pt>
                <c:pt idx="85">
                  <c:v>136.32965277777777</c:v>
                </c:pt>
                <c:pt idx="86">
                  <c:v>192.764375</c:v>
                </c:pt>
                <c:pt idx="87">
                  <c:v>49.528750000000002</c:v>
                </c:pt>
                <c:pt idx="88">
                  <c:v>96.066041666666663</c:v>
                </c:pt>
                <c:pt idx="89">
                  <c:v>157.00694444444446</c:v>
                </c:pt>
                <c:pt idx="90">
                  <c:v>165.53055555555559</c:v>
                </c:pt>
                <c:pt idx="91">
                  <c:v>276.46527777777777</c:v>
                </c:pt>
                <c:pt idx="92">
                  <c:v>95.833333333333343</c:v>
                </c:pt>
                <c:pt idx="93">
                  <c:v>110.48611111111113</c:v>
                </c:pt>
                <c:pt idx="94">
                  <c:v>79.132000000000005</c:v>
                </c:pt>
                <c:pt idx="95">
                  <c:v>148.85499999999999</c:v>
                </c:pt>
                <c:pt idx="96">
                  <c:v>86.525000000000006</c:v>
                </c:pt>
                <c:pt idx="97">
                  <c:v>125.465</c:v>
                </c:pt>
                <c:pt idx="98">
                  <c:v>120.35200000000002</c:v>
                </c:pt>
                <c:pt idx="99">
                  <c:v>134.52300000000002</c:v>
                </c:pt>
                <c:pt idx="100">
                  <c:v>149.46500000000003</c:v>
                </c:pt>
                <c:pt idx="101">
                  <c:v>206.4</c:v>
                </c:pt>
                <c:pt idx="102">
                  <c:v>64.282000000000011</c:v>
                </c:pt>
                <c:pt idx="103">
                  <c:v>78.52</c:v>
                </c:pt>
                <c:pt idx="104">
                  <c:v>78.52</c:v>
                </c:pt>
                <c:pt idx="105">
                  <c:v>123.55766666666668</c:v>
                </c:pt>
                <c:pt idx="106">
                  <c:v>81.975000000000009</c:v>
                </c:pt>
                <c:pt idx="107">
                  <c:v>118.19266666666668</c:v>
                </c:pt>
                <c:pt idx="108">
                  <c:v>71.543666666666681</c:v>
                </c:pt>
                <c:pt idx="109">
                  <c:v>104.85000000000001</c:v>
                </c:pt>
                <c:pt idx="110">
                  <c:v>88.26166666666667</c:v>
                </c:pt>
                <c:pt idx="111">
                  <c:v>81</c:v>
                </c:pt>
                <c:pt idx="112">
                  <c:v>67.227666666666678</c:v>
                </c:pt>
                <c:pt idx="113">
                  <c:v>70.88666666666667</c:v>
                </c:pt>
                <c:pt idx="114">
                  <c:v>99.550000000000011</c:v>
                </c:pt>
                <c:pt idx="115">
                  <c:v>67.75266666666667</c:v>
                </c:pt>
                <c:pt idx="116">
                  <c:v>54.975000000000001</c:v>
                </c:pt>
                <c:pt idx="117">
                  <c:v>73.13</c:v>
                </c:pt>
                <c:pt idx="118">
                  <c:v>59.1</c:v>
                </c:pt>
                <c:pt idx="119">
                  <c:v>61.5</c:v>
                </c:pt>
                <c:pt idx="120">
                  <c:v>17.174999999999997</c:v>
                </c:pt>
                <c:pt idx="121">
                  <c:v>172</c:v>
                </c:pt>
                <c:pt idx="122">
                  <c:v>95.332875000000001</c:v>
                </c:pt>
                <c:pt idx="123">
                  <c:v>111.640625</c:v>
                </c:pt>
                <c:pt idx="124">
                  <c:v>0</c:v>
                </c:pt>
                <c:pt idx="125">
                  <c:v>206.44258333333335</c:v>
                </c:pt>
                <c:pt idx="126">
                  <c:v>192.45416666666668</c:v>
                </c:pt>
                <c:pt idx="127">
                  <c:v>150.10249999999999</c:v>
                </c:pt>
                <c:pt idx="128">
                  <c:v>209.50156250000001</c:v>
                </c:pt>
                <c:pt idx="129">
                  <c:v>129.65729166666665</c:v>
                </c:pt>
                <c:pt idx="130">
                  <c:v>168.54454166666667</c:v>
                </c:pt>
                <c:pt idx="131">
                  <c:v>0</c:v>
                </c:pt>
                <c:pt idx="132">
                  <c:v>136.4</c:v>
                </c:pt>
                <c:pt idx="133">
                  <c:v>140.09333333333336</c:v>
                </c:pt>
                <c:pt idx="134">
                  <c:v>136.54333333333335</c:v>
                </c:pt>
                <c:pt idx="135">
                  <c:v>119.62541666666667</c:v>
                </c:pt>
                <c:pt idx="136">
                  <c:v>90.387125000000012</c:v>
                </c:pt>
                <c:pt idx="137">
                  <c:v>85.182979166666684</c:v>
                </c:pt>
                <c:pt idx="138">
                  <c:v>2</c:v>
                </c:pt>
                <c:pt idx="139">
                  <c:v>93.937000000000012</c:v>
                </c:pt>
                <c:pt idx="140">
                  <c:v>154.92685416666669</c:v>
                </c:pt>
                <c:pt idx="141">
                  <c:v>123.98485416666668</c:v>
                </c:pt>
                <c:pt idx="142">
                  <c:v>135.84297916666665</c:v>
                </c:pt>
                <c:pt idx="143">
                  <c:v>89.060000000000016</c:v>
                </c:pt>
                <c:pt idx="144">
                  <c:v>66.492854166666675</c:v>
                </c:pt>
                <c:pt idx="145">
                  <c:v>0</c:v>
                </c:pt>
                <c:pt idx="146">
                  <c:v>63.492854166666667</c:v>
                </c:pt>
                <c:pt idx="147">
                  <c:v>123.5</c:v>
                </c:pt>
                <c:pt idx="148">
                  <c:v>41</c:v>
                </c:pt>
                <c:pt idx="149">
                  <c:v>98.4</c:v>
                </c:pt>
                <c:pt idx="150">
                  <c:v>46</c:v>
                </c:pt>
                <c:pt idx="151">
                  <c:v>143.81657407407408</c:v>
                </c:pt>
                <c:pt idx="152">
                  <c:v>27.375</c:v>
                </c:pt>
                <c:pt idx="153">
                  <c:v>60.013148148148147</c:v>
                </c:pt>
                <c:pt idx="154">
                  <c:v>108.97481481481483</c:v>
                </c:pt>
                <c:pt idx="155">
                  <c:v>109.3012962962963</c:v>
                </c:pt>
                <c:pt idx="156">
                  <c:v>221.01314814814816</c:v>
                </c:pt>
                <c:pt idx="157">
                  <c:v>83.666666666666686</c:v>
                </c:pt>
                <c:pt idx="158">
                  <c:v>182.4262962962963</c:v>
                </c:pt>
                <c:pt idx="159">
                  <c:v>97.006666666666675</c:v>
                </c:pt>
                <c:pt idx="160">
                  <c:v>144.58466666666666</c:v>
                </c:pt>
                <c:pt idx="161">
                  <c:v>94.26666666666668</c:v>
                </c:pt>
                <c:pt idx="162">
                  <c:v>122.00000000000001</c:v>
                </c:pt>
                <c:pt idx="163">
                  <c:v>107.02629629629629</c:v>
                </c:pt>
                <c:pt idx="164">
                  <c:v>157.4262962962963</c:v>
                </c:pt>
                <c:pt idx="165">
                  <c:v>47</c:v>
                </c:pt>
                <c:pt idx="166">
                  <c:v>61.13600000000001</c:v>
                </c:pt>
                <c:pt idx="167">
                  <c:v>33.312062499999996</c:v>
                </c:pt>
                <c:pt idx="168">
                  <c:v>74.750000000000014</c:v>
                </c:pt>
                <c:pt idx="169">
                  <c:v>76.157142857142873</c:v>
                </c:pt>
                <c:pt idx="170">
                  <c:v>93.162062500000019</c:v>
                </c:pt>
                <c:pt idx="171">
                  <c:v>76.850000000000009</c:v>
                </c:pt>
                <c:pt idx="172">
                  <c:v>190.4</c:v>
                </c:pt>
                <c:pt idx="173">
                  <c:v>97.969205357142869</c:v>
                </c:pt>
                <c:pt idx="174">
                  <c:v>149.84720535714285</c:v>
                </c:pt>
                <c:pt idx="175">
                  <c:v>109.70714285714286</c:v>
                </c:pt>
                <c:pt idx="176">
                  <c:v>125.02500000000002</c:v>
                </c:pt>
                <c:pt idx="177">
                  <c:v>27.274999999999999</c:v>
                </c:pt>
                <c:pt idx="178">
                  <c:v>118.25714285714287</c:v>
                </c:pt>
                <c:pt idx="179">
                  <c:v>95.200000000000017</c:v>
                </c:pt>
                <c:pt idx="180">
                  <c:v>106.25000000000001</c:v>
                </c:pt>
                <c:pt idx="181">
                  <c:v>87.6</c:v>
                </c:pt>
                <c:pt idx="182">
                  <c:v>169.024125</c:v>
                </c:pt>
                <c:pt idx="183">
                  <c:v>108.56206250000002</c:v>
                </c:pt>
                <c:pt idx="184">
                  <c:v>75.450000000000017</c:v>
                </c:pt>
                <c:pt idx="185">
                  <c:v>66.250000000000014</c:v>
                </c:pt>
                <c:pt idx="186">
                  <c:v>51.800000000000004</c:v>
                </c:pt>
                <c:pt idx="187">
                  <c:v>103.75000000000001</c:v>
                </c:pt>
                <c:pt idx="188">
                  <c:v>78.419666666666686</c:v>
                </c:pt>
                <c:pt idx="189">
                  <c:v>205.10672916666667</c:v>
                </c:pt>
                <c:pt idx="190">
                  <c:v>140.28872916666668</c:v>
                </c:pt>
                <c:pt idx="191">
                  <c:v>135.00372916666669</c:v>
                </c:pt>
                <c:pt idx="192">
                  <c:v>85</c:v>
                </c:pt>
                <c:pt idx="193">
                  <c:v>178.76666666666668</c:v>
                </c:pt>
                <c:pt idx="194">
                  <c:v>118.74706250000001</c:v>
                </c:pt>
                <c:pt idx="195">
                  <c:v>144.55166666666668</c:v>
                </c:pt>
                <c:pt idx="196">
                  <c:v>44.81</c:v>
                </c:pt>
                <c:pt idx="197">
                  <c:v>72.866666666666674</c:v>
                </c:pt>
                <c:pt idx="198">
                  <c:v>132.82</c:v>
                </c:pt>
                <c:pt idx="199">
                  <c:v>122.4370625</c:v>
                </c:pt>
                <c:pt idx="200">
                  <c:v>85.837062500000002</c:v>
                </c:pt>
                <c:pt idx="201">
                  <c:v>172.75285714285712</c:v>
                </c:pt>
                <c:pt idx="202">
                  <c:v>143.41206249999999</c:v>
                </c:pt>
                <c:pt idx="203">
                  <c:v>165.51206250000001</c:v>
                </c:pt>
                <c:pt idx="204">
                  <c:v>86.600000000000009</c:v>
                </c:pt>
                <c:pt idx="205">
                  <c:v>110.83333333333334</c:v>
                </c:pt>
                <c:pt idx="206">
                  <c:v>70.575999999999993</c:v>
                </c:pt>
                <c:pt idx="207">
                  <c:v>113.22366666666667</c:v>
                </c:pt>
                <c:pt idx="208">
                  <c:v>134.73633333333336</c:v>
                </c:pt>
                <c:pt idx="209">
                  <c:v>197.28</c:v>
                </c:pt>
                <c:pt idx="210">
                  <c:v>63.984000000000002</c:v>
                </c:pt>
                <c:pt idx="211">
                  <c:v>101.34424305957444</c:v>
                </c:pt>
                <c:pt idx="212">
                  <c:v>101.34424305957444</c:v>
                </c:pt>
                <c:pt idx="213">
                  <c:v>101.34424305957444</c:v>
                </c:pt>
                <c:pt idx="214">
                  <c:v>101.34424305957444</c:v>
                </c:pt>
                <c:pt idx="215">
                  <c:v>101.34424305957444</c:v>
                </c:pt>
                <c:pt idx="216">
                  <c:v>101.34424305957444</c:v>
                </c:pt>
                <c:pt idx="217">
                  <c:v>101.34424305957444</c:v>
                </c:pt>
                <c:pt idx="218">
                  <c:v>109.2</c:v>
                </c:pt>
                <c:pt idx="219">
                  <c:v>78.900000000000006</c:v>
                </c:pt>
                <c:pt idx="220">
                  <c:v>28.2</c:v>
                </c:pt>
                <c:pt idx="221">
                  <c:v>92.7</c:v>
                </c:pt>
                <c:pt idx="222">
                  <c:v>66.016666666666666</c:v>
                </c:pt>
                <c:pt idx="223">
                  <c:v>67.25266666666667</c:v>
                </c:pt>
                <c:pt idx="224">
                  <c:v>82.283666666666676</c:v>
                </c:pt>
                <c:pt idx="225">
                  <c:v>196.6</c:v>
                </c:pt>
              </c:numCache>
            </c:numRef>
          </c:xVal>
          <c:yVal>
            <c:numRef>
              <c:f>Residuals!$DX$2:$DX$227</c:f>
              <c:numCache>
                <c:formatCode>0.00</c:formatCode>
                <c:ptCount val="226"/>
                <c:pt idx="0">
                  <c:v>2.9558154919187842</c:v>
                </c:pt>
                <c:pt idx="1">
                  <c:v>2.4510185027269102</c:v>
                </c:pt>
                <c:pt idx="2">
                  <c:v>2.4599395701267923</c:v>
                </c:pt>
                <c:pt idx="3">
                  <c:v>2.2351539890926944</c:v>
                </c:pt>
                <c:pt idx="4">
                  <c:v>2.0559979461970244</c:v>
                </c:pt>
                <c:pt idx="5">
                  <c:v>2.4448783565613113</c:v>
                </c:pt>
                <c:pt idx="6">
                  <c:v>1.939441768810525</c:v>
                </c:pt>
                <c:pt idx="7">
                  <c:v>2.2436348434310673</c:v>
                </c:pt>
                <c:pt idx="8">
                  <c:v>2.54200139773274</c:v>
                </c:pt>
                <c:pt idx="9">
                  <c:v>2.4732445526492484</c:v>
                </c:pt>
                <c:pt idx="10">
                  <c:v>2.0679211293328166</c:v>
                </c:pt>
                <c:pt idx="11">
                  <c:v>1.4623047522977828</c:v>
                </c:pt>
                <c:pt idx="12">
                  <c:v>2.1060811783541524</c:v>
                </c:pt>
                <c:pt idx="13">
                  <c:v>1.4019293133300934</c:v>
                </c:pt>
                <c:pt idx="14">
                  <c:v>1.3828564843032112</c:v>
                </c:pt>
                <c:pt idx="15">
                  <c:v>1.5411475336565843</c:v>
                </c:pt>
                <c:pt idx="16">
                  <c:v>1.4225563668551402</c:v>
                </c:pt>
                <c:pt idx="17">
                  <c:v>1.4257543596497229</c:v>
                </c:pt>
                <c:pt idx="18">
                  <c:v>1.4219807281521142</c:v>
                </c:pt>
                <c:pt idx="19">
                  <c:v>1.4961293890872724</c:v>
                </c:pt>
                <c:pt idx="20">
                  <c:v>1.4268203572479123</c:v>
                </c:pt>
                <c:pt idx="21">
                  <c:v>0.86686652033030498</c:v>
                </c:pt>
                <c:pt idx="22">
                  <c:v>0.88320762391205676</c:v>
                </c:pt>
                <c:pt idx="23">
                  <c:v>0.41784412447232455</c:v>
                </c:pt>
                <c:pt idx="24">
                  <c:v>0.96205637485740425</c:v>
                </c:pt>
                <c:pt idx="25">
                  <c:v>0.42248121402446515</c:v>
                </c:pt>
                <c:pt idx="26">
                  <c:v>1.4643109597775847</c:v>
                </c:pt>
                <c:pt idx="27">
                  <c:v>0.40892172457544262</c:v>
                </c:pt>
                <c:pt idx="28">
                  <c:v>0.39293176060253643</c:v>
                </c:pt>
                <c:pt idx="29">
                  <c:v>0.39948124984584155</c:v>
                </c:pt>
                <c:pt idx="30">
                  <c:v>0.40281888832578261</c:v>
                </c:pt>
                <c:pt idx="31">
                  <c:v>0.43780972648769279</c:v>
                </c:pt>
                <c:pt idx="32">
                  <c:v>-9.1744523923424026E-2</c:v>
                </c:pt>
                <c:pt idx="33">
                  <c:v>0.11429628884463483</c:v>
                </c:pt>
                <c:pt idx="34">
                  <c:v>-5.2596295128566339E-2</c:v>
                </c:pt>
                <c:pt idx="35">
                  <c:v>-8.4479217292937392E-2</c:v>
                </c:pt>
                <c:pt idx="36">
                  <c:v>-0.13178339371157932</c:v>
                </c:pt>
                <c:pt idx="37">
                  <c:v>0.30727490004323244</c:v>
                </c:pt>
                <c:pt idx="38">
                  <c:v>0.77241677858229707</c:v>
                </c:pt>
                <c:pt idx="39">
                  <c:v>0.6492940559909286</c:v>
                </c:pt>
                <c:pt idx="40">
                  <c:v>-0.40347282511965687</c:v>
                </c:pt>
                <c:pt idx="41">
                  <c:v>2.041494636931418E-2</c:v>
                </c:pt>
                <c:pt idx="42">
                  <c:v>-9.5352392794517016E-2</c:v>
                </c:pt>
                <c:pt idx="43">
                  <c:v>0.106121153264084</c:v>
                </c:pt>
                <c:pt idx="44">
                  <c:v>0.25366566763054976</c:v>
                </c:pt>
                <c:pt idx="45">
                  <c:v>0.73004785124400939</c:v>
                </c:pt>
                <c:pt idx="46">
                  <c:v>0.29902437732874887</c:v>
                </c:pt>
                <c:pt idx="47">
                  <c:v>0.11222623474678528</c:v>
                </c:pt>
                <c:pt idx="48">
                  <c:v>6.966860396699559E-2</c:v>
                </c:pt>
                <c:pt idx="49">
                  <c:v>8.6962091669590791E-2</c:v>
                </c:pt>
                <c:pt idx="50">
                  <c:v>0.10934804123166231</c:v>
                </c:pt>
                <c:pt idx="51">
                  <c:v>0.14326797156834203</c:v>
                </c:pt>
                <c:pt idx="52">
                  <c:v>9.9754062847914327E-2</c:v>
                </c:pt>
                <c:pt idx="53">
                  <c:v>0.12245223646841197</c:v>
                </c:pt>
                <c:pt idx="54">
                  <c:v>-0.39864694075479434</c:v>
                </c:pt>
                <c:pt idx="55">
                  <c:v>-0.37988995158772099</c:v>
                </c:pt>
                <c:pt idx="56">
                  <c:v>-0.3999093474342672</c:v>
                </c:pt>
                <c:pt idx="57">
                  <c:v>-0.58038274080845298</c:v>
                </c:pt>
                <c:pt idx="58">
                  <c:v>-0.46124989494175139</c:v>
                </c:pt>
                <c:pt idx="59">
                  <c:v>-1.0595957876436728</c:v>
                </c:pt>
                <c:pt idx="60">
                  <c:v>-0.9247927770835318</c:v>
                </c:pt>
                <c:pt idx="61">
                  <c:v>-1.0464840171858967</c:v>
                </c:pt>
                <c:pt idx="62">
                  <c:v>-0.87912239426948702</c:v>
                </c:pt>
                <c:pt idx="63">
                  <c:v>-1.5782964312234142</c:v>
                </c:pt>
                <c:pt idx="64">
                  <c:v>-1.4735088673209802</c:v>
                </c:pt>
                <c:pt idx="65">
                  <c:v>-1.2315868858436616</c:v>
                </c:pt>
                <c:pt idx="66">
                  <c:v>-1.0691897660274208</c:v>
                </c:pt>
                <c:pt idx="67">
                  <c:v>-0.55382561291213506</c:v>
                </c:pt>
                <c:pt idx="68">
                  <c:v>-0.51916909777693832</c:v>
                </c:pt>
                <c:pt idx="69">
                  <c:v>-0.83540380229595002</c:v>
                </c:pt>
                <c:pt idx="70">
                  <c:v>-1.0197376298293079</c:v>
                </c:pt>
                <c:pt idx="71">
                  <c:v>-1.1945784129239172</c:v>
                </c:pt>
                <c:pt idx="72">
                  <c:v>-1.5780832317037792</c:v>
                </c:pt>
                <c:pt idx="73">
                  <c:v>-1.384284868352168</c:v>
                </c:pt>
                <c:pt idx="74">
                  <c:v>-0.53924538587625648</c:v>
                </c:pt>
                <c:pt idx="75">
                  <c:v>-0.94907467951667002</c:v>
                </c:pt>
                <c:pt idx="76">
                  <c:v>-1.2803856357815633</c:v>
                </c:pt>
                <c:pt idx="77">
                  <c:v>-1.0290244993811939</c:v>
                </c:pt>
                <c:pt idx="78">
                  <c:v>-0.60593005265813105</c:v>
                </c:pt>
                <c:pt idx="79">
                  <c:v>-0.98310284570472106</c:v>
                </c:pt>
                <c:pt idx="80">
                  <c:v>-1.0408443822735478</c:v>
                </c:pt>
                <c:pt idx="81">
                  <c:v>-1.4507909356497635</c:v>
                </c:pt>
                <c:pt idx="82">
                  <c:v>-1.0419405831370199</c:v>
                </c:pt>
                <c:pt idx="83">
                  <c:v>-1.0405974261632949</c:v>
                </c:pt>
                <c:pt idx="84">
                  <c:v>-0.98808638447627573</c:v>
                </c:pt>
                <c:pt idx="85">
                  <c:v>-0.84165673481457048</c:v>
                </c:pt>
                <c:pt idx="86">
                  <c:v>-0.66117889978372801</c:v>
                </c:pt>
                <c:pt idx="87">
                  <c:v>-1.1192453964610252</c:v>
                </c:pt>
                <c:pt idx="88">
                  <c:v>-0.97041947303171128</c:v>
                </c:pt>
                <c:pt idx="89">
                  <c:v>-0.27553090505312383</c:v>
                </c:pt>
                <c:pt idx="90">
                  <c:v>-0.74827245813597898</c:v>
                </c:pt>
                <c:pt idx="91">
                  <c:v>-0.39350401580046679</c:v>
                </c:pt>
                <c:pt idx="92">
                  <c:v>-0.47116367260495196</c:v>
                </c:pt>
                <c:pt idx="93">
                  <c:v>7.5695805148974671E-2</c:v>
                </c:pt>
                <c:pt idx="94">
                  <c:v>-2.4574416264847798E-2</c:v>
                </c:pt>
                <c:pt idx="95">
                  <c:v>-0.30160076464827767</c:v>
                </c:pt>
                <c:pt idx="96">
                  <c:v>-0.50093165553450802</c:v>
                </c:pt>
                <c:pt idx="97">
                  <c:v>-0.3764018161135283</c:v>
                </c:pt>
                <c:pt idx="98">
                  <c:v>-0.89275315327221705</c:v>
                </c:pt>
                <c:pt idx="99">
                  <c:v>-1.3474343973802121</c:v>
                </c:pt>
                <c:pt idx="100">
                  <c:v>-0.79964998904358708</c:v>
                </c:pt>
                <c:pt idx="101">
                  <c:v>-1.1175722692841177</c:v>
                </c:pt>
                <c:pt idx="102">
                  <c:v>-0.5720646092643733</c:v>
                </c:pt>
                <c:pt idx="103">
                  <c:v>-2.6531587855131988E-2</c:v>
                </c:pt>
                <c:pt idx="104">
                  <c:v>-2.6531587855131988E-2</c:v>
                </c:pt>
                <c:pt idx="105">
                  <c:v>0.11749854562960849</c:v>
                </c:pt>
                <c:pt idx="106">
                  <c:v>-0.51548252274985629</c:v>
                </c:pt>
                <c:pt idx="107">
                  <c:v>-0.39965868571331953</c:v>
                </c:pt>
                <c:pt idx="108">
                  <c:v>-1.0488418515877242</c:v>
                </c:pt>
                <c:pt idx="109">
                  <c:v>-0.94232843757381346</c:v>
                </c:pt>
                <c:pt idx="110">
                  <c:v>-0.99537780804791964</c:v>
                </c:pt>
                <c:pt idx="111">
                  <c:v>-0.5186005657245687</c:v>
                </c:pt>
                <c:pt idx="112">
                  <c:v>-1.0626443884891401</c:v>
                </c:pt>
                <c:pt idx="113">
                  <c:v>-1.0509429328537649</c:v>
                </c:pt>
                <c:pt idx="114">
                  <c:v>-0.95927779938509161</c:v>
                </c:pt>
                <c:pt idx="115">
                  <c:v>-1.0609654422719856</c:v>
                </c:pt>
                <c:pt idx="116">
                  <c:v>-1.1018283282035384</c:v>
                </c:pt>
                <c:pt idx="117">
                  <c:v>-1.5437687690179231</c:v>
                </c:pt>
                <c:pt idx="118">
                  <c:v>-1.588636607925892</c:v>
                </c:pt>
                <c:pt idx="119">
                  <c:v>-1.5809614252189021</c:v>
                </c:pt>
                <c:pt idx="120">
                  <c:v>-1.7227124558387032</c:v>
                </c:pt>
                <c:pt idx="121">
                  <c:v>-0.72758322141770293</c:v>
                </c:pt>
                <c:pt idx="122">
                  <c:v>-0.97276413474894241</c:v>
                </c:pt>
                <c:pt idx="123">
                  <c:v>-0.92061206775311177</c:v>
                </c:pt>
                <c:pt idx="124">
                  <c:v>-1.2776379820856292</c:v>
                </c:pt>
                <c:pt idx="125">
                  <c:v>-0.61743608809094752</c:v>
                </c:pt>
                <c:pt idx="126">
                  <c:v>-0.66217094379854302</c:v>
                </c:pt>
                <c:pt idx="127">
                  <c:v>-0.79761126863704135</c:v>
                </c:pt>
                <c:pt idx="128">
                  <c:v>-0.60765349475717301</c:v>
                </c:pt>
                <c:pt idx="129">
                  <c:v>-0.36299489757074355</c:v>
                </c:pt>
                <c:pt idx="130">
                  <c:v>-0.23863375226967776</c:v>
                </c:pt>
                <c:pt idx="131">
                  <c:v>-0.77763798208562918</c:v>
                </c:pt>
                <c:pt idx="132">
                  <c:v>-0.34143176490478311</c:v>
                </c:pt>
                <c:pt idx="133">
                  <c:v>-0.32962051151680072</c:v>
                </c:pt>
                <c:pt idx="134">
                  <c:v>0.15902661406244079</c:v>
                </c:pt>
                <c:pt idx="135">
                  <c:v>0.10492323846311535</c:v>
                </c:pt>
                <c:pt idx="136">
                  <c:v>1.141939238726053E-2</c:v>
                </c:pt>
                <c:pt idx="137">
                  <c:v>-5.2234284896854888E-3</c:v>
                </c:pt>
                <c:pt idx="138">
                  <c:v>-0.27124199649646386</c:v>
                </c:pt>
                <c:pt idx="139">
                  <c:v>-0.4772281329410788</c:v>
                </c:pt>
                <c:pt idx="140">
                  <c:v>-0.28218301877353014</c:v>
                </c:pt>
                <c:pt idx="141">
                  <c:v>-0.38113531182345639</c:v>
                </c:pt>
                <c:pt idx="142">
                  <c:v>-0.34321311351621375</c:v>
                </c:pt>
                <c:pt idx="143">
                  <c:v>-0.49282474380024865</c:v>
                </c:pt>
                <c:pt idx="144">
                  <c:v>-0.5649943135695068</c:v>
                </c:pt>
                <c:pt idx="145">
                  <c:v>-0.77763798208562918</c:v>
                </c:pt>
                <c:pt idx="146">
                  <c:v>-0.57458829195324768</c:v>
                </c:pt>
                <c:pt idx="147">
                  <c:v>-0.38268587195487669</c:v>
                </c:pt>
                <c:pt idx="148">
                  <c:v>-0.64652027750781116</c:v>
                </c:pt>
                <c:pt idx="149">
                  <c:v>-0.46295549109886025</c:v>
                </c:pt>
                <c:pt idx="150">
                  <c:v>-0.63053031353490496</c:v>
                </c:pt>
                <c:pt idx="151">
                  <c:v>-0.31771361445542112</c:v>
                </c:pt>
                <c:pt idx="152">
                  <c:v>-0.69009292933397859</c:v>
                </c:pt>
                <c:pt idx="153">
                  <c:v>-0.58571636672773053</c:v>
                </c:pt>
                <c:pt idx="154">
                  <c:v>-0.42913730951705276</c:v>
                </c:pt>
                <c:pt idx="155">
                  <c:v>-0.42809322409171102</c:v>
                </c:pt>
                <c:pt idx="156">
                  <c:v>-7.0839526800192232E-2</c:v>
                </c:pt>
                <c:pt idx="157">
                  <c:v>-1.0072584939024409E-2</c:v>
                </c:pt>
                <c:pt idx="158">
                  <c:v>0.30575999901201811</c:v>
                </c:pt>
                <c:pt idx="159">
                  <c:v>3.2588638940687531E-2</c:v>
                </c:pt>
                <c:pt idx="160">
                  <c:v>0.18474274012125846</c:v>
                </c:pt>
                <c:pt idx="161">
                  <c:v>2.3826138683539E-2</c:v>
                </c:pt>
                <c:pt idx="162">
                  <c:v>0.11251713885324932</c:v>
                </c:pt>
                <c:pt idx="163">
                  <c:v>6.4631342300614847E-2</c:v>
                </c:pt>
                <c:pt idx="164">
                  <c:v>0.22581017914749424</c:v>
                </c:pt>
                <c:pt idx="165">
                  <c:v>0.3726676792596777</c:v>
                </c:pt>
                <c:pt idx="166">
                  <c:v>0.41787450540387283</c:v>
                </c:pt>
                <c:pt idx="167">
                  <c:v>-0.17110624623799708</c:v>
                </c:pt>
                <c:pt idx="168">
                  <c:v>-3.8588020690703217E-2</c:v>
                </c:pt>
                <c:pt idx="169">
                  <c:v>-3.40879879726117E-2</c:v>
                </c:pt>
                <c:pt idx="170">
                  <c:v>2.0293622517669974E-2</c:v>
                </c:pt>
                <c:pt idx="171">
                  <c:v>-3.187223582207821E-2</c:v>
                </c:pt>
                <c:pt idx="172">
                  <c:v>0.33125984600258818</c:v>
                </c:pt>
                <c:pt idx="173">
                  <c:v>3.566683073733401E-2</c:v>
                </c:pt>
                <c:pt idx="174">
                  <c:v>0.20157230093460754</c:v>
                </c:pt>
                <c:pt idx="175">
                  <c:v>7.3204670285576867E-2</c:v>
                </c:pt>
                <c:pt idx="176">
                  <c:v>-0.37780893294314666</c:v>
                </c:pt>
                <c:pt idx="177">
                  <c:v>-0.69041272861343117</c:v>
                </c:pt>
                <c:pt idx="178">
                  <c:v>-0.39945249132075134</c:v>
                </c:pt>
                <c:pt idx="179">
                  <c:v>2.68109319584795E-2</c:v>
                </c:pt>
                <c:pt idx="180">
                  <c:v>6.2148752338600843E-2</c:v>
                </c:pt>
                <c:pt idx="181">
                  <c:v>0.50250618671966407</c:v>
                </c:pt>
                <c:pt idx="182">
                  <c:v>0.76289995177472036</c:v>
                </c:pt>
                <c:pt idx="183">
                  <c:v>0.5695427115542202</c:v>
                </c:pt>
                <c:pt idx="184">
                  <c:v>0.46365057426550749</c:v>
                </c:pt>
                <c:pt idx="185">
                  <c:v>-6.5770959444641619E-2</c:v>
                </c:pt>
                <c:pt idx="186">
                  <c:v>-0.11198195532633548</c:v>
                </c:pt>
                <c:pt idx="187">
                  <c:v>5.4153770352144193E-2</c:v>
                </c:pt>
                <c:pt idx="188">
                  <c:v>-2.6852453132185872E-2</c:v>
                </c:pt>
                <c:pt idx="189">
                  <c:v>0.3782918599094387</c:v>
                </c:pt>
                <c:pt idx="190">
                  <c:v>0.67100436295029198</c:v>
                </c:pt>
                <c:pt idx="191">
                  <c:v>0.65410297103093029</c:v>
                </c:pt>
                <c:pt idx="192">
                  <c:v>-5.8085945462451605E-3</c:v>
                </c:pt>
                <c:pt idx="193">
                  <c:v>0.29405652982563169</c:v>
                </c:pt>
                <c:pt idx="194">
                  <c:v>0.1021142681670284</c:v>
                </c:pt>
                <c:pt idx="195">
                  <c:v>0.18463720635904224</c:v>
                </c:pt>
                <c:pt idx="196">
                  <c:v>-0.13433592496045321</c:v>
                </c:pt>
                <c:pt idx="197">
                  <c:v>-4.4610907120492982E-2</c:v>
                </c:pt>
                <c:pt idx="198">
                  <c:v>0.64711942089061836</c:v>
                </c:pt>
                <c:pt idx="199">
                  <c:v>0.6139148615790333</c:v>
                </c:pt>
                <c:pt idx="200">
                  <c:v>0.49686832529737046</c:v>
                </c:pt>
                <c:pt idx="201">
                  <c:v>0.77482441030050353</c:v>
                </c:pt>
                <c:pt idx="202">
                  <c:v>0.68099276044536339</c:v>
                </c:pt>
                <c:pt idx="203">
                  <c:v>1.2516684012056061</c:v>
                </c:pt>
                <c:pt idx="204">
                  <c:v>0.49930819392508141</c:v>
                </c:pt>
                <c:pt idx="205">
                  <c:v>1.0768062193137595</c:v>
                </c:pt>
                <c:pt idx="206">
                  <c:v>1.4480635573847138</c:v>
                </c:pt>
                <c:pt idx="207">
                  <c:v>1.0844504880904111</c:v>
                </c:pt>
                <c:pt idx="208">
                  <c:v>0.65324784108263145</c:v>
                </c:pt>
                <c:pt idx="209">
                  <c:v>1.3532620364293066</c:v>
                </c:pt>
                <c:pt idx="210">
                  <c:v>0.42698238888284124</c:v>
                </c:pt>
                <c:pt idx="211">
                  <c:v>1.0464601769911539</c:v>
                </c:pt>
                <c:pt idx="212">
                  <c:v>1.0464601769911539</c:v>
                </c:pt>
                <c:pt idx="213">
                  <c:v>0.5464601769911539</c:v>
                </c:pt>
                <c:pt idx="214">
                  <c:v>4.6460176991153901E-2</c:v>
                </c:pt>
                <c:pt idx="215">
                  <c:v>4.6460176991153901E-2</c:v>
                </c:pt>
                <c:pt idx="216">
                  <c:v>0.5464601769911539</c:v>
                </c:pt>
                <c:pt idx="217">
                  <c:v>4.6460176991153901E-2</c:v>
                </c:pt>
                <c:pt idx="218">
                  <c:v>7.1582831082615428E-2</c:v>
                </c:pt>
                <c:pt idx="219">
                  <c:v>0.4746836494068063</c:v>
                </c:pt>
                <c:pt idx="220">
                  <c:v>0.31254541472155495</c:v>
                </c:pt>
                <c:pt idx="221">
                  <c:v>1.8815949972029955E-2</c:v>
                </c:pt>
                <c:pt idx="222">
                  <c:v>0.93348284223662148</c:v>
                </c:pt>
                <c:pt idx="223">
                  <c:v>0.43743556133072303</c:v>
                </c:pt>
                <c:pt idx="224">
                  <c:v>0.48550459102607135</c:v>
                </c:pt>
                <c:pt idx="225">
                  <c:v>0.8510874013289893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5-4CB1-9E4F-BC1AC0A1D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775"/>
        <c:axId val="2123699535"/>
      </c:scatterChart>
      <c:valAx>
        <c:axId val="21237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535"/>
        <c:crosses val="autoZero"/>
        <c:crossBetween val="midCat"/>
      </c:valAx>
      <c:valAx>
        <c:axId val="21236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Log'!$V$2:$V$227</c:f>
              <c:numCache>
                <c:formatCode>0.00</c:formatCode>
                <c:ptCount val="226"/>
                <c:pt idx="0">
                  <c:v>19</c:v>
                </c:pt>
                <c:pt idx="1">
                  <c:v>34.5</c:v>
                </c:pt>
                <c:pt idx="2">
                  <c:v>41.209583333333342</c:v>
                </c:pt>
                <c:pt idx="3">
                  <c:v>8</c:v>
                </c:pt>
                <c:pt idx="4">
                  <c:v>47.730000000000004</c:v>
                </c:pt>
                <c:pt idx="5">
                  <c:v>42.556666666666672</c:v>
                </c:pt>
                <c:pt idx="6">
                  <c:v>19.906666666666666</c:v>
                </c:pt>
                <c:pt idx="7">
                  <c:v>15</c:v>
                </c:pt>
                <c:pt idx="8">
                  <c:v>25.366666666666667</c:v>
                </c:pt>
                <c:pt idx="9">
                  <c:v>21.866666666666667</c:v>
                </c:pt>
                <c:pt idx="10">
                  <c:v>8.2449999999999992</c:v>
                </c:pt>
                <c:pt idx="11">
                  <c:v>4.5958333333333332</c:v>
                </c:pt>
                <c:pt idx="12">
                  <c:v>9.2687499999999989</c:v>
                </c:pt>
                <c:pt idx="13">
                  <c:v>13.204166666666666</c:v>
                </c:pt>
                <c:pt idx="14">
                  <c:v>10.215249999999999</c:v>
                </c:pt>
                <c:pt idx="15">
                  <c:v>47.375416666666666</c:v>
                </c:pt>
                <c:pt idx="16">
                  <c:v>39.766666666666666</c:v>
                </c:pt>
                <c:pt idx="17">
                  <c:v>41.766666666666666</c:v>
                </c:pt>
                <c:pt idx="18">
                  <c:v>39.376666666666665</c:v>
                </c:pt>
                <c:pt idx="19">
                  <c:v>22.054416666666665</c:v>
                </c:pt>
                <c:pt idx="20">
                  <c:v>21.25</c:v>
                </c:pt>
                <c:pt idx="21">
                  <c:v>5.1777499999999996</c:v>
                </c:pt>
                <c:pt idx="22">
                  <c:v>6.9224333333333323</c:v>
                </c:pt>
                <c:pt idx="23">
                  <c:v>38.244666666666667</c:v>
                </c:pt>
                <c:pt idx="24">
                  <c:v>39.94466666666667</c:v>
                </c:pt>
                <c:pt idx="25">
                  <c:v>39.494666666666667</c:v>
                </c:pt>
                <c:pt idx="26">
                  <c:v>49.134666666666668</c:v>
                </c:pt>
                <c:pt idx="27">
                  <c:v>23.074666666666662</c:v>
                </c:pt>
                <c:pt idx="28">
                  <c:v>17.074666666666666</c:v>
                </c:pt>
                <c:pt idx="29">
                  <c:v>3.8554999999999993</c:v>
                </c:pt>
                <c:pt idx="30">
                  <c:v>29.824666666666666</c:v>
                </c:pt>
                <c:pt idx="31">
                  <c:v>11.389666666666667</c:v>
                </c:pt>
                <c:pt idx="32">
                  <c:v>27.424666666666667</c:v>
                </c:pt>
                <c:pt idx="33">
                  <c:v>44.24933333333334</c:v>
                </c:pt>
                <c:pt idx="34">
                  <c:v>7.3896666666666668</c:v>
                </c:pt>
                <c:pt idx="35">
                  <c:v>9</c:v>
                </c:pt>
                <c:pt idx="36">
                  <c:v>5.7646666666666668</c:v>
                </c:pt>
                <c:pt idx="37">
                  <c:v>35.450000000000003</c:v>
                </c:pt>
                <c:pt idx="38">
                  <c:v>23.75</c:v>
                </c:pt>
                <c:pt idx="39">
                  <c:v>64.5</c:v>
                </c:pt>
                <c:pt idx="40">
                  <c:v>67</c:v>
                </c:pt>
                <c:pt idx="41">
                  <c:v>15.6</c:v>
                </c:pt>
                <c:pt idx="42">
                  <c:v>26.5</c:v>
                </c:pt>
                <c:pt idx="43">
                  <c:v>32</c:v>
                </c:pt>
                <c:pt idx="44">
                  <c:v>30.093800000000002</c:v>
                </c:pt>
                <c:pt idx="45">
                  <c:v>20.440199999999997</c:v>
                </c:pt>
                <c:pt idx="46">
                  <c:v>7.8666666666666671</c:v>
                </c:pt>
                <c:pt idx="47">
                  <c:v>10.690542549238202</c:v>
                </c:pt>
                <c:pt idx="48">
                  <c:v>7.6433333333333335</c:v>
                </c:pt>
                <c:pt idx="49">
                  <c:v>9.4905425492382012</c:v>
                </c:pt>
                <c:pt idx="50">
                  <c:v>9.4905425492382012</c:v>
                </c:pt>
                <c:pt idx="51">
                  <c:v>68.535333333333341</c:v>
                </c:pt>
                <c:pt idx="52">
                  <c:v>9.4905425492382012</c:v>
                </c:pt>
                <c:pt idx="53">
                  <c:v>56.993333333333339</c:v>
                </c:pt>
                <c:pt idx="54">
                  <c:v>9.4905425492382012</c:v>
                </c:pt>
                <c:pt idx="55">
                  <c:v>34.770542549238208</c:v>
                </c:pt>
                <c:pt idx="56">
                  <c:v>7.0666666666666664</c:v>
                </c:pt>
                <c:pt idx="57">
                  <c:v>4.1666666666666661</c:v>
                </c:pt>
                <c:pt idx="58">
                  <c:v>7.4</c:v>
                </c:pt>
                <c:pt idx="59">
                  <c:v>5.666666666666667</c:v>
                </c:pt>
                <c:pt idx="60">
                  <c:v>6.6000000000000005</c:v>
                </c:pt>
                <c:pt idx="61">
                  <c:v>2.4666666666666663</c:v>
                </c:pt>
                <c:pt idx="62">
                  <c:v>7.0666666666666664</c:v>
                </c:pt>
                <c:pt idx="63">
                  <c:v>8.6</c:v>
                </c:pt>
                <c:pt idx="64">
                  <c:v>32.075000000000003</c:v>
                </c:pt>
                <c:pt idx="65">
                  <c:v>6.3</c:v>
                </c:pt>
                <c:pt idx="66">
                  <c:v>7.666666666666667</c:v>
                </c:pt>
                <c:pt idx="67">
                  <c:v>37.1</c:v>
                </c:pt>
                <c:pt idx="68">
                  <c:v>6.4027777777777768</c:v>
                </c:pt>
                <c:pt idx="69">
                  <c:v>10.27222222222222</c:v>
                </c:pt>
                <c:pt idx="70">
                  <c:v>21.005555555555553</c:v>
                </c:pt>
                <c:pt idx="71">
                  <c:v>30.466666666666665</c:v>
                </c:pt>
                <c:pt idx="72">
                  <c:v>13.7</c:v>
                </c:pt>
                <c:pt idx="73">
                  <c:v>43.5</c:v>
                </c:pt>
                <c:pt idx="74">
                  <c:v>15.005555555555553</c:v>
                </c:pt>
                <c:pt idx="75">
                  <c:v>6.4666666666666659</c:v>
                </c:pt>
                <c:pt idx="76">
                  <c:v>16.81111111111111</c:v>
                </c:pt>
                <c:pt idx="77">
                  <c:v>8.466666666666665</c:v>
                </c:pt>
                <c:pt idx="78">
                  <c:v>15.866666666666665</c:v>
                </c:pt>
                <c:pt idx="79">
                  <c:v>10.3</c:v>
                </c:pt>
                <c:pt idx="80">
                  <c:v>7.8055555555555545</c:v>
                </c:pt>
                <c:pt idx="81">
                  <c:v>5.8299999999999992</c:v>
                </c:pt>
                <c:pt idx="82">
                  <c:v>42.146666666666668</c:v>
                </c:pt>
                <c:pt idx="83">
                  <c:v>49.881666666666668</c:v>
                </c:pt>
                <c:pt idx="84">
                  <c:v>47.56666666666667</c:v>
                </c:pt>
                <c:pt idx="85">
                  <c:v>17.288888888888888</c:v>
                </c:pt>
                <c:pt idx="86">
                  <c:v>34.024999999999999</c:v>
                </c:pt>
                <c:pt idx="87">
                  <c:v>6.05</c:v>
                </c:pt>
                <c:pt idx="88">
                  <c:v>29.471666666666664</c:v>
                </c:pt>
                <c:pt idx="89">
                  <c:v>24.130555555555553</c:v>
                </c:pt>
                <c:pt idx="90">
                  <c:v>10.327777777777776</c:v>
                </c:pt>
                <c:pt idx="91">
                  <c:v>28.763888888888889</c:v>
                </c:pt>
                <c:pt idx="92">
                  <c:v>36.256666666666668</c:v>
                </c:pt>
                <c:pt idx="93">
                  <c:v>12.234722222222221</c:v>
                </c:pt>
                <c:pt idx="94">
                  <c:v>37.317666666666668</c:v>
                </c:pt>
                <c:pt idx="95">
                  <c:v>13.184999999999999</c:v>
                </c:pt>
                <c:pt idx="96">
                  <c:v>41.031666666666666</c:v>
                </c:pt>
                <c:pt idx="97">
                  <c:v>19.27375</c:v>
                </c:pt>
                <c:pt idx="98">
                  <c:v>48.450166666666668</c:v>
                </c:pt>
                <c:pt idx="99">
                  <c:v>60.768166666666666</c:v>
                </c:pt>
                <c:pt idx="100">
                  <c:v>26.27375</c:v>
                </c:pt>
                <c:pt idx="101">
                  <c:v>44.2</c:v>
                </c:pt>
                <c:pt idx="102">
                  <c:v>16.602666666666664</c:v>
                </c:pt>
                <c:pt idx="103">
                  <c:v>18.47</c:v>
                </c:pt>
                <c:pt idx="104">
                  <c:v>18.47</c:v>
                </c:pt>
                <c:pt idx="105">
                  <c:v>52.454666666666661</c:v>
                </c:pt>
                <c:pt idx="106">
                  <c:v>16.8</c:v>
                </c:pt>
                <c:pt idx="107">
                  <c:v>51.05466666666667</c:v>
                </c:pt>
                <c:pt idx="108">
                  <c:v>38.522666666666666</c:v>
                </c:pt>
                <c:pt idx="109">
                  <c:v>29.4</c:v>
                </c:pt>
                <c:pt idx="110">
                  <c:v>39.831666666666663</c:v>
                </c:pt>
                <c:pt idx="111">
                  <c:v>21.7</c:v>
                </c:pt>
                <c:pt idx="112">
                  <c:v>39.26466666666667</c:v>
                </c:pt>
                <c:pt idx="113">
                  <c:v>39.141666666666666</c:v>
                </c:pt>
                <c:pt idx="114">
                  <c:v>23.4</c:v>
                </c:pt>
                <c:pt idx="115">
                  <c:v>39.99966666666667</c:v>
                </c:pt>
                <c:pt idx="116">
                  <c:v>12.299999999999999</c:v>
                </c:pt>
                <c:pt idx="117">
                  <c:v>9.92</c:v>
                </c:pt>
                <c:pt idx="118">
                  <c:v>3.8</c:v>
                </c:pt>
                <c:pt idx="119">
                  <c:v>5</c:v>
                </c:pt>
                <c:pt idx="120">
                  <c:v>6.0000000000000009</c:v>
                </c:pt>
                <c:pt idx="121">
                  <c:v>35.5</c:v>
                </c:pt>
                <c:pt idx="122">
                  <c:v>31.140249999999998</c:v>
                </c:pt>
                <c:pt idx="123">
                  <c:v>45.212500000000006</c:v>
                </c:pt>
                <c:pt idx="124">
                  <c:v>0</c:v>
                </c:pt>
                <c:pt idx="125">
                  <c:v>73.660250000000005</c:v>
                </c:pt>
                <c:pt idx="126">
                  <c:v>38.377083333333339</c:v>
                </c:pt>
                <c:pt idx="127">
                  <c:v>41.461666666666673</c:v>
                </c:pt>
                <c:pt idx="128">
                  <c:v>71.796875</c:v>
                </c:pt>
                <c:pt idx="129">
                  <c:v>30.235416666666666</c:v>
                </c:pt>
                <c:pt idx="130">
                  <c:v>56.406333333333336</c:v>
                </c:pt>
                <c:pt idx="131">
                  <c:v>0</c:v>
                </c:pt>
                <c:pt idx="132">
                  <c:v>38.700000000000003</c:v>
                </c:pt>
                <c:pt idx="133">
                  <c:v>44.68</c:v>
                </c:pt>
                <c:pt idx="134">
                  <c:v>73.160000000000011</c:v>
                </c:pt>
                <c:pt idx="135">
                  <c:v>9.6883333333333326</c:v>
                </c:pt>
                <c:pt idx="136">
                  <c:v>40.594583333333333</c:v>
                </c:pt>
                <c:pt idx="137">
                  <c:v>8.9678333333333331</c:v>
                </c:pt>
                <c:pt idx="138">
                  <c:v>0</c:v>
                </c:pt>
                <c:pt idx="139">
                  <c:v>44.299333333333337</c:v>
                </c:pt>
                <c:pt idx="140">
                  <c:v>48.697916666666664</c:v>
                </c:pt>
                <c:pt idx="141">
                  <c:v>45.321916666666667</c:v>
                </c:pt>
                <c:pt idx="142">
                  <c:v>27.331166666666668</c:v>
                </c:pt>
                <c:pt idx="143">
                  <c:v>28.563333333333333</c:v>
                </c:pt>
                <c:pt idx="144">
                  <c:v>7.2525833333333329</c:v>
                </c:pt>
                <c:pt idx="145">
                  <c:v>0</c:v>
                </c:pt>
                <c:pt idx="146">
                  <c:v>15.252583333333332</c:v>
                </c:pt>
                <c:pt idx="147">
                  <c:v>45.5</c:v>
                </c:pt>
                <c:pt idx="148">
                  <c:v>12.5</c:v>
                </c:pt>
                <c:pt idx="149">
                  <c:v>8.1999999999999993</c:v>
                </c:pt>
                <c:pt idx="150">
                  <c:v>2</c:v>
                </c:pt>
                <c:pt idx="151">
                  <c:v>10.941203703703703</c:v>
                </c:pt>
                <c:pt idx="152">
                  <c:v>27.005000000000003</c:v>
                </c:pt>
                <c:pt idx="153">
                  <c:v>6.4824074074074067</c:v>
                </c:pt>
                <c:pt idx="154">
                  <c:v>44.937407407407406</c:v>
                </c:pt>
                <c:pt idx="155">
                  <c:v>14.939814814814813</c:v>
                </c:pt>
                <c:pt idx="156">
                  <c:v>51.982407407407408</c:v>
                </c:pt>
                <c:pt idx="157">
                  <c:v>57.7</c:v>
                </c:pt>
                <c:pt idx="158">
                  <c:v>14.164814814814813</c:v>
                </c:pt>
                <c:pt idx="159">
                  <c:v>59.470000000000006</c:v>
                </c:pt>
                <c:pt idx="160">
                  <c:v>28.869</c:v>
                </c:pt>
                <c:pt idx="161">
                  <c:v>18</c:v>
                </c:pt>
                <c:pt idx="162">
                  <c:v>39.6</c:v>
                </c:pt>
                <c:pt idx="163">
                  <c:v>14.964814814814813</c:v>
                </c:pt>
                <c:pt idx="164">
                  <c:v>39.664814814814818</c:v>
                </c:pt>
                <c:pt idx="165">
                  <c:v>42</c:v>
                </c:pt>
                <c:pt idx="166">
                  <c:v>36.448</c:v>
                </c:pt>
                <c:pt idx="167">
                  <c:v>4.6653124999999998</c:v>
                </c:pt>
                <c:pt idx="168">
                  <c:v>50.2</c:v>
                </c:pt>
                <c:pt idx="169">
                  <c:v>17.166666666666668</c:v>
                </c:pt>
                <c:pt idx="170">
                  <c:v>55.165312499999999</c:v>
                </c:pt>
                <c:pt idx="171">
                  <c:v>53.5</c:v>
                </c:pt>
                <c:pt idx="172">
                  <c:v>37.200000000000003</c:v>
                </c:pt>
                <c:pt idx="173">
                  <c:v>7.3319791666666667</c:v>
                </c:pt>
                <c:pt idx="174">
                  <c:v>39.250979166666667</c:v>
                </c:pt>
                <c:pt idx="175">
                  <c:v>8.6666666666666661</c:v>
                </c:pt>
                <c:pt idx="176">
                  <c:v>43.9</c:v>
                </c:pt>
                <c:pt idx="177">
                  <c:v>28.349999999999998</c:v>
                </c:pt>
                <c:pt idx="178">
                  <c:v>13.466666666666667</c:v>
                </c:pt>
                <c:pt idx="179">
                  <c:v>10.97142857142857</c:v>
                </c:pt>
                <c:pt idx="180">
                  <c:v>47.7</c:v>
                </c:pt>
                <c:pt idx="181">
                  <c:v>44.599999999999994</c:v>
                </c:pt>
                <c:pt idx="182">
                  <c:v>55.516339285714288</c:v>
                </c:pt>
                <c:pt idx="183">
                  <c:v>42.365312500000002</c:v>
                </c:pt>
                <c:pt idx="184">
                  <c:v>43.8</c:v>
                </c:pt>
                <c:pt idx="185">
                  <c:v>36.700000000000003</c:v>
                </c:pt>
                <c:pt idx="186">
                  <c:v>6.0857142857142854</c:v>
                </c:pt>
                <c:pt idx="187">
                  <c:v>13.87142857142857</c:v>
                </c:pt>
                <c:pt idx="188">
                  <c:v>38.975666666666669</c:v>
                </c:pt>
                <c:pt idx="189">
                  <c:v>48.135979166666672</c:v>
                </c:pt>
                <c:pt idx="190">
                  <c:v>47.939122023809524</c:v>
                </c:pt>
                <c:pt idx="191">
                  <c:v>43.564122023809524</c:v>
                </c:pt>
                <c:pt idx="192">
                  <c:v>41.5</c:v>
                </c:pt>
                <c:pt idx="193">
                  <c:v>68.766666666666666</c:v>
                </c:pt>
                <c:pt idx="194">
                  <c:v>12.622455357142856</c:v>
                </c:pt>
                <c:pt idx="195">
                  <c:v>39.778809523809521</c:v>
                </c:pt>
                <c:pt idx="196">
                  <c:v>7.2571428571428571</c:v>
                </c:pt>
                <c:pt idx="197">
                  <c:v>40.066666666666663</c:v>
                </c:pt>
                <c:pt idx="198">
                  <c:v>8.1142857142857139</c:v>
                </c:pt>
                <c:pt idx="199">
                  <c:v>34.365312500000002</c:v>
                </c:pt>
                <c:pt idx="200">
                  <c:v>43.565312500000005</c:v>
                </c:pt>
                <c:pt idx="201">
                  <c:v>32.142857142857139</c:v>
                </c:pt>
                <c:pt idx="202">
                  <c:v>24.802812500000002</c:v>
                </c:pt>
                <c:pt idx="203">
                  <c:v>36.702812500000007</c:v>
                </c:pt>
                <c:pt idx="204">
                  <c:v>30.9</c:v>
                </c:pt>
                <c:pt idx="205">
                  <c:v>15.033333333333333</c:v>
                </c:pt>
                <c:pt idx="206">
                  <c:v>36.656333333333329</c:v>
                </c:pt>
                <c:pt idx="207">
                  <c:v>40.406000000000006</c:v>
                </c:pt>
                <c:pt idx="208">
                  <c:v>39.995666666666672</c:v>
                </c:pt>
                <c:pt idx="209">
                  <c:v>80.406666666666666</c:v>
                </c:pt>
                <c:pt idx="210">
                  <c:v>35.25033333333333</c:v>
                </c:pt>
                <c:pt idx="211">
                  <c:v>27.785301097178991</c:v>
                </c:pt>
                <c:pt idx="212">
                  <c:v>27.785301097178991</c:v>
                </c:pt>
                <c:pt idx="213">
                  <c:v>27.785301097178991</c:v>
                </c:pt>
                <c:pt idx="214">
                  <c:v>27.785301097178991</c:v>
                </c:pt>
                <c:pt idx="215">
                  <c:v>27.785301097178991</c:v>
                </c:pt>
                <c:pt idx="216">
                  <c:v>27.785301097178991</c:v>
                </c:pt>
                <c:pt idx="217">
                  <c:v>27.785301097178991</c:v>
                </c:pt>
                <c:pt idx="218">
                  <c:v>29.866666666666664</c:v>
                </c:pt>
                <c:pt idx="219">
                  <c:v>23.9</c:v>
                </c:pt>
                <c:pt idx="220">
                  <c:v>5.2</c:v>
                </c:pt>
                <c:pt idx="221">
                  <c:v>37.200000000000003</c:v>
                </c:pt>
                <c:pt idx="222">
                  <c:v>37.633333333333333</c:v>
                </c:pt>
                <c:pt idx="223">
                  <c:v>44.481333333333332</c:v>
                </c:pt>
                <c:pt idx="224">
                  <c:v>38.439333333333337</c:v>
                </c:pt>
                <c:pt idx="225">
                  <c:v>44.3</c:v>
                </c:pt>
              </c:numCache>
            </c:numRef>
          </c:xVal>
          <c:yVal>
            <c:numRef>
              <c:f>Residuals!$EA$2:$EA$227</c:f>
              <c:numCache>
                <c:formatCode>0.00</c:formatCode>
                <c:ptCount val="226"/>
                <c:pt idx="0">
                  <c:v>3.0812105699506702</c:v>
                </c:pt>
                <c:pt idx="1">
                  <c:v>2.5199000827044813</c:v>
                </c:pt>
                <c:pt idx="2">
                  <c:v>2.4933602231312193</c:v>
                </c:pt>
                <c:pt idx="3">
                  <c:v>2.6247212383189265</c:v>
                </c:pt>
                <c:pt idx="4">
                  <c:v>1.9675686152033762</c:v>
                </c:pt>
                <c:pt idx="5">
                  <c:v>2.4880318143874831</c:v>
                </c:pt>
                <c:pt idx="6">
                  <c:v>2.0776242360730421</c:v>
                </c:pt>
                <c:pt idx="7">
                  <c:v>2.0970326311754874</c:v>
                </c:pt>
                <c:pt idx="8">
                  <c:v>2.5560271225011562</c:v>
                </c:pt>
                <c:pt idx="9">
                  <c:v>2.5698714260728792</c:v>
                </c:pt>
                <c:pt idx="10">
                  <c:v>2.1237521370689123</c:v>
                </c:pt>
                <c:pt idx="11">
                  <c:v>1.638186471673805</c:v>
                </c:pt>
                <c:pt idx="12">
                  <c:v>2.1197026782741801</c:v>
                </c:pt>
                <c:pt idx="13">
                  <c:v>1.6041360774128819</c:v>
                </c:pt>
                <c:pt idx="14">
                  <c:v>1.6159587830368594</c:v>
                </c:pt>
                <c:pt idx="15">
                  <c:v>1.4689711750057057</c:v>
                </c:pt>
                <c:pt idx="16">
                  <c:v>1.4990677020918</c:v>
                </c:pt>
                <c:pt idx="17">
                  <c:v>1.4911566714793878</c:v>
                </c:pt>
                <c:pt idx="18">
                  <c:v>1.5006103530612194</c:v>
                </c:pt>
                <c:pt idx="19">
                  <c:v>1.5691287780741376</c:v>
                </c:pt>
                <c:pt idx="20">
                  <c:v>1.5723106605117039</c:v>
                </c:pt>
                <c:pt idx="21">
                  <c:v>1.1358846913918654</c:v>
                </c:pt>
                <c:pt idx="22">
                  <c:v>1.12898356976239</c:v>
                </c:pt>
                <c:pt idx="23">
                  <c:v>0.50508799638784296</c:v>
                </c:pt>
                <c:pt idx="24">
                  <c:v>0.99836362036729298</c:v>
                </c:pt>
                <c:pt idx="25">
                  <c:v>0.50014360225508625</c:v>
                </c:pt>
                <c:pt idx="26">
                  <c:v>1.4620124347032615</c:v>
                </c:pt>
                <c:pt idx="27">
                  <c:v>0.56509316358297923</c:v>
                </c:pt>
                <c:pt idx="28">
                  <c:v>0.58882625542021572</c:v>
                </c:pt>
                <c:pt idx="29">
                  <c:v>0.64111487150550062</c:v>
                </c:pt>
                <c:pt idx="30">
                  <c:v>0.5383934352660944</c:v>
                </c:pt>
                <c:pt idx="31">
                  <c:v>0.61131335993599834</c:v>
                </c:pt>
                <c:pt idx="32">
                  <c:v>4.7886672000984731E-2</c:v>
                </c:pt>
                <c:pt idx="33">
                  <c:v>-1.8663554520820469E-2</c:v>
                </c:pt>
                <c:pt idx="34">
                  <c:v>0.12713542116081555</c:v>
                </c:pt>
                <c:pt idx="35">
                  <c:v>0.12076572301272392</c:v>
                </c:pt>
                <c:pt idx="36">
                  <c:v>0.13356313353339999</c:v>
                </c:pt>
                <c:pt idx="37">
                  <c:v>1.6142343163586759E-2</c:v>
                </c:pt>
                <c:pt idx="38">
                  <c:v>0.56242187224619045</c:v>
                </c:pt>
                <c:pt idx="39">
                  <c:v>0.40123462351831307</c:v>
                </c:pt>
                <c:pt idx="40">
                  <c:v>-0.60865416474720035</c:v>
                </c:pt>
                <c:pt idx="41">
                  <c:v>9.4659321991770184E-2</c:v>
                </c:pt>
                <c:pt idx="42">
                  <c:v>5.1544205154122835E-2</c:v>
                </c:pt>
                <c:pt idx="43">
                  <c:v>2.9788870969994719E-2</c:v>
                </c:pt>
                <c:pt idx="44">
                  <c:v>3.7328874246682631E-2</c:v>
                </c:pt>
                <c:pt idx="45">
                  <c:v>0.57551383680667101</c:v>
                </c:pt>
                <c:pt idx="46">
                  <c:v>0.62524864035975725</c:v>
                </c:pt>
                <c:pt idx="47">
                  <c:v>0.11407875608342266</c:v>
                </c:pt>
                <c:pt idx="48">
                  <c:v>0.12613203877814527</c:v>
                </c:pt>
                <c:pt idx="49">
                  <c:v>0.11882537445086427</c:v>
                </c:pt>
                <c:pt idx="50">
                  <c:v>0.11882537445086427</c:v>
                </c:pt>
                <c:pt idx="51">
                  <c:v>-0.11472719924733354</c:v>
                </c:pt>
                <c:pt idx="52">
                  <c:v>0.11882537445086427</c:v>
                </c:pt>
                <c:pt idx="53">
                  <c:v>-6.907264158310511E-2</c:v>
                </c:pt>
                <c:pt idx="54">
                  <c:v>-0.38117462554913573</c:v>
                </c:pt>
                <c:pt idx="55">
                  <c:v>-0.48117005249001465</c:v>
                </c:pt>
                <c:pt idx="56">
                  <c:v>-0.37158694739527931</c:v>
                </c:pt>
                <c:pt idx="57">
                  <c:v>-0.36011595300728061</c:v>
                </c:pt>
                <c:pt idx="58">
                  <c:v>-0.37290545249734919</c:v>
                </c:pt>
                <c:pt idx="59">
                  <c:v>-0.86604922596659151</c:v>
                </c:pt>
                <c:pt idx="60">
                  <c:v>-0.86974104025237864</c:v>
                </c:pt>
                <c:pt idx="61">
                  <c:v>-0.85339157698673063</c:v>
                </c:pt>
                <c:pt idx="62">
                  <c:v>-0.87158694739527931</c:v>
                </c:pt>
                <c:pt idx="63">
                  <c:v>-1.3776520708647908</c:v>
                </c:pt>
                <c:pt idx="64">
                  <c:v>-1.4705077926779708</c:v>
                </c:pt>
                <c:pt idx="65">
                  <c:v>-0.86855438566052356</c:v>
                </c:pt>
                <c:pt idx="66">
                  <c:v>-0.87396025657900367</c:v>
                </c:pt>
                <c:pt idx="67">
                  <c:v>-0.99038425709165523</c:v>
                </c:pt>
                <c:pt idx="68">
                  <c:v>-0.36896092473365627</c:v>
                </c:pt>
                <c:pt idx="69">
                  <c:v>-0.88426657146017362</c:v>
                </c:pt>
                <c:pt idx="70">
                  <c:v>-0.92672243574677537</c:v>
                </c:pt>
                <c:pt idx="71">
                  <c:v>-1.4641460055604938</c:v>
                </c:pt>
                <c:pt idx="72">
                  <c:v>-1.3978251989264407</c:v>
                </c:pt>
                <c:pt idx="73">
                  <c:v>-1.5156995550513699</c:v>
                </c:pt>
                <c:pt idx="74">
                  <c:v>-0.40298934390954599</c:v>
                </c:pt>
                <c:pt idx="75">
                  <c:v>-0.86921363821155495</c:v>
                </c:pt>
                <c:pt idx="76">
                  <c:v>-1.4101312465457454</c:v>
                </c:pt>
                <c:pt idx="77">
                  <c:v>-0.87712466882396711</c:v>
                </c:pt>
                <c:pt idx="78">
                  <c:v>-0.9063954820898914</c:v>
                </c:pt>
                <c:pt idx="79">
                  <c:v>-0.88437644688534078</c:v>
                </c:pt>
                <c:pt idx="80">
                  <c:v>-0.87450963370486079</c:v>
                </c:pt>
                <c:pt idx="81">
                  <c:v>-1.3666952934666057</c:v>
                </c:pt>
                <c:pt idx="82">
                  <c:v>-1.0103464243369729</c:v>
                </c:pt>
                <c:pt idx="83">
                  <c:v>-1.0409423352304756</c:v>
                </c:pt>
                <c:pt idx="84">
                  <c:v>-1.0317853172966096</c:v>
                </c:pt>
                <c:pt idx="85">
                  <c:v>-0.91202110385871293</c:v>
                </c:pt>
                <c:pt idx="86">
                  <c:v>-0.97822104752507499</c:v>
                </c:pt>
                <c:pt idx="87">
                  <c:v>-0.86756550683396938</c:v>
                </c:pt>
                <c:pt idx="88">
                  <c:v>-0.96021026783081709</c:v>
                </c:pt>
                <c:pt idx="89">
                  <c:v>-0.43908342107867071</c:v>
                </c:pt>
                <c:pt idx="90">
                  <c:v>-0.88448632231051505</c:v>
                </c:pt>
                <c:pt idx="91">
                  <c:v>-0.95741064199741999</c:v>
                </c:pt>
                <c:pt idx="92">
                  <c:v>-0.48704843918341822</c:v>
                </c:pt>
                <c:pt idx="93">
                  <c:v>0.10797072975140054</c:v>
                </c:pt>
                <c:pt idx="94">
                  <c:v>8.7547590766945405E-3</c:v>
                </c:pt>
                <c:pt idx="95">
                  <c:v>-0.3957881085437478</c:v>
                </c:pt>
                <c:pt idx="96">
                  <c:v>-0.50593602477055555</c:v>
                </c:pt>
                <c:pt idx="97">
                  <c:v>-0.41987225236440651</c:v>
                </c:pt>
                <c:pt idx="98">
                  <c:v>-1.0352800150696382</c:v>
                </c:pt>
                <c:pt idx="99">
                  <c:v>-1.5840040526114834</c:v>
                </c:pt>
                <c:pt idx="100">
                  <c:v>-0.94756085950784552</c:v>
                </c:pt>
                <c:pt idx="101">
                  <c:v>-1.5184684157657173</c:v>
                </c:pt>
                <c:pt idx="102">
                  <c:v>-0.4093067413552518</c:v>
                </c:pt>
                <c:pt idx="103">
                  <c:v>8.3306993062954859E-2</c:v>
                </c:pt>
                <c:pt idx="104">
                  <c:v>8.3306993062954859E-2</c:v>
                </c:pt>
                <c:pt idx="105">
                  <c:v>-5.1119876113340013E-2</c:v>
                </c:pt>
                <c:pt idx="106">
                  <c:v>-0.41008729637567853</c:v>
                </c:pt>
                <c:pt idx="107">
                  <c:v>-0.54558215468465221</c:v>
                </c:pt>
                <c:pt idx="108">
                  <c:v>-0.99601163686728</c:v>
                </c:pt>
                <c:pt idx="109">
                  <c:v>-0.95992678923386876</c:v>
                </c:pt>
                <c:pt idx="110">
                  <c:v>-1.0011894064031068</c:v>
                </c:pt>
                <c:pt idx="111">
                  <c:v>-0.4294693213760894</c:v>
                </c:pt>
                <c:pt idx="112">
                  <c:v>-0.99894662922448418</c:v>
                </c:pt>
                <c:pt idx="113">
                  <c:v>-0.99846010084182524</c:v>
                </c:pt>
                <c:pt idx="114">
                  <c:v>-0.93619369739663938</c:v>
                </c:pt>
                <c:pt idx="115">
                  <c:v>-1.0018539329745479</c:v>
                </c:pt>
                <c:pt idx="116">
                  <c:v>-0.89228747749775295</c:v>
                </c:pt>
                <c:pt idx="117">
                  <c:v>-1.3828733510689872</c:v>
                </c:pt>
                <c:pt idx="118">
                  <c:v>-1.358665597395003</c:v>
                </c:pt>
                <c:pt idx="119">
                  <c:v>-1.3634122157624518</c:v>
                </c:pt>
                <c:pt idx="120">
                  <c:v>-1.3673677310686614</c:v>
                </c:pt>
                <c:pt idx="121">
                  <c:v>-0.98405543260172834</c:v>
                </c:pt>
                <c:pt idx="122">
                  <c:v>-0.96681037474549214</c:v>
                </c:pt>
                <c:pt idx="123">
                  <c:v>-1.0224733750132486</c:v>
                </c:pt>
                <c:pt idx="124">
                  <c:v>-0.8436346392314249</c:v>
                </c:pt>
                <c:pt idx="125">
                  <c:v>-1.1349988855653592</c:v>
                </c:pt>
                <c:pt idx="126">
                  <c:v>-0.9954357797639517</c:v>
                </c:pt>
                <c:pt idx="127">
                  <c:v>-1.0076368963522242</c:v>
                </c:pt>
                <c:pt idx="128">
                  <c:v>-1.1276282772316577</c:v>
                </c:pt>
                <c:pt idx="129">
                  <c:v>-0.46323129264592922</c:v>
                </c:pt>
                <c:pt idx="130">
                  <c:v>-0.56675075409836495</c:v>
                </c:pt>
                <c:pt idx="131">
                  <c:v>-0.3436346392314249</c:v>
                </c:pt>
                <c:pt idx="132">
                  <c:v>-0.49671308158158212</c:v>
                </c:pt>
                <c:pt idx="133">
                  <c:v>-0.52036706311269398</c:v>
                </c:pt>
                <c:pt idx="134">
                  <c:v>-0.13302013903343379</c:v>
                </c:pt>
                <c:pt idx="135">
                  <c:v>0.11804300997695094</c:v>
                </c:pt>
                <c:pt idx="136">
                  <c:v>-4.2071349554646531E-3</c:v>
                </c:pt>
                <c:pt idx="137">
                  <c:v>0.12089295875507133</c:v>
                </c:pt>
                <c:pt idx="138">
                  <c:v>0.1563653607685751</c:v>
                </c:pt>
                <c:pt idx="139">
                  <c:v>-0.51886133028612846</c:v>
                </c:pt>
                <c:pt idx="140">
                  <c:v>-0.53625999398675361</c:v>
                </c:pt>
                <c:pt idx="141">
                  <c:v>-0.52290617431300035</c:v>
                </c:pt>
                <c:pt idx="142">
                  <c:v>-0.45174348731788427</c:v>
                </c:pt>
                <c:pt idx="143">
                  <c:v>-0.4566173414276804</c:v>
                </c:pt>
                <c:pt idx="144">
                  <c:v>-0.37232234361595573</c:v>
                </c:pt>
                <c:pt idx="145">
                  <c:v>-0.3436346392314249</c:v>
                </c:pt>
                <c:pt idx="146">
                  <c:v>-0.40396646606560438</c:v>
                </c:pt>
                <c:pt idx="147">
                  <c:v>-0.52361058566378205</c:v>
                </c:pt>
                <c:pt idx="148">
                  <c:v>-0.39307858055899203</c:v>
                </c:pt>
                <c:pt idx="149">
                  <c:v>-0.37606986474231263</c:v>
                </c:pt>
                <c:pt idx="150">
                  <c:v>-0.35154566984383706</c:v>
                </c:pt>
                <c:pt idx="151">
                  <c:v>-0.38691273794973569</c:v>
                </c:pt>
                <c:pt idx="152">
                  <c:v>-0.45045333007551136</c:v>
                </c:pt>
                <c:pt idx="153">
                  <c:v>-0.36927590095248775</c:v>
                </c:pt>
                <c:pt idx="154">
                  <c:v>-0.52138524205262371</c:v>
                </c:pt>
                <c:pt idx="155">
                  <c:v>-0.4027293054033052</c:v>
                </c:pt>
                <c:pt idx="156">
                  <c:v>-0.54925184738484489</c:v>
                </c:pt>
                <c:pt idx="157">
                  <c:v>-7.1867872399494104E-2</c:v>
                </c:pt>
                <c:pt idx="158">
                  <c:v>0.10033621895900779</c:v>
                </c:pt>
                <c:pt idx="159">
                  <c:v>-7.88691344914767E-2</c:v>
                </c:pt>
                <c:pt idx="160">
                  <c:v>4.2173589393726729E-2</c:v>
                </c:pt>
                <c:pt idx="161">
                  <c:v>8.5166085256872748E-2</c:v>
                </c:pt>
                <c:pt idx="162">
                  <c:v>-2.730453571686553E-4</c:v>
                </c:pt>
                <c:pt idx="163">
                  <c:v>9.7171806714044351E-2</c:v>
                </c:pt>
                <c:pt idx="164">
                  <c:v>-5.2942134923483763E-4</c:v>
                </c:pt>
                <c:pt idx="165">
                  <c:v>0.49023371790794101</c:v>
                </c:pt>
                <c:pt idx="166">
                  <c:v>0.51219473888799172</c:v>
                </c:pt>
                <c:pt idx="167">
                  <c:v>0.13791164576659298</c:v>
                </c:pt>
                <c:pt idx="168">
                  <c:v>-4.220150760294672E-2</c:v>
                </c:pt>
                <c:pt idx="169">
                  <c:v>8.846234801204389E-2</c:v>
                </c:pt>
                <c:pt idx="170">
                  <c:v>-6.1841877196791017E-2</c:v>
                </c:pt>
                <c:pt idx="171">
                  <c:v>-5.5254708113430695E-2</c:v>
                </c:pt>
                <c:pt idx="172">
                  <c:v>9.220191377721676E-3</c:v>
                </c:pt>
                <c:pt idx="173">
                  <c:v>0.12736360495004106</c:v>
                </c:pt>
                <c:pt idx="174">
                  <c:v>1.1075118912629023E-3</c:v>
                </c:pt>
                <c:pt idx="175">
                  <c:v>0.1220842281147938</c:v>
                </c:pt>
                <c:pt idx="176">
                  <c:v>-0.51728176117385516</c:v>
                </c:pt>
                <c:pt idx="177">
                  <c:v>-0.45577349816235824</c:v>
                </c:pt>
                <c:pt idx="178">
                  <c:v>-0.39690224535499397</c:v>
                </c:pt>
                <c:pt idx="179">
                  <c:v>0.11296770712334592</c:v>
                </c:pt>
                <c:pt idx="180">
                  <c:v>-3.2312719337433293E-2</c:v>
                </c:pt>
                <c:pt idx="181">
                  <c:v>0.47994937811180449</c:v>
                </c:pt>
                <c:pt idx="182">
                  <c:v>0.43676963097942689</c:v>
                </c:pt>
                <c:pt idx="183">
                  <c:v>0.48878871872263829</c:v>
                </c:pt>
                <c:pt idx="184">
                  <c:v>0.48311379035676794</c:v>
                </c:pt>
                <c:pt idx="185">
                  <c:v>1.1197949030830046E-2</c:v>
                </c:pt>
                <c:pt idx="186">
                  <c:v>0.13229322476223615</c:v>
                </c:pt>
                <c:pt idx="187">
                  <c:v>0.10149671273535432</c:v>
                </c:pt>
                <c:pt idx="188">
                  <c:v>2.1965146990083895E-3</c:v>
                </c:pt>
                <c:pt idx="189">
                  <c:v>-3.4037241604373492E-2</c:v>
                </c:pt>
                <c:pt idx="190">
                  <c:v>0.46674142983733446</c:v>
                </c:pt>
                <c:pt idx="191">
                  <c:v>0.48404680930198651</c:v>
                </c:pt>
                <c:pt idx="192">
                  <c:v>-7.7885244389577224E-3</c:v>
                </c:pt>
                <c:pt idx="193">
                  <c:v>-0.11564224178816573</c:v>
                </c:pt>
                <c:pt idx="194">
                  <c:v>0.10643704540149912</c:v>
                </c:pt>
                <c:pt idx="195">
                  <c:v>-9.8032916549328775E-4</c:v>
                </c:pt>
                <c:pt idx="196">
                  <c:v>0.12765962111782869</c:v>
                </c:pt>
                <c:pt idx="197">
                  <c:v>-2.1189525000622211E-3</c:v>
                </c:pt>
                <c:pt idx="198">
                  <c:v>0.62426917942678983</c:v>
                </c:pt>
                <c:pt idx="199">
                  <c:v>0.52043284117228694</c:v>
                </c:pt>
                <c:pt idx="200">
                  <c:v>0.48404210035518958</c:v>
                </c:pt>
                <c:pt idx="201">
                  <c:v>0.52922379735482394</c:v>
                </c:pt>
                <c:pt idx="202">
                  <c:v>0.55825745628787615</c:v>
                </c:pt>
                <c:pt idx="203">
                  <c:v>1.0111868241440263</c:v>
                </c:pt>
                <c:pt idx="204">
                  <c:v>0.53413993780682034</c:v>
                </c:pt>
                <c:pt idx="205">
                  <c:v>1.0969007806652868</c:v>
                </c:pt>
                <c:pt idx="206">
                  <c:v>1.5113706731991954</c:v>
                </c:pt>
                <c:pt idx="207">
                  <c:v>0.99653880930603123</c:v>
                </c:pt>
                <c:pt idx="208">
                  <c:v>0.49816188908667414</c:v>
                </c:pt>
                <c:pt idx="209">
                  <c:v>0.83831556004759733</c:v>
                </c:pt>
                <c:pt idx="210">
                  <c:v>0.51693212771972696</c:v>
                </c:pt>
                <c:pt idx="211">
                  <c:v>1.0464601769911539</c:v>
                </c:pt>
                <c:pt idx="212">
                  <c:v>1.0464601769911539</c:v>
                </c:pt>
                <c:pt idx="213">
                  <c:v>0.5464601769911539</c:v>
                </c:pt>
                <c:pt idx="214">
                  <c:v>4.6460176991153901E-2</c:v>
                </c:pt>
                <c:pt idx="215">
                  <c:v>4.6460176991153901E-2</c:v>
                </c:pt>
                <c:pt idx="216">
                  <c:v>0.5464601769911539</c:v>
                </c:pt>
                <c:pt idx="217">
                  <c:v>4.6460176991153901E-2</c:v>
                </c:pt>
                <c:pt idx="218">
                  <c:v>3.8227303623230569E-2</c:v>
                </c:pt>
                <c:pt idx="219">
                  <c:v>0.56182854495025936</c:v>
                </c:pt>
                <c:pt idx="220">
                  <c:v>0.63579668117630916</c:v>
                </c:pt>
                <c:pt idx="221">
                  <c:v>9.220191377721676E-3</c:v>
                </c:pt>
                <c:pt idx="222">
                  <c:v>1.0075061347450358</c:v>
                </c:pt>
                <c:pt idx="223">
                  <c:v>0.48041876592814248</c:v>
                </c:pt>
                <c:pt idx="224">
                  <c:v>0.50431798940823569</c:v>
                </c:pt>
                <c:pt idx="225">
                  <c:v>0.48113603270366667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A-4041-89BF-A7D14AC8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8095"/>
        <c:axId val="2123699055"/>
      </c:scatterChart>
      <c:valAx>
        <c:axId val="21236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055"/>
        <c:crosses val="autoZero"/>
        <c:crossBetween val="midCat"/>
      </c:valAx>
      <c:valAx>
        <c:axId val="21236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Log'!$W$2:$W$227</c:f>
              <c:numCache>
                <c:formatCode>0.00</c:formatCode>
                <c:ptCount val="226"/>
                <c:pt idx="0">
                  <c:v>67.5</c:v>
                </c:pt>
                <c:pt idx="1">
                  <c:v>325.45</c:v>
                </c:pt>
                <c:pt idx="2">
                  <c:v>66.442083333333329</c:v>
                </c:pt>
                <c:pt idx="3">
                  <c:v>46</c:v>
                </c:pt>
                <c:pt idx="4">
                  <c:v>67.668333333333322</c:v>
                </c:pt>
                <c:pt idx="5">
                  <c:v>96.87166666666667</c:v>
                </c:pt>
                <c:pt idx="6">
                  <c:v>213.35166666666666</c:v>
                </c:pt>
                <c:pt idx="7">
                  <c:v>91</c:v>
                </c:pt>
                <c:pt idx="8">
                  <c:v>30.091666666666669</c:v>
                </c:pt>
                <c:pt idx="9">
                  <c:v>20.591666666666669</c:v>
                </c:pt>
                <c:pt idx="10">
                  <c:v>40.258333333333333</c:v>
                </c:pt>
                <c:pt idx="11">
                  <c:v>31.554166666666667</c:v>
                </c:pt>
                <c:pt idx="12">
                  <c:v>131.35</c:v>
                </c:pt>
                <c:pt idx="13">
                  <c:v>38.685416666666669</c:v>
                </c:pt>
                <c:pt idx="14">
                  <c:v>58.955750000000002</c:v>
                </c:pt>
                <c:pt idx="15">
                  <c:v>58.923416666666668</c:v>
                </c:pt>
                <c:pt idx="16">
                  <c:v>15.641666666666664</c:v>
                </c:pt>
                <c:pt idx="17">
                  <c:v>26.641666666666666</c:v>
                </c:pt>
                <c:pt idx="18">
                  <c:v>15.801666666666666</c:v>
                </c:pt>
                <c:pt idx="19">
                  <c:v>145.95741666666666</c:v>
                </c:pt>
                <c:pt idx="20">
                  <c:v>36.741666666666667</c:v>
                </c:pt>
                <c:pt idx="21">
                  <c:v>32.655749999999998</c:v>
                </c:pt>
                <c:pt idx="22">
                  <c:v>43.19756666666666</c:v>
                </c:pt>
                <c:pt idx="23">
                  <c:v>19.880333333333333</c:v>
                </c:pt>
                <c:pt idx="24">
                  <c:v>22.310333333333336</c:v>
                </c:pt>
                <c:pt idx="25">
                  <c:v>20.500333333333334</c:v>
                </c:pt>
                <c:pt idx="26">
                  <c:v>26.580333333333336</c:v>
                </c:pt>
                <c:pt idx="27">
                  <c:v>32.760333333333335</c:v>
                </c:pt>
                <c:pt idx="28">
                  <c:v>96.760333333333335</c:v>
                </c:pt>
                <c:pt idx="29">
                  <c:v>41.361499999999992</c:v>
                </c:pt>
                <c:pt idx="30">
                  <c:v>23.225166666666667</c:v>
                </c:pt>
                <c:pt idx="31">
                  <c:v>18.669833333333337</c:v>
                </c:pt>
                <c:pt idx="32">
                  <c:v>29.625166666666665</c:v>
                </c:pt>
                <c:pt idx="33">
                  <c:v>24.250333333333334</c:v>
                </c:pt>
                <c:pt idx="34">
                  <c:v>16.669833333333337</c:v>
                </c:pt>
                <c:pt idx="35">
                  <c:v>88.4</c:v>
                </c:pt>
                <c:pt idx="36">
                  <c:v>21.505166666666668</c:v>
                </c:pt>
                <c:pt idx="37">
                  <c:v>478.34999999999997</c:v>
                </c:pt>
                <c:pt idx="38">
                  <c:v>252.2</c:v>
                </c:pt>
                <c:pt idx="39">
                  <c:v>325.75</c:v>
                </c:pt>
                <c:pt idx="40">
                  <c:v>328.25</c:v>
                </c:pt>
                <c:pt idx="41">
                  <c:v>272</c:v>
                </c:pt>
                <c:pt idx="42">
                  <c:v>134</c:v>
                </c:pt>
                <c:pt idx="43">
                  <c:v>290</c:v>
                </c:pt>
                <c:pt idx="44">
                  <c:v>322.23899999999998</c:v>
                </c:pt>
                <c:pt idx="45">
                  <c:v>341.44171428571428</c:v>
                </c:pt>
                <c:pt idx="46">
                  <c:v>212.22544642857144</c:v>
                </c:pt>
                <c:pt idx="47">
                  <c:v>14.921518155757285</c:v>
                </c:pt>
                <c:pt idx="48">
                  <c:v>27.305119047619048</c:v>
                </c:pt>
                <c:pt idx="49">
                  <c:v>20.721518155757284</c:v>
                </c:pt>
                <c:pt idx="50">
                  <c:v>20.721518155757284</c:v>
                </c:pt>
                <c:pt idx="51">
                  <c:v>207.03666666666669</c:v>
                </c:pt>
                <c:pt idx="52">
                  <c:v>20.721518155757284</c:v>
                </c:pt>
                <c:pt idx="53">
                  <c:v>36.246666666666663</c:v>
                </c:pt>
                <c:pt idx="54">
                  <c:v>21.721518155757284</c:v>
                </c:pt>
                <c:pt idx="55">
                  <c:v>106.58306577480491</c:v>
                </c:pt>
                <c:pt idx="56">
                  <c:v>149.85178571428571</c:v>
                </c:pt>
                <c:pt idx="57">
                  <c:v>17.201785714285712</c:v>
                </c:pt>
                <c:pt idx="58">
                  <c:v>14.649999999999999</c:v>
                </c:pt>
                <c:pt idx="59">
                  <c:v>12.401785714285712</c:v>
                </c:pt>
                <c:pt idx="60">
                  <c:v>11.649999999999999</c:v>
                </c:pt>
                <c:pt idx="61">
                  <c:v>88.201785714285705</c:v>
                </c:pt>
                <c:pt idx="62">
                  <c:v>23.851785714285711</c:v>
                </c:pt>
                <c:pt idx="63">
                  <c:v>37.449999999999996</c:v>
                </c:pt>
                <c:pt idx="64">
                  <c:v>489.79999999999995</c:v>
                </c:pt>
                <c:pt idx="65">
                  <c:v>14.2</c:v>
                </c:pt>
                <c:pt idx="66">
                  <c:v>189.20178571428573</c:v>
                </c:pt>
                <c:pt idx="67">
                  <c:v>425.65</c:v>
                </c:pt>
                <c:pt idx="68">
                  <c:v>29.545833333333334</c:v>
                </c:pt>
                <c:pt idx="69">
                  <c:v>29.107142857142858</c:v>
                </c:pt>
                <c:pt idx="70">
                  <c:v>60.691666666666663</c:v>
                </c:pt>
                <c:pt idx="71">
                  <c:v>529.81547619047615</c:v>
                </c:pt>
                <c:pt idx="72">
                  <c:v>23</c:v>
                </c:pt>
                <c:pt idx="73">
                  <c:v>443</c:v>
                </c:pt>
                <c:pt idx="74">
                  <c:v>45.991666666666667</c:v>
                </c:pt>
                <c:pt idx="75">
                  <c:v>31.115476190476191</c:v>
                </c:pt>
                <c:pt idx="76">
                  <c:v>53.783333333333331</c:v>
                </c:pt>
                <c:pt idx="77">
                  <c:v>90.615476190476187</c:v>
                </c:pt>
                <c:pt idx="78">
                  <c:v>591.21547619047624</c:v>
                </c:pt>
                <c:pt idx="79">
                  <c:v>155.6</c:v>
                </c:pt>
                <c:pt idx="80">
                  <c:v>201.79166666666669</c:v>
                </c:pt>
                <c:pt idx="81">
                  <c:v>386.47047619047618</c:v>
                </c:pt>
                <c:pt idx="82">
                  <c:v>265.63499999999999</c:v>
                </c:pt>
                <c:pt idx="83">
                  <c:v>231.05500000000001</c:v>
                </c:pt>
                <c:pt idx="84">
                  <c:v>326.67500000000001</c:v>
                </c:pt>
                <c:pt idx="85">
                  <c:v>638.91187500000001</c:v>
                </c:pt>
                <c:pt idx="86">
                  <c:v>522.52437499999996</c:v>
                </c:pt>
                <c:pt idx="87">
                  <c:v>208.04874999999998</c:v>
                </c:pt>
                <c:pt idx="88">
                  <c:v>154.55937500000002</c:v>
                </c:pt>
                <c:pt idx="89">
                  <c:v>197.26250000000002</c:v>
                </c:pt>
                <c:pt idx="90">
                  <c:v>234.97500000000002</c:v>
                </c:pt>
                <c:pt idx="91">
                  <c:v>523.58749999999998</c:v>
                </c:pt>
                <c:pt idx="92">
                  <c:v>653.99</c:v>
                </c:pt>
                <c:pt idx="93">
                  <c:v>28.254166666666666</c:v>
                </c:pt>
                <c:pt idx="94">
                  <c:v>25.539666666666665</c:v>
                </c:pt>
                <c:pt idx="95">
                  <c:v>40.587499999999999</c:v>
                </c:pt>
                <c:pt idx="96">
                  <c:v>106.81366666666666</c:v>
                </c:pt>
                <c:pt idx="97">
                  <c:v>104.0125</c:v>
                </c:pt>
                <c:pt idx="98">
                  <c:v>475.33016666666663</c:v>
                </c:pt>
                <c:pt idx="99">
                  <c:v>472.61616666666669</c:v>
                </c:pt>
                <c:pt idx="100">
                  <c:v>620.61249999999995</c:v>
                </c:pt>
                <c:pt idx="101">
                  <c:v>808</c:v>
                </c:pt>
                <c:pt idx="102">
                  <c:v>192.78766666666667</c:v>
                </c:pt>
                <c:pt idx="103">
                  <c:v>126.67</c:v>
                </c:pt>
                <c:pt idx="104">
                  <c:v>126.67</c:v>
                </c:pt>
                <c:pt idx="105">
                  <c:v>138.76400000000001</c:v>
                </c:pt>
                <c:pt idx="106">
                  <c:v>325.47500000000002</c:v>
                </c:pt>
                <c:pt idx="107">
                  <c:v>39.65</c:v>
                </c:pt>
                <c:pt idx="108">
                  <c:v>28.138999999999999</c:v>
                </c:pt>
                <c:pt idx="109">
                  <c:v>317.35000000000002</c:v>
                </c:pt>
                <c:pt idx="110">
                  <c:v>307.71899999999999</c:v>
                </c:pt>
                <c:pt idx="111">
                  <c:v>475.8</c:v>
                </c:pt>
                <c:pt idx="112">
                  <c:v>306.01900000000001</c:v>
                </c:pt>
                <c:pt idx="113">
                  <c:v>188.39699999999999</c:v>
                </c:pt>
                <c:pt idx="114">
                  <c:v>30.150000000000002</c:v>
                </c:pt>
                <c:pt idx="115">
                  <c:v>191.17699999999999</c:v>
                </c:pt>
                <c:pt idx="116">
                  <c:v>214.67500000000001</c:v>
                </c:pt>
                <c:pt idx="117">
                  <c:v>215.36</c:v>
                </c:pt>
                <c:pt idx="118">
                  <c:v>225.1</c:v>
                </c:pt>
                <c:pt idx="119">
                  <c:v>206.1</c:v>
                </c:pt>
                <c:pt idx="120">
                  <c:v>196.04999999999998</c:v>
                </c:pt>
                <c:pt idx="121">
                  <c:v>821.9</c:v>
                </c:pt>
                <c:pt idx="122">
                  <c:v>687.84012500000006</c:v>
                </c:pt>
                <c:pt idx="123">
                  <c:v>362.08937499999996</c:v>
                </c:pt>
                <c:pt idx="124">
                  <c:v>152</c:v>
                </c:pt>
                <c:pt idx="125">
                  <c:v>349.9449166666667</c:v>
                </c:pt>
                <c:pt idx="126">
                  <c:v>516.88958333333335</c:v>
                </c:pt>
                <c:pt idx="127">
                  <c:v>1012.2850000000001</c:v>
                </c:pt>
                <c:pt idx="128">
                  <c:v>540.84687499999995</c:v>
                </c:pt>
                <c:pt idx="129">
                  <c:v>427.88333333333333</c:v>
                </c:pt>
                <c:pt idx="130">
                  <c:v>334.10370833333332</c:v>
                </c:pt>
                <c:pt idx="131">
                  <c:v>129</c:v>
                </c:pt>
                <c:pt idx="132">
                  <c:v>378.2</c:v>
                </c:pt>
                <c:pt idx="133">
                  <c:v>390.73166666666668</c:v>
                </c:pt>
                <c:pt idx="134">
                  <c:v>316.12166666666667</c:v>
                </c:pt>
                <c:pt idx="135">
                  <c:v>554.69124999999997</c:v>
                </c:pt>
                <c:pt idx="136">
                  <c:v>373.47787499999998</c:v>
                </c:pt>
                <c:pt idx="137">
                  <c:v>498.64431249999996</c:v>
                </c:pt>
                <c:pt idx="138">
                  <c:v>119.4</c:v>
                </c:pt>
                <c:pt idx="139">
                  <c:v>459.10299999999995</c:v>
                </c:pt>
                <c:pt idx="140">
                  <c:v>541.51043749999997</c:v>
                </c:pt>
                <c:pt idx="141">
                  <c:v>391.66643750000003</c:v>
                </c:pt>
                <c:pt idx="142">
                  <c:v>193.44931249999999</c:v>
                </c:pt>
                <c:pt idx="143">
                  <c:v>436.60500000000002</c:v>
                </c:pt>
                <c:pt idx="144">
                  <c:v>349.62943749999999</c:v>
                </c:pt>
                <c:pt idx="145">
                  <c:v>2</c:v>
                </c:pt>
                <c:pt idx="146">
                  <c:v>372.02943750000003</c:v>
                </c:pt>
                <c:pt idx="147">
                  <c:v>330.4</c:v>
                </c:pt>
                <c:pt idx="148">
                  <c:v>296.39999999999998</c:v>
                </c:pt>
                <c:pt idx="149">
                  <c:v>295.10000000000002</c:v>
                </c:pt>
                <c:pt idx="150">
                  <c:v>140.80000000000001</c:v>
                </c:pt>
                <c:pt idx="151">
                  <c:v>525.43208333333337</c:v>
                </c:pt>
                <c:pt idx="152">
                  <c:v>82.004999999999995</c:v>
                </c:pt>
                <c:pt idx="153">
                  <c:v>67.68416666666667</c:v>
                </c:pt>
                <c:pt idx="154">
                  <c:v>207.9385</c:v>
                </c:pt>
                <c:pt idx="155">
                  <c:v>345.24333333333334</c:v>
                </c:pt>
                <c:pt idx="156">
                  <c:v>292.68416666666667</c:v>
                </c:pt>
                <c:pt idx="157">
                  <c:v>185.90833333333333</c:v>
                </c:pt>
                <c:pt idx="158">
                  <c:v>31.368333333333336</c:v>
                </c:pt>
                <c:pt idx="159">
                  <c:v>50.18833333333334</c:v>
                </c:pt>
                <c:pt idx="160">
                  <c:v>218.47633333333334</c:v>
                </c:pt>
                <c:pt idx="161">
                  <c:v>168.30833333333334</c:v>
                </c:pt>
                <c:pt idx="162">
                  <c:v>751.32500000000005</c:v>
                </c:pt>
                <c:pt idx="163">
                  <c:v>305.36833333333334</c:v>
                </c:pt>
                <c:pt idx="164">
                  <c:v>342.76833333333332</c:v>
                </c:pt>
                <c:pt idx="165">
                  <c:v>321.39999999999998</c:v>
                </c:pt>
                <c:pt idx="166">
                  <c:v>349.86566666666664</c:v>
                </c:pt>
                <c:pt idx="167">
                  <c:v>158.741625</c:v>
                </c:pt>
                <c:pt idx="168">
                  <c:v>273.8416666666667</c:v>
                </c:pt>
                <c:pt idx="169">
                  <c:v>264.0654761904762</c:v>
                </c:pt>
                <c:pt idx="170">
                  <c:v>506.0832916666667</c:v>
                </c:pt>
                <c:pt idx="171">
                  <c:v>500.3416666666667</c:v>
                </c:pt>
                <c:pt idx="172">
                  <c:v>508</c:v>
                </c:pt>
                <c:pt idx="173">
                  <c:v>312.70710119047618</c:v>
                </c:pt>
                <c:pt idx="174">
                  <c:v>199.63276785714285</c:v>
                </c:pt>
                <c:pt idx="175">
                  <c:v>236.3154761904762</c:v>
                </c:pt>
                <c:pt idx="176">
                  <c:v>112.82166666666666</c:v>
                </c:pt>
                <c:pt idx="177">
                  <c:v>169.50000000000003</c:v>
                </c:pt>
                <c:pt idx="178">
                  <c:v>607.8654761904761</c:v>
                </c:pt>
                <c:pt idx="179">
                  <c:v>293.90000000000003</c:v>
                </c:pt>
                <c:pt idx="180">
                  <c:v>241.64166666666668</c:v>
                </c:pt>
                <c:pt idx="181">
                  <c:v>34.091666666666669</c:v>
                </c:pt>
                <c:pt idx="182">
                  <c:v>241.87491666666668</c:v>
                </c:pt>
                <c:pt idx="183">
                  <c:v>245.88329166666668</c:v>
                </c:pt>
                <c:pt idx="184">
                  <c:v>27.741666666666667</c:v>
                </c:pt>
                <c:pt idx="185">
                  <c:v>22.141666666666666</c:v>
                </c:pt>
                <c:pt idx="186">
                  <c:v>314.5</c:v>
                </c:pt>
                <c:pt idx="187">
                  <c:v>399.6</c:v>
                </c:pt>
                <c:pt idx="188">
                  <c:v>174.92933333333335</c:v>
                </c:pt>
                <c:pt idx="189">
                  <c:v>460.83195833333332</c:v>
                </c:pt>
                <c:pt idx="190">
                  <c:v>444.06567261904763</c:v>
                </c:pt>
                <c:pt idx="191">
                  <c:v>520.71967261904763</c:v>
                </c:pt>
                <c:pt idx="192">
                  <c:v>530.5</c:v>
                </c:pt>
                <c:pt idx="193">
                  <c:v>368.85833333333335</c:v>
                </c:pt>
                <c:pt idx="194">
                  <c:v>43.677339285714282</c:v>
                </c:pt>
                <c:pt idx="195">
                  <c:v>206.99804761904761</c:v>
                </c:pt>
                <c:pt idx="196">
                  <c:v>421.48571428571432</c:v>
                </c:pt>
                <c:pt idx="197">
                  <c:v>291.75833333333333</c:v>
                </c:pt>
                <c:pt idx="198">
                  <c:v>285.67142857142858</c:v>
                </c:pt>
                <c:pt idx="199">
                  <c:v>269.09162500000002</c:v>
                </c:pt>
                <c:pt idx="200">
                  <c:v>381.09162500000002</c:v>
                </c:pt>
                <c:pt idx="201">
                  <c:v>615.0428571428572</c:v>
                </c:pt>
                <c:pt idx="202">
                  <c:v>319.56662499999999</c:v>
                </c:pt>
                <c:pt idx="203">
                  <c:v>512.46662500000002</c:v>
                </c:pt>
                <c:pt idx="204">
                  <c:v>573.4</c:v>
                </c:pt>
                <c:pt idx="205">
                  <c:v>615.70000000000005</c:v>
                </c:pt>
                <c:pt idx="206">
                  <c:v>18.666333333333334</c:v>
                </c:pt>
                <c:pt idx="207">
                  <c:v>295.52633333333335</c:v>
                </c:pt>
                <c:pt idx="208">
                  <c:v>352.98033333333336</c:v>
                </c:pt>
                <c:pt idx="209">
                  <c:v>326.79666666666668</c:v>
                </c:pt>
                <c:pt idx="210">
                  <c:v>224.61833333333334</c:v>
                </c:pt>
                <c:pt idx="211">
                  <c:v>239.28876055938798</c:v>
                </c:pt>
                <c:pt idx="212">
                  <c:v>239.28876055938798</c:v>
                </c:pt>
                <c:pt idx="213">
                  <c:v>239.28876055938798</c:v>
                </c:pt>
                <c:pt idx="214">
                  <c:v>239.28876055938798</c:v>
                </c:pt>
                <c:pt idx="215">
                  <c:v>239.28876055938798</c:v>
                </c:pt>
                <c:pt idx="216">
                  <c:v>239.28876055938798</c:v>
                </c:pt>
                <c:pt idx="217">
                  <c:v>239.28876055938798</c:v>
                </c:pt>
                <c:pt idx="218">
                  <c:v>407.61666666666667</c:v>
                </c:pt>
                <c:pt idx="219">
                  <c:v>297.3</c:v>
                </c:pt>
                <c:pt idx="220">
                  <c:v>150.4</c:v>
                </c:pt>
                <c:pt idx="221">
                  <c:v>208.4</c:v>
                </c:pt>
                <c:pt idx="222">
                  <c:v>228.15166666666667</c:v>
                </c:pt>
                <c:pt idx="223">
                  <c:v>128.01566666666668</c:v>
                </c:pt>
                <c:pt idx="224">
                  <c:v>302.9496666666667</c:v>
                </c:pt>
                <c:pt idx="225">
                  <c:v>481.8</c:v>
                </c:pt>
              </c:numCache>
            </c:numRef>
          </c:xVal>
          <c:yVal>
            <c:numRef>
              <c:f>Residuals!$ED$2:$ED$227</c:f>
              <c:numCache>
                <c:formatCode>0.00</c:formatCode>
                <c:ptCount val="226"/>
                <c:pt idx="0">
                  <c:v>2.8245825583806123</c:v>
                </c:pt>
                <c:pt idx="1">
                  <c:v>2.6577436542184429</c:v>
                </c:pt>
                <c:pt idx="2">
                  <c:v>2.3232161824318922</c:v>
                </c:pt>
                <c:pt idx="3">
                  <c:v>2.296813752175872</c:v>
                </c:pt>
                <c:pt idx="4">
                  <c:v>1.8247999730648488</c:v>
                </c:pt>
                <c:pt idx="5">
                  <c:v>2.3625181918493112</c:v>
                </c:pt>
                <c:pt idx="6">
                  <c:v>2.0129605428599362</c:v>
                </c:pt>
                <c:pt idx="7">
                  <c:v>1.8549345093485883</c:v>
                </c:pt>
                <c:pt idx="8">
                  <c:v>2.2762669882049948</c:v>
                </c:pt>
                <c:pt idx="9">
                  <c:v>2.263997050579647</c:v>
                </c:pt>
                <c:pt idx="10">
                  <c:v>1.789397974084757</c:v>
                </c:pt>
                <c:pt idx="11">
                  <c:v>1.2781559128131121</c:v>
                </c:pt>
                <c:pt idx="12">
                  <c:v>1.9070494549467938</c:v>
                </c:pt>
                <c:pt idx="13">
                  <c:v>1.2873664383595127</c:v>
                </c:pt>
                <c:pt idx="14">
                  <c:v>1.3135470410589889</c:v>
                </c:pt>
                <c:pt idx="15">
                  <c:v>1.3135052802186493</c:v>
                </c:pt>
                <c:pt idx="16">
                  <c:v>1.2576037672906466</c:v>
                </c:pt>
                <c:pt idx="17">
                  <c:v>1.2718110634884212</c:v>
                </c:pt>
                <c:pt idx="18">
                  <c:v>1.2578104188717063</c:v>
                </c:pt>
                <c:pt idx="19">
                  <c:v>1.4259159908802133</c:v>
                </c:pt>
                <c:pt idx="20">
                  <c:v>1.2848559445427412</c:v>
                </c:pt>
                <c:pt idx="21">
                  <c:v>0.77957868742249303</c:v>
                </c:pt>
                <c:pt idx="22">
                  <c:v>0.7931942066812212</c:v>
                </c:pt>
                <c:pt idx="23">
                  <c:v>0.26307831209219046</c:v>
                </c:pt>
                <c:pt idx="24">
                  <c:v>0.76621683297951648</c:v>
                </c:pt>
                <c:pt idx="25">
                  <c:v>0.26387908696879236</c:v>
                </c:pt>
                <c:pt idx="26">
                  <c:v>1.2717318470490184</c:v>
                </c:pt>
                <c:pt idx="27">
                  <c:v>0.27971376436740059</c:v>
                </c:pt>
                <c:pt idx="28">
                  <c:v>0.36237439679081973</c:v>
                </c:pt>
                <c:pt idx="29">
                  <c:v>0.29082279368374486</c:v>
                </c:pt>
                <c:pt idx="30">
                  <c:v>0.26739840644663104</c:v>
                </c:pt>
                <c:pt idx="31">
                  <c:v>0.26151486372424415</c:v>
                </c:pt>
                <c:pt idx="32">
                  <c:v>-0.22433553031102349</c:v>
                </c:pt>
                <c:pt idx="33">
                  <c:v>-0.2312775166001515</c:v>
                </c:pt>
                <c:pt idx="34">
                  <c:v>-0.24106828103899147</c:v>
                </c:pt>
                <c:pt idx="35">
                  <c:v>-0.14842357884361235</c:v>
                </c:pt>
                <c:pt idx="36">
                  <c:v>-0.23482309804974477</c:v>
                </c:pt>
                <c:pt idx="37">
                  <c:v>0.35522507136752068</c:v>
                </c:pt>
                <c:pt idx="38">
                  <c:v>0.5631359772650768</c:v>
                </c:pt>
                <c:pt idx="39">
                  <c:v>0.65813112593292544</c:v>
                </c:pt>
                <c:pt idx="40">
                  <c:v>-0.33863994311303003</c:v>
                </c:pt>
                <c:pt idx="41">
                  <c:v>8.8709110421071102E-2</c:v>
                </c:pt>
                <c:pt idx="42">
                  <c:v>-8.9527878241923986E-2</c:v>
                </c:pt>
                <c:pt idx="43">
                  <c:v>0.11195741329015618</c:v>
                </c:pt>
                <c:pt idx="44">
                  <c:v>0.15359641530107382</c:v>
                </c:pt>
                <c:pt idx="45">
                  <c:v>0.67839811072456513</c:v>
                </c:pt>
                <c:pt idx="46">
                  <c:v>0.51150594790479431</c:v>
                </c:pt>
                <c:pt idx="47">
                  <c:v>-0.24332635663670743</c:v>
                </c:pt>
                <c:pt idx="48">
                  <c:v>-0.22733203973982086</c:v>
                </c:pt>
                <c:pt idx="49">
                  <c:v>-0.23583523682333407</c:v>
                </c:pt>
                <c:pt idx="50">
                  <c:v>-0.23583523682333407</c:v>
                </c:pt>
                <c:pt idx="51">
                  <c:v>4.8042632700315835E-3</c:v>
                </c:pt>
                <c:pt idx="52">
                  <c:v>-0.23583523682333407</c:v>
                </c:pt>
                <c:pt idx="53">
                  <c:v>-0.21578338378615314</c:v>
                </c:pt>
                <c:pt idx="54">
                  <c:v>-0.73454366444171626</c:v>
                </c:pt>
                <c:pt idx="55">
                  <c:v>-0.62493883327577038</c:v>
                </c:pt>
                <c:pt idx="56">
                  <c:v>-0.56905414961406109</c:v>
                </c:pt>
                <c:pt idx="57">
                  <c:v>-0.74038122603541723</c:v>
                </c:pt>
                <c:pt idx="58">
                  <c:v>-0.74367704198778739</c:v>
                </c:pt>
                <c:pt idx="59">
                  <c:v>-1.2465807734671728</c:v>
                </c:pt>
                <c:pt idx="60">
                  <c:v>-1.2475517591326337</c:v>
                </c:pt>
                <c:pt idx="61">
                  <c:v>-1.1486795869406805</c:v>
                </c:pt>
                <c:pt idx="62">
                  <c:v>-1.2317922696976709</c:v>
                </c:pt>
                <c:pt idx="63">
                  <c:v>-1.7142291916869468</c:v>
                </c:pt>
                <c:pt idx="64">
                  <c:v>-1.1299864248629774</c:v>
                </c:pt>
                <c:pt idx="65">
                  <c:v>-1.2442582495595147</c:v>
                </c:pt>
                <c:pt idx="66">
                  <c:v>-1.0182307763974734</c:v>
                </c:pt>
                <c:pt idx="67">
                  <c:v>-0.71284079314364135</c:v>
                </c:pt>
                <c:pt idx="68">
                  <c:v>-0.7244379950533002</c:v>
                </c:pt>
                <c:pt idx="69">
                  <c:v>-1.2250045955564275</c:v>
                </c:pt>
                <c:pt idx="70">
                  <c:v>-1.1842108969175555</c:v>
                </c:pt>
                <c:pt idx="71">
                  <c:v>-1.0783035409781476</c:v>
                </c:pt>
                <c:pt idx="72">
                  <c:v>-1.732892412601295</c:v>
                </c:pt>
                <c:pt idx="73">
                  <c:v>-1.1904320123226029</c:v>
                </c:pt>
                <c:pt idx="74">
                  <c:v>-0.70319701092731179</c:v>
                </c:pt>
                <c:pt idx="75">
                  <c:v>-1.2224106876900152</c:v>
                </c:pt>
                <c:pt idx="76">
                  <c:v>-1.6931335094538866</c:v>
                </c:pt>
                <c:pt idx="77">
                  <c:v>-1.1455621309838691</c:v>
                </c:pt>
                <c:pt idx="78">
                  <c:v>-0.4990009967469291</c:v>
                </c:pt>
                <c:pt idx="79">
                  <c:v>-1.0616299147990205</c:v>
                </c:pt>
                <c:pt idx="80">
                  <c:v>-1.0019700338715438</c:v>
                </c:pt>
                <c:pt idx="81">
                  <c:v>-1.2634439840208813</c:v>
                </c:pt>
                <c:pt idx="82">
                  <c:v>-0.91951174778791511</c:v>
                </c:pt>
                <c:pt idx="83">
                  <c:v>-0.96417432074419196</c:v>
                </c:pt>
                <c:pt idx="84">
                  <c:v>-0.84067416961407559</c:v>
                </c:pt>
                <c:pt idx="85">
                  <c:v>-0.43739764534200987</c:v>
                </c:pt>
                <c:pt idx="86">
                  <c:v>-0.58772052590733637</c:v>
                </c:pt>
                <c:pt idx="87">
                  <c:v>-0.99388855784874153</c:v>
                </c:pt>
                <c:pt idx="88">
                  <c:v>-1.0629739573086425</c:v>
                </c:pt>
                <c:pt idx="89">
                  <c:v>-0.50781978044994958</c:v>
                </c:pt>
                <c:pt idx="90">
                  <c:v>-0.95911135700825412</c:v>
                </c:pt>
                <c:pt idx="91">
                  <c:v>-0.58634742301912723</c:v>
                </c:pt>
                <c:pt idx="92">
                  <c:v>8.2076844474542554E-2</c:v>
                </c:pt>
                <c:pt idx="93">
                  <c:v>-0.2261062760462238</c:v>
                </c:pt>
                <c:pt idx="94">
                  <c:v>-0.22961224927611568</c:v>
                </c:pt>
                <c:pt idx="95">
                  <c:v>-0.71017688333962781</c:v>
                </c:pt>
                <c:pt idx="96">
                  <c:v>-0.6246409955326655</c:v>
                </c:pt>
                <c:pt idx="97">
                  <c:v>-0.62825890503563642</c:v>
                </c:pt>
                <c:pt idx="98">
                  <c:v>-0.64867526196289305</c:v>
                </c:pt>
                <c:pt idx="99">
                  <c:v>-1.1521805894066048</c:v>
                </c:pt>
                <c:pt idx="100">
                  <c:v>-0.4610326126928399</c:v>
                </c:pt>
                <c:pt idx="101">
                  <c:v>-0.71900809303278379</c:v>
                </c:pt>
                <c:pt idx="102">
                  <c:v>-0.51359935159561587</c:v>
                </c:pt>
                <c:pt idx="103">
                  <c:v>-9.899510379916876E-2</c:v>
                </c:pt>
                <c:pt idx="104">
                  <c:v>-9.899510379916876E-2</c:v>
                </c:pt>
                <c:pt idx="105">
                  <c:v>-8.3374827415909181E-2</c:v>
                </c:pt>
                <c:pt idx="106">
                  <c:v>-0.34222405647201271</c:v>
                </c:pt>
                <c:pt idx="107">
                  <c:v>-0.71138773244739184</c:v>
                </c:pt>
                <c:pt idx="108">
                  <c:v>-1.2262550221321717</c:v>
                </c:pt>
                <c:pt idx="109">
                  <c:v>-0.85271808207264854</c:v>
                </c:pt>
                <c:pt idx="110">
                  <c:v>-0.86515721567998582</c:v>
                </c:pt>
                <c:pt idx="111">
                  <c:v>-0.14806843820559834</c:v>
                </c:pt>
                <c:pt idx="112">
                  <c:v>-0.86735288872873184</c:v>
                </c:pt>
                <c:pt idx="113">
                  <c:v>-1.0192702153991675</c:v>
                </c:pt>
                <c:pt idx="114">
                  <c:v>-1.2236576700727397</c:v>
                </c:pt>
                <c:pt idx="115">
                  <c:v>-1.0156796441782703</c:v>
                </c:pt>
                <c:pt idx="116">
                  <c:v>-0.98533027635506443</c:v>
                </c:pt>
                <c:pt idx="117">
                  <c:v>-1.4844455492736515</c:v>
                </c:pt>
                <c:pt idx="118">
                  <c:v>-1.4718656342767176</c:v>
                </c:pt>
                <c:pt idx="119">
                  <c:v>-1.4964055095274205</c:v>
                </c:pt>
                <c:pt idx="120">
                  <c:v>-1.5093858119626589</c:v>
                </c:pt>
                <c:pt idx="121">
                  <c:v>-0.20105523692832605</c:v>
                </c:pt>
                <c:pt idx="122">
                  <c:v>-0.37420326896121026</c:v>
                </c:pt>
                <c:pt idx="123">
                  <c:v>-0.79493394095188563</c:v>
                </c:pt>
                <c:pt idx="124">
                  <c:v>-1.0662795753728389</c:v>
                </c:pt>
                <c:pt idx="125">
                  <c:v>-0.81061938792490196</c:v>
                </c:pt>
                <c:pt idx="126">
                  <c:v>-0.59499826720016102</c:v>
                </c:pt>
                <c:pt idx="127">
                  <c:v>4.4840770945626218E-2</c:v>
                </c:pt>
                <c:pt idx="128">
                  <c:v>-0.5640556909451746</c:v>
                </c:pt>
                <c:pt idx="129">
                  <c:v>-0.20995628149136536</c:v>
                </c:pt>
                <c:pt idx="130">
                  <c:v>-0.33107945509966186</c:v>
                </c:pt>
                <c:pt idx="131">
                  <c:v>-0.59598574015000594</c:v>
                </c:pt>
                <c:pt idx="132">
                  <c:v>-0.27412590265131342</c:v>
                </c:pt>
                <c:pt idx="133">
                  <c:v>-0.25794034808902921</c:v>
                </c:pt>
                <c:pt idx="134">
                  <c:v>0.14569543651860073</c:v>
                </c:pt>
                <c:pt idx="135">
                  <c:v>0.45382532144555654</c:v>
                </c:pt>
                <c:pt idx="136">
                  <c:v>0.219775131116144</c:v>
                </c:pt>
                <c:pt idx="137">
                  <c:v>0.38143664489640372</c:v>
                </c:pt>
                <c:pt idx="138">
                  <c:v>-0.10838483501351703</c:v>
                </c:pt>
                <c:pt idx="139">
                  <c:v>-0.16963382226143864</c:v>
                </c:pt>
                <c:pt idx="140">
                  <c:v>-6.3198651946699158E-2</c:v>
                </c:pt>
                <c:pt idx="141">
                  <c:v>-0.25673302389756003</c:v>
                </c:pt>
                <c:pt idx="142">
                  <c:v>-0.51274478811087221</c:v>
                </c:pt>
                <c:pt idx="143">
                  <c:v>-0.19869161770303378</c:v>
                </c:pt>
                <c:pt idx="144">
                  <c:v>-0.31102685210354508</c:v>
                </c:pt>
                <c:pt idx="145">
                  <c:v>-0.76001543261523352</c:v>
                </c:pt>
                <c:pt idx="146">
                  <c:v>-0.28209563075535016</c:v>
                </c:pt>
                <c:pt idx="147">
                  <c:v>-0.33586306249255671</c:v>
                </c:pt>
                <c:pt idx="148">
                  <c:v>-0.37977652346749835</c:v>
                </c:pt>
                <c:pt idx="149">
                  <c:v>-0.38145556756359866</c:v>
                </c:pt>
                <c:pt idx="150">
                  <c:v>-0.58074518604693992</c:v>
                </c:pt>
                <c:pt idx="151">
                  <c:v>-8.3965010130206963E-2</c:v>
                </c:pt>
                <c:pt idx="152">
                  <c:v>-0.65668318422405036</c:v>
                </c:pt>
                <c:pt idx="153">
                  <c:v>-0.6751795770391027</c:v>
                </c:pt>
                <c:pt idx="154">
                  <c:v>-0.49403095370382033</c:v>
                </c:pt>
                <c:pt idx="155">
                  <c:v>-0.31669182310810129</c:v>
                </c:pt>
                <c:pt idx="156">
                  <c:v>-0.38457579117552143</c:v>
                </c:pt>
                <c:pt idx="157">
                  <c:v>-2.2484508532876646E-2</c:v>
                </c:pt>
                <c:pt idx="158">
                  <c:v>-0.2220841043878039</c:v>
                </c:pt>
                <c:pt idx="159">
                  <c:v>-0.19777671216579762</c:v>
                </c:pt>
                <c:pt idx="160">
                  <c:v>1.9579420791586699E-2</c:v>
                </c:pt>
                <c:pt idx="161">
                  <c:v>-4.5216182449323128E-2</c:v>
                </c:pt>
                <c:pt idx="162">
                  <c:v>0.70779204223912728</c:v>
                </c:pt>
                <c:pt idx="163">
                  <c:v>0.13180672817495775</c:v>
                </c:pt>
                <c:pt idx="164">
                  <c:v>0.18011153524739854</c:v>
                </c:pt>
                <c:pt idx="165">
                  <c:v>0.6525127860728972</c:v>
                </c:pt>
                <c:pt idx="166">
                  <c:v>0.68927825496385253</c:v>
                </c:pt>
                <c:pt idx="167">
                  <c:v>-5.7572278715625202E-2</c:v>
                </c:pt>
                <c:pt idx="168">
                  <c:v>9.1087756223885208E-2</c:v>
                </c:pt>
                <c:pt idx="169">
                  <c:v>7.8461098607419899E-2</c:v>
                </c:pt>
                <c:pt idx="170">
                  <c:v>0.39104462493548908</c:v>
                </c:pt>
                <c:pt idx="171">
                  <c:v>0.38362890065989319</c:v>
                </c:pt>
                <c:pt idx="172">
                  <c:v>0.39352019248243408</c:v>
                </c:pt>
                <c:pt idx="173">
                  <c:v>0.14128527805433322</c:v>
                </c:pt>
                <c:pt idx="174">
                  <c:v>-4.7584079486284736E-3</c:v>
                </c:pt>
                <c:pt idx="175">
                  <c:v>4.2619965017571815E-2</c:v>
                </c:pt>
                <c:pt idx="176">
                  <c:v>-0.61688122866391382</c:v>
                </c:pt>
                <c:pt idx="177">
                  <c:v>-0.54367705869456273</c:v>
                </c:pt>
                <c:pt idx="178">
                  <c:v>2.2503683406974062E-2</c:v>
                </c:pt>
                <c:pt idx="179">
                  <c:v>0.11699454557846423</c:v>
                </c:pt>
                <c:pt idx="180">
                  <c:v>4.9499125535845678E-2</c:v>
                </c:pt>
                <c:pt idx="181">
                  <c:v>0.28143327773145899</c:v>
                </c:pt>
                <c:pt idx="182">
                  <c:v>0.54980038479386195</c:v>
                </c:pt>
                <c:pt idx="183">
                  <c:v>0.55497749123902196</c:v>
                </c:pt>
                <c:pt idx="184">
                  <c:v>0.27323179310820223</c:v>
                </c:pt>
                <c:pt idx="185">
                  <c:v>-0.23400101222885183</c:v>
                </c:pt>
                <c:pt idx="186">
                  <c:v>0.14360093663974993</c:v>
                </c:pt>
                <c:pt idx="187">
                  <c:v>0.25351374631526369</c:v>
                </c:pt>
                <c:pt idx="188">
                  <c:v>-3.6664681710639968E-2</c:v>
                </c:pt>
                <c:pt idx="189">
                  <c:v>0.33259925257085854</c:v>
                </c:pt>
                <c:pt idx="190">
                  <c:v>0.81094438100000588</c:v>
                </c:pt>
                <c:pt idx="191">
                  <c:v>0.90994857034039001</c:v>
                </c:pt>
                <c:pt idx="192">
                  <c:v>0.42258057106879221</c:v>
                </c:pt>
                <c:pt idx="193">
                  <c:v>0.21380865868375309</c:v>
                </c:pt>
                <c:pt idx="194">
                  <c:v>-0.20618613225456528</c:v>
                </c:pt>
                <c:pt idx="195">
                  <c:v>4.7543839747206107E-3</c:v>
                </c:pt>
                <c:pt idx="196">
                  <c:v>0.2817807304386335</c:v>
                </c:pt>
                <c:pt idx="197">
                  <c:v>0.11422842806116762</c:v>
                </c:pt>
                <c:pt idx="198">
                  <c:v>0.60636674998116291</c:v>
                </c:pt>
                <c:pt idx="199">
                  <c:v>0.58495273359569211</c:v>
                </c:pt>
                <c:pt idx="200">
                  <c:v>0.72960884033667384</c:v>
                </c:pt>
                <c:pt idx="201">
                  <c:v>1.0317737904174038</c:v>
                </c:pt>
                <c:pt idx="202">
                  <c:v>0.65014484955775487</c:v>
                </c:pt>
                <c:pt idx="203">
                  <c:v>1.3992891619714669</c:v>
                </c:pt>
                <c:pt idx="204">
                  <c:v>0.97798902624011674</c:v>
                </c:pt>
                <c:pt idx="205">
                  <c:v>1.5326225379824692</c:v>
                </c:pt>
                <c:pt idx="206">
                  <c:v>1.2615103432209054</c:v>
                </c:pt>
                <c:pt idx="207">
                  <c:v>1.1190950727950977</c:v>
                </c:pt>
                <c:pt idx="208">
                  <c:v>0.69330107240845962</c:v>
                </c:pt>
                <c:pt idx="209">
                  <c:v>1.1594829716923556</c:v>
                </c:pt>
                <c:pt idx="210">
                  <c:v>0.52751225835947224</c:v>
                </c:pt>
                <c:pt idx="211">
                  <c:v>1.0464601769911539</c:v>
                </c:pt>
                <c:pt idx="212">
                  <c:v>1.0464601769911539</c:v>
                </c:pt>
                <c:pt idx="213">
                  <c:v>0.5464601769911539</c:v>
                </c:pt>
                <c:pt idx="214">
                  <c:v>4.6460176991153901E-2</c:v>
                </c:pt>
                <c:pt idx="215">
                  <c:v>4.6460176991153901E-2</c:v>
                </c:pt>
                <c:pt idx="216">
                  <c:v>0.5464601769911539</c:v>
                </c:pt>
                <c:pt idx="217">
                  <c:v>4.6460176991153901E-2</c:v>
                </c:pt>
                <c:pt idx="218">
                  <c:v>0.2638678515745525</c:v>
                </c:pt>
                <c:pt idx="219">
                  <c:v>0.62138589167595626</c:v>
                </c:pt>
                <c:pt idx="220">
                  <c:v>0.43165390881657117</c:v>
                </c:pt>
                <c:pt idx="221">
                  <c:v>6.5651069502976611E-3</c:v>
                </c:pt>
                <c:pt idx="222">
                  <c:v>1.0320758141078485</c:v>
                </c:pt>
                <c:pt idx="223">
                  <c:v>0.40274292210235529</c:v>
                </c:pt>
                <c:pt idx="224">
                  <c:v>0.62868284510796002</c:v>
                </c:pt>
                <c:pt idx="225">
                  <c:v>0.85968099608409432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2-425E-A909-29BE95C3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65455"/>
        <c:axId val="2123676975"/>
      </c:scatterChart>
      <c:valAx>
        <c:axId val="2123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6975"/>
        <c:crosses val="autoZero"/>
        <c:crossBetween val="midCat"/>
      </c:valAx>
      <c:valAx>
        <c:axId val="2123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Servings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Log'!$X$2:$X$227</c:f>
              <c:numCache>
                <c:formatCode>0.00</c:formatCode>
                <c:ptCount val="226"/>
                <c:pt idx="0">
                  <c:v>17</c:v>
                </c:pt>
                <c:pt idx="1">
                  <c:v>72.5</c:v>
                </c:pt>
                <c:pt idx="2">
                  <c:v>16.350000000000001</c:v>
                </c:pt>
                <c:pt idx="3">
                  <c:v>6</c:v>
                </c:pt>
                <c:pt idx="4">
                  <c:v>19.3</c:v>
                </c:pt>
                <c:pt idx="5">
                  <c:v>20.9</c:v>
                </c:pt>
                <c:pt idx="6">
                  <c:v>17.5</c:v>
                </c:pt>
                <c:pt idx="7">
                  <c:v>12</c:v>
                </c:pt>
                <c:pt idx="8">
                  <c:v>35</c:v>
                </c:pt>
                <c:pt idx="9">
                  <c:v>21.5</c:v>
                </c:pt>
                <c:pt idx="10">
                  <c:v>7.5</c:v>
                </c:pt>
                <c:pt idx="11">
                  <c:v>8.25</c:v>
                </c:pt>
                <c:pt idx="12">
                  <c:v>16</c:v>
                </c:pt>
                <c:pt idx="13">
                  <c:v>10.25</c:v>
                </c:pt>
                <c:pt idx="14">
                  <c:v>6</c:v>
                </c:pt>
                <c:pt idx="15">
                  <c:v>20.84</c:v>
                </c:pt>
                <c:pt idx="16">
                  <c:v>16</c:v>
                </c:pt>
                <c:pt idx="17">
                  <c:v>17</c:v>
                </c:pt>
                <c:pt idx="18">
                  <c:v>15.899999999999999</c:v>
                </c:pt>
                <c:pt idx="19">
                  <c:v>17.899999999999999</c:v>
                </c:pt>
                <c:pt idx="20">
                  <c:v>17</c:v>
                </c:pt>
                <c:pt idx="21">
                  <c:v>6</c:v>
                </c:pt>
                <c:pt idx="22">
                  <c:v>5.2</c:v>
                </c:pt>
                <c:pt idx="23">
                  <c:v>16.700000000000003</c:v>
                </c:pt>
                <c:pt idx="24">
                  <c:v>20.05</c:v>
                </c:pt>
                <c:pt idx="25">
                  <c:v>17.600000000000001</c:v>
                </c:pt>
                <c:pt idx="26">
                  <c:v>24</c:v>
                </c:pt>
                <c:pt idx="27">
                  <c:v>18.399999999999999</c:v>
                </c:pt>
                <c:pt idx="28">
                  <c:v>15.4</c:v>
                </c:pt>
                <c:pt idx="29">
                  <c:v>7</c:v>
                </c:pt>
                <c:pt idx="30">
                  <c:v>11</c:v>
                </c:pt>
                <c:pt idx="31">
                  <c:v>8</c:v>
                </c:pt>
                <c:pt idx="32">
                  <c:v>15.3</c:v>
                </c:pt>
                <c:pt idx="33">
                  <c:v>20.5</c:v>
                </c:pt>
                <c:pt idx="34">
                  <c:v>7</c:v>
                </c:pt>
                <c:pt idx="35">
                  <c:v>14</c:v>
                </c:pt>
                <c:pt idx="36">
                  <c:v>12.4</c:v>
                </c:pt>
                <c:pt idx="37">
                  <c:v>166.5</c:v>
                </c:pt>
                <c:pt idx="38">
                  <c:v>76.5</c:v>
                </c:pt>
                <c:pt idx="39">
                  <c:v>78</c:v>
                </c:pt>
                <c:pt idx="40">
                  <c:v>84.5</c:v>
                </c:pt>
                <c:pt idx="41">
                  <c:v>80</c:v>
                </c:pt>
                <c:pt idx="42">
                  <c:v>11</c:v>
                </c:pt>
                <c:pt idx="43">
                  <c:v>74</c:v>
                </c:pt>
                <c:pt idx="44">
                  <c:v>83.75</c:v>
                </c:pt>
                <c:pt idx="45">
                  <c:v>98</c:v>
                </c:pt>
                <c:pt idx="46">
                  <c:v>54.5</c:v>
                </c:pt>
                <c:pt idx="47">
                  <c:v>11</c:v>
                </c:pt>
                <c:pt idx="48">
                  <c:v>17</c:v>
                </c:pt>
                <c:pt idx="49">
                  <c:v>10</c:v>
                </c:pt>
                <c:pt idx="50">
                  <c:v>12</c:v>
                </c:pt>
                <c:pt idx="51">
                  <c:v>84.59</c:v>
                </c:pt>
                <c:pt idx="52">
                  <c:v>12</c:v>
                </c:pt>
                <c:pt idx="53">
                  <c:v>30.1</c:v>
                </c:pt>
                <c:pt idx="54">
                  <c:v>13</c:v>
                </c:pt>
                <c:pt idx="55">
                  <c:v>24.1</c:v>
                </c:pt>
                <c:pt idx="56">
                  <c:v>15</c:v>
                </c:pt>
                <c:pt idx="57">
                  <c:v>11.5</c:v>
                </c:pt>
                <c:pt idx="58">
                  <c:v>12.5</c:v>
                </c:pt>
                <c:pt idx="59">
                  <c:v>10</c:v>
                </c:pt>
                <c:pt idx="60">
                  <c:v>14</c:v>
                </c:pt>
                <c:pt idx="61">
                  <c:v>10</c:v>
                </c:pt>
                <c:pt idx="62">
                  <c:v>14</c:v>
                </c:pt>
                <c:pt idx="63">
                  <c:v>9</c:v>
                </c:pt>
                <c:pt idx="64">
                  <c:v>55.1</c:v>
                </c:pt>
                <c:pt idx="65">
                  <c:v>4.9000000000000004</c:v>
                </c:pt>
                <c:pt idx="66">
                  <c:v>21</c:v>
                </c:pt>
                <c:pt idx="67">
                  <c:v>81</c:v>
                </c:pt>
                <c:pt idx="68">
                  <c:v>15.5</c:v>
                </c:pt>
                <c:pt idx="69">
                  <c:v>14</c:v>
                </c:pt>
                <c:pt idx="70">
                  <c:v>18</c:v>
                </c:pt>
                <c:pt idx="71">
                  <c:v>103.4</c:v>
                </c:pt>
                <c:pt idx="72">
                  <c:v>7</c:v>
                </c:pt>
                <c:pt idx="73">
                  <c:v>114</c:v>
                </c:pt>
                <c:pt idx="74">
                  <c:v>12</c:v>
                </c:pt>
                <c:pt idx="75">
                  <c:v>16</c:v>
                </c:pt>
                <c:pt idx="76">
                  <c:v>18</c:v>
                </c:pt>
                <c:pt idx="77">
                  <c:v>15</c:v>
                </c:pt>
                <c:pt idx="78">
                  <c:v>138.5</c:v>
                </c:pt>
                <c:pt idx="79">
                  <c:v>20.5</c:v>
                </c:pt>
                <c:pt idx="80">
                  <c:v>65</c:v>
                </c:pt>
                <c:pt idx="81">
                  <c:v>60.45</c:v>
                </c:pt>
                <c:pt idx="82">
                  <c:v>65.55</c:v>
                </c:pt>
                <c:pt idx="83">
                  <c:v>73.900000000000006</c:v>
                </c:pt>
                <c:pt idx="84">
                  <c:v>78.75</c:v>
                </c:pt>
                <c:pt idx="85">
                  <c:v>103</c:v>
                </c:pt>
                <c:pt idx="86">
                  <c:v>154</c:v>
                </c:pt>
                <c:pt idx="87">
                  <c:v>63</c:v>
                </c:pt>
                <c:pt idx="88">
                  <c:v>25.55</c:v>
                </c:pt>
                <c:pt idx="89">
                  <c:v>29.75</c:v>
                </c:pt>
                <c:pt idx="90">
                  <c:v>75</c:v>
                </c:pt>
                <c:pt idx="91">
                  <c:v>98.666666666666671</c:v>
                </c:pt>
                <c:pt idx="92">
                  <c:v>126.7</c:v>
                </c:pt>
                <c:pt idx="93">
                  <c:v>15</c:v>
                </c:pt>
                <c:pt idx="94">
                  <c:v>20.73</c:v>
                </c:pt>
                <c:pt idx="95">
                  <c:v>25</c:v>
                </c:pt>
                <c:pt idx="96">
                  <c:v>23.54</c:v>
                </c:pt>
                <c:pt idx="97">
                  <c:v>21</c:v>
                </c:pt>
                <c:pt idx="98">
                  <c:v>124.39</c:v>
                </c:pt>
                <c:pt idx="99">
                  <c:v>128.52000000000001</c:v>
                </c:pt>
                <c:pt idx="100">
                  <c:v>115</c:v>
                </c:pt>
                <c:pt idx="101">
                  <c:v>155</c:v>
                </c:pt>
                <c:pt idx="102">
                  <c:v>63.34</c:v>
                </c:pt>
                <c:pt idx="103">
                  <c:v>31.23</c:v>
                </c:pt>
                <c:pt idx="104">
                  <c:v>31.23</c:v>
                </c:pt>
                <c:pt idx="105">
                  <c:v>25.540000000000003</c:v>
                </c:pt>
                <c:pt idx="106">
                  <c:v>19</c:v>
                </c:pt>
                <c:pt idx="107">
                  <c:v>26.41</c:v>
                </c:pt>
                <c:pt idx="108">
                  <c:v>21.549999999999997</c:v>
                </c:pt>
                <c:pt idx="109">
                  <c:v>54</c:v>
                </c:pt>
                <c:pt idx="110">
                  <c:v>72.78</c:v>
                </c:pt>
                <c:pt idx="111">
                  <c:v>69</c:v>
                </c:pt>
                <c:pt idx="112">
                  <c:v>62.09</c:v>
                </c:pt>
                <c:pt idx="113">
                  <c:v>65.490000000000009</c:v>
                </c:pt>
                <c:pt idx="114">
                  <c:v>15</c:v>
                </c:pt>
                <c:pt idx="115">
                  <c:v>63.65</c:v>
                </c:pt>
                <c:pt idx="116">
                  <c:v>55.5</c:v>
                </c:pt>
                <c:pt idx="117">
                  <c:v>57.2</c:v>
                </c:pt>
                <c:pt idx="118">
                  <c:v>58.25</c:v>
                </c:pt>
                <c:pt idx="119">
                  <c:v>59.25</c:v>
                </c:pt>
                <c:pt idx="120">
                  <c:v>46.75</c:v>
                </c:pt>
                <c:pt idx="121">
                  <c:v>168.5</c:v>
                </c:pt>
                <c:pt idx="122">
                  <c:v>141.6</c:v>
                </c:pt>
                <c:pt idx="123">
                  <c:v>23.63</c:v>
                </c:pt>
                <c:pt idx="124">
                  <c:v>40</c:v>
                </c:pt>
                <c:pt idx="125">
                  <c:v>79.77</c:v>
                </c:pt>
                <c:pt idx="126">
                  <c:v>107</c:v>
                </c:pt>
                <c:pt idx="127">
                  <c:v>140.6</c:v>
                </c:pt>
                <c:pt idx="128">
                  <c:v>90</c:v>
                </c:pt>
                <c:pt idx="129">
                  <c:v>67</c:v>
                </c:pt>
                <c:pt idx="130">
                  <c:v>78.22999999999999</c:v>
                </c:pt>
                <c:pt idx="131">
                  <c:v>3</c:v>
                </c:pt>
                <c:pt idx="132">
                  <c:v>129</c:v>
                </c:pt>
                <c:pt idx="133">
                  <c:v>98.4</c:v>
                </c:pt>
                <c:pt idx="134">
                  <c:v>70.400000000000006</c:v>
                </c:pt>
                <c:pt idx="135">
                  <c:v>115.8</c:v>
                </c:pt>
                <c:pt idx="136">
                  <c:v>66.430000000000007</c:v>
                </c:pt>
                <c:pt idx="137">
                  <c:v>97</c:v>
                </c:pt>
                <c:pt idx="138">
                  <c:v>6</c:v>
                </c:pt>
                <c:pt idx="139">
                  <c:v>123.63</c:v>
                </c:pt>
                <c:pt idx="140">
                  <c:v>163.86</c:v>
                </c:pt>
                <c:pt idx="141">
                  <c:v>108.56</c:v>
                </c:pt>
                <c:pt idx="142">
                  <c:v>73.7</c:v>
                </c:pt>
                <c:pt idx="143">
                  <c:v>133.69999999999999</c:v>
                </c:pt>
                <c:pt idx="144">
                  <c:v>114</c:v>
                </c:pt>
                <c:pt idx="145">
                  <c:v>1</c:v>
                </c:pt>
                <c:pt idx="146">
                  <c:v>102</c:v>
                </c:pt>
                <c:pt idx="147">
                  <c:v>70</c:v>
                </c:pt>
                <c:pt idx="148">
                  <c:v>56</c:v>
                </c:pt>
                <c:pt idx="149">
                  <c:v>69</c:v>
                </c:pt>
                <c:pt idx="150">
                  <c:v>56</c:v>
                </c:pt>
                <c:pt idx="151">
                  <c:v>129.17000000000002</c:v>
                </c:pt>
                <c:pt idx="152">
                  <c:v>15.33</c:v>
                </c:pt>
                <c:pt idx="153">
                  <c:v>5</c:v>
                </c:pt>
                <c:pt idx="154">
                  <c:v>73.42</c:v>
                </c:pt>
                <c:pt idx="155">
                  <c:v>106</c:v>
                </c:pt>
                <c:pt idx="156">
                  <c:v>101</c:v>
                </c:pt>
                <c:pt idx="157">
                  <c:v>44</c:v>
                </c:pt>
                <c:pt idx="158">
                  <c:v>21</c:v>
                </c:pt>
                <c:pt idx="159">
                  <c:v>38.5</c:v>
                </c:pt>
                <c:pt idx="160">
                  <c:v>64.39</c:v>
                </c:pt>
                <c:pt idx="161">
                  <c:v>65</c:v>
                </c:pt>
                <c:pt idx="162">
                  <c:v>147</c:v>
                </c:pt>
                <c:pt idx="163">
                  <c:v>68</c:v>
                </c:pt>
                <c:pt idx="164">
                  <c:v>59</c:v>
                </c:pt>
                <c:pt idx="165">
                  <c:v>75</c:v>
                </c:pt>
                <c:pt idx="166">
                  <c:v>102.94</c:v>
                </c:pt>
                <c:pt idx="167">
                  <c:v>17</c:v>
                </c:pt>
                <c:pt idx="168">
                  <c:v>76.5</c:v>
                </c:pt>
                <c:pt idx="169">
                  <c:v>66.5</c:v>
                </c:pt>
                <c:pt idx="170">
                  <c:v>126</c:v>
                </c:pt>
                <c:pt idx="171">
                  <c:v>125</c:v>
                </c:pt>
                <c:pt idx="172">
                  <c:v>84.75</c:v>
                </c:pt>
                <c:pt idx="173">
                  <c:v>55</c:v>
                </c:pt>
                <c:pt idx="174">
                  <c:v>77.11</c:v>
                </c:pt>
                <c:pt idx="175">
                  <c:v>77</c:v>
                </c:pt>
                <c:pt idx="176">
                  <c:v>37.299999999999997</c:v>
                </c:pt>
                <c:pt idx="177">
                  <c:v>65</c:v>
                </c:pt>
                <c:pt idx="178">
                  <c:v>82.75</c:v>
                </c:pt>
                <c:pt idx="179">
                  <c:v>83</c:v>
                </c:pt>
                <c:pt idx="180">
                  <c:v>79</c:v>
                </c:pt>
                <c:pt idx="181">
                  <c:v>25</c:v>
                </c:pt>
                <c:pt idx="182">
                  <c:v>81</c:v>
                </c:pt>
                <c:pt idx="183">
                  <c:v>82</c:v>
                </c:pt>
                <c:pt idx="184">
                  <c:v>26</c:v>
                </c:pt>
                <c:pt idx="185">
                  <c:v>19</c:v>
                </c:pt>
                <c:pt idx="186">
                  <c:v>51</c:v>
                </c:pt>
                <c:pt idx="187">
                  <c:v>117</c:v>
                </c:pt>
                <c:pt idx="188">
                  <c:v>61.230000000000004</c:v>
                </c:pt>
                <c:pt idx="189">
                  <c:v>129.47</c:v>
                </c:pt>
                <c:pt idx="190">
                  <c:v>81.849999999999994</c:v>
                </c:pt>
                <c:pt idx="191">
                  <c:v>134.33000000000001</c:v>
                </c:pt>
                <c:pt idx="192">
                  <c:v>65.8</c:v>
                </c:pt>
                <c:pt idx="193">
                  <c:v>139.5</c:v>
                </c:pt>
                <c:pt idx="194">
                  <c:v>19.5</c:v>
                </c:pt>
                <c:pt idx="195">
                  <c:v>81.28</c:v>
                </c:pt>
                <c:pt idx="196">
                  <c:v>105.5</c:v>
                </c:pt>
                <c:pt idx="197">
                  <c:v>62</c:v>
                </c:pt>
                <c:pt idx="198">
                  <c:v>72</c:v>
                </c:pt>
                <c:pt idx="199">
                  <c:v>76</c:v>
                </c:pt>
                <c:pt idx="200">
                  <c:v>69</c:v>
                </c:pt>
                <c:pt idx="201">
                  <c:v>42</c:v>
                </c:pt>
                <c:pt idx="202">
                  <c:v>75</c:v>
                </c:pt>
                <c:pt idx="203">
                  <c:v>97.3</c:v>
                </c:pt>
                <c:pt idx="204">
                  <c:v>54</c:v>
                </c:pt>
                <c:pt idx="205">
                  <c:v>140</c:v>
                </c:pt>
                <c:pt idx="206">
                  <c:v>15.469999999999999</c:v>
                </c:pt>
                <c:pt idx="207">
                  <c:v>23.729999999999997</c:v>
                </c:pt>
                <c:pt idx="208">
                  <c:v>82.686666666666667</c:v>
                </c:pt>
                <c:pt idx="209">
                  <c:v>94.9</c:v>
                </c:pt>
                <c:pt idx="210">
                  <c:v>65.89</c:v>
                </c:pt>
                <c:pt idx="211">
                  <c:v>56.434764079147634</c:v>
                </c:pt>
                <c:pt idx="212">
                  <c:v>56.434764079147634</c:v>
                </c:pt>
                <c:pt idx="213">
                  <c:v>56.434764079147634</c:v>
                </c:pt>
                <c:pt idx="214">
                  <c:v>56.434764079147634</c:v>
                </c:pt>
                <c:pt idx="215">
                  <c:v>56.434764079147634</c:v>
                </c:pt>
                <c:pt idx="216">
                  <c:v>56.434764079147634</c:v>
                </c:pt>
                <c:pt idx="217">
                  <c:v>56.434764079147634</c:v>
                </c:pt>
                <c:pt idx="218">
                  <c:v>80</c:v>
                </c:pt>
                <c:pt idx="219">
                  <c:v>82.7</c:v>
                </c:pt>
                <c:pt idx="220">
                  <c:v>52</c:v>
                </c:pt>
                <c:pt idx="221">
                  <c:v>22.5</c:v>
                </c:pt>
                <c:pt idx="222">
                  <c:v>66.2</c:v>
                </c:pt>
                <c:pt idx="223">
                  <c:v>32.44</c:v>
                </c:pt>
                <c:pt idx="224">
                  <c:v>84.53</c:v>
                </c:pt>
                <c:pt idx="225">
                  <c:v>64.5</c:v>
                </c:pt>
              </c:numCache>
            </c:numRef>
          </c:xVal>
          <c:yVal>
            <c:numRef>
              <c:f>Residuals!$EG$2:$EG$227</c:f>
              <c:numCache>
                <c:formatCode>0.00</c:formatCode>
                <c:ptCount val="226"/>
                <c:pt idx="0">
                  <c:v>2.8164576821013867</c:v>
                </c:pt>
                <c:pt idx="1">
                  <c:v>2.640160353195391</c:v>
                </c:pt>
                <c:pt idx="2">
                  <c:v>2.3126665697372246</c:v>
                </c:pt>
                <c:pt idx="3">
                  <c:v>2.2523003959386116</c:v>
                </c:pt>
                <c:pt idx="4">
                  <c:v>1.8298723873899689</c:v>
                </c:pt>
                <c:pt idx="5">
                  <c:v>2.3392043562863734</c:v>
                </c:pt>
                <c:pt idx="6">
                  <c:v>1.8193739223815157</c:v>
                </c:pt>
                <c:pt idx="7">
                  <c:v>1.7872952793001247</c:v>
                </c:pt>
                <c:pt idx="8">
                  <c:v>2.4214423321859257</c:v>
                </c:pt>
                <c:pt idx="9">
                  <c:v>2.3427038446225197</c:v>
                </c:pt>
                <c:pt idx="10">
                  <c:v>1.7610491167789917</c:v>
                </c:pt>
                <c:pt idx="11">
                  <c:v>1.2654234771991781</c:v>
                </c:pt>
                <c:pt idx="12">
                  <c:v>1.8106252015411357</c:v>
                </c:pt>
                <c:pt idx="13">
                  <c:v>1.2770884383196872</c:v>
                </c:pt>
                <c:pt idx="14">
                  <c:v>1.2523003959386116</c:v>
                </c:pt>
                <c:pt idx="15">
                  <c:v>1.3388544074527573</c:v>
                </c:pt>
                <c:pt idx="16">
                  <c:v>1.3106252015411357</c:v>
                </c:pt>
                <c:pt idx="17">
                  <c:v>1.3164576821013867</c:v>
                </c:pt>
                <c:pt idx="18">
                  <c:v>1.3100419534851113</c:v>
                </c:pt>
                <c:pt idx="19">
                  <c:v>1.3217069146056133</c:v>
                </c:pt>
                <c:pt idx="20">
                  <c:v>1.3164576821013867</c:v>
                </c:pt>
                <c:pt idx="21">
                  <c:v>0.75230039593861164</c:v>
                </c:pt>
                <c:pt idx="22">
                  <c:v>0.74763441149040943</c:v>
                </c:pt>
                <c:pt idx="23">
                  <c:v>0.31470793793331353</c:v>
                </c:pt>
                <c:pt idx="24">
                  <c:v>0.8342467478101554</c:v>
                </c:pt>
                <c:pt idx="25">
                  <c:v>0.31995717043754013</c:v>
                </c:pt>
                <c:pt idx="26">
                  <c:v>1.3572850460231507</c:v>
                </c:pt>
                <c:pt idx="27">
                  <c:v>0.32462315488574234</c:v>
                </c:pt>
                <c:pt idx="28">
                  <c:v>0.30712571320498228</c:v>
                </c:pt>
                <c:pt idx="29">
                  <c:v>0.25813287649886263</c:v>
                </c:pt>
                <c:pt idx="30">
                  <c:v>0.28146279873987368</c:v>
                </c:pt>
                <c:pt idx="31">
                  <c:v>0.26396535705911361</c:v>
                </c:pt>
                <c:pt idx="32">
                  <c:v>-0.19345753485104211</c:v>
                </c:pt>
                <c:pt idx="33">
                  <c:v>-0.1631286359377313</c:v>
                </c:pt>
                <c:pt idx="34">
                  <c:v>-0.24186712350113737</c:v>
                </c:pt>
                <c:pt idx="35">
                  <c:v>-0.20103975957936626</c:v>
                </c:pt>
                <c:pt idx="36">
                  <c:v>-0.21037172847577068</c:v>
                </c:pt>
                <c:pt idx="37">
                  <c:v>0.68841352585910442</c:v>
                </c:pt>
                <c:pt idx="38">
                  <c:v>0.66349027543640204</c:v>
                </c:pt>
                <c:pt idx="39">
                  <c:v>0.67223899627677497</c:v>
                </c:pt>
                <c:pt idx="40">
                  <c:v>-0.28984988008158297</c:v>
                </c:pt>
                <c:pt idx="41">
                  <c:v>0.18390395739728405</c:v>
                </c:pt>
                <c:pt idx="42">
                  <c:v>-0.21853720126012632</c:v>
                </c:pt>
                <c:pt idx="43">
                  <c:v>0.14890907403577103</c:v>
                </c:pt>
                <c:pt idx="44">
                  <c:v>0.20577575949823057</c:v>
                </c:pt>
                <c:pt idx="45">
                  <c:v>0.7888886074818231</c:v>
                </c:pt>
                <c:pt idx="46">
                  <c:v>0.53517570311085194</c:v>
                </c:pt>
                <c:pt idx="47">
                  <c:v>-0.21853720126012632</c:v>
                </c:pt>
                <c:pt idx="48">
                  <c:v>-0.18354231789861331</c:v>
                </c:pt>
                <c:pt idx="49">
                  <c:v>-0.22436968182037731</c:v>
                </c:pt>
                <c:pt idx="50">
                  <c:v>-0.21270472069987534</c:v>
                </c:pt>
                <c:pt idx="51">
                  <c:v>0.21067504316884111</c:v>
                </c:pt>
                <c:pt idx="52">
                  <c:v>-0.21270472069987534</c:v>
                </c:pt>
                <c:pt idx="53">
                  <c:v>-0.10713682255930479</c:v>
                </c:pt>
                <c:pt idx="54">
                  <c:v>-0.70687224013962435</c:v>
                </c:pt>
                <c:pt idx="55">
                  <c:v>-0.64213170592081781</c:v>
                </c:pt>
                <c:pt idx="56">
                  <c:v>-0.69520727901911528</c:v>
                </c:pt>
                <c:pt idx="57">
                  <c:v>-0.71562096097999728</c:v>
                </c:pt>
                <c:pt idx="58">
                  <c:v>-0.70978848041974629</c:v>
                </c:pt>
                <c:pt idx="59">
                  <c:v>-1.2243696818203773</c:v>
                </c:pt>
                <c:pt idx="60">
                  <c:v>-1.2010397595793663</c:v>
                </c:pt>
                <c:pt idx="61">
                  <c:v>-1.2243696818203773</c:v>
                </c:pt>
                <c:pt idx="62">
                  <c:v>-1.2010397595793663</c:v>
                </c:pt>
                <c:pt idx="63">
                  <c:v>-1.7302021623806283</c:v>
                </c:pt>
                <c:pt idx="64">
                  <c:v>-1.4613248085530017</c:v>
                </c:pt>
                <c:pt idx="65">
                  <c:v>-1.2541153326776637</c:v>
                </c:pt>
                <c:pt idx="66">
                  <c:v>-1.1602123956576023</c:v>
                </c:pt>
                <c:pt idx="67">
                  <c:v>-0.81026356204246497</c:v>
                </c:pt>
                <c:pt idx="68">
                  <c:v>-0.69229103873899334</c:v>
                </c:pt>
                <c:pt idx="69">
                  <c:v>-1.2010397595793663</c:v>
                </c:pt>
                <c:pt idx="70">
                  <c:v>-1.1777098373383623</c:v>
                </c:pt>
                <c:pt idx="71">
                  <c:v>-1.1796159974928173</c:v>
                </c:pt>
                <c:pt idx="72">
                  <c:v>-1.7418671235011374</c:v>
                </c:pt>
                <c:pt idx="73">
                  <c:v>-1.1177917035541398</c:v>
                </c:pt>
                <c:pt idx="74">
                  <c:v>-0.71270472069987534</c:v>
                </c:pt>
                <c:pt idx="75">
                  <c:v>-1.1893747984588643</c:v>
                </c:pt>
                <c:pt idx="76">
                  <c:v>-1.6777098373383623</c:v>
                </c:pt>
                <c:pt idx="77">
                  <c:v>-1.1952072790191153</c:v>
                </c:pt>
                <c:pt idx="78">
                  <c:v>-0.4748959298279587</c:v>
                </c:pt>
                <c:pt idx="79">
                  <c:v>-1.1631286359377313</c:v>
                </c:pt>
                <c:pt idx="80">
                  <c:v>-0.90358325100650205</c:v>
                </c:pt>
                <c:pt idx="81">
                  <c:v>-1.4301210375556508</c:v>
                </c:pt>
                <c:pt idx="82">
                  <c:v>-0.90037538669836437</c:v>
                </c:pt>
                <c:pt idx="83">
                  <c:v>-0.85167417402026047</c:v>
                </c:pt>
                <c:pt idx="84">
                  <c:v>-0.82338664330303146</c:v>
                </c:pt>
                <c:pt idx="85">
                  <c:v>-0.68194898971691487</c:v>
                </c:pt>
                <c:pt idx="86">
                  <c:v>-0.38449248114405066</c:v>
                </c:pt>
                <c:pt idx="87">
                  <c:v>-0.91524821212700402</c:v>
                </c:pt>
                <c:pt idx="88">
                  <c:v>-1.1336746091084535</c:v>
                </c:pt>
                <c:pt idx="89">
                  <c:v>-0.6091781907553937</c:v>
                </c:pt>
                <c:pt idx="90">
                  <c:v>-0.84525844540397799</c:v>
                </c:pt>
                <c:pt idx="91">
                  <c:v>-0.70722307214467861</c:v>
                </c:pt>
                <c:pt idx="92">
                  <c:v>-4.3719200438935957E-2</c:v>
                </c:pt>
                <c:pt idx="93">
                  <c:v>-0.19520727901911528</c:v>
                </c:pt>
                <c:pt idx="94">
                  <c:v>-0.1617871654088745</c:v>
                </c:pt>
                <c:pt idx="95">
                  <c:v>-0.63688247341659121</c:v>
                </c:pt>
                <c:pt idx="96">
                  <c:v>-0.64539789503456291</c:v>
                </c:pt>
                <c:pt idx="97">
                  <c:v>-0.66021239565760226</c:v>
                </c:pt>
                <c:pt idx="98">
                  <c:v>-0.5571922305331185</c:v>
                </c:pt>
                <c:pt idx="99">
                  <c:v>-1.033104085819275</c:v>
                </c:pt>
                <c:pt idx="100">
                  <c:v>-0.61195922299388883</c:v>
                </c:pt>
                <c:pt idx="101">
                  <c:v>-0.87866000058379257</c:v>
                </c:pt>
                <c:pt idx="102">
                  <c:v>-0.41326516873652253</c:v>
                </c:pt>
                <c:pt idx="103">
                  <c:v>-0.10054611952622139</c:v>
                </c:pt>
                <c:pt idx="104">
                  <c:v>-0.10054611952622139</c:v>
                </c:pt>
                <c:pt idx="105">
                  <c:v>-0.13373293391406094</c:v>
                </c:pt>
                <c:pt idx="106">
                  <c:v>-0.67187735677811133</c:v>
                </c:pt>
                <c:pt idx="107">
                  <c:v>-0.62865867582663526</c:v>
                </c:pt>
                <c:pt idx="108">
                  <c:v>-1.1570045313494646</c:v>
                </c:pt>
                <c:pt idx="109">
                  <c:v>-0.9677405371692771</c:v>
                </c:pt>
                <c:pt idx="110">
                  <c:v>-0.85820655224773645</c:v>
                </c:pt>
                <c:pt idx="111">
                  <c:v>-0.38025332876549101</c:v>
                </c:pt>
                <c:pt idx="112">
                  <c:v>-0.92055576943683803</c:v>
                </c:pt>
                <c:pt idx="113">
                  <c:v>-0.90072533553198042</c:v>
                </c:pt>
                <c:pt idx="114">
                  <c:v>-1.1952072790191153</c:v>
                </c:pt>
                <c:pt idx="115">
                  <c:v>-0.91145709976284195</c:v>
                </c:pt>
                <c:pt idx="116">
                  <c:v>-0.95899181632889707</c:v>
                </c:pt>
                <c:pt idx="117">
                  <c:v>-1.4490765993764683</c:v>
                </c:pt>
                <c:pt idx="118">
                  <c:v>-1.4429524947882086</c:v>
                </c:pt>
                <c:pt idx="119">
                  <c:v>-1.4371200142279505</c:v>
                </c:pt>
                <c:pt idx="120">
                  <c:v>-1.5100260212311056</c:v>
                </c:pt>
                <c:pt idx="121">
                  <c:v>-0.2999215130203936</c:v>
                </c:pt>
                <c:pt idx="122">
                  <c:v>-0.45681524009117425</c:v>
                </c:pt>
                <c:pt idx="123">
                  <c:v>-1.1448729717841388</c:v>
                </c:pt>
                <c:pt idx="124">
                  <c:v>-1.0493952650128122</c:v>
                </c:pt>
                <c:pt idx="125">
                  <c:v>-0.81743751313157276</c:v>
                </c:pt>
                <c:pt idx="126">
                  <c:v>-0.65861906747590382</c:v>
                </c:pt>
                <c:pt idx="127">
                  <c:v>-0.46264772065143234</c:v>
                </c:pt>
                <c:pt idx="128">
                  <c:v>-0.75777123700019189</c:v>
                </c:pt>
                <c:pt idx="129">
                  <c:v>-0.39191828988600008</c:v>
                </c:pt>
                <c:pt idx="130">
                  <c:v>-0.32641953319436823</c:v>
                </c:pt>
                <c:pt idx="131">
                  <c:v>-0.76519704574214131</c:v>
                </c:pt>
                <c:pt idx="132">
                  <c:v>-3.0304495150353716E-2</c:v>
                </c:pt>
                <c:pt idx="133">
                  <c:v>-0.20877840029407935</c:v>
                </c:pt>
                <c:pt idx="134">
                  <c:v>0.12791214401885753</c:v>
                </c:pt>
                <c:pt idx="135">
                  <c:v>0.39270676145431338</c:v>
                </c:pt>
                <c:pt idx="136">
                  <c:v>0.10475719619466162</c:v>
                </c:pt>
                <c:pt idx="137">
                  <c:v>0.28305612692157212</c:v>
                </c:pt>
                <c:pt idx="138">
                  <c:v>-0.24769960406138836</c:v>
                </c:pt>
                <c:pt idx="139">
                  <c:v>-6.162491575891238E-2</c:v>
                </c:pt>
                <c:pt idx="140">
                  <c:v>0.17301577718004069</c:v>
                </c:pt>
                <c:pt idx="141">
                  <c:v>-0.14952039780191484</c:v>
                </c:pt>
                <c:pt idx="142">
                  <c:v>-0.35284067013230924</c:v>
                </c:pt>
                <c:pt idx="143">
                  <c:v>-2.8918365171719529E-3</c:v>
                </c:pt>
                <c:pt idx="144">
                  <c:v>-0.11779170355413981</c:v>
                </c:pt>
                <c:pt idx="145">
                  <c:v>-0.77686200686265039</c:v>
                </c:pt>
                <c:pt idx="146">
                  <c:v>-0.18778147027716585</c:v>
                </c:pt>
                <c:pt idx="147">
                  <c:v>-0.37442084820524002</c:v>
                </c:pt>
                <c:pt idx="148">
                  <c:v>-0.45607557604877513</c:v>
                </c:pt>
                <c:pt idx="149">
                  <c:v>-0.38025332876549101</c:v>
                </c:pt>
                <c:pt idx="150">
                  <c:v>-0.45607557604877513</c:v>
                </c:pt>
                <c:pt idx="151">
                  <c:v>-2.9312973455112967E-2</c:v>
                </c:pt>
                <c:pt idx="152">
                  <c:v>-0.69328256043423409</c:v>
                </c:pt>
                <c:pt idx="153">
                  <c:v>-0.75353208462163934</c:v>
                </c:pt>
                <c:pt idx="154">
                  <c:v>-0.35447376468917469</c:v>
                </c:pt>
                <c:pt idx="155">
                  <c:v>-0.16445154803616191</c:v>
                </c:pt>
                <c:pt idx="156">
                  <c:v>-0.19361395083741684</c:v>
                </c:pt>
                <c:pt idx="157">
                  <c:v>-2.606534277180117E-2</c:v>
                </c:pt>
                <c:pt idx="158">
                  <c:v>-0.16021239565760226</c:v>
                </c:pt>
                <c:pt idx="159">
                  <c:v>-5.8143985853185143E-2</c:v>
                </c:pt>
                <c:pt idx="160">
                  <c:v>9.2858935851744207E-2</c:v>
                </c:pt>
                <c:pt idx="161">
                  <c:v>9.6416748993497947E-2</c:v>
                </c:pt>
                <c:pt idx="162">
                  <c:v>0.57468015493418534</c:v>
                </c:pt>
                <c:pt idx="163">
                  <c:v>0.1139141906742509</c:v>
                </c:pt>
                <c:pt idx="164">
                  <c:v>6.1421865631984929E-2</c:v>
                </c:pt>
                <c:pt idx="165">
                  <c:v>0.65474155459602201</c:v>
                </c:pt>
                <c:pt idx="166">
                  <c:v>0.81770106144946908</c:v>
                </c:pt>
                <c:pt idx="167">
                  <c:v>-0.18354231789861331</c:v>
                </c:pt>
                <c:pt idx="168">
                  <c:v>0.16349027543640204</c:v>
                </c:pt>
                <c:pt idx="169">
                  <c:v>0.10516546983387798</c:v>
                </c:pt>
                <c:pt idx="170">
                  <c:v>0.45219806316888622</c:v>
                </c:pt>
                <c:pt idx="171">
                  <c:v>0.44636558260863524</c:v>
                </c:pt>
                <c:pt idx="172">
                  <c:v>0.21160824005848156</c:v>
                </c:pt>
                <c:pt idx="173">
                  <c:v>3.8091943390973881E-2</c:v>
                </c:pt>
                <c:pt idx="174">
                  <c:v>0.16704808857815578</c:v>
                </c:pt>
                <c:pt idx="175">
                  <c:v>0.16640651571652398</c:v>
                </c:pt>
                <c:pt idx="176">
                  <c:v>-0.56514296252549201</c:v>
                </c:pt>
                <c:pt idx="177">
                  <c:v>-0.40358325100650205</c:v>
                </c:pt>
                <c:pt idx="178">
                  <c:v>-0.30005672106202752</c:v>
                </c:pt>
                <c:pt idx="179">
                  <c:v>0.201401399078037</c:v>
                </c:pt>
                <c:pt idx="180">
                  <c:v>0.17807147683703306</c:v>
                </c:pt>
                <c:pt idx="181">
                  <c:v>0.36311752658340879</c:v>
                </c:pt>
                <c:pt idx="182">
                  <c:v>0.68973643795753503</c:v>
                </c:pt>
                <c:pt idx="183">
                  <c:v>0.69556891851778602</c:v>
                </c:pt>
                <c:pt idx="184">
                  <c:v>0.36895000714365978</c:v>
                </c:pt>
                <c:pt idx="185">
                  <c:v>-0.17187735677811133</c:v>
                </c:pt>
                <c:pt idx="186">
                  <c:v>1.4762021149962834E-2</c:v>
                </c:pt>
                <c:pt idx="187">
                  <c:v>0.39970573812662025</c:v>
                </c:pt>
                <c:pt idx="188">
                  <c:v>7.4428297281343703E-2</c:v>
                </c:pt>
                <c:pt idx="189">
                  <c:v>0.4724367707129602</c:v>
                </c:pt>
                <c:pt idx="190">
                  <c:v>0.69469404643374588</c:v>
                </c:pt>
                <c:pt idx="191">
                  <c:v>1.0007826262357895</c:v>
                </c:pt>
                <c:pt idx="192">
                  <c:v>0.10108273344170016</c:v>
                </c:pt>
                <c:pt idx="193">
                  <c:v>0.53093655073229229</c:v>
                </c:pt>
                <c:pt idx="194">
                  <c:v>-0.16896111649798229</c:v>
                </c:pt>
                <c:pt idx="195">
                  <c:v>0.19136953251440758</c:v>
                </c:pt>
                <c:pt idx="196">
                  <c:v>0.33263221168371615</c:v>
                </c:pt>
                <c:pt idx="197">
                  <c:v>7.8919307312737885E-2</c:v>
                </c:pt>
                <c:pt idx="198">
                  <c:v>0.63724411291526195</c:v>
                </c:pt>
                <c:pt idx="199">
                  <c:v>0.660574035156273</c:v>
                </c:pt>
                <c:pt idx="200">
                  <c:v>0.61974667123450899</c:v>
                </c:pt>
                <c:pt idx="201">
                  <c:v>0.46226969610769686</c:v>
                </c:pt>
                <c:pt idx="202">
                  <c:v>0.65474155459602201</c:v>
                </c:pt>
                <c:pt idx="203">
                  <c:v>1.2848058710896453</c:v>
                </c:pt>
                <c:pt idx="204">
                  <c:v>0.5322594628307229</c:v>
                </c:pt>
                <c:pt idx="205">
                  <c:v>1.5338527910124213</c:v>
                </c:pt>
                <c:pt idx="206">
                  <c:v>1.3075339868441986</c:v>
                </c:pt>
                <c:pt idx="207">
                  <c:v>0.85571027627188556</c:v>
                </c:pt>
                <c:pt idx="208">
                  <c:v>0.69957388850249203</c:v>
                </c:pt>
                <c:pt idx="209">
                  <c:v>1.2708079177450387</c:v>
                </c:pt>
                <c:pt idx="210">
                  <c:v>0.60160765669212424</c:v>
                </c:pt>
                <c:pt idx="211">
                  <c:v>1.0464601769911539</c:v>
                </c:pt>
                <c:pt idx="212">
                  <c:v>1.0464601769911539</c:v>
                </c:pt>
                <c:pt idx="213">
                  <c:v>0.5464601769911539</c:v>
                </c:pt>
                <c:pt idx="214">
                  <c:v>4.6460176991153901E-2</c:v>
                </c:pt>
                <c:pt idx="215">
                  <c:v>4.6460176991153901E-2</c:v>
                </c:pt>
                <c:pt idx="216">
                  <c:v>0.5464601769911539</c:v>
                </c:pt>
                <c:pt idx="217">
                  <c:v>4.6460176991153901E-2</c:v>
                </c:pt>
                <c:pt idx="218">
                  <c:v>0.18390395739728405</c:v>
                </c:pt>
                <c:pt idx="219">
                  <c:v>0.69965165490996384</c:v>
                </c:pt>
                <c:pt idx="220">
                  <c:v>0.52059450171022092</c:v>
                </c:pt>
                <c:pt idx="221">
                  <c:v>-0.15146367481722223</c:v>
                </c:pt>
                <c:pt idx="222">
                  <c:v>1.1034157256657977</c:v>
                </c:pt>
                <c:pt idx="223">
                  <c:v>0.40651118195168578</c:v>
                </c:pt>
                <c:pt idx="224">
                  <c:v>0.71032509433522506</c:v>
                </c:pt>
                <c:pt idx="225">
                  <c:v>0.5935005087133689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2-4B4D-ABE8-3DF986E9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3329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3295"/>
        <c:crosses val="autoZero"/>
        <c:crossBetween val="midCat"/>
      </c:valAx>
      <c:valAx>
        <c:axId val="2123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'Cleaned Log'!$Y$2:$Y$227</c:f>
              <c:numCache>
                <c:formatCode>0.00</c:formatCode>
                <c:ptCount val="226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2.25</c:v>
                </c:pt>
                <c:pt idx="55">
                  <c:v>2</c:v>
                </c:pt>
                <c:pt idx="56">
                  <c:v>2.5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2.5</c:v>
                </c:pt>
                <c:pt idx="61">
                  <c:v>2.5</c:v>
                </c:pt>
                <c:pt idx="62">
                  <c:v>3.5</c:v>
                </c:pt>
                <c:pt idx="63">
                  <c:v>2.5</c:v>
                </c:pt>
                <c:pt idx="64">
                  <c:v>0.5</c:v>
                </c:pt>
                <c:pt idx="65">
                  <c:v>1.5</c:v>
                </c:pt>
                <c:pt idx="66">
                  <c:v>1.25</c:v>
                </c:pt>
                <c:pt idx="67">
                  <c:v>1.5</c:v>
                </c:pt>
                <c:pt idx="68">
                  <c:v>2</c:v>
                </c:pt>
                <c:pt idx="69">
                  <c:v>3.5</c:v>
                </c:pt>
                <c:pt idx="70">
                  <c:v>2.5</c:v>
                </c:pt>
                <c:pt idx="71">
                  <c:v>1.5</c:v>
                </c:pt>
                <c:pt idx="72">
                  <c:v>0.5</c:v>
                </c:pt>
                <c:pt idx="73">
                  <c:v>0.5</c:v>
                </c:pt>
                <c:pt idx="74">
                  <c:v>1.5</c:v>
                </c:pt>
                <c:pt idx="75">
                  <c:v>2.5</c:v>
                </c:pt>
                <c:pt idx="76">
                  <c:v>2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</c:v>
                </c:pt>
                <c:pt idx="94">
                  <c:v>3</c:v>
                </c:pt>
                <c:pt idx="95">
                  <c:v>4</c:v>
                </c:pt>
                <c:pt idx="96">
                  <c:v>2.5</c:v>
                </c:pt>
                <c:pt idx="97">
                  <c:v>2</c:v>
                </c:pt>
                <c:pt idx="98">
                  <c:v>1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0.5</c:v>
                </c:pt>
                <c:pt idx="111">
                  <c:v>0</c:v>
                </c:pt>
                <c:pt idx="112">
                  <c:v>0.25</c:v>
                </c:pt>
                <c:pt idx="113">
                  <c:v>3</c:v>
                </c:pt>
                <c:pt idx="114">
                  <c:v>2.5</c:v>
                </c:pt>
                <c:pt idx="115">
                  <c:v>2</c:v>
                </c:pt>
                <c:pt idx="116">
                  <c:v>3.2</c:v>
                </c:pt>
                <c:pt idx="117">
                  <c:v>1.5</c:v>
                </c:pt>
                <c:pt idx="118">
                  <c:v>0.5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0.25</c:v>
                </c:pt>
                <c:pt idx="123">
                  <c:v>0.25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0.5</c:v>
                </c:pt>
                <c:pt idx="133">
                  <c:v>0.5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0.5</c:v>
                </c:pt>
                <c:pt idx="138">
                  <c:v>0</c:v>
                </c:pt>
                <c:pt idx="139">
                  <c:v>0.25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1.5</c:v>
                </c:pt>
                <c:pt idx="144">
                  <c:v>0.5</c:v>
                </c:pt>
                <c:pt idx="145">
                  <c:v>0.25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0.5</c:v>
                </c:pt>
                <c:pt idx="154">
                  <c:v>0.5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0.75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1.5</c:v>
                </c:pt>
                <c:pt idx="184">
                  <c:v>2.5</c:v>
                </c:pt>
                <c:pt idx="185">
                  <c:v>1.5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1.5</c:v>
                </c:pt>
                <c:pt idx="190">
                  <c:v>1.5</c:v>
                </c:pt>
                <c:pt idx="191">
                  <c:v>0.5</c:v>
                </c:pt>
                <c:pt idx="192">
                  <c:v>0</c:v>
                </c:pt>
                <c:pt idx="193">
                  <c:v>0.5</c:v>
                </c:pt>
                <c:pt idx="194">
                  <c:v>1.5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1.5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1.5</c:v>
                </c:pt>
                <c:pt idx="209">
                  <c:v>2</c:v>
                </c:pt>
                <c:pt idx="210">
                  <c:v>2</c:v>
                </c:pt>
                <c:pt idx="211">
                  <c:v>1.1025114155251141</c:v>
                </c:pt>
                <c:pt idx="212">
                  <c:v>1.1025114155251141</c:v>
                </c:pt>
                <c:pt idx="213">
                  <c:v>1.1025114155251141</c:v>
                </c:pt>
                <c:pt idx="214">
                  <c:v>1.1025114155251141</c:v>
                </c:pt>
                <c:pt idx="215">
                  <c:v>1.1025114155251141</c:v>
                </c:pt>
                <c:pt idx="216">
                  <c:v>1.1025114155251141</c:v>
                </c:pt>
                <c:pt idx="217">
                  <c:v>1.1025114155251141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1.5</c:v>
                </c:pt>
                <c:pt idx="225">
                  <c:v>1</c:v>
                </c:pt>
              </c:numCache>
            </c:numRef>
          </c:xVal>
          <c:yVal>
            <c:numRef>
              <c:f>Residuals!$EJ$2:$EJ$227</c:f>
              <c:numCache>
                <c:formatCode>0.00</c:formatCode>
                <c:ptCount val="226"/>
                <c:pt idx="0">
                  <c:v>3.1138015251593671</c:v>
                </c:pt>
                <c:pt idx="1">
                  <c:v>2.5858595864537222</c:v>
                </c:pt>
                <c:pt idx="2">
                  <c:v>2.6138015251593671</c:v>
                </c:pt>
                <c:pt idx="3">
                  <c:v>2.6138015251593671</c:v>
                </c:pt>
                <c:pt idx="4">
                  <c:v>1.9461498929255043</c:v>
                </c:pt>
                <c:pt idx="5">
                  <c:v>2.5020337703367943</c:v>
                </c:pt>
                <c:pt idx="6">
                  <c:v>2.0579176477480772</c:v>
                </c:pt>
                <c:pt idx="7">
                  <c:v>2.16968540257065</c:v>
                </c:pt>
                <c:pt idx="8">
                  <c:v>2.4461498929255043</c:v>
                </c:pt>
                <c:pt idx="9">
                  <c:v>2.4461498929255043</c:v>
                </c:pt>
                <c:pt idx="10">
                  <c:v>2.0020337703367943</c:v>
                </c:pt>
                <c:pt idx="11">
                  <c:v>1.5579176477480772</c:v>
                </c:pt>
                <c:pt idx="12">
                  <c:v>1.9461498929255043</c:v>
                </c:pt>
                <c:pt idx="13">
                  <c:v>1.4461498929255043</c:v>
                </c:pt>
                <c:pt idx="14">
                  <c:v>1.4461498929255043</c:v>
                </c:pt>
                <c:pt idx="15">
                  <c:v>1.2226143832803587</c:v>
                </c:pt>
                <c:pt idx="16">
                  <c:v>1.4461498929255043</c:v>
                </c:pt>
                <c:pt idx="17">
                  <c:v>1.5579176477480772</c:v>
                </c:pt>
                <c:pt idx="18">
                  <c:v>1.5020337703367943</c:v>
                </c:pt>
                <c:pt idx="19">
                  <c:v>1.4461498929255043</c:v>
                </c:pt>
                <c:pt idx="20">
                  <c:v>1.5020337703367943</c:v>
                </c:pt>
                <c:pt idx="21">
                  <c:v>1.0579176477480772</c:v>
                </c:pt>
                <c:pt idx="22">
                  <c:v>0.83438213810293149</c:v>
                </c:pt>
                <c:pt idx="23">
                  <c:v>0.44614989292550433</c:v>
                </c:pt>
                <c:pt idx="24">
                  <c:v>1.0020337703367943</c:v>
                </c:pt>
                <c:pt idx="25">
                  <c:v>0.5020337703367943</c:v>
                </c:pt>
                <c:pt idx="26">
                  <c:v>1.5579176477480772</c:v>
                </c:pt>
                <c:pt idx="27">
                  <c:v>0.55791764774807717</c:v>
                </c:pt>
                <c:pt idx="28">
                  <c:v>0.55791764774807717</c:v>
                </c:pt>
                <c:pt idx="29">
                  <c:v>0.5020337703367943</c:v>
                </c:pt>
                <c:pt idx="30">
                  <c:v>0.5020337703367943</c:v>
                </c:pt>
                <c:pt idx="31">
                  <c:v>0.39026601551422146</c:v>
                </c:pt>
                <c:pt idx="32">
                  <c:v>-5.3850107074495668E-2</c:v>
                </c:pt>
                <c:pt idx="33">
                  <c:v>-5.3850107074495668E-2</c:v>
                </c:pt>
                <c:pt idx="34">
                  <c:v>5.7917647748077172E-2</c:v>
                </c:pt>
                <c:pt idx="35">
                  <c:v>2.033770336794305E-3</c:v>
                </c:pt>
                <c:pt idx="36">
                  <c:v>-5.3850107074495668E-2</c:v>
                </c:pt>
                <c:pt idx="37">
                  <c:v>5.7917647748077172E-2</c:v>
                </c:pt>
                <c:pt idx="38">
                  <c:v>0.44614989292550433</c:v>
                </c:pt>
                <c:pt idx="39">
                  <c:v>0.66968540257065001</c:v>
                </c:pt>
                <c:pt idx="40">
                  <c:v>-0.33031459742934999</c:v>
                </c:pt>
                <c:pt idx="41">
                  <c:v>0.16968540257065001</c:v>
                </c:pt>
                <c:pt idx="42">
                  <c:v>0.11380152515936715</c:v>
                </c:pt>
                <c:pt idx="43">
                  <c:v>0.11380152515936715</c:v>
                </c:pt>
                <c:pt idx="44">
                  <c:v>0.11380152515936715</c:v>
                </c:pt>
                <c:pt idx="45">
                  <c:v>0.61380152515936715</c:v>
                </c:pt>
                <c:pt idx="46">
                  <c:v>0.55791764774807717</c:v>
                </c:pt>
                <c:pt idx="47">
                  <c:v>-5.3850107074495668E-2</c:v>
                </c:pt>
                <c:pt idx="48">
                  <c:v>-5.3850107074495668E-2</c:v>
                </c:pt>
                <c:pt idx="49">
                  <c:v>2.033770336794305E-3</c:v>
                </c:pt>
                <c:pt idx="50">
                  <c:v>5.7917647748077172E-2</c:v>
                </c:pt>
                <c:pt idx="51">
                  <c:v>5.7917647748077172E-2</c:v>
                </c:pt>
                <c:pt idx="52">
                  <c:v>-5.3850107074495668E-2</c:v>
                </c:pt>
                <c:pt idx="53">
                  <c:v>-5.3850107074495668E-2</c:v>
                </c:pt>
                <c:pt idx="54">
                  <c:v>-0.58179204578014065</c:v>
                </c:pt>
                <c:pt idx="55">
                  <c:v>-0.55385010707449567</c:v>
                </c:pt>
                <c:pt idx="56">
                  <c:v>-0.60973398448577854</c:v>
                </c:pt>
                <c:pt idx="57">
                  <c:v>-0.55385010707449567</c:v>
                </c:pt>
                <c:pt idx="58">
                  <c:v>-0.66561786189706851</c:v>
                </c:pt>
                <c:pt idx="59">
                  <c:v>-1.0538501070744957</c:v>
                </c:pt>
                <c:pt idx="60">
                  <c:v>-1.1097339844857785</c:v>
                </c:pt>
                <c:pt idx="61">
                  <c:v>-1.1097339844857785</c:v>
                </c:pt>
                <c:pt idx="62">
                  <c:v>-1.2215017393083514</c:v>
                </c:pt>
                <c:pt idx="63">
                  <c:v>-1.6097339844857785</c:v>
                </c:pt>
                <c:pt idx="64">
                  <c:v>-1.3861984748406329</c:v>
                </c:pt>
                <c:pt idx="65">
                  <c:v>-0.9979662296632057</c:v>
                </c:pt>
                <c:pt idx="66">
                  <c:v>-0.97002429095756781</c:v>
                </c:pt>
                <c:pt idx="67">
                  <c:v>-0.9979662296632057</c:v>
                </c:pt>
                <c:pt idx="68">
                  <c:v>-0.55385010707449567</c:v>
                </c:pt>
                <c:pt idx="69">
                  <c:v>-1.2215017393083514</c:v>
                </c:pt>
                <c:pt idx="70">
                  <c:v>-1.1097339844857785</c:v>
                </c:pt>
                <c:pt idx="71">
                  <c:v>-1.4979662296632057</c:v>
                </c:pt>
                <c:pt idx="72">
                  <c:v>-1.3861984748406329</c:v>
                </c:pt>
                <c:pt idx="73">
                  <c:v>-1.3861984748406329</c:v>
                </c:pt>
                <c:pt idx="74">
                  <c:v>-0.4979662296632057</c:v>
                </c:pt>
                <c:pt idx="75">
                  <c:v>-1.1097339844857785</c:v>
                </c:pt>
                <c:pt idx="76">
                  <c:v>-1.5538501070744957</c:v>
                </c:pt>
                <c:pt idx="77">
                  <c:v>-0.9979662296632057</c:v>
                </c:pt>
                <c:pt idx="78">
                  <c:v>-0.88619847484063285</c:v>
                </c:pt>
                <c:pt idx="79">
                  <c:v>-0.88619847484063285</c:v>
                </c:pt>
                <c:pt idx="80">
                  <c:v>-0.88619847484063285</c:v>
                </c:pt>
                <c:pt idx="81">
                  <c:v>-1.3861984748406329</c:v>
                </c:pt>
                <c:pt idx="82">
                  <c:v>-0.88619847484063285</c:v>
                </c:pt>
                <c:pt idx="83">
                  <c:v>-0.88619847484063285</c:v>
                </c:pt>
                <c:pt idx="84">
                  <c:v>-0.83031459742934999</c:v>
                </c:pt>
                <c:pt idx="85">
                  <c:v>-0.88619847484063285</c:v>
                </c:pt>
                <c:pt idx="86">
                  <c:v>-0.83031459742934999</c:v>
                </c:pt>
                <c:pt idx="87">
                  <c:v>-0.83031459742934999</c:v>
                </c:pt>
                <c:pt idx="88">
                  <c:v>-1.0538501070744957</c:v>
                </c:pt>
                <c:pt idx="89">
                  <c:v>-0.44208235225192283</c:v>
                </c:pt>
                <c:pt idx="90">
                  <c:v>-0.83031459742934999</c:v>
                </c:pt>
                <c:pt idx="91">
                  <c:v>-0.83031459742934999</c:v>
                </c:pt>
                <c:pt idx="92">
                  <c:v>-0.33031459742934999</c:v>
                </c:pt>
                <c:pt idx="93">
                  <c:v>-0.10973398448577854</c:v>
                </c:pt>
                <c:pt idx="94">
                  <c:v>-0.16561786189706851</c:v>
                </c:pt>
                <c:pt idx="95">
                  <c:v>-0.77738561671964135</c:v>
                </c:pt>
                <c:pt idx="96">
                  <c:v>-0.60973398448577854</c:v>
                </c:pt>
                <c:pt idx="97">
                  <c:v>-0.55385010707449567</c:v>
                </c:pt>
                <c:pt idx="98">
                  <c:v>-0.94208235225192283</c:v>
                </c:pt>
                <c:pt idx="99">
                  <c:v>-1.3861984748406329</c:v>
                </c:pt>
                <c:pt idx="100">
                  <c:v>-0.88619847484063285</c:v>
                </c:pt>
                <c:pt idx="101">
                  <c:v>-1.3861984748406329</c:v>
                </c:pt>
                <c:pt idx="102">
                  <c:v>-0.38619847484063285</c:v>
                </c:pt>
                <c:pt idx="103">
                  <c:v>0.11380152515936715</c:v>
                </c:pt>
                <c:pt idx="104">
                  <c:v>0.11380152515936715</c:v>
                </c:pt>
                <c:pt idx="105">
                  <c:v>5.7917647748077172E-2</c:v>
                </c:pt>
                <c:pt idx="106">
                  <c:v>-0.44208235225192283</c:v>
                </c:pt>
                <c:pt idx="107">
                  <c:v>-0.66561786189706851</c:v>
                </c:pt>
                <c:pt idx="108">
                  <c:v>-1.0538501070744957</c:v>
                </c:pt>
                <c:pt idx="109">
                  <c:v>-0.94208235225192283</c:v>
                </c:pt>
                <c:pt idx="110">
                  <c:v>-0.88619847484063285</c:v>
                </c:pt>
                <c:pt idx="111">
                  <c:v>-0.33031459742934999</c:v>
                </c:pt>
                <c:pt idx="112">
                  <c:v>-0.85825653613499497</c:v>
                </c:pt>
                <c:pt idx="113">
                  <c:v>-1.1656178618970685</c:v>
                </c:pt>
                <c:pt idx="114">
                  <c:v>-1.1097339844857785</c:v>
                </c:pt>
                <c:pt idx="115">
                  <c:v>-1.0538501070744957</c:v>
                </c:pt>
                <c:pt idx="116">
                  <c:v>-1.1879714128615788</c:v>
                </c:pt>
                <c:pt idx="117">
                  <c:v>-1.4979662296632057</c:v>
                </c:pt>
                <c:pt idx="118">
                  <c:v>-1.3861984748406329</c:v>
                </c:pt>
                <c:pt idx="119">
                  <c:v>-1.5538501070744957</c:v>
                </c:pt>
                <c:pt idx="120">
                  <c:v>-1.33031459742935</c:v>
                </c:pt>
                <c:pt idx="121">
                  <c:v>-0.83031459742934999</c:v>
                </c:pt>
                <c:pt idx="122">
                  <c:v>-0.85825653613499497</c:v>
                </c:pt>
                <c:pt idx="123">
                  <c:v>-0.85825653613499497</c:v>
                </c:pt>
                <c:pt idx="124">
                  <c:v>-0.83031459742934999</c:v>
                </c:pt>
                <c:pt idx="125">
                  <c:v>-0.83031459742934999</c:v>
                </c:pt>
                <c:pt idx="126">
                  <c:v>-0.83031459742934999</c:v>
                </c:pt>
                <c:pt idx="127">
                  <c:v>-0.83031459742934999</c:v>
                </c:pt>
                <c:pt idx="128">
                  <c:v>-0.97002429095756781</c:v>
                </c:pt>
                <c:pt idx="129">
                  <c:v>-0.35825653613499497</c:v>
                </c:pt>
                <c:pt idx="130">
                  <c:v>-0.35825653613499497</c:v>
                </c:pt>
                <c:pt idx="131">
                  <c:v>-0.35825653613499497</c:v>
                </c:pt>
                <c:pt idx="132">
                  <c:v>-0.38619847484063285</c:v>
                </c:pt>
                <c:pt idx="133">
                  <c:v>-0.38619847484063285</c:v>
                </c:pt>
                <c:pt idx="134">
                  <c:v>5.7917647748077172E-2</c:v>
                </c:pt>
                <c:pt idx="135">
                  <c:v>5.7917647748077172E-2</c:v>
                </c:pt>
                <c:pt idx="136">
                  <c:v>0.11380152515936715</c:v>
                </c:pt>
                <c:pt idx="137">
                  <c:v>0.11380152515936715</c:v>
                </c:pt>
                <c:pt idx="138">
                  <c:v>0.16968540257065001</c:v>
                </c:pt>
                <c:pt idx="139">
                  <c:v>-0.35825653613499497</c:v>
                </c:pt>
                <c:pt idx="140">
                  <c:v>-0.33031459742934999</c:v>
                </c:pt>
                <c:pt idx="141">
                  <c:v>-0.33031459742934999</c:v>
                </c:pt>
                <c:pt idx="142">
                  <c:v>-0.33031459742934999</c:v>
                </c:pt>
                <c:pt idx="143">
                  <c:v>-0.4979662296632057</c:v>
                </c:pt>
                <c:pt idx="144">
                  <c:v>-0.38619847484063285</c:v>
                </c:pt>
                <c:pt idx="145">
                  <c:v>-0.35825653613499497</c:v>
                </c:pt>
                <c:pt idx="146">
                  <c:v>-0.33031459742934999</c:v>
                </c:pt>
                <c:pt idx="147">
                  <c:v>-0.33031459742934999</c:v>
                </c:pt>
                <c:pt idx="148">
                  <c:v>-0.33031459742934999</c:v>
                </c:pt>
                <c:pt idx="149">
                  <c:v>-0.33031459742934999</c:v>
                </c:pt>
                <c:pt idx="150">
                  <c:v>-0.33031459742934999</c:v>
                </c:pt>
                <c:pt idx="151">
                  <c:v>-0.33031459742934999</c:v>
                </c:pt>
                <c:pt idx="152">
                  <c:v>-0.33031459742934999</c:v>
                </c:pt>
                <c:pt idx="153">
                  <c:v>-0.38619847484063285</c:v>
                </c:pt>
                <c:pt idx="154">
                  <c:v>-0.38619847484063285</c:v>
                </c:pt>
                <c:pt idx="155">
                  <c:v>-0.33031459742934999</c:v>
                </c:pt>
                <c:pt idx="156">
                  <c:v>-0.33031459742934999</c:v>
                </c:pt>
                <c:pt idx="157">
                  <c:v>0.16968540257065001</c:v>
                </c:pt>
                <c:pt idx="158">
                  <c:v>5.7917647748077172E-2</c:v>
                </c:pt>
                <c:pt idx="159">
                  <c:v>-5.3850107074495668E-2</c:v>
                </c:pt>
                <c:pt idx="160">
                  <c:v>5.7917647748077172E-2</c:v>
                </c:pt>
                <c:pt idx="161">
                  <c:v>5.7917647748077172E-2</c:v>
                </c:pt>
                <c:pt idx="162">
                  <c:v>0.16968540257065001</c:v>
                </c:pt>
                <c:pt idx="163">
                  <c:v>5.7917647748077172E-2</c:v>
                </c:pt>
                <c:pt idx="164">
                  <c:v>0.16968540257065001</c:v>
                </c:pt>
                <c:pt idx="165">
                  <c:v>0.58585958645372216</c:v>
                </c:pt>
                <c:pt idx="166">
                  <c:v>0.55791764774807717</c:v>
                </c:pt>
                <c:pt idx="167">
                  <c:v>5.7917647748077172E-2</c:v>
                </c:pt>
                <c:pt idx="168">
                  <c:v>0.16968540257065001</c:v>
                </c:pt>
                <c:pt idx="169">
                  <c:v>0.16968540257065001</c:v>
                </c:pt>
                <c:pt idx="170">
                  <c:v>0.16968540257065001</c:v>
                </c:pt>
                <c:pt idx="171">
                  <c:v>0.16968540257065001</c:v>
                </c:pt>
                <c:pt idx="172">
                  <c:v>5.7917647748077172E-2</c:v>
                </c:pt>
                <c:pt idx="173">
                  <c:v>0.16968540257065001</c:v>
                </c:pt>
                <c:pt idx="174">
                  <c:v>0.11380152515936715</c:v>
                </c:pt>
                <c:pt idx="175">
                  <c:v>5.7917647748077172E-2</c:v>
                </c:pt>
                <c:pt idx="176">
                  <c:v>-0.44208235225192283</c:v>
                </c:pt>
                <c:pt idx="177">
                  <c:v>-0.44208235225192283</c:v>
                </c:pt>
                <c:pt idx="178">
                  <c:v>-0.44208235225192283</c:v>
                </c:pt>
                <c:pt idx="179">
                  <c:v>5.7917647748077172E-2</c:v>
                </c:pt>
                <c:pt idx="180">
                  <c:v>-5.3850107074495668E-2</c:v>
                </c:pt>
                <c:pt idx="181">
                  <c:v>0.44614989292550433</c:v>
                </c:pt>
                <c:pt idx="182">
                  <c:v>0.44614989292550433</c:v>
                </c:pt>
                <c:pt idx="183">
                  <c:v>0.5020337703367943</c:v>
                </c:pt>
                <c:pt idx="184">
                  <c:v>0.39026601551422146</c:v>
                </c:pt>
                <c:pt idx="185">
                  <c:v>2.033770336794305E-3</c:v>
                </c:pt>
                <c:pt idx="186">
                  <c:v>5.7917647748077172E-2</c:v>
                </c:pt>
                <c:pt idx="187">
                  <c:v>5.7917647748077172E-2</c:v>
                </c:pt>
                <c:pt idx="188">
                  <c:v>5.7917647748077172E-2</c:v>
                </c:pt>
                <c:pt idx="189">
                  <c:v>2.033770336794305E-3</c:v>
                </c:pt>
                <c:pt idx="190">
                  <c:v>0.5020337703367943</c:v>
                </c:pt>
                <c:pt idx="191">
                  <c:v>0.61380152515936715</c:v>
                </c:pt>
                <c:pt idx="192">
                  <c:v>0.16968540257065001</c:v>
                </c:pt>
                <c:pt idx="193">
                  <c:v>0.11380152515936715</c:v>
                </c:pt>
                <c:pt idx="194">
                  <c:v>2.033770336794305E-3</c:v>
                </c:pt>
                <c:pt idx="195">
                  <c:v>5.7917647748077172E-2</c:v>
                </c:pt>
                <c:pt idx="196">
                  <c:v>-5.3850107074495668E-2</c:v>
                </c:pt>
                <c:pt idx="197">
                  <c:v>5.7917647748077172E-2</c:v>
                </c:pt>
                <c:pt idx="198">
                  <c:v>0.55791764774807717</c:v>
                </c:pt>
                <c:pt idx="199">
                  <c:v>0.55791764774807717</c:v>
                </c:pt>
                <c:pt idx="200">
                  <c:v>0.55791764774807717</c:v>
                </c:pt>
                <c:pt idx="201">
                  <c:v>0.61380152515936715</c:v>
                </c:pt>
                <c:pt idx="202">
                  <c:v>0.5020337703367943</c:v>
                </c:pt>
                <c:pt idx="203">
                  <c:v>1.0579176477480772</c:v>
                </c:pt>
                <c:pt idx="204">
                  <c:v>0.66968540257065001</c:v>
                </c:pt>
                <c:pt idx="205">
                  <c:v>1.16968540257065</c:v>
                </c:pt>
                <c:pt idx="206">
                  <c:v>1.66968540257065</c:v>
                </c:pt>
                <c:pt idx="207">
                  <c:v>1.0579176477480772</c:v>
                </c:pt>
                <c:pt idx="208">
                  <c:v>0.5020337703367943</c:v>
                </c:pt>
                <c:pt idx="209">
                  <c:v>0.94614989292550433</c:v>
                </c:pt>
                <c:pt idx="210">
                  <c:v>0.44614989292550433</c:v>
                </c:pt>
                <c:pt idx="211">
                  <c:v>1.0464601769911539</c:v>
                </c:pt>
                <c:pt idx="212">
                  <c:v>1.0464601769911539</c:v>
                </c:pt>
                <c:pt idx="213">
                  <c:v>0.5464601769911539</c:v>
                </c:pt>
                <c:pt idx="214">
                  <c:v>4.6460176991153901E-2</c:v>
                </c:pt>
                <c:pt idx="215">
                  <c:v>4.6460176991153901E-2</c:v>
                </c:pt>
                <c:pt idx="216">
                  <c:v>0.5464601769911539</c:v>
                </c:pt>
                <c:pt idx="217">
                  <c:v>4.6460176991153901E-2</c:v>
                </c:pt>
                <c:pt idx="218">
                  <c:v>0.11380152515936715</c:v>
                </c:pt>
                <c:pt idx="219">
                  <c:v>0.61380152515936715</c:v>
                </c:pt>
                <c:pt idx="220">
                  <c:v>0.61380152515936715</c:v>
                </c:pt>
                <c:pt idx="221">
                  <c:v>-5.3850107074495668E-2</c:v>
                </c:pt>
                <c:pt idx="222">
                  <c:v>1.0020337703367943</c:v>
                </c:pt>
                <c:pt idx="223">
                  <c:v>0.44614989292550433</c:v>
                </c:pt>
                <c:pt idx="224">
                  <c:v>0.5020337703367943</c:v>
                </c:pt>
                <c:pt idx="225">
                  <c:v>0.55791764774807717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3-42F0-98FA-11C5264C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3215"/>
        <c:axId val="2123733615"/>
      </c:scatterChart>
      <c:valAx>
        <c:axId val="2123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3615"/>
        <c:crosses val="autoZero"/>
        <c:crossBetween val="midCat"/>
      </c:valAx>
      <c:valAx>
        <c:axId val="21237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Fat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'Cleaned Log'!$Z$2:$Z$227</c:f>
              <c:numCache>
                <c:formatCode>0.00</c:formatCode>
                <c:ptCount val="226"/>
                <c:pt idx="0">
                  <c:v>454.5</c:v>
                </c:pt>
                <c:pt idx="1">
                  <c:v>765</c:v>
                </c:pt>
                <c:pt idx="2">
                  <c:v>351.6825</c:v>
                </c:pt>
                <c:pt idx="3">
                  <c:v>108</c:v>
                </c:pt>
                <c:pt idx="4">
                  <c:v>540.88499999999999</c:v>
                </c:pt>
                <c:pt idx="5">
                  <c:v>313.755</c:v>
                </c:pt>
                <c:pt idx="6">
                  <c:v>637.21499999999992</c:v>
                </c:pt>
                <c:pt idx="7">
                  <c:v>2061</c:v>
                </c:pt>
                <c:pt idx="8">
                  <c:v>1083.9749999999999</c:v>
                </c:pt>
                <c:pt idx="9">
                  <c:v>741.97499999999991</c:v>
                </c:pt>
                <c:pt idx="10">
                  <c:v>689.43</c:v>
                </c:pt>
                <c:pt idx="11">
                  <c:v>498.41249999999997</c:v>
                </c:pt>
                <c:pt idx="12">
                  <c:v>1144.8</c:v>
                </c:pt>
                <c:pt idx="13">
                  <c:v>747.58124999999995</c:v>
                </c:pt>
                <c:pt idx="14">
                  <c:v>512.12249999999995</c:v>
                </c:pt>
                <c:pt idx="15">
                  <c:v>738.23249999999996</c:v>
                </c:pt>
                <c:pt idx="16">
                  <c:v>312.82499999999999</c:v>
                </c:pt>
                <c:pt idx="17">
                  <c:v>339.82499999999999</c:v>
                </c:pt>
                <c:pt idx="18">
                  <c:v>312.37499999999994</c:v>
                </c:pt>
                <c:pt idx="19">
                  <c:v>537.39750000000004</c:v>
                </c:pt>
                <c:pt idx="20">
                  <c:v>395.77500000000003</c:v>
                </c:pt>
                <c:pt idx="21">
                  <c:v>405.02249999999998</c:v>
                </c:pt>
                <c:pt idx="22">
                  <c:v>331.9896</c:v>
                </c:pt>
                <c:pt idx="23">
                  <c:v>267.82800000000003</c:v>
                </c:pt>
                <c:pt idx="24">
                  <c:v>503.53800000000007</c:v>
                </c:pt>
                <c:pt idx="25">
                  <c:v>313.81800000000004</c:v>
                </c:pt>
                <c:pt idx="26">
                  <c:v>583.99800000000005</c:v>
                </c:pt>
                <c:pt idx="27">
                  <c:v>511.27800000000008</c:v>
                </c:pt>
                <c:pt idx="28">
                  <c:v>286.27800000000008</c:v>
                </c:pt>
                <c:pt idx="29">
                  <c:v>403.46999999999997</c:v>
                </c:pt>
                <c:pt idx="30">
                  <c:v>318.11100000000005</c:v>
                </c:pt>
                <c:pt idx="31">
                  <c:v>585.68100000000004</c:v>
                </c:pt>
                <c:pt idx="32">
                  <c:v>384.71100000000007</c:v>
                </c:pt>
                <c:pt idx="33">
                  <c:v>806.32200000000012</c:v>
                </c:pt>
                <c:pt idx="34">
                  <c:v>468.68100000000004</c:v>
                </c:pt>
                <c:pt idx="35">
                  <c:v>841.5</c:v>
                </c:pt>
                <c:pt idx="36">
                  <c:v>268.79100000000005</c:v>
                </c:pt>
                <c:pt idx="37">
                  <c:v>2483.5499999999997</c:v>
                </c:pt>
                <c:pt idx="38">
                  <c:v>626</c:v>
                </c:pt>
                <c:pt idx="39">
                  <c:v>1485</c:v>
                </c:pt>
                <c:pt idx="40">
                  <c:v>893.25</c:v>
                </c:pt>
                <c:pt idx="41">
                  <c:v>1076.4000000000001</c:v>
                </c:pt>
                <c:pt idx="42">
                  <c:v>1215</c:v>
                </c:pt>
                <c:pt idx="43">
                  <c:v>1782</c:v>
                </c:pt>
                <c:pt idx="44">
                  <c:v>1046.6315999999999</c:v>
                </c:pt>
                <c:pt idx="45">
                  <c:v>1708.6206857142856</c:v>
                </c:pt>
                <c:pt idx="46">
                  <c:v>445.25625000000002</c:v>
                </c:pt>
                <c:pt idx="47">
                  <c:v>681.18285953177258</c:v>
                </c:pt>
                <c:pt idx="48">
                  <c:v>692.59500000000003</c:v>
                </c:pt>
                <c:pt idx="49">
                  <c:v>593.88285953177251</c:v>
                </c:pt>
                <c:pt idx="50">
                  <c:v>670.38285953177251</c:v>
                </c:pt>
                <c:pt idx="51">
                  <c:v>1030.7759999999998</c:v>
                </c:pt>
                <c:pt idx="52">
                  <c:v>620.88285953177274</c:v>
                </c:pt>
                <c:pt idx="53">
                  <c:v>859.7399999999999</c:v>
                </c:pt>
                <c:pt idx="54">
                  <c:v>652.38285953177251</c:v>
                </c:pt>
                <c:pt idx="55">
                  <c:v>776.05785953177258</c:v>
                </c:pt>
                <c:pt idx="56">
                  <c:v>715.29642857142858</c:v>
                </c:pt>
                <c:pt idx="57">
                  <c:v>514.8964285714286</c:v>
                </c:pt>
                <c:pt idx="58">
                  <c:v>825.90000000000009</c:v>
                </c:pt>
                <c:pt idx="59">
                  <c:v>487.89642857142866</c:v>
                </c:pt>
                <c:pt idx="60">
                  <c:v>971.7</c:v>
                </c:pt>
                <c:pt idx="61">
                  <c:v>688.59642857142865</c:v>
                </c:pt>
                <c:pt idx="62">
                  <c:v>845.79642857142858</c:v>
                </c:pt>
                <c:pt idx="63">
                  <c:v>346.20000000000005</c:v>
                </c:pt>
                <c:pt idx="64">
                  <c:v>2264.4</c:v>
                </c:pt>
                <c:pt idx="65">
                  <c:v>179.10000000000002</c:v>
                </c:pt>
                <c:pt idx="66">
                  <c:v>553.59642857142865</c:v>
                </c:pt>
                <c:pt idx="67">
                  <c:v>2794.2000000000003</c:v>
                </c:pt>
                <c:pt idx="68">
                  <c:v>764.77500000000009</c:v>
                </c:pt>
                <c:pt idx="69">
                  <c:v>798.83571428571429</c:v>
                </c:pt>
                <c:pt idx="70">
                  <c:v>436.05000000000007</c:v>
                </c:pt>
                <c:pt idx="71">
                  <c:v>2185.2857142857147</c:v>
                </c:pt>
                <c:pt idx="72">
                  <c:v>640.79999999999995</c:v>
                </c:pt>
                <c:pt idx="73">
                  <c:v>1881</c:v>
                </c:pt>
                <c:pt idx="74">
                  <c:v>423.4500000000001</c:v>
                </c:pt>
                <c:pt idx="75">
                  <c:v>610.28571428571422</c:v>
                </c:pt>
                <c:pt idx="76">
                  <c:v>918.90000000000009</c:v>
                </c:pt>
                <c:pt idx="77">
                  <c:v>565.28571428571422</c:v>
                </c:pt>
                <c:pt idx="78">
                  <c:v>2161.8857142857146</c:v>
                </c:pt>
                <c:pt idx="79">
                  <c:v>1147.5</c:v>
                </c:pt>
                <c:pt idx="80">
                  <c:v>490.05000000000007</c:v>
                </c:pt>
                <c:pt idx="81">
                  <c:v>662.62071428571426</c:v>
                </c:pt>
                <c:pt idx="82">
                  <c:v>568.03499999999997</c:v>
                </c:pt>
                <c:pt idx="83">
                  <c:v>348.48</c:v>
                </c:pt>
                <c:pt idx="84">
                  <c:v>658.57500000000005</c:v>
                </c:pt>
                <c:pt idx="85">
                  <c:v>1208.0362500000001</c:v>
                </c:pt>
                <c:pt idx="86">
                  <c:v>2398.0612499999997</c:v>
                </c:pt>
                <c:pt idx="87">
                  <c:v>584.12249999999995</c:v>
                </c:pt>
                <c:pt idx="88">
                  <c:v>781.7962500000001</c:v>
                </c:pt>
                <c:pt idx="89">
                  <c:v>1156.05</c:v>
                </c:pt>
                <c:pt idx="90">
                  <c:v>1127.25</c:v>
                </c:pt>
                <c:pt idx="91">
                  <c:v>2947.2750000000001</c:v>
                </c:pt>
                <c:pt idx="92">
                  <c:v>1759.5</c:v>
                </c:pt>
                <c:pt idx="93">
                  <c:v>690.3</c:v>
                </c:pt>
                <c:pt idx="94">
                  <c:v>573.56399999999996</c:v>
                </c:pt>
                <c:pt idx="95">
                  <c:v>1379.16</c:v>
                </c:pt>
                <c:pt idx="96">
                  <c:v>538.46399999999994</c:v>
                </c:pt>
                <c:pt idx="97">
                  <c:v>1276.155</c:v>
                </c:pt>
                <c:pt idx="98">
                  <c:v>1019.0550000000001</c:v>
                </c:pt>
                <c:pt idx="99">
                  <c:v>1252.5509999999999</c:v>
                </c:pt>
                <c:pt idx="100">
                  <c:v>2338.1550000000002</c:v>
                </c:pt>
                <c:pt idx="101">
                  <c:v>2296.8000000000002</c:v>
                </c:pt>
                <c:pt idx="102">
                  <c:v>384.91500000000002</c:v>
                </c:pt>
                <c:pt idx="103">
                  <c:v>687.54</c:v>
                </c:pt>
                <c:pt idx="104">
                  <c:v>687.54</c:v>
                </c:pt>
                <c:pt idx="105">
                  <c:v>818.37450000000013</c:v>
                </c:pt>
                <c:pt idx="106">
                  <c:v>882.33749999999998</c:v>
                </c:pt>
                <c:pt idx="107">
                  <c:v>593.89650000000006</c:v>
                </c:pt>
                <c:pt idx="108">
                  <c:v>376.911</c:v>
                </c:pt>
                <c:pt idx="109">
                  <c:v>691.875</c:v>
                </c:pt>
                <c:pt idx="110">
                  <c:v>586.45799999999997</c:v>
                </c:pt>
                <c:pt idx="111">
                  <c:v>787.5</c:v>
                </c:pt>
                <c:pt idx="112">
                  <c:v>522.47699999999998</c:v>
                </c:pt>
                <c:pt idx="113">
                  <c:v>333.59400000000005</c:v>
                </c:pt>
                <c:pt idx="114">
                  <c:v>583.875</c:v>
                </c:pt>
                <c:pt idx="115">
                  <c:v>325.548</c:v>
                </c:pt>
                <c:pt idx="116">
                  <c:v>472.83750000000003</c:v>
                </c:pt>
                <c:pt idx="117">
                  <c:v>230.4</c:v>
                </c:pt>
                <c:pt idx="118">
                  <c:v>187.2</c:v>
                </c:pt>
                <c:pt idx="119">
                  <c:v>85.5</c:v>
                </c:pt>
                <c:pt idx="120">
                  <c:v>99</c:v>
                </c:pt>
                <c:pt idx="121">
                  <c:v>2592</c:v>
                </c:pt>
                <c:pt idx="122">
                  <c:v>849.28499999999997</c:v>
                </c:pt>
                <c:pt idx="123">
                  <c:v>1831.05</c:v>
                </c:pt>
                <c:pt idx="124">
                  <c:v>0</c:v>
                </c:pt>
                <c:pt idx="125">
                  <c:v>1249.866</c:v>
                </c:pt>
                <c:pt idx="126">
                  <c:v>1613.1455357142856</c:v>
                </c:pt>
                <c:pt idx="127">
                  <c:v>2220.9460714285715</c:v>
                </c:pt>
                <c:pt idx="128">
                  <c:v>2277.3716517857147</c:v>
                </c:pt>
                <c:pt idx="129">
                  <c:v>2008.2977678571428</c:v>
                </c:pt>
                <c:pt idx="130">
                  <c:v>1839.5315357142856</c:v>
                </c:pt>
                <c:pt idx="131">
                  <c:v>0</c:v>
                </c:pt>
                <c:pt idx="132">
                  <c:v>1932.3</c:v>
                </c:pt>
                <c:pt idx="133">
                  <c:v>1655.595</c:v>
                </c:pt>
                <c:pt idx="134">
                  <c:v>2253.1950000000002</c:v>
                </c:pt>
                <c:pt idx="135">
                  <c:v>1360.42875</c:v>
                </c:pt>
                <c:pt idx="136">
                  <c:v>671.17387499999995</c:v>
                </c:pt>
                <c:pt idx="137">
                  <c:v>746.34243749999996</c:v>
                </c:pt>
                <c:pt idx="138">
                  <c:v>153</c:v>
                </c:pt>
                <c:pt idx="139">
                  <c:v>892.71899999999994</c:v>
                </c:pt>
                <c:pt idx="140">
                  <c:v>1339.6505625</c:v>
                </c:pt>
                <c:pt idx="141">
                  <c:v>845.69456249999996</c:v>
                </c:pt>
                <c:pt idx="142">
                  <c:v>1003.0674375</c:v>
                </c:pt>
                <c:pt idx="143">
                  <c:v>947.02499999999998</c:v>
                </c:pt>
                <c:pt idx="144">
                  <c:v>472.34756250000004</c:v>
                </c:pt>
                <c:pt idx="145">
                  <c:v>0</c:v>
                </c:pt>
                <c:pt idx="146">
                  <c:v>427.34756250000004</c:v>
                </c:pt>
                <c:pt idx="147">
                  <c:v>2380.5</c:v>
                </c:pt>
                <c:pt idx="148">
                  <c:v>742.5</c:v>
                </c:pt>
                <c:pt idx="149">
                  <c:v>892.8</c:v>
                </c:pt>
                <c:pt idx="150">
                  <c:v>423</c:v>
                </c:pt>
                <c:pt idx="151">
                  <c:v>1950.9275</c:v>
                </c:pt>
                <c:pt idx="152">
                  <c:v>506.47499999999997</c:v>
                </c:pt>
                <c:pt idx="153">
                  <c:v>490.04500000000002</c:v>
                </c:pt>
                <c:pt idx="154">
                  <c:v>520.17699999999991</c:v>
                </c:pt>
                <c:pt idx="155">
                  <c:v>666.44</c:v>
                </c:pt>
                <c:pt idx="156">
                  <c:v>2497.0450000000001</c:v>
                </c:pt>
                <c:pt idx="157">
                  <c:v>499.72500000000002</c:v>
                </c:pt>
                <c:pt idx="158">
                  <c:v>1215.8900000000001</c:v>
                </c:pt>
                <c:pt idx="159">
                  <c:v>1564.6949999999999</c:v>
                </c:pt>
                <c:pt idx="160">
                  <c:v>1551.528</c:v>
                </c:pt>
                <c:pt idx="161">
                  <c:v>668.92499999999995</c:v>
                </c:pt>
                <c:pt idx="162">
                  <c:v>359.77499999999998</c:v>
                </c:pt>
                <c:pt idx="163">
                  <c:v>800.09</c:v>
                </c:pt>
                <c:pt idx="164">
                  <c:v>1899.89</c:v>
                </c:pt>
                <c:pt idx="165">
                  <c:v>1282.5</c:v>
                </c:pt>
                <c:pt idx="166">
                  <c:v>243.387</c:v>
                </c:pt>
                <c:pt idx="167">
                  <c:v>236.955375</c:v>
                </c:pt>
                <c:pt idx="168">
                  <c:v>405.67500000000001</c:v>
                </c:pt>
                <c:pt idx="169">
                  <c:v>543.23571428571427</c:v>
                </c:pt>
                <c:pt idx="170">
                  <c:v>600.330375</c:v>
                </c:pt>
                <c:pt idx="171">
                  <c:v>457.875</c:v>
                </c:pt>
                <c:pt idx="172">
                  <c:v>2017.8</c:v>
                </c:pt>
                <c:pt idx="173">
                  <c:v>987.19108928571427</c:v>
                </c:pt>
                <c:pt idx="174">
                  <c:v>943.45108928571426</c:v>
                </c:pt>
                <c:pt idx="175">
                  <c:v>877.58571428571429</c:v>
                </c:pt>
                <c:pt idx="176">
                  <c:v>874.17</c:v>
                </c:pt>
                <c:pt idx="177">
                  <c:v>272.7</c:v>
                </c:pt>
                <c:pt idx="178">
                  <c:v>1310.9357142857143</c:v>
                </c:pt>
                <c:pt idx="179">
                  <c:v>585.12857142857138</c:v>
                </c:pt>
                <c:pt idx="180">
                  <c:v>945.67499999999995</c:v>
                </c:pt>
                <c:pt idx="181">
                  <c:v>785.47500000000002</c:v>
                </c:pt>
                <c:pt idx="182">
                  <c:v>1472.3000357142857</c:v>
                </c:pt>
                <c:pt idx="183">
                  <c:v>935.13037499999996</c:v>
                </c:pt>
                <c:pt idx="184">
                  <c:v>826.875</c:v>
                </c:pt>
                <c:pt idx="185">
                  <c:v>315.67500000000001</c:v>
                </c:pt>
                <c:pt idx="186">
                  <c:v>642.21428571428567</c:v>
                </c:pt>
                <c:pt idx="187">
                  <c:v>1102.6285714285714</c:v>
                </c:pt>
                <c:pt idx="188">
                  <c:v>648.80399999999997</c:v>
                </c:pt>
                <c:pt idx="189">
                  <c:v>2116.2663750000002</c:v>
                </c:pt>
                <c:pt idx="190">
                  <c:v>1292.7946607142858</c:v>
                </c:pt>
                <c:pt idx="191">
                  <c:v>977.22766071428578</c:v>
                </c:pt>
                <c:pt idx="192">
                  <c:v>2241</c:v>
                </c:pt>
                <c:pt idx="193">
                  <c:v>1803.675</c:v>
                </c:pt>
                <c:pt idx="194">
                  <c:v>920.65966071428568</c:v>
                </c:pt>
                <c:pt idx="195">
                  <c:v>903.3522857142857</c:v>
                </c:pt>
                <c:pt idx="196">
                  <c:v>727.35428571428565</c:v>
                </c:pt>
                <c:pt idx="197">
                  <c:v>806.47500000000002</c:v>
                </c:pt>
                <c:pt idx="198">
                  <c:v>746.40857142857135</c:v>
                </c:pt>
                <c:pt idx="199">
                  <c:v>1843.905375</c:v>
                </c:pt>
                <c:pt idx="200">
                  <c:v>2052.7053750000005</c:v>
                </c:pt>
                <c:pt idx="201">
                  <c:v>1545.7114285714285</c:v>
                </c:pt>
                <c:pt idx="202">
                  <c:v>1803.067875</c:v>
                </c:pt>
                <c:pt idx="203">
                  <c:v>2149.1178749999999</c:v>
                </c:pt>
                <c:pt idx="204">
                  <c:v>1801.8</c:v>
                </c:pt>
                <c:pt idx="205">
                  <c:v>1943.6999999999998</c:v>
                </c:pt>
                <c:pt idx="206">
                  <c:v>438.48</c:v>
                </c:pt>
                <c:pt idx="207">
                  <c:v>746.97899999999981</c:v>
                </c:pt>
                <c:pt idx="208">
                  <c:v>1056.5159999999998</c:v>
                </c:pt>
                <c:pt idx="209">
                  <c:v>1363.68</c:v>
                </c:pt>
                <c:pt idx="210">
                  <c:v>304.32599999999996</c:v>
                </c:pt>
                <c:pt idx="211">
                  <c:v>942.01611325038107</c:v>
                </c:pt>
                <c:pt idx="212">
                  <c:v>942.01611325038107</c:v>
                </c:pt>
                <c:pt idx="213">
                  <c:v>942.01611325038107</c:v>
                </c:pt>
                <c:pt idx="214">
                  <c:v>942.01611325038107</c:v>
                </c:pt>
                <c:pt idx="215">
                  <c:v>942.01611325038107</c:v>
                </c:pt>
                <c:pt idx="216">
                  <c:v>942.01611325038107</c:v>
                </c:pt>
                <c:pt idx="217">
                  <c:v>942.01611325038107</c:v>
                </c:pt>
                <c:pt idx="218">
                  <c:v>560.25</c:v>
                </c:pt>
                <c:pt idx="219">
                  <c:v>821.25</c:v>
                </c:pt>
                <c:pt idx="220">
                  <c:v>468</c:v>
                </c:pt>
                <c:pt idx="221">
                  <c:v>1804.5</c:v>
                </c:pt>
                <c:pt idx="222">
                  <c:v>446.89499999999998</c:v>
                </c:pt>
                <c:pt idx="223">
                  <c:v>399.98700000000002</c:v>
                </c:pt>
                <c:pt idx="224">
                  <c:v>528.399</c:v>
                </c:pt>
                <c:pt idx="225">
                  <c:v>2540.6999999999998</c:v>
                </c:pt>
              </c:numCache>
            </c:numRef>
          </c:xVal>
          <c:yVal>
            <c:numRef>
              <c:f>Residuals!$EM$2:$EM$227</c:f>
              <c:numCache>
                <c:formatCode>0.00</c:formatCode>
                <c:ptCount val="226"/>
                <c:pt idx="0">
                  <c:v>2.9410885594067935</c:v>
                </c:pt>
                <c:pt idx="1">
                  <c:v>2.5081999560779806</c:v>
                </c:pt>
                <c:pt idx="2">
                  <c:v>2.4188656092385443</c:v>
                </c:pt>
                <c:pt idx="3">
                  <c:v>2.3661961312374942</c:v>
                </c:pt>
                <c:pt idx="4">
                  <c:v>1.9597597929057997</c:v>
                </c:pt>
                <c:pt idx="5">
                  <c:v>2.410667968345642</c:v>
                </c:pt>
                <c:pt idx="6">
                  <c:v>1.9805805363561504</c:v>
                </c:pt>
                <c:pt idx="7">
                  <c:v>2.2883170900099117</c:v>
                </c:pt>
                <c:pt idx="8">
                  <c:v>2.5771431372476883</c:v>
                </c:pt>
                <c:pt idx="9">
                  <c:v>2.5032233380156512</c:v>
                </c:pt>
                <c:pt idx="10">
                  <c:v>1.9918662741248667</c:v>
                </c:pt>
                <c:pt idx="11">
                  <c:v>1.4505797967862577</c:v>
                </c:pt>
                <c:pt idx="12">
                  <c:v>2.0902898383830362</c:v>
                </c:pt>
                <c:pt idx="13">
                  <c:v>1.504435071566661</c:v>
                </c:pt>
                <c:pt idx="14">
                  <c:v>1.453543072948456</c:v>
                </c:pt>
                <c:pt idx="15">
                  <c:v>1.5024144349494932</c:v>
                </c:pt>
                <c:pt idx="16">
                  <c:v>1.4104669583652765</c:v>
                </c:pt>
                <c:pt idx="17">
                  <c:v>1.416302731988857</c:v>
                </c:pt>
                <c:pt idx="18">
                  <c:v>1.4103696954715517</c:v>
                </c:pt>
                <c:pt idx="19">
                  <c:v>1.4590060054794165</c:v>
                </c:pt>
                <c:pt idx="20">
                  <c:v>1.4283957517755042</c:v>
                </c:pt>
                <c:pt idx="21">
                  <c:v>0.93039450424157621</c:v>
                </c:pt>
                <c:pt idx="22">
                  <c:v>0.91460919048329004</c:v>
                </c:pt>
                <c:pt idx="23">
                  <c:v>0.40074131741192787</c:v>
                </c:pt>
                <c:pt idx="24">
                  <c:v>0.95168762114580119</c:v>
                </c:pt>
                <c:pt idx="25">
                  <c:v>0.41068158515076192</c:v>
                </c:pt>
                <c:pt idx="26">
                  <c:v>1.4690782265440703</c:v>
                </c:pt>
                <c:pt idx="27">
                  <c:v>0.45336054291789196</c:v>
                </c:pt>
                <c:pt idx="28">
                  <c:v>0.40472909605470875</c:v>
                </c:pt>
                <c:pt idx="29">
                  <c:v>0.43005894725822458</c:v>
                </c:pt>
                <c:pt idx="30">
                  <c:v>0.41160947315691487</c:v>
                </c:pt>
                <c:pt idx="31">
                  <c:v>0.469441989766608</c:v>
                </c:pt>
                <c:pt idx="32">
                  <c:v>-7.3995618571586874E-2</c:v>
                </c:pt>
                <c:pt idx="33">
                  <c:v>1.7131283399230313E-2</c:v>
                </c:pt>
                <c:pt idx="34">
                  <c:v>-5.5846362602245847E-2</c:v>
                </c:pt>
                <c:pt idx="35">
                  <c:v>2.4734648011467186E-2</c:v>
                </c:pt>
                <c:pt idx="36">
                  <c:v>-9.9050539995495512E-2</c:v>
                </c:pt>
                <c:pt idx="37">
                  <c:v>0.37964694721896564</c:v>
                </c:pt>
                <c:pt idx="38">
                  <c:v>0.47815652890472649</c:v>
                </c:pt>
                <c:pt idx="39">
                  <c:v>0.66382058604016692</c:v>
                </c:pt>
                <c:pt idx="40">
                  <c:v>-0.46408011921000281</c:v>
                </c:pt>
                <c:pt idx="41">
                  <c:v>7.5505878536624493E-2</c:v>
                </c:pt>
                <c:pt idx="42">
                  <c:v>0.10546284980434706</c:v>
                </c:pt>
                <c:pt idx="43">
                  <c:v>0.22801409589956734</c:v>
                </c:pt>
                <c:pt idx="44">
                  <c:v>6.9071743590839674E-2</c:v>
                </c:pt>
                <c:pt idx="45">
                  <c:v>0.71215390823937241</c:v>
                </c:pt>
                <c:pt idx="46">
                  <c:v>0.43909061746482791</c:v>
                </c:pt>
                <c:pt idx="47">
                  <c:v>-9.9162608682590303E-3</c:v>
                </c:pt>
                <c:pt idx="48">
                  <c:v>-7.4496435225910318E-3</c:v>
                </c:pt>
                <c:pt idx="49">
                  <c:v>-2.8785262251176391E-2</c:v>
                </c:pt>
                <c:pt idx="50">
                  <c:v>-1.2250570317689835E-2</c:v>
                </c:pt>
                <c:pt idx="51">
                  <c:v>6.5644717951357734E-2</c:v>
                </c:pt>
                <c:pt idx="52">
                  <c:v>-2.2949488627588721E-2</c:v>
                </c:pt>
                <c:pt idx="53">
                  <c:v>2.8677037303836528E-2</c:v>
                </c:pt>
                <c:pt idx="54">
                  <c:v>-0.51614108606674591</c:v>
                </c:pt>
                <c:pt idx="55">
                  <c:v>-0.48941000077428498</c:v>
                </c:pt>
                <c:pt idx="56">
                  <c:v>-0.50254296211241467</c:v>
                </c:pt>
                <c:pt idx="57">
                  <c:v>-0.54585737078522101</c:v>
                </c:pt>
                <c:pt idx="58">
                  <c:v>-0.4786371323043852</c:v>
                </c:pt>
                <c:pt idx="59">
                  <c:v>-1.0516931444088016</c:v>
                </c:pt>
                <c:pt idx="60">
                  <c:v>-0.94712395473703737</c:v>
                </c:pt>
                <c:pt idx="61">
                  <c:v>-1.008313893806843</c:v>
                </c:pt>
                <c:pt idx="62">
                  <c:v>-0.97433672293176699</c:v>
                </c:pt>
                <c:pt idx="63">
                  <c:v>-1.5823193770166881</c:v>
                </c:pt>
                <c:pt idx="64">
                  <c:v>-1.1677200820257738</c:v>
                </c:pt>
                <c:pt idx="65">
                  <c:v>-1.1184363315537453</c:v>
                </c:pt>
                <c:pt idx="66">
                  <c:v>-1.0374927619247529</c:v>
                </c:pt>
                <c:pt idx="67">
                  <c:v>-0.55320923514526754</c:v>
                </c:pt>
                <c:pt idx="68">
                  <c:v>-0.49184867536887822</c:v>
                </c:pt>
                <c:pt idx="69">
                  <c:v>-0.98448680062706728</c:v>
                </c:pt>
                <c:pt idx="70">
                  <c:v>-1.0628992192359874</c:v>
                </c:pt>
                <c:pt idx="71">
                  <c:v>-1.1848198250561452</c:v>
                </c:pt>
                <c:pt idx="72">
                  <c:v>-1.5186446025904914</c:v>
                </c:pt>
                <c:pt idx="73">
                  <c:v>-1.2505880674806349</c:v>
                </c:pt>
                <c:pt idx="74">
                  <c:v>-0.56562258026032453</c:v>
                </c:pt>
                <c:pt idx="75">
                  <c:v>-1.0252399530984135</c:v>
                </c:pt>
                <c:pt idx="76">
                  <c:v>-1.4585361342676038</c:v>
                </c:pt>
                <c:pt idx="77">
                  <c:v>-1.0349662424710502</c:v>
                </c:pt>
                <c:pt idx="78">
                  <c:v>-0.68987749552991318</c:v>
                </c:pt>
                <c:pt idx="79">
                  <c:v>-0.90912658425460791</c:v>
                </c:pt>
                <c:pt idx="80">
                  <c:v>-1.0512276719888263</c:v>
                </c:pt>
                <c:pt idx="81">
                  <c:v>-1.5139282785580406</c:v>
                </c:pt>
                <c:pt idx="82">
                  <c:v>-1.0343720125060472</c:v>
                </c:pt>
                <c:pt idx="83">
                  <c:v>-1.0818265783551411</c:v>
                </c:pt>
                <c:pt idx="84">
                  <c:v>-1.0148027182883013</c:v>
                </c:pt>
                <c:pt idx="85">
                  <c:v>-0.89604229347607145</c:v>
                </c:pt>
                <c:pt idx="86">
                  <c:v>-0.63883057101669749</c:v>
                </c:pt>
                <c:pt idx="87">
                  <c:v>-1.0308948640553268</c:v>
                </c:pt>
                <c:pt idx="88">
                  <c:v>-0.98816970641367874</c:v>
                </c:pt>
                <c:pt idx="89">
                  <c:v>-0.40727858927380822</c:v>
                </c:pt>
                <c:pt idx="90">
                  <c:v>-0.91350341447229511</c:v>
                </c:pt>
                <c:pt idx="91">
                  <c:v>-0.52012364079601525</c:v>
                </c:pt>
                <c:pt idx="92">
                  <c:v>-0.27684904878675098</c:v>
                </c:pt>
                <c:pt idx="93">
                  <c:v>-7.9456842805925021E-3</c:v>
                </c:pt>
                <c:pt idx="94">
                  <c:v>-3.3176975751793236E-2</c:v>
                </c:pt>
                <c:pt idx="95">
                  <c:v>-0.35905564656427913</c:v>
                </c:pt>
                <c:pt idx="96">
                  <c:v>-0.54076348146244868</c:v>
                </c:pt>
                <c:pt idx="97">
                  <c:v>-0.38131912293824399</c:v>
                </c:pt>
                <c:pt idx="98">
                  <c:v>-0.93688865622056738</c:v>
                </c:pt>
                <c:pt idx="99">
                  <c:v>-1.3864208859238332</c:v>
                </c:pt>
                <c:pt idx="100">
                  <c:v>-0.65177869374402064</c:v>
                </c:pt>
                <c:pt idx="101">
                  <c:v>-1.1607171536774743</c:v>
                </c:pt>
                <c:pt idx="102">
                  <c:v>-0.57395152605975852</c:v>
                </c:pt>
                <c:pt idx="103">
                  <c:v>-8.5422300287802955E-3</c:v>
                </c:pt>
                <c:pt idx="104">
                  <c:v>-8.5422300287802955E-3</c:v>
                </c:pt>
                <c:pt idx="105">
                  <c:v>1.9736307902867622E-2</c:v>
                </c:pt>
                <c:pt idx="106">
                  <c:v>-0.46643874438287014</c:v>
                </c:pt>
                <c:pt idx="107">
                  <c:v>-0.52878231400359255</c:v>
                </c:pt>
                <c:pt idx="108">
                  <c:v>-1.0756815087295095</c:v>
                </c:pt>
                <c:pt idx="109">
                  <c:v>-1.0076052641525521</c:v>
                </c:pt>
                <c:pt idx="110">
                  <c:v>-1.0303900696368871</c:v>
                </c:pt>
                <c:pt idx="111">
                  <c:v>-0.48693689923570105</c:v>
                </c:pt>
                <c:pt idx="112">
                  <c:v>-1.044218907866906</c:v>
                </c:pt>
                <c:pt idx="113">
                  <c:v>-1.0850440348796084</c:v>
                </c:pt>
                <c:pt idx="114">
                  <c:v>-1.0309483586468815</c:v>
                </c:pt>
                <c:pt idx="115">
                  <c:v>-1.0867830954194346</c:v>
                </c:pt>
                <c:pt idx="116">
                  <c:v>-1.0549479776738622</c:v>
                </c:pt>
                <c:pt idx="117">
                  <c:v>-1.6073483616689401</c:v>
                </c:pt>
                <c:pt idx="118">
                  <c:v>-1.6166855994666705</c:v>
                </c:pt>
                <c:pt idx="119">
                  <c:v>-1.6386670134488242</c:v>
                </c:pt>
                <c:pt idx="120">
                  <c:v>-1.6357491266370374</c:v>
                </c:pt>
                <c:pt idx="121">
                  <c:v>-0.5969126953929802</c:v>
                </c:pt>
                <c:pt idx="122">
                  <c:v>-0.97358270392707169</c:v>
                </c:pt>
                <c:pt idx="123">
                  <c:v>-0.76138424868425858</c:v>
                </c:pt>
                <c:pt idx="124">
                  <c:v>-1.1571469632568352</c:v>
                </c:pt>
                <c:pt idx="125">
                  <c:v>-0.88700122118973468</c:v>
                </c:pt>
                <c:pt idx="126">
                  <c:v>-0.8084820681338627</c:v>
                </c:pt>
                <c:pt idx="127">
                  <c:v>-0.67711220388496685</c:v>
                </c:pt>
                <c:pt idx="128">
                  <c:v>-0.66491639227223942</c:v>
                </c:pt>
                <c:pt idx="129">
                  <c:v>-0.22307395799909813</c:v>
                </c:pt>
                <c:pt idx="130">
                  <c:v>-0.25955105155800595</c:v>
                </c:pt>
                <c:pt idx="131">
                  <c:v>-0.65714696325683519</c:v>
                </c:pt>
                <c:pt idx="132">
                  <c:v>-0.23950009759582969</c:v>
                </c:pt>
                <c:pt idx="133">
                  <c:v>-0.29930705094817256</c:v>
                </c:pt>
                <c:pt idx="134">
                  <c:v>0.32985807192044092</c:v>
                </c:pt>
                <c:pt idx="135">
                  <c:v>0.13689578548436288</c:v>
                </c:pt>
                <c:pt idx="136">
                  <c:v>-1.207960042119538E-2</c:v>
                </c:pt>
                <c:pt idx="137">
                  <c:v>4.1673149254677355E-3</c:v>
                </c:pt>
                <c:pt idx="138">
                  <c:v>-0.12407757938986919</c:v>
                </c:pt>
                <c:pt idx="139">
                  <c:v>-0.46419488942459708</c:v>
                </c:pt>
                <c:pt idx="140">
                  <c:v>-0.36759520705483339</c:v>
                </c:pt>
                <c:pt idx="141">
                  <c:v>-0.47435874024039038</c:v>
                </c:pt>
                <c:pt idx="142">
                  <c:v>-0.44034420420364029</c:v>
                </c:pt>
                <c:pt idx="143">
                  <c:v>-0.45245720340970053</c:v>
                </c:pt>
                <c:pt idx="144">
                  <c:v>-0.55505387264940254</c:v>
                </c:pt>
                <c:pt idx="145">
                  <c:v>-0.65714696325683519</c:v>
                </c:pt>
                <c:pt idx="146">
                  <c:v>-0.56478016202203918</c:v>
                </c:pt>
                <c:pt idx="147">
                  <c:v>-0.14262625544436958</c:v>
                </c:pt>
                <c:pt idx="148">
                  <c:v>-0.49666318860833769</c:v>
                </c:pt>
                <c:pt idx="149">
                  <c:v>-0.46417738210372761</c:v>
                </c:pt>
                <c:pt idx="150">
                  <c:v>-0.56571984315405643</c:v>
                </c:pt>
                <c:pt idx="151">
                  <c:v>-0.23547395414496464</c:v>
                </c:pt>
                <c:pt idx="152">
                  <c:v>-0.54767757636781056</c:v>
                </c:pt>
                <c:pt idx="153">
                  <c:v>-0.55122875268764204</c:v>
                </c:pt>
                <c:pt idx="154">
                  <c:v>-0.54471602932373031</c:v>
                </c:pt>
                <c:pt idx="155">
                  <c:v>-0.51310277904573098</c:v>
                </c:pt>
                <c:pt idx="156">
                  <c:v>-0.1174362466680634</c:v>
                </c:pt>
                <c:pt idx="157">
                  <c:v>-4.9136519773711029E-2</c:v>
                </c:pt>
                <c:pt idx="158">
                  <c:v>0.10565521419415802</c:v>
                </c:pt>
                <c:pt idx="159">
                  <c:v>0.18104584451910455</c:v>
                </c:pt>
                <c:pt idx="160">
                  <c:v>0.17819993224866693</c:v>
                </c:pt>
                <c:pt idx="161">
                  <c:v>-1.2565671732595263E-2</c:v>
                </c:pt>
                <c:pt idx="162">
                  <c:v>-7.9385279722608004E-2</c:v>
                </c:pt>
                <c:pt idx="163">
                  <c:v>1.578430039099743E-2</c:v>
                </c:pt>
                <c:pt idx="164">
                  <c:v>0.25349481265823215</c:v>
                </c:pt>
                <c:pt idx="165">
                  <c:v>0.62005228386330202</c:v>
                </c:pt>
                <c:pt idx="166">
                  <c:v>0.39545864544400899</c:v>
                </c:pt>
                <c:pt idx="167">
                  <c:v>-0.1059314844645769</c:v>
                </c:pt>
                <c:pt idx="168">
                  <c:v>-6.9464464562521755E-2</c:v>
                </c:pt>
                <c:pt idx="169">
                  <c:v>-3.9732124263643698E-2</c:v>
                </c:pt>
                <c:pt idx="170">
                  <c:v>-2.7391697780537072E-2</c:v>
                </c:pt>
                <c:pt idx="171">
                  <c:v>-5.8181968890259839E-2</c:v>
                </c:pt>
                <c:pt idx="172">
                  <c:v>0.27897985221218136</c:v>
                </c:pt>
                <c:pt idx="173">
                  <c:v>5.6224285642741734E-2</c:v>
                </c:pt>
                <c:pt idx="174">
                  <c:v>4.6770332372538803E-2</c:v>
                </c:pt>
                <c:pt idx="175">
                  <c:v>3.253420577504329E-2</c:v>
                </c:pt>
                <c:pt idx="176">
                  <c:v>-0.4682040659040041</c:v>
                </c:pt>
                <c:pt idx="177">
                  <c:v>-0.59820564965865941</c:v>
                </c:pt>
                <c:pt idx="178">
                  <c:v>-0.37380162756646484</c:v>
                </c:pt>
                <c:pt idx="179">
                  <c:v>-3.0677412014355809E-2</c:v>
                </c:pt>
                <c:pt idx="180">
                  <c:v>4.7251007909117959E-2</c:v>
                </c:pt>
                <c:pt idx="181">
                  <c:v>0.51262541774253378</c:v>
                </c:pt>
                <c:pt idx="182">
                  <c:v>0.66107561875872278</c:v>
                </c:pt>
                <c:pt idx="183">
                  <c:v>0.54497189515187472</c:v>
                </c:pt>
                <c:pt idx="184">
                  <c:v>0.52157360396535779</c:v>
                </c:pt>
                <c:pt idx="185">
                  <c:v>-8.8917043307787935E-2</c:v>
                </c:pt>
                <c:pt idx="186">
                  <c:v>-1.833891921020836E-2</c:v>
                </c:pt>
                <c:pt idx="187">
                  <c:v>8.1174915770965583E-2</c:v>
                </c:pt>
                <c:pt idx="188">
                  <c:v>-1.6914619920747498E-2</c:v>
                </c:pt>
                <c:pt idx="189">
                  <c:v>0.30026235125050249</c:v>
                </c:pt>
                <c:pt idx="190">
                  <c:v>0.62227736939886569</c:v>
                </c:pt>
                <c:pt idx="191">
                  <c:v>0.55407079254431579</c:v>
                </c:pt>
                <c:pt idx="192">
                  <c:v>0.32722224750045825</c:v>
                </c:pt>
                <c:pt idx="193">
                  <c:v>0.23269892528071523</c:v>
                </c:pt>
                <c:pt idx="194">
                  <c:v>4.1844198383614639E-2</c:v>
                </c:pt>
                <c:pt idx="195">
                  <c:v>3.8103386438493203E-2</c:v>
                </c:pt>
                <c:pt idx="196">
                  <c:v>6.3220282818576834E-5</c:v>
                </c:pt>
                <c:pt idx="197">
                  <c:v>1.7164352783098025E-2</c:v>
                </c:pt>
                <c:pt idx="198">
                  <c:v>0.50418160909717358</c:v>
                </c:pt>
                <c:pt idx="199">
                  <c:v>0.74139430903226611</c:v>
                </c:pt>
                <c:pt idx="200">
                  <c:v>0.78652429172129956</c:v>
                </c:pt>
                <c:pt idx="201">
                  <c:v>0.67694273987375908</c:v>
                </c:pt>
                <c:pt idx="202">
                  <c:v>0.73256770142659633</c:v>
                </c:pt>
                <c:pt idx="203">
                  <c:v>1.3073628667021708</c:v>
                </c:pt>
                <c:pt idx="204">
                  <c:v>0.73229366322352263</c:v>
                </c:pt>
                <c:pt idx="205">
                  <c:v>1.2629638957119056</c:v>
                </c:pt>
                <c:pt idx="206">
                  <c:v>1.4376260003901322</c:v>
                </c:pt>
                <c:pt idx="207">
                  <c:v>1.004304901393887</c:v>
                </c:pt>
                <c:pt idx="208">
                  <c:v>0.57120815547250459</c:v>
                </c:pt>
                <c:pt idx="209">
                  <c:v>1.1375985098915393</c:v>
                </c:pt>
                <c:pt idx="210">
                  <c:v>0.40862998651243032</c:v>
                </c:pt>
                <c:pt idx="211">
                  <c:v>1.0464601769911539</c:v>
                </c:pt>
                <c:pt idx="212">
                  <c:v>1.0464601769911539</c:v>
                </c:pt>
                <c:pt idx="213">
                  <c:v>0.5464601769911539</c:v>
                </c:pt>
                <c:pt idx="214">
                  <c:v>4.6460176991153901E-2</c:v>
                </c:pt>
                <c:pt idx="215">
                  <c:v>4.6460176991153901E-2</c:v>
                </c:pt>
                <c:pt idx="216">
                  <c:v>0.5464601769911539</c:v>
                </c:pt>
                <c:pt idx="217">
                  <c:v>4.6460176991153901E-2</c:v>
                </c:pt>
                <c:pt idx="218">
                  <c:v>-3.6054660567515384E-2</c:v>
                </c:pt>
                <c:pt idx="219">
                  <c:v>0.52035781779377999</c:v>
                </c:pt>
                <c:pt idx="220">
                  <c:v>0.44400644621858021</c:v>
                </c:pt>
                <c:pt idx="221">
                  <c:v>0.23287724058588566</c:v>
                </c:pt>
                <c:pt idx="222">
                  <c:v>0.93944481650281375</c:v>
                </c:pt>
                <c:pt idx="223">
                  <c:v>0.42930613246078053</c:v>
                </c:pt>
                <c:pt idx="224">
                  <c:v>0.45706107181453604</c:v>
                </c:pt>
                <c:pt idx="225">
                  <c:v>0.8919993347222146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4-486C-B44F-1F3BE886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7935"/>
        <c:axId val="2123669775"/>
      </c:scatterChart>
      <c:valAx>
        <c:axId val="21236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 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9775"/>
        <c:crosses val="autoZero"/>
        <c:crossBetween val="midCat"/>
      </c:valAx>
      <c:valAx>
        <c:axId val="21236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 Of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Weight</a:t>
          </a:r>
        </a:p>
      </cx:txPr>
    </cx:title>
    <cx:plotArea>
      <cx:plotAreaRegion>
        <cx:series layoutId="clusteredColumn" uniqueId="{7089AFBC-1468-4F96-9907-5C493D7A4671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  <cx:numFmt formatCode="0.00" sourceLinked="0"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Histogram Of Night Diastolic Pressure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Night Diastolic Pressure</a:t>
          </a:r>
        </a:p>
      </cx:txPr>
    </cx:title>
    <cx:plotArea>
      <cx:plotAreaRegion>
        <cx:series layoutId="clusteredColumn" uniqueId="{CC4FEE6D-62E4-43DF-A3B4-091852DD5757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Histogram Of Night Pulse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Night Pulse</a:t>
          </a:r>
        </a:p>
      </cx:txPr>
    </cx:title>
    <cx:plotArea>
      <cx:plotAreaRegion>
        <cx:series layoutId="clusteredColumn" uniqueId="{71239DCF-B862-4A37-84C3-18998B25006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Histogram Of Sleep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Sleep </a:t>
          </a:r>
        </a:p>
      </cx:txPr>
    </cx:title>
    <cx:plotArea>
      <cx:plotAreaRegion>
        <cx:series layoutId="clusteredColumn" uniqueId="{CEF7D982-7F2D-47CF-A599-C19C5130930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Histogram Of 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BMI</a:t>
          </a:r>
        </a:p>
      </cx:txPr>
    </cx:title>
    <cx:plotArea>
      <cx:plotAreaRegion>
        <cx:series layoutId="clusteredColumn" uniqueId="{C193209C-8A53-471F-9A31-CCA54C927058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Histogram Of CBF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CBF</a:t>
          </a:r>
        </a:p>
      </cx:txPr>
    </cx:title>
    <cx:plotArea>
      <cx:plotAreaRegion>
        <cx:series layoutId="clusteredColumn" uniqueId="{5EC1C8A5-BC8F-4E81-ABB0-16A0A62225B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Histogram Of Gym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Gym</a:t>
          </a:r>
        </a:p>
      </cx:txPr>
    </cx:title>
    <cx:plotArea>
      <cx:plotAreaRegion>
        <cx:series layoutId="clusteredColumn" uniqueId="{61EA1E85-AD65-4B06-84EA-E6840A5AB3C4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Histogram Of Cardio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Cardio</a:t>
          </a:r>
        </a:p>
      </cx:txPr>
    </cx:title>
    <cx:plotArea>
      <cx:plotAreaRegion>
        <cx:series layoutId="clusteredColumn" uniqueId="{CA879194-F844-4733-94EC-6F0BC3FF955D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Histogram Of Calories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Calories</a:t>
          </a:r>
        </a:p>
      </cx:txPr>
    </cx:title>
    <cx:plotArea>
      <cx:plotAreaRegion>
        <cx:series layoutId="clusteredColumn" uniqueId="{FE74D3FD-8A90-41A9-A7E0-C0F3FA24E35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Histogram Of Carbs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Carbs</a:t>
          </a:r>
        </a:p>
      </cx:txPr>
    </cx:title>
    <cx:plotArea>
      <cx:plotAreaRegion>
        <cx:series layoutId="clusteredColumn" uniqueId="{59BA48E3-EB57-472C-B333-637BFE0B7CEB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Histogram Of Fat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Fat</a:t>
          </a:r>
        </a:p>
      </cx:txPr>
    </cx:title>
    <cx:plotArea>
      <cx:plotAreaRegion>
        <cx:series layoutId="clusteredColumn" uniqueId="{E99F0E8C-B63B-415A-B884-3E0184261CD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Histogram Of Waist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Waist</a:t>
          </a:r>
        </a:p>
      </cx:txPr>
    </cx:title>
    <cx:plotArea>
      <cx:plotAreaRegion>
        <cx:series layoutId="clusteredColumn" uniqueId="{4F2F4C64-F7C9-465C-85FF-32B77E9A305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Fiber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Fiber</a:t>
          </a:r>
        </a:p>
      </cx:txPr>
    </cx:title>
    <cx:plotArea>
      <cx:plotAreaRegion>
        <cx:series layoutId="clusteredColumn" uniqueId="{BBB85458-7947-480C-8378-6F314D1E460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Histogram Of Sugar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Sugar</a:t>
          </a:r>
        </a:p>
      </cx:txPr>
    </cx:title>
    <cx:plotArea>
      <cx:plotAreaRegion>
        <cx:series layoutId="clusteredColumn" uniqueId="{1C85FFA4-6CB8-4BBE-BEFD-A0CF0DFDAA82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 Of Servings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Servings</a:t>
          </a:r>
        </a:p>
      </cx:txPr>
    </cx:title>
    <cx:plotArea>
      <cx:plotAreaRegion>
        <cx:series layoutId="clusteredColumn" uniqueId="{B259833F-335F-43DE-B0C1-04E1880DFAD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Water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Water</a:t>
          </a:r>
        </a:p>
      </cx:txPr>
    </cx:title>
    <cx:plotArea>
      <cx:plotAreaRegion>
        <cx:series layoutId="clusteredColumn" uniqueId="{8BA859B3-546F-43BA-975C-8DCF802623CB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Histogram Of Fat Calories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Fat Calories</a:t>
          </a:r>
        </a:p>
      </cx:txPr>
    </cx:title>
    <cx:plotArea>
      <cx:plotAreaRegion>
        <cx:series layoutId="clusteredColumn" uniqueId="{381261DB-EC52-40D2-AE60-600B373CE071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Histogram Of Protein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Protein</a:t>
          </a:r>
        </a:p>
      </cx:txPr>
    </cx:title>
    <cx:plotArea>
      <cx:plotAreaRegion>
        <cx:series layoutId="clusteredColumn" uniqueId="{D6E7ED32-3F70-4087-A9A4-92DB328A0FA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r>
              <a:rPr lang="en-US" sz="1400" b="0" i="0" baseline="0">
                <a:effectLst/>
                <a:latin typeface="Aptos Narrow" panose="020B0004020202020204" pitchFamily="34" charset="0"/>
              </a:rPr>
              <a:t>Histogram Of Neck</a:t>
            </a:r>
            <a:endParaRPr lang="en-US" sz="1100">
              <a:effectLst/>
              <a:latin typeface="Aptos Narrow" panose="020B0004020202020204" pitchFamily="34" charset="0"/>
            </a:endParaRPr>
          </a:p>
        </cx:rich>
      </cx:tx>
    </cx:title>
    <cx:plotArea>
      <cx:plotAreaRegion>
        <cx:series layoutId="clusteredColumn" uniqueId="{9F238BD4-3521-46BC-9413-60FAB299D53D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Morning Body 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Morning Body Temp</a:t>
          </a:r>
        </a:p>
      </cx:txPr>
    </cx:title>
    <cx:plotArea>
      <cx:plotAreaRegion>
        <cx:series layoutId="clusteredColumn" uniqueId="{B1F705F3-06C4-4546-90B9-8C6508F67800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Of Morning Systolic Pressure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Morning Systolic Pressure</a:t>
          </a:r>
        </a:p>
      </cx:txPr>
    </cx:title>
    <cx:plotArea>
      <cx:plotAreaRegion>
        <cx:series layoutId="clusteredColumn" uniqueId="{D865ED2D-0D56-431C-AD54-62035BFACA5B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 of Morning Diastolic Pressure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Morning Diastolic Pressure</a:t>
          </a:r>
        </a:p>
      </cx:txPr>
    </cx:title>
    <cx:plotArea>
      <cx:plotAreaRegion>
        <cx:series layoutId="clusteredColumn" uniqueId="{D0161519-4F79-4E86-A85F-82A4CDFC888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Of Morning Pulse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Morning Pulse</a:t>
          </a:r>
        </a:p>
      </cx:txPr>
    </cx:title>
    <cx:plotArea>
      <cx:plotAreaRegion>
        <cx:series layoutId="clusteredColumn" uniqueId="{55ECBF48-84C9-49D0-BFB1-603C684B2A3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Histogram Of Night Body 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Night Body Temp</a:t>
          </a:r>
        </a:p>
      </cx:txPr>
    </cx:title>
    <cx:plotArea>
      <cx:plotAreaRegion>
        <cx:series layoutId="clusteredColumn" uniqueId="{2FDC1EA1-2591-4392-B770-BF1BBF11FD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Histogram Of Night Systolic Pressure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Night Systolic Pressure</a:t>
          </a:r>
        </a:p>
      </cx:txPr>
    </cx:title>
    <cx:plotArea>
      <cx:plotAreaRegion>
        <cx:series layoutId="clusteredColumn" uniqueId="{819A460D-21DC-4827-9AE7-025C8974B6ED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3" Type="http://schemas.openxmlformats.org/officeDocument/2006/relationships/chart" Target="../charts/chart75.xml"/><Relationship Id="rId21" Type="http://schemas.openxmlformats.org/officeDocument/2006/relationships/chart" Target="../charts/chart93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20" Type="http://schemas.openxmlformats.org/officeDocument/2006/relationships/chart" Target="../charts/chart92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24" Type="http://schemas.openxmlformats.org/officeDocument/2006/relationships/chart" Target="../charts/chart96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23" Type="http://schemas.openxmlformats.org/officeDocument/2006/relationships/chart" Target="../charts/chart95.xml"/><Relationship Id="rId10" Type="http://schemas.openxmlformats.org/officeDocument/2006/relationships/chart" Target="../charts/chart82.xml"/><Relationship Id="rId19" Type="http://schemas.openxmlformats.org/officeDocument/2006/relationships/chart" Target="../charts/chart91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Relationship Id="rId22" Type="http://schemas.openxmlformats.org/officeDocument/2006/relationships/chart" Target="../charts/chart9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42862</xdr:rowOff>
    </xdr:from>
    <xdr:to>
      <xdr:col>7</xdr:col>
      <xdr:colOff>514350</xdr:colOff>
      <xdr:row>15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19499012-45F6-6530-781F-A4803835F8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23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485775</xdr:colOff>
      <xdr:row>1</xdr:row>
      <xdr:rowOff>14287</xdr:rowOff>
    </xdr:from>
    <xdr:to>
      <xdr:col>16</xdr:col>
      <xdr:colOff>180975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D06ED47-EC0C-3617-9EA6-7E1BA94FA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575" y="204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9525</xdr:colOff>
      <xdr:row>1</xdr:row>
      <xdr:rowOff>33337</xdr:rowOff>
    </xdr:from>
    <xdr:to>
      <xdr:col>24</xdr:col>
      <xdr:colOff>314325</xdr:colOff>
      <xdr:row>15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628EF0-74E3-3E8A-6B7D-AFCE655CC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2725" y="22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123825</xdr:colOff>
      <xdr:row>1</xdr:row>
      <xdr:rowOff>33337</xdr:rowOff>
    </xdr:from>
    <xdr:to>
      <xdr:col>32</xdr:col>
      <xdr:colOff>428625</xdr:colOff>
      <xdr:row>15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6D44243-8C42-D25E-DEE6-F871F95815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63825" y="22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200025</xdr:colOff>
      <xdr:row>17</xdr:row>
      <xdr:rowOff>14287</xdr:rowOff>
    </xdr:from>
    <xdr:to>
      <xdr:col>7</xdr:col>
      <xdr:colOff>504825</xdr:colOff>
      <xdr:row>31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1516923-7F7C-585F-85BB-5E8745900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3252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400050</xdr:colOff>
      <xdr:row>17</xdr:row>
      <xdr:rowOff>14287</xdr:rowOff>
    </xdr:from>
    <xdr:to>
      <xdr:col>16</xdr:col>
      <xdr:colOff>95250</xdr:colOff>
      <xdr:row>31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4BD392F-890C-F24B-513D-D8F92CF937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6850" y="3252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28575</xdr:colOff>
      <xdr:row>17</xdr:row>
      <xdr:rowOff>42862</xdr:rowOff>
    </xdr:from>
    <xdr:to>
      <xdr:col>24</xdr:col>
      <xdr:colOff>333375</xdr:colOff>
      <xdr:row>31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9728440-EB5E-C9C1-C8B5-44E9A430D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3281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114300</xdr:colOff>
      <xdr:row>17</xdr:row>
      <xdr:rowOff>14287</xdr:rowOff>
    </xdr:from>
    <xdr:to>
      <xdr:col>32</xdr:col>
      <xdr:colOff>419100</xdr:colOff>
      <xdr:row>31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5C314A2-6092-0D42-3AC4-F3AC701D41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54300" y="3252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171450</xdr:colOff>
      <xdr:row>32</xdr:row>
      <xdr:rowOff>185737</xdr:rowOff>
    </xdr:from>
    <xdr:to>
      <xdr:col>7</xdr:col>
      <xdr:colOff>476250</xdr:colOff>
      <xdr:row>47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A9972B1-6F11-0BC2-BDC4-41D6BC0B5C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6281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323850</xdr:colOff>
      <xdr:row>33</xdr:row>
      <xdr:rowOff>33337</xdr:rowOff>
    </xdr:from>
    <xdr:to>
      <xdr:col>16</xdr:col>
      <xdr:colOff>19050</xdr:colOff>
      <xdr:row>47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0B43EF4-A43E-11B7-7CF0-4B89774A0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0" y="6319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19050</xdr:colOff>
      <xdr:row>33</xdr:row>
      <xdr:rowOff>33337</xdr:rowOff>
    </xdr:from>
    <xdr:to>
      <xdr:col>24</xdr:col>
      <xdr:colOff>323850</xdr:colOff>
      <xdr:row>47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0B5AA6A-9D7B-05D4-CDEE-465A0B86DE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6319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104775</xdr:colOff>
      <xdr:row>33</xdr:row>
      <xdr:rowOff>33337</xdr:rowOff>
    </xdr:from>
    <xdr:to>
      <xdr:col>32</xdr:col>
      <xdr:colOff>409575</xdr:colOff>
      <xdr:row>47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C977F37C-0AED-CC35-D7E4-08D0423190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44775" y="6319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219075</xdr:colOff>
      <xdr:row>49</xdr:row>
      <xdr:rowOff>4762</xdr:rowOff>
    </xdr:from>
    <xdr:to>
      <xdr:col>7</xdr:col>
      <xdr:colOff>523875</xdr:colOff>
      <xdr:row>63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CE98B045-0DE0-597F-E315-6E46A3A3FD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9339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304800</xdr:colOff>
      <xdr:row>49</xdr:row>
      <xdr:rowOff>33337</xdr:rowOff>
    </xdr:from>
    <xdr:to>
      <xdr:col>16</xdr:col>
      <xdr:colOff>0</xdr:colOff>
      <xdr:row>63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9E00570-2E04-650F-AF35-74A7D9DE6C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9367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49</xdr:row>
      <xdr:rowOff>42862</xdr:rowOff>
    </xdr:from>
    <xdr:to>
      <xdr:col>24</xdr:col>
      <xdr:colOff>285750</xdr:colOff>
      <xdr:row>63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A18E828-F982-73F2-E964-B5333A0AFD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377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95250</xdr:colOff>
      <xdr:row>49</xdr:row>
      <xdr:rowOff>42862</xdr:rowOff>
    </xdr:from>
    <xdr:to>
      <xdr:col>32</xdr:col>
      <xdr:colOff>400050</xdr:colOff>
      <xdr:row>63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98E208EC-0ABD-E13E-9305-DED45E2DED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5250" y="9377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200025</xdr:colOff>
      <xdr:row>64</xdr:row>
      <xdr:rowOff>138112</xdr:rowOff>
    </xdr:from>
    <xdr:to>
      <xdr:col>7</xdr:col>
      <xdr:colOff>504825</xdr:colOff>
      <xdr:row>79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411E727-B8C9-465A-C626-192FEF796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12330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304800</xdr:colOff>
      <xdr:row>64</xdr:row>
      <xdr:rowOff>176212</xdr:rowOff>
    </xdr:from>
    <xdr:to>
      <xdr:col>16</xdr:col>
      <xdr:colOff>0</xdr:colOff>
      <xdr:row>79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4CB8E704-C13C-1DB4-4B65-580509332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236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64</xdr:row>
      <xdr:rowOff>176212</xdr:rowOff>
    </xdr:from>
    <xdr:to>
      <xdr:col>24</xdr:col>
      <xdr:colOff>238125</xdr:colOff>
      <xdr:row>79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A0B970C8-D401-FE0D-E6FF-2FE67FA98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5" y="1236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228600</xdr:colOff>
      <xdr:row>80</xdr:row>
      <xdr:rowOff>23812</xdr:rowOff>
    </xdr:from>
    <xdr:to>
      <xdr:col>7</xdr:col>
      <xdr:colOff>533400</xdr:colOff>
      <xdr:row>94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06AF298E-8749-241B-22EC-7FB2EDF755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5263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295275</xdr:colOff>
      <xdr:row>80</xdr:row>
      <xdr:rowOff>42862</xdr:rowOff>
    </xdr:from>
    <xdr:to>
      <xdr:col>15</xdr:col>
      <xdr:colOff>600075</xdr:colOff>
      <xdr:row>94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33E53126-39AE-689E-77CC-D23B06312A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1528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533400</xdr:colOff>
      <xdr:row>80</xdr:row>
      <xdr:rowOff>23812</xdr:rowOff>
    </xdr:from>
    <xdr:to>
      <xdr:col>24</xdr:col>
      <xdr:colOff>228600</xdr:colOff>
      <xdr:row>94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C16EE9D6-B0AB-77A4-5990-C97062B0AE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0" y="15263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28575</xdr:colOff>
      <xdr:row>80</xdr:row>
      <xdr:rowOff>52387</xdr:rowOff>
    </xdr:from>
    <xdr:to>
      <xdr:col>32</xdr:col>
      <xdr:colOff>333375</xdr:colOff>
      <xdr:row>94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94837A3A-C06C-7625-B030-B58D557548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8575" y="15292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209550</xdr:colOff>
      <xdr:row>96</xdr:row>
      <xdr:rowOff>23812</xdr:rowOff>
    </xdr:from>
    <xdr:to>
      <xdr:col>7</xdr:col>
      <xdr:colOff>514350</xdr:colOff>
      <xdr:row>110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095F3DF1-FDE4-197E-0CB6-D861807877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8311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38100</xdr:colOff>
      <xdr:row>65</xdr:row>
      <xdr:rowOff>4762</xdr:rowOff>
    </xdr:from>
    <xdr:to>
      <xdr:col>32</xdr:col>
      <xdr:colOff>342900</xdr:colOff>
      <xdr:row>79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EFDC3DE5-BA03-7447-953A-BFB5387DDA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8100" y="12387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23812</xdr:rowOff>
    </xdr:from>
    <xdr:to>
      <xdr:col>7</xdr:col>
      <xdr:colOff>542925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D8772-2EED-1FB9-CCDE-B5CFD9B3E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</xdr:row>
      <xdr:rowOff>23812</xdr:rowOff>
    </xdr:from>
    <xdr:to>
      <xdr:col>15</xdr:col>
      <xdr:colOff>466725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EF011-5D77-E5E2-D96C-E5F5FD52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2</xdr:row>
      <xdr:rowOff>23812</xdr:rowOff>
    </xdr:from>
    <xdr:to>
      <xdr:col>23</xdr:col>
      <xdr:colOff>447675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D7108-9CA4-35B0-C790-5E2839C76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2</xdr:row>
      <xdr:rowOff>4762</xdr:rowOff>
    </xdr:from>
    <xdr:to>
      <xdr:col>31</xdr:col>
      <xdr:colOff>542925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580F8-68F6-B676-9E9F-21377EA1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17</xdr:row>
      <xdr:rowOff>100012</xdr:rowOff>
    </xdr:from>
    <xdr:to>
      <xdr:col>7</xdr:col>
      <xdr:colOff>542925</xdr:colOff>
      <xdr:row>31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427F69-D912-1325-1EB8-5DFB26A87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17</xdr:row>
      <xdr:rowOff>128587</xdr:rowOff>
    </xdr:from>
    <xdr:to>
      <xdr:col>15</xdr:col>
      <xdr:colOff>504825</xdr:colOff>
      <xdr:row>32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1CB998-4FB5-A0B3-7931-96355BADD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17</xdr:row>
      <xdr:rowOff>166687</xdr:rowOff>
    </xdr:from>
    <xdr:to>
      <xdr:col>24</xdr:col>
      <xdr:colOff>0</xdr:colOff>
      <xdr:row>32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4A3827-D811-79E2-D695-D9C5409AC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295275</xdr:colOff>
      <xdr:row>17</xdr:row>
      <xdr:rowOff>138112</xdr:rowOff>
    </xdr:from>
    <xdr:to>
      <xdr:col>31</xdr:col>
      <xdr:colOff>600075</xdr:colOff>
      <xdr:row>32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59FDE6-B60D-E034-213B-897BAF1C3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33</xdr:row>
      <xdr:rowOff>157162</xdr:rowOff>
    </xdr:from>
    <xdr:to>
      <xdr:col>7</xdr:col>
      <xdr:colOff>533400</xdr:colOff>
      <xdr:row>48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64B704-E776-DD87-DA29-B75DAF18F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33</xdr:row>
      <xdr:rowOff>176212</xdr:rowOff>
    </xdr:from>
    <xdr:to>
      <xdr:col>15</xdr:col>
      <xdr:colOff>514350</xdr:colOff>
      <xdr:row>48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878C22-3393-1318-384D-88DED63E5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33</xdr:row>
      <xdr:rowOff>176212</xdr:rowOff>
    </xdr:from>
    <xdr:to>
      <xdr:col>24</xdr:col>
      <xdr:colOff>0</xdr:colOff>
      <xdr:row>48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C720C8-3F61-1520-5C0D-804C7DC76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314325</xdr:colOff>
      <xdr:row>34</xdr:row>
      <xdr:rowOff>4762</xdr:rowOff>
    </xdr:from>
    <xdr:to>
      <xdr:col>32</xdr:col>
      <xdr:colOff>9525</xdr:colOff>
      <xdr:row>48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877FF9-697D-CE35-42A5-4FFE2D73A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161925</xdr:colOff>
      <xdr:row>50</xdr:row>
      <xdr:rowOff>14287</xdr:rowOff>
    </xdr:from>
    <xdr:to>
      <xdr:col>15</xdr:col>
      <xdr:colOff>466725</xdr:colOff>
      <xdr:row>64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84ED4D-09CA-6316-100F-1753006E7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49</xdr:row>
      <xdr:rowOff>185737</xdr:rowOff>
    </xdr:from>
    <xdr:to>
      <xdr:col>7</xdr:col>
      <xdr:colOff>466725</xdr:colOff>
      <xdr:row>64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F025EB9-FED6-3CE2-A872-550723CD8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304800</xdr:colOff>
      <xdr:row>50</xdr:row>
      <xdr:rowOff>4762</xdr:rowOff>
    </xdr:from>
    <xdr:to>
      <xdr:col>24</xdr:col>
      <xdr:colOff>0</xdr:colOff>
      <xdr:row>64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D928E3-0663-CD3A-E4B1-95984BCB2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371475</xdr:colOff>
      <xdr:row>50</xdr:row>
      <xdr:rowOff>4762</xdr:rowOff>
    </xdr:from>
    <xdr:to>
      <xdr:col>32</xdr:col>
      <xdr:colOff>66675</xdr:colOff>
      <xdr:row>64</xdr:row>
      <xdr:rowOff>80962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875610-BBD7-242C-9661-F9F4B126C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180975</xdr:colOff>
      <xdr:row>65</xdr:row>
      <xdr:rowOff>166687</xdr:rowOff>
    </xdr:from>
    <xdr:to>
      <xdr:col>7</xdr:col>
      <xdr:colOff>485775</xdr:colOff>
      <xdr:row>80</xdr:row>
      <xdr:rowOff>52387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8E5C4B9-78FE-96E0-F8FA-6A40EDD63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200025</xdr:colOff>
      <xdr:row>65</xdr:row>
      <xdr:rowOff>185737</xdr:rowOff>
    </xdr:from>
    <xdr:to>
      <xdr:col>15</xdr:col>
      <xdr:colOff>504825</xdr:colOff>
      <xdr:row>80</xdr:row>
      <xdr:rowOff>71437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16BF2AA-5870-FE99-D678-4D654A94B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314325</xdr:colOff>
      <xdr:row>65</xdr:row>
      <xdr:rowOff>176212</xdr:rowOff>
    </xdr:from>
    <xdr:to>
      <xdr:col>24</xdr:col>
      <xdr:colOff>9525</xdr:colOff>
      <xdr:row>80</xdr:row>
      <xdr:rowOff>61912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3D5F07-D8E6-82E2-0D85-2D0F7FDB0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400050</xdr:colOff>
      <xdr:row>66</xdr:row>
      <xdr:rowOff>14287</xdr:rowOff>
    </xdr:from>
    <xdr:to>
      <xdr:col>32</xdr:col>
      <xdr:colOff>95250</xdr:colOff>
      <xdr:row>80</xdr:row>
      <xdr:rowOff>90487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BABDB44-E256-E21D-2A57-015DFE7F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133350</xdr:colOff>
      <xdr:row>81</xdr:row>
      <xdr:rowOff>185737</xdr:rowOff>
    </xdr:from>
    <xdr:to>
      <xdr:col>7</xdr:col>
      <xdr:colOff>438150</xdr:colOff>
      <xdr:row>96</xdr:row>
      <xdr:rowOff>71437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4611CA-A5FB-C872-2561-334CB14A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219075</xdr:colOff>
      <xdr:row>82</xdr:row>
      <xdr:rowOff>23812</xdr:rowOff>
    </xdr:from>
    <xdr:to>
      <xdr:col>15</xdr:col>
      <xdr:colOff>523875</xdr:colOff>
      <xdr:row>96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974B04F-4AA7-E071-2DC1-320064B19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295275</xdr:colOff>
      <xdr:row>82</xdr:row>
      <xdr:rowOff>23812</xdr:rowOff>
    </xdr:from>
    <xdr:to>
      <xdr:col>23</xdr:col>
      <xdr:colOff>600075</xdr:colOff>
      <xdr:row>96</xdr:row>
      <xdr:rowOff>100012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C8B03CF-99A1-BAB9-FF06-D6C79693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438150</xdr:colOff>
      <xdr:row>82</xdr:row>
      <xdr:rowOff>4762</xdr:rowOff>
    </xdr:from>
    <xdr:to>
      <xdr:col>32</xdr:col>
      <xdr:colOff>133350</xdr:colOff>
      <xdr:row>96</xdr:row>
      <xdr:rowOff>80962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038CBA-83C8-700C-D954-6BCC52900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23812</xdr:rowOff>
    </xdr:from>
    <xdr:to>
      <xdr:col>7</xdr:col>
      <xdr:colOff>542925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7A6AB-D47E-4831-9474-2D4DA3907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</xdr:row>
      <xdr:rowOff>23812</xdr:rowOff>
    </xdr:from>
    <xdr:to>
      <xdr:col>15</xdr:col>
      <xdr:colOff>466725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4AC18-269B-4503-87C0-49D566AE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2</xdr:row>
      <xdr:rowOff>23812</xdr:rowOff>
    </xdr:from>
    <xdr:to>
      <xdr:col>23</xdr:col>
      <xdr:colOff>476250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71779-95D3-4751-9A34-AF0953A22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2</xdr:row>
      <xdr:rowOff>4762</xdr:rowOff>
    </xdr:from>
    <xdr:to>
      <xdr:col>31</xdr:col>
      <xdr:colOff>542925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7F0A6-A3D4-44E9-A8E8-CB6738BDD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17</xdr:row>
      <xdr:rowOff>100012</xdr:rowOff>
    </xdr:from>
    <xdr:to>
      <xdr:col>7</xdr:col>
      <xdr:colOff>542925</xdr:colOff>
      <xdr:row>31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AAA47-5F0C-4C91-A302-FBE8CBF91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17</xdr:row>
      <xdr:rowOff>128587</xdr:rowOff>
    </xdr:from>
    <xdr:to>
      <xdr:col>15</xdr:col>
      <xdr:colOff>504825</xdr:colOff>
      <xdr:row>32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E4D80F-3C52-4C8D-82FD-341C4859D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17</xdr:row>
      <xdr:rowOff>166687</xdr:rowOff>
    </xdr:from>
    <xdr:to>
      <xdr:col>24</xdr:col>
      <xdr:colOff>0</xdr:colOff>
      <xdr:row>32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2C1F05-AB9D-4EDF-BDD1-31EBB1378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295275</xdr:colOff>
      <xdr:row>17</xdr:row>
      <xdr:rowOff>138112</xdr:rowOff>
    </xdr:from>
    <xdr:to>
      <xdr:col>31</xdr:col>
      <xdr:colOff>600075</xdr:colOff>
      <xdr:row>32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4C4F8E-897B-4FF5-9937-C90EBD5E4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33</xdr:row>
      <xdr:rowOff>157162</xdr:rowOff>
    </xdr:from>
    <xdr:to>
      <xdr:col>7</xdr:col>
      <xdr:colOff>533400</xdr:colOff>
      <xdr:row>48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F0DBC5-BA4C-4B7B-9652-5808022B5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33</xdr:row>
      <xdr:rowOff>176212</xdr:rowOff>
    </xdr:from>
    <xdr:to>
      <xdr:col>15</xdr:col>
      <xdr:colOff>514350</xdr:colOff>
      <xdr:row>48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6827FA-67F0-4FD3-BBD1-635904A60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33</xdr:row>
      <xdr:rowOff>176212</xdr:rowOff>
    </xdr:from>
    <xdr:to>
      <xdr:col>24</xdr:col>
      <xdr:colOff>0</xdr:colOff>
      <xdr:row>48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29E5FD-DD0A-4CC5-8518-677B3C081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314325</xdr:colOff>
      <xdr:row>34</xdr:row>
      <xdr:rowOff>4762</xdr:rowOff>
    </xdr:from>
    <xdr:to>
      <xdr:col>32</xdr:col>
      <xdr:colOff>9525</xdr:colOff>
      <xdr:row>48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0E797D-FF64-4101-B000-BADA8DEA6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161925</xdr:colOff>
      <xdr:row>50</xdr:row>
      <xdr:rowOff>14287</xdr:rowOff>
    </xdr:from>
    <xdr:to>
      <xdr:col>15</xdr:col>
      <xdr:colOff>466725</xdr:colOff>
      <xdr:row>64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364EF7-6504-437A-BD56-29DFDFC11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142875</xdr:colOff>
      <xdr:row>49</xdr:row>
      <xdr:rowOff>138112</xdr:rowOff>
    </xdr:from>
    <xdr:to>
      <xdr:col>7</xdr:col>
      <xdr:colOff>447675</xdr:colOff>
      <xdr:row>64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282F43-0B92-482C-A40F-1A83CCAA8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304800</xdr:colOff>
      <xdr:row>50</xdr:row>
      <xdr:rowOff>4762</xdr:rowOff>
    </xdr:from>
    <xdr:to>
      <xdr:col>24</xdr:col>
      <xdr:colOff>0</xdr:colOff>
      <xdr:row>64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0EEB6A-B2A1-4245-BBA8-7F3673F19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371475</xdr:colOff>
      <xdr:row>50</xdr:row>
      <xdr:rowOff>4762</xdr:rowOff>
    </xdr:from>
    <xdr:to>
      <xdr:col>32</xdr:col>
      <xdr:colOff>66675</xdr:colOff>
      <xdr:row>64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FEA3A3-B646-4709-92B3-64DBD4F17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180975</xdr:colOff>
      <xdr:row>65</xdr:row>
      <xdr:rowOff>166687</xdr:rowOff>
    </xdr:from>
    <xdr:to>
      <xdr:col>7</xdr:col>
      <xdr:colOff>485775</xdr:colOff>
      <xdr:row>80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A8F2200-37B8-4E92-8454-026ED0A73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200025</xdr:colOff>
      <xdr:row>65</xdr:row>
      <xdr:rowOff>185737</xdr:rowOff>
    </xdr:from>
    <xdr:to>
      <xdr:col>15</xdr:col>
      <xdr:colOff>504825</xdr:colOff>
      <xdr:row>80</xdr:row>
      <xdr:rowOff>71437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FFC8AB5-E580-4B1A-AD41-D7D7AC539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285750</xdr:colOff>
      <xdr:row>65</xdr:row>
      <xdr:rowOff>185737</xdr:rowOff>
    </xdr:from>
    <xdr:to>
      <xdr:col>23</xdr:col>
      <xdr:colOff>590550</xdr:colOff>
      <xdr:row>80</xdr:row>
      <xdr:rowOff>71437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7E887A-2485-4F01-B81A-8C2D351DA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400050</xdr:colOff>
      <xdr:row>66</xdr:row>
      <xdr:rowOff>14287</xdr:rowOff>
    </xdr:from>
    <xdr:to>
      <xdr:col>32</xdr:col>
      <xdr:colOff>95250</xdr:colOff>
      <xdr:row>80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6DB069-8777-4E94-A932-F3B3F5A28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133350</xdr:colOff>
      <xdr:row>81</xdr:row>
      <xdr:rowOff>185737</xdr:rowOff>
    </xdr:from>
    <xdr:to>
      <xdr:col>7</xdr:col>
      <xdr:colOff>438150</xdr:colOff>
      <xdr:row>96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944E6AB-DBDC-47F5-A4E7-CA9DB38A2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219075</xdr:colOff>
      <xdr:row>82</xdr:row>
      <xdr:rowOff>23812</xdr:rowOff>
    </xdr:from>
    <xdr:to>
      <xdr:col>15</xdr:col>
      <xdr:colOff>523875</xdr:colOff>
      <xdr:row>96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9D069B8-9300-4B0B-BB6A-0C7BC98F9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295275</xdr:colOff>
      <xdr:row>82</xdr:row>
      <xdr:rowOff>23812</xdr:rowOff>
    </xdr:from>
    <xdr:to>
      <xdr:col>23</xdr:col>
      <xdr:colOff>600075</xdr:colOff>
      <xdr:row>96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23EFACF-DA2D-4C57-A70B-E4033B441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409575</xdr:colOff>
      <xdr:row>82</xdr:row>
      <xdr:rowOff>4762</xdr:rowOff>
    </xdr:from>
    <xdr:to>
      <xdr:col>32</xdr:col>
      <xdr:colOff>104775</xdr:colOff>
      <xdr:row>96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B6DB916-69F7-4D14-9FAF-0C6981D4C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23812</xdr:rowOff>
    </xdr:from>
    <xdr:to>
      <xdr:col>7</xdr:col>
      <xdr:colOff>542925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CFD55-E674-4E26-84DA-A3CCE82E1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</xdr:row>
      <xdr:rowOff>23812</xdr:rowOff>
    </xdr:from>
    <xdr:to>
      <xdr:col>15</xdr:col>
      <xdr:colOff>466725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341E0-D6D8-446C-860D-9C49DD985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2</xdr:row>
      <xdr:rowOff>52387</xdr:rowOff>
    </xdr:from>
    <xdr:to>
      <xdr:col>23</xdr:col>
      <xdr:colOff>447675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52879-2A78-4DA5-93D0-A2B260197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2</xdr:row>
      <xdr:rowOff>4762</xdr:rowOff>
    </xdr:from>
    <xdr:to>
      <xdr:col>31</xdr:col>
      <xdr:colOff>542925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2C9237-6E54-4DE5-B2E3-048E2F602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17</xdr:row>
      <xdr:rowOff>100012</xdr:rowOff>
    </xdr:from>
    <xdr:to>
      <xdr:col>7</xdr:col>
      <xdr:colOff>542925</xdr:colOff>
      <xdr:row>31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025150-0CA5-43D1-9B97-7114A3274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17</xdr:row>
      <xdr:rowOff>128587</xdr:rowOff>
    </xdr:from>
    <xdr:to>
      <xdr:col>15</xdr:col>
      <xdr:colOff>504825</xdr:colOff>
      <xdr:row>32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B9F4FF-EFB2-4D5B-A9CF-50867E56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17</xdr:row>
      <xdr:rowOff>166687</xdr:rowOff>
    </xdr:from>
    <xdr:to>
      <xdr:col>24</xdr:col>
      <xdr:colOff>0</xdr:colOff>
      <xdr:row>32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E8CCE-65D6-4761-A996-34832152A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295275</xdr:colOff>
      <xdr:row>17</xdr:row>
      <xdr:rowOff>138112</xdr:rowOff>
    </xdr:from>
    <xdr:to>
      <xdr:col>31</xdr:col>
      <xdr:colOff>600075</xdr:colOff>
      <xdr:row>32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C3B9C5-BA6B-4B15-A067-43BFE56E2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33</xdr:row>
      <xdr:rowOff>157162</xdr:rowOff>
    </xdr:from>
    <xdr:to>
      <xdr:col>7</xdr:col>
      <xdr:colOff>533400</xdr:colOff>
      <xdr:row>48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0CC443-4113-4433-93F8-97D4119B0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33</xdr:row>
      <xdr:rowOff>176212</xdr:rowOff>
    </xdr:from>
    <xdr:to>
      <xdr:col>15</xdr:col>
      <xdr:colOff>514350</xdr:colOff>
      <xdr:row>48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99EC27-9C51-4878-8A44-07950C8FD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33</xdr:row>
      <xdr:rowOff>176212</xdr:rowOff>
    </xdr:from>
    <xdr:to>
      <xdr:col>24</xdr:col>
      <xdr:colOff>0</xdr:colOff>
      <xdr:row>48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B9BC13-826A-4050-84F4-429D8F83F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314325</xdr:colOff>
      <xdr:row>34</xdr:row>
      <xdr:rowOff>4762</xdr:rowOff>
    </xdr:from>
    <xdr:to>
      <xdr:col>32</xdr:col>
      <xdr:colOff>9525</xdr:colOff>
      <xdr:row>48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FDC37D-F8EE-479E-91C0-160921A18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161925</xdr:colOff>
      <xdr:row>50</xdr:row>
      <xdr:rowOff>14287</xdr:rowOff>
    </xdr:from>
    <xdr:to>
      <xdr:col>15</xdr:col>
      <xdr:colOff>466725</xdr:colOff>
      <xdr:row>64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D11855-C700-43ED-A3F0-86BC2D8B2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49</xdr:row>
      <xdr:rowOff>185737</xdr:rowOff>
    </xdr:from>
    <xdr:to>
      <xdr:col>7</xdr:col>
      <xdr:colOff>466725</xdr:colOff>
      <xdr:row>64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02D8D8-0913-40CB-9A1A-BD1A534BD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304800</xdr:colOff>
      <xdr:row>50</xdr:row>
      <xdr:rowOff>4762</xdr:rowOff>
    </xdr:from>
    <xdr:to>
      <xdr:col>24</xdr:col>
      <xdr:colOff>0</xdr:colOff>
      <xdr:row>64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100B10-088F-4438-A0A0-8CF8B2A7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371475</xdr:colOff>
      <xdr:row>50</xdr:row>
      <xdr:rowOff>4762</xdr:rowOff>
    </xdr:from>
    <xdr:to>
      <xdr:col>32</xdr:col>
      <xdr:colOff>66675</xdr:colOff>
      <xdr:row>64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F26515-08CC-476E-A346-0857C6E0F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180975</xdr:colOff>
      <xdr:row>65</xdr:row>
      <xdr:rowOff>166687</xdr:rowOff>
    </xdr:from>
    <xdr:to>
      <xdr:col>7</xdr:col>
      <xdr:colOff>485775</xdr:colOff>
      <xdr:row>80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04871C-F81E-492F-9636-C75F23BB4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209550</xdr:colOff>
      <xdr:row>65</xdr:row>
      <xdr:rowOff>157162</xdr:rowOff>
    </xdr:from>
    <xdr:to>
      <xdr:col>15</xdr:col>
      <xdr:colOff>514350</xdr:colOff>
      <xdr:row>80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688541C-671E-404E-A15C-4D31EA72F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314325</xdr:colOff>
      <xdr:row>65</xdr:row>
      <xdr:rowOff>176212</xdr:rowOff>
    </xdr:from>
    <xdr:to>
      <xdr:col>24</xdr:col>
      <xdr:colOff>9525</xdr:colOff>
      <xdr:row>80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7004BB5-63FB-4D1D-8B12-D5569DAB3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400050</xdr:colOff>
      <xdr:row>66</xdr:row>
      <xdr:rowOff>14287</xdr:rowOff>
    </xdr:from>
    <xdr:to>
      <xdr:col>32</xdr:col>
      <xdr:colOff>95250</xdr:colOff>
      <xdr:row>80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8F0D2F4-1BB8-485F-9005-284C3809C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133350</xdr:colOff>
      <xdr:row>81</xdr:row>
      <xdr:rowOff>185737</xdr:rowOff>
    </xdr:from>
    <xdr:to>
      <xdr:col>7</xdr:col>
      <xdr:colOff>438150</xdr:colOff>
      <xdr:row>96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E23BB29-0C3B-4B31-8098-0CB6111A3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219075</xdr:colOff>
      <xdr:row>82</xdr:row>
      <xdr:rowOff>23812</xdr:rowOff>
    </xdr:from>
    <xdr:to>
      <xdr:col>15</xdr:col>
      <xdr:colOff>523875</xdr:colOff>
      <xdr:row>96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CCEDA3-E528-4C98-A759-459D3E9B9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285750</xdr:colOff>
      <xdr:row>81</xdr:row>
      <xdr:rowOff>185737</xdr:rowOff>
    </xdr:from>
    <xdr:to>
      <xdr:col>23</xdr:col>
      <xdr:colOff>590550</xdr:colOff>
      <xdr:row>96</xdr:row>
      <xdr:rowOff>71437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7F83DD6-4C4A-40D3-A00E-6DA47487B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438150</xdr:colOff>
      <xdr:row>82</xdr:row>
      <xdr:rowOff>4762</xdr:rowOff>
    </xdr:from>
    <xdr:to>
      <xdr:col>32</xdr:col>
      <xdr:colOff>133350</xdr:colOff>
      <xdr:row>96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9A05AE7-D766-4168-951F-766B602FE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23812</xdr:rowOff>
    </xdr:from>
    <xdr:to>
      <xdr:col>7</xdr:col>
      <xdr:colOff>542925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2563C-0C68-450D-8E1A-F0F62E31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</xdr:row>
      <xdr:rowOff>23812</xdr:rowOff>
    </xdr:from>
    <xdr:to>
      <xdr:col>15</xdr:col>
      <xdr:colOff>466725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072EB-BB02-4BE9-A46F-97464D05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2</xdr:row>
      <xdr:rowOff>52387</xdr:rowOff>
    </xdr:from>
    <xdr:to>
      <xdr:col>23</xdr:col>
      <xdr:colOff>447675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484BA6-F0A2-4DD6-8D47-A2F6349E5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2</xdr:row>
      <xdr:rowOff>4762</xdr:rowOff>
    </xdr:from>
    <xdr:to>
      <xdr:col>31</xdr:col>
      <xdr:colOff>542925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51F0D-685B-4DE5-B9C1-FB2909BC9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17</xdr:row>
      <xdr:rowOff>100012</xdr:rowOff>
    </xdr:from>
    <xdr:to>
      <xdr:col>7</xdr:col>
      <xdr:colOff>542925</xdr:colOff>
      <xdr:row>31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0FFB9A-EB75-44A7-8217-9521D84D3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17</xdr:row>
      <xdr:rowOff>128587</xdr:rowOff>
    </xdr:from>
    <xdr:to>
      <xdr:col>15</xdr:col>
      <xdr:colOff>504825</xdr:colOff>
      <xdr:row>32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C8908F-176E-4B18-8E04-FF91DD282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17</xdr:row>
      <xdr:rowOff>166687</xdr:rowOff>
    </xdr:from>
    <xdr:to>
      <xdr:col>24</xdr:col>
      <xdr:colOff>0</xdr:colOff>
      <xdr:row>32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61B4D8-00D8-423E-B901-4BF1C1493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295275</xdr:colOff>
      <xdr:row>17</xdr:row>
      <xdr:rowOff>138112</xdr:rowOff>
    </xdr:from>
    <xdr:to>
      <xdr:col>31</xdr:col>
      <xdr:colOff>600075</xdr:colOff>
      <xdr:row>32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64E98F-9DC8-4FB7-A63C-52E36EB6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33</xdr:row>
      <xdr:rowOff>157162</xdr:rowOff>
    </xdr:from>
    <xdr:to>
      <xdr:col>7</xdr:col>
      <xdr:colOff>533400</xdr:colOff>
      <xdr:row>48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10C7D6-93D9-45FA-A9BD-EA1C759E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219075</xdr:colOff>
      <xdr:row>33</xdr:row>
      <xdr:rowOff>138112</xdr:rowOff>
    </xdr:from>
    <xdr:to>
      <xdr:col>15</xdr:col>
      <xdr:colOff>523875</xdr:colOff>
      <xdr:row>48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1EDA03-B933-4BBC-983F-B1B5B1D20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33</xdr:row>
      <xdr:rowOff>176212</xdr:rowOff>
    </xdr:from>
    <xdr:to>
      <xdr:col>24</xdr:col>
      <xdr:colOff>0</xdr:colOff>
      <xdr:row>48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7ED146-D054-4B89-9242-B08DF2258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314325</xdr:colOff>
      <xdr:row>34</xdr:row>
      <xdr:rowOff>4762</xdr:rowOff>
    </xdr:from>
    <xdr:to>
      <xdr:col>32</xdr:col>
      <xdr:colOff>9525</xdr:colOff>
      <xdr:row>48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CD22B1-4E2E-4BBE-86D3-C111C6544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161925</xdr:colOff>
      <xdr:row>50</xdr:row>
      <xdr:rowOff>14287</xdr:rowOff>
    </xdr:from>
    <xdr:to>
      <xdr:col>15</xdr:col>
      <xdr:colOff>466725</xdr:colOff>
      <xdr:row>64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E9A429-7AA0-4645-9BF4-C8FD2D0E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49</xdr:row>
      <xdr:rowOff>185737</xdr:rowOff>
    </xdr:from>
    <xdr:to>
      <xdr:col>7</xdr:col>
      <xdr:colOff>466725</xdr:colOff>
      <xdr:row>64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4B17C4-86FF-43D2-A743-C6A4B0D7E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304800</xdr:colOff>
      <xdr:row>50</xdr:row>
      <xdr:rowOff>42862</xdr:rowOff>
    </xdr:from>
    <xdr:to>
      <xdr:col>24</xdr:col>
      <xdr:colOff>0</xdr:colOff>
      <xdr:row>64</xdr:row>
      <xdr:rowOff>119062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2551F6-54D6-4372-B8FA-A6F26C63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371475</xdr:colOff>
      <xdr:row>50</xdr:row>
      <xdr:rowOff>4762</xdr:rowOff>
    </xdr:from>
    <xdr:to>
      <xdr:col>32</xdr:col>
      <xdr:colOff>66675</xdr:colOff>
      <xdr:row>64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43CF2E3-8B26-45B4-94B8-8657A53AF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180975</xdr:colOff>
      <xdr:row>65</xdr:row>
      <xdr:rowOff>166687</xdr:rowOff>
    </xdr:from>
    <xdr:to>
      <xdr:col>7</xdr:col>
      <xdr:colOff>485775</xdr:colOff>
      <xdr:row>80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D19F9B-0AD6-43E0-895F-C0AF2211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209550</xdr:colOff>
      <xdr:row>65</xdr:row>
      <xdr:rowOff>157162</xdr:rowOff>
    </xdr:from>
    <xdr:to>
      <xdr:col>15</xdr:col>
      <xdr:colOff>514350</xdr:colOff>
      <xdr:row>80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03A68AD-75B7-49E6-8E71-43FF70103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314325</xdr:colOff>
      <xdr:row>65</xdr:row>
      <xdr:rowOff>176212</xdr:rowOff>
    </xdr:from>
    <xdr:to>
      <xdr:col>24</xdr:col>
      <xdr:colOff>9525</xdr:colOff>
      <xdr:row>80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BE3851-EB68-442B-BC98-393AC8CF1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400050</xdr:colOff>
      <xdr:row>66</xdr:row>
      <xdr:rowOff>14287</xdr:rowOff>
    </xdr:from>
    <xdr:to>
      <xdr:col>32</xdr:col>
      <xdr:colOff>95250</xdr:colOff>
      <xdr:row>80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E3E7AA9-F245-4328-AF84-851ACFC04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133350</xdr:colOff>
      <xdr:row>81</xdr:row>
      <xdr:rowOff>185737</xdr:rowOff>
    </xdr:from>
    <xdr:to>
      <xdr:col>7</xdr:col>
      <xdr:colOff>438150</xdr:colOff>
      <xdr:row>96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DD9AF18-ACBF-422E-AD2D-7E846D13F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219075</xdr:colOff>
      <xdr:row>82</xdr:row>
      <xdr:rowOff>23812</xdr:rowOff>
    </xdr:from>
    <xdr:to>
      <xdr:col>15</xdr:col>
      <xdr:colOff>523875</xdr:colOff>
      <xdr:row>96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934FE52-D654-4083-B488-A8FCCC682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285750</xdr:colOff>
      <xdr:row>81</xdr:row>
      <xdr:rowOff>185737</xdr:rowOff>
    </xdr:from>
    <xdr:to>
      <xdr:col>23</xdr:col>
      <xdr:colOff>590550</xdr:colOff>
      <xdr:row>96</xdr:row>
      <xdr:rowOff>71437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A89C49B-735E-4976-B41C-173B2DDC2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438150</xdr:colOff>
      <xdr:row>82</xdr:row>
      <xdr:rowOff>4762</xdr:rowOff>
    </xdr:from>
    <xdr:to>
      <xdr:col>32</xdr:col>
      <xdr:colOff>133350</xdr:colOff>
      <xdr:row>96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BF1573-A331-41EC-AA9D-C16DFCDF9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ae6f6154abacb4a/Documents/Game%20Plan/Portfolio/Staging/Health%20Data.xlsx" TargetMode="External"/><Relationship Id="rId1" Type="http://schemas.openxmlformats.org/officeDocument/2006/relationships/externalLinkPath" Target="Healt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"/>
      <sheetName val="New Start"/>
      <sheetName val="Old Stats"/>
      <sheetName val="New Measurement"/>
      <sheetName val="Pivot"/>
      <sheetName val="Measurement"/>
      <sheetName val="Linear Chart"/>
      <sheetName val="Failed"/>
      <sheetName val="Health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6FA43-8A2B-438E-836E-3A2DDE0A31BC}" name="Table8" displayName="Table8" ref="A1:Z227" totalsRowShown="0">
  <autoFilter ref="A1:Z227" xr:uid="{D69111F4-53CA-4689-87C0-96C3A810D1D6}"/>
  <tableColumns count="26">
    <tableColumn id="1" xr3:uid="{93751716-C38A-4157-B8CE-68C4A7B563DD}" name="Date" dataDxfId="250"/>
    <tableColumn id="2" xr3:uid="{77F29FD3-BAAC-44DD-874B-CD1B269A7899}" name="Weight (Pounds)" dataDxfId="249"/>
    <tableColumn id="3" xr3:uid="{2418F96E-4E00-42A4-A90E-B94CCB58FF34}" name="Waist (Inches)" dataDxfId="248"/>
    <tableColumn id="4" xr3:uid="{AF86DB37-57BD-4A00-B601-16E01EB51C10}" name="Neck (Inches)" dataDxfId="247"/>
    <tableColumn id="5" xr3:uid="{E009BAAF-7C05-4316-8177-65359B7A1B1B}" name="Morning Body Temp" dataDxfId="246"/>
    <tableColumn id="6" xr3:uid="{3ED806D3-A43A-40DA-8D8B-B6469BBCF9C9}" name="Morning Systolic Pressure" dataDxfId="245"/>
    <tableColumn id="7" xr3:uid="{0053DDCC-15FF-44F5-9DFC-A1EB7D1CF060}" name="Morning Diastolic Pressure" dataDxfId="244"/>
    <tableColumn id="8" xr3:uid="{1914D216-3D5C-4E5C-9DE6-A55271908FB5}" name="Morning Pulse" dataDxfId="243"/>
    <tableColumn id="9" xr3:uid="{F4182D50-67AE-4772-806A-5BC0E469EA8A}" name="Night Body Temp" dataDxfId="242"/>
    <tableColumn id="10" xr3:uid="{10E1FA10-12CD-4779-9F1E-1D76FF05D07C}" name="Night Systolic Pressure" dataDxfId="241"/>
    <tableColumn id="11" xr3:uid="{00AB4DD0-97A7-439B-BCD3-538A128D2246}" name="Night Diastolic Pressure" dataDxfId="240"/>
    <tableColumn id="12" xr3:uid="{473CEE29-03D9-4156-BA7E-4663FCFEF712}" name="Night Pulse" dataDxfId="239"/>
    <tableColumn id="13" xr3:uid="{2ADBE7DB-E42F-409A-97FF-5E0243CDFDBD}" name="Sleep" dataDxfId="238"/>
    <tableColumn id="14" xr3:uid="{3F376987-3233-4608-962A-5810C8723119}" name="BMI" dataDxfId="237">
      <calculatedColumnFormula>(B2/4900)*703</calculatedColumnFormula>
    </tableColumn>
    <tableColumn id="15" xr3:uid="{D41B5DCB-5158-4FB8-955C-4141F10AE551}" name="CBF" dataDxfId="236">
      <calculatedColumnFormula>(86.01*LOG10(C2-D2))-(70.041*LOG10(70))+36.76</calculatedColumnFormula>
    </tableColumn>
    <tableColumn id="16" xr3:uid="{0464FE70-A11B-42FA-9534-D4727B3D4231}" name="Gym"/>
    <tableColumn id="17" xr3:uid="{CC6003D9-FA5B-4BB4-93EA-B5BCA6D0E2FD}" name="Cardio"/>
    <tableColumn id="18" xr3:uid="{5C0E912D-235F-4346-9BB6-F9BA40FF0A23}" name="Calories" dataDxfId="235"/>
    <tableColumn id="19" xr3:uid="{AB772F93-93A2-4D47-A733-E8E247401F59}" name="Carbs" dataDxfId="234"/>
    <tableColumn id="20" xr3:uid="{5B63FA67-78E3-4B0B-90BE-45D48639B6B1}" name="Fat " dataDxfId="233"/>
    <tableColumn id="21" xr3:uid="{22E7405F-8F40-4DA9-8444-64CF5278D74F}" name="Protein" dataDxfId="232"/>
    <tableColumn id="22" xr3:uid="{F8233F8B-E22B-4BB5-8CF3-1CA2ECD4C22E}" name="Fiber" dataDxfId="231"/>
    <tableColumn id="23" xr3:uid="{927854C2-16BF-4005-9BD7-A58C6A85C40E}" name="Sugar" dataDxfId="230"/>
    <tableColumn id="24" xr3:uid="{7BC46B49-0C94-4476-8EBD-793C3890507C}" name="Servings" dataDxfId="229"/>
    <tableColumn id="25" xr3:uid="{0BB0C4FA-C4B2-40C7-8F94-B4DA5BE5BB97}" name="Daily Water Intake (liters)" dataDxfId="228"/>
    <tableColumn id="28" xr3:uid="{20CE21E4-3403-45A5-8A0D-FED6D25AD2D0}" name="Fat Calories" dataDxfId="22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972F87-4753-4F4B-A0D5-11AFF76B2F52}" name="Table83" displayName="Table83" ref="A1:Z227" totalsRowShown="0" headerRowDxfId="226">
  <autoFilter ref="A1:Z227" xr:uid="{D69111F4-53CA-4689-87C0-96C3A810D1D6}"/>
  <tableColumns count="26">
    <tableColumn id="1" xr3:uid="{3D65CB4F-45EF-41EA-A50E-290D5500EFC8}" name="Date" dataDxfId="225"/>
    <tableColumn id="2" xr3:uid="{CB7D495C-2282-4E70-8B21-4D26208F4E7D}" name="Weight" dataDxfId="224"/>
    <tableColumn id="3" xr3:uid="{A9952531-886A-4A47-A6CA-138D328AD4E7}" name="Waist" dataDxfId="223"/>
    <tableColumn id="4" xr3:uid="{3B398014-8335-48FF-9EC6-7F2B184CB0CE}" name="Neck" dataDxfId="222"/>
    <tableColumn id="5" xr3:uid="{46D0D65D-E754-462C-B8C6-9E2095670D27}" name="Morning Body Temp" dataDxfId="221"/>
    <tableColumn id="6" xr3:uid="{2FFC732B-6265-4E2D-8D18-500DCBC4F9C7}" name="Morning Systolic Pressure" dataDxfId="220"/>
    <tableColumn id="7" xr3:uid="{CA1B647A-E1B7-4016-BB2A-132F907C9EA3}" name="Morning Diastolic Pressure" dataDxfId="219"/>
    <tableColumn id="8" xr3:uid="{332C9742-ECF6-454F-AFD4-00D63F71D60A}" name="Morning Pulse" dataDxfId="218"/>
    <tableColumn id="9" xr3:uid="{13075F5A-BD4D-47DC-8809-E74D0D5DE89E}" name="Night Body Temp" dataDxfId="217"/>
    <tableColumn id="10" xr3:uid="{A40EA3FF-F411-4F0D-AF9D-B95E83BE95A0}" name="Night Systolic Pressure" dataDxfId="216"/>
    <tableColumn id="11" xr3:uid="{3800D714-9E1B-4BA6-A8A2-4FF20B88EBEB}" name="Night Diastolic Pressure" dataDxfId="215"/>
    <tableColumn id="12" xr3:uid="{46EB80F6-B0E7-463E-B32F-998B9394493E}" name="Night Pulse" dataDxfId="214"/>
    <tableColumn id="13" xr3:uid="{A1FF1919-326C-452D-B95D-FEDA7A6FF190}" name="Sleep" dataDxfId="213"/>
    <tableColumn id="14" xr3:uid="{7A233FD1-7E83-4169-9E3C-9909A5BAD4D0}" name="BMI" dataDxfId="212"/>
    <tableColumn id="15" xr3:uid="{6B86812E-31C3-4748-A6B3-9DF2D0E39A48}" name="CBF" dataDxfId="211"/>
    <tableColumn id="27" xr3:uid="{81605414-06C4-476F-B21D-DCE4DC6AA495}" name="Gym" dataDxfId="210"/>
    <tableColumn id="26" xr3:uid="{D7152281-EB85-49AE-801B-445AEB72CF3D}" name="Cardio"/>
    <tableColumn id="18" xr3:uid="{7B082EF0-F1EE-48F8-8A0A-B7126E039918}" name="Calories" dataDxfId="209"/>
    <tableColumn id="19" xr3:uid="{40AAF1C6-97A4-43E0-972F-B00B8468BEB5}" name="Carbs" dataDxfId="208"/>
    <tableColumn id="20" xr3:uid="{29F28A39-B48A-47AD-B7E5-21FF17C4F9C2}" name="Fat " dataDxfId="207"/>
    <tableColumn id="21" xr3:uid="{8934CDAA-6A33-4DEB-AC77-9D6B5599BEB8}" name="Protein" dataDxfId="206"/>
    <tableColumn id="22" xr3:uid="{F5529C57-2FB0-491E-9D9E-6AA88E9CB0F4}" name="Fiber" dataDxfId="205"/>
    <tableColumn id="23" xr3:uid="{9BD96DB4-4018-4A58-87CA-434A44D3D7CC}" name="Sugar" dataDxfId="204"/>
    <tableColumn id="24" xr3:uid="{49213F64-6B60-4D7F-9E42-8A2EE33EFDA8}" name="Servings" dataDxfId="203"/>
    <tableColumn id="25" xr3:uid="{8809238A-444C-46A1-A24B-6BD70EC7182D}" name="Water" dataDxfId="202"/>
    <tableColumn id="28" xr3:uid="{30064262-AFE1-4272-9DAD-4845DBBAD9B4}" name="Fat Calories" dataDxfId="20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6716D8-CE91-469B-82B4-80BD93B09EC2}" name="Table4" displayName="Table4" ref="A1:Z16" totalsRowShown="0" headerRowDxfId="0">
  <autoFilter ref="A1:Z16" xr:uid="{686716D8-CE91-469B-82B4-80BD93B09EC2}"/>
  <tableColumns count="26">
    <tableColumn id="1" xr3:uid="{43D5DBE7-B89B-4393-9BF2-58BD8215A6D8}" name="Stat" dataDxfId="1"/>
    <tableColumn id="2" xr3:uid="{1C980167-C72D-4BEE-AB0D-28A86FF9319D}" name="Weight"/>
    <tableColumn id="3" xr3:uid="{F5AF1515-4419-47E1-9D5A-4527E915C9B1}" name="Waist"/>
    <tableColumn id="4" xr3:uid="{B68178A6-D8D4-42DF-B8A4-CE546CE584A9}" name="Neck"/>
    <tableColumn id="5" xr3:uid="{E787754A-32B9-475D-822A-82A09890BC02}" name="Morning Body Temp"/>
    <tableColumn id="6" xr3:uid="{DE20E6B9-8273-42E7-BE57-BAFCFC140427}" name="Morning Systolic Pressure"/>
    <tableColumn id="7" xr3:uid="{2FCB7424-B544-40DC-85EE-4100601BB56B}" name="Morning Diastolic Pressure"/>
    <tableColumn id="8" xr3:uid="{1AB6DC51-400A-453B-BC08-3A8149A2EF66}" name="Morning Pulse"/>
    <tableColumn id="9" xr3:uid="{DC692182-23E5-4A36-9CBF-0046931817EE}" name="Night Body Temp"/>
    <tableColumn id="10" xr3:uid="{406FF5C0-43D5-4875-9CD6-3A3B63183562}" name="Night Systolic Pressure"/>
    <tableColumn id="11" xr3:uid="{043F571B-C41D-48EC-A5B3-D90008B9E282}" name="Night Diastolic Pressure"/>
    <tableColumn id="12" xr3:uid="{7304F144-F87D-4324-9C7C-23509B844EF4}" name="Night Pulse"/>
    <tableColumn id="13" xr3:uid="{1CD88C7A-5757-403E-8667-008AA32BF84E}" name="Sleep"/>
    <tableColumn id="14" xr3:uid="{FE3401B7-D94E-4416-9E11-4D2C5D12B9AE}" name="BMI"/>
    <tableColumn id="15" xr3:uid="{3712F0C4-51F5-4E18-A12B-61B446B5F478}" name="CBF"/>
    <tableColumn id="16" xr3:uid="{53A0A754-DC37-41DB-956C-93A7E6B541E0}" name="Gym"/>
    <tableColumn id="17" xr3:uid="{54F34DD5-B377-49CB-BCAE-60DC3EC1E664}" name="Cardio"/>
    <tableColumn id="18" xr3:uid="{E86C64CA-6D65-4800-A3B9-6C4D24927267}" name="Calories"/>
    <tableColumn id="19" xr3:uid="{0ACE3120-7993-47D5-AC78-B628CAA79E8A}" name="Carbs"/>
    <tableColumn id="20" xr3:uid="{C58C8F6A-73A7-41DA-89AA-A7823BC675ED}" name="Fat "/>
    <tableColumn id="21" xr3:uid="{6146FF53-8586-491E-965B-ED093BFBD7B8}" name="Protein"/>
    <tableColumn id="22" xr3:uid="{70783BBD-8727-43C9-9E1A-8AC498B2012F}" name="Fiber"/>
    <tableColumn id="23" xr3:uid="{5E816A4B-2D61-4983-B451-635BABCC09EB}" name="Sugar"/>
    <tableColumn id="24" xr3:uid="{F59BD5E3-708B-46D8-9E80-63598866AFE6}" name="Servings"/>
    <tableColumn id="25" xr3:uid="{764EA261-D3A9-4A98-8EFF-300C9DAF7D72}" name="Water"/>
    <tableColumn id="26" xr3:uid="{DB085D61-72DA-4016-B011-94879246BAA4}" name="Fat Calories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B18C9C-718B-4A52-A056-AAB00F61332F}" name="Table834" displayName="Table834" ref="A1:CS227" totalsRowShown="0" headerRowDxfId="200" dataDxfId="199">
  <autoFilter ref="A1:CS227" xr:uid="{D69111F4-53CA-4689-87C0-96C3A810D1D6}"/>
  <tableColumns count="97">
    <tableColumn id="2" xr3:uid="{5701F033-70A3-4AA6-8FC2-E79EEA377827}" name="Weight" dataDxfId="198"/>
    <tableColumn id="1" xr3:uid="{4DCAEA2F-A0B5-4EF2-A14E-5BBBA94532BA}" name="Weight^2" dataDxfId="197">
      <calculatedColumnFormula>Table834[[#This Row],[Weight]]^2</calculatedColumnFormula>
    </tableColumn>
    <tableColumn id="3" xr3:uid="{C7DD87E7-D58E-4A5D-B8FC-0FE9FCF11C4B}" name="Waist" dataDxfId="196"/>
    <tableColumn id="16" xr3:uid="{93BD8828-5AEA-4383-A54A-CBBC7AB68B4A}" name="Waist^2" dataDxfId="195">
      <calculatedColumnFormula>Table834[[#This Row],[Waist]]^2</calculatedColumnFormula>
    </tableColumn>
    <tableColumn id="4" xr3:uid="{0D48F295-CC94-409C-8433-F1A043239AD2}" name="Neck" dataDxfId="194"/>
    <tableColumn id="17" xr3:uid="{8D8C7CB0-C026-44E3-A488-EBFCF675FDEC}" name="Neck^2" dataDxfId="193">
      <calculatedColumnFormula>Table834[[#This Row],[Neck]]^2</calculatedColumnFormula>
    </tableColumn>
    <tableColumn id="5" xr3:uid="{5BE31D4E-5235-4E3F-87AE-981161E0E831}" name="Morning Body Temp" dataDxfId="192"/>
    <tableColumn id="29" xr3:uid="{E450F384-6A9A-4619-9C57-D0E237240C28}" name="Morning Temp^2" dataDxfId="191">
      <calculatedColumnFormula>Table834[[#This Row],[Morning Body Temp]]^2</calculatedColumnFormula>
    </tableColumn>
    <tableColumn id="6" xr3:uid="{2669B483-8D78-4E18-AE82-7A38F6C44D25}" name="Morning Systolic Pressure" dataDxfId="190"/>
    <tableColumn id="30" xr3:uid="{2CDC8B12-48F5-4EDC-9714-40956C2AD92E}" name="Morning Sys^2" dataDxfId="189">
      <calculatedColumnFormula>Table834[[#This Row],[Morning Systolic Pressure]]^2</calculatedColumnFormula>
    </tableColumn>
    <tableColumn id="7" xr3:uid="{512C729C-243F-4C43-A198-2B648C020254}" name="Morning Diastolic Pressure" dataDxfId="188"/>
    <tableColumn id="31" xr3:uid="{3466568E-021B-4A81-A2DB-E33E66DC72E0}" name="Morning Dia^2" dataDxfId="187">
      <calculatedColumnFormula>Table834[[#This Row],[Morning Diastolic Pressure]]^2</calculatedColumnFormula>
    </tableColumn>
    <tableColumn id="8" xr3:uid="{22F5241C-8A47-4A6C-A446-D54129C9E3FC}" name="Morning Pulse" dataDxfId="186"/>
    <tableColumn id="32" xr3:uid="{0F79A7CB-91BC-490E-9D8A-859D8D427FA1}" name="Morning Pulse^2" dataDxfId="185">
      <calculatedColumnFormula>Table834[[#This Row],[Morning Pulse]]^2</calculatedColumnFormula>
    </tableColumn>
    <tableColumn id="9" xr3:uid="{777F6117-AD82-4016-A83E-60DB0F0EA79C}" name="Night Body Temp" dataDxfId="184"/>
    <tableColumn id="33" xr3:uid="{20EE9211-5312-49A9-A0F7-1775237FA404}" name="Night Temp^2" dataDxfId="183">
      <calculatedColumnFormula>Table834[[#This Row],[Night Body Temp]]^2</calculatedColumnFormula>
    </tableColumn>
    <tableColumn id="10" xr3:uid="{F2D66486-05CD-4098-A040-B8BCE471BAF3}" name="Night Systolic Pressure" dataDxfId="182"/>
    <tableColumn id="34" xr3:uid="{B3D6D38B-5FBD-48D9-A287-32ECB1D5425A}" name="Night Sys^2" dataDxfId="181">
      <calculatedColumnFormula>Table834[[#This Row],[Night Systolic Pressure]]^2</calculatedColumnFormula>
    </tableColumn>
    <tableColumn id="11" xr3:uid="{5B239E86-DA30-45EA-A953-B6DC471B735B}" name="Night Diastolic Pressure" dataDxfId="180"/>
    <tableColumn id="35" xr3:uid="{26D13CBB-8D70-455E-94EE-A81C557DFE41}" name="Night Dia^2" dataDxfId="179">
      <calculatedColumnFormula>Table834[[#This Row],[Night Diastolic Pressure]]^2</calculatedColumnFormula>
    </tableColumn>
    <tableColumn id="12" xr3:uid="{20C963D2-8BFA-408C-AD04-22CA1CC9D3A0}" name="Night Pulse" dataDxfId="178"/>
    <tableColumn id="36" xr3:uid="{CF792750-2001-434F-95B6-FF8683E64673}" name="Night Pulse^2" dataDxfId="177">
      <calculatedColumnFormula>Table834[[#This Row],[Night Pulse]]^2</calculatedColumnFormula>
    </tableColumn>
    <tableColumn id="13" xr3:uid="{56EF00BA-3E61-42B5-8ACC-59E91434E379}" name="Sleep" dataDxfId="176"/>
    <tableColumn id="37" xr3:uid="{2C9CF32D-1271-4828-9E3C-22EB45CFF04E}" name="Sleep^2" dataDxfId="175">
      <calculatedColumnFormula>Table834[[#This Row],[Sleep]]^2</calculatedColumnFormula>
    </tableColumn>
    <tableColumn id="14" xr3:uid="{CD246FAC-7AE9-499F-9684-133C4513CA19}" name="BMI" dataDxfId="174">
      <calculatedColumnFormula>(A2/4900)*703</calculatedColumnFormula>
    </tableColumn>
    <tableColumn id="38" xr3:uid="{5C63774D-AB8A-4766-A1D1-A911F4BD273E}" name="BMI^2" dataDxfId="173">
      <calculatedColumnFormula>Table834[[#This Row],[BMI]]^2</calculatedColumnFormula>
    </tableColumn>
    <tableColumn id="15" xr3:uid="{B4BF00E5-97EB-431C-B03F-B97E3C981A6C}" name="CBF" dataDxfId="172">
      <calculatedColumnFormula>(86.01*LOG10(C2-E2))-(70.041*LOG10(70))+36.76</calculatedColumnFormula>
    </tableColumn>
    <tableColumn id="39" xr3:uid="{89C4F286-6547-43B7-A1E6-B4137F79EB04}" name="CBF^2" dataDxfId="171">
      <calculatedColumnFormula>Table834[[#This Row],[CBF]]^2</calculatedColumnFormula>
    </tableColumn>
    <tableColumn id="27" xr3:uid="{7042259E-C04F-419C-9F51-A01D40D11299}" name="Gym" dataDxfId="170"/>
    <tableColumn id="40" xr3:uid="{A37636B5-A493-4AC6-B870-AF0256B586BF}" name="Gym^2" dataDxfId="169">
      <calculatedColumnFormula>Table834[[#This Row],[Gym]]^2</calculatedColumnFormula>
    </tableColumn>
    <tableColumn id="26" xr3:uid="{1868E16E-3EB1-47F7-BD80-CBD98F2C6BDE}" name="Cardio" dataDxfId="168"/>
    <tableColumn id="41" xr3:uid="{1610DD44-5AA6-4374-B794-B96E6A237CB3}" name="Cardio^2" dataDxfId="167">
      <calculatedColumnFormula>Table834[[#This Row],[Cardio]]^2</calculatedColumnFormula>
    </tableColumn>
    <tableColumn id="18" xr3:uid="{A5199AEC-C568-45E9-AAFF-C5FB166EF831}" name="Calories" dataDxfId="166"/>
    <tableColumn id="42" xr3:uid="{E55941B8-2082-4191-AD08-2072B3F09EA1}" name="Calories^2" dataDxfId="165">
      <calculatedColumnFormula>Table834[[#This Row],[Calories]]^2</calculatedColumnFormula>
    </tableColumn>
    <tableColumn id="19" xr3:uid="{11E487A7-CF9C-4FB2-A96C-2A6C52C72D4F}" name="Carbs" dataDxfId="164"/>
    <tableColumn id="43" xr3:uid="{F244DD04-C24C-477D-884E-1195A1A771CD}" name="Carbs^2" dataDxfId="163">
      <calculatedColumnFormula>Table834[[#This Row],[Carbs]]^2</calculatedColumnFormula>
    </tableColumn>
    <tableColumn id="20" xr3:uid="{B886465C-B1B6-4540-87A4-BB9B2D817088}" name="Fat " dataDxfId="162"/>
    <tableColumn id="44" xr3:uid="{A70A8879-EBD3-4C63-84D6-673A3F8AC7CB}" name="Fat^2" dataDxfId="161">
      <calculatedColumnFormula>Table834[[#This Row],[Fat ]]^2</calculatedColumnFormula>
    </tableColumn>
    <tableColumn id="21" xr3:uid="{59431EDF-6812-4566-9654-98CB979AC19F}" name="Protein" dataDxfId="160"/>
    <tableColumn id="45" xr3:uid="{7DCC73F2-2579-49D9-95F0-469059C8B224}" name="Protein^2" dataDxfId="159">
      <calculatedColumnFormula>Table834[[#This Row],[Protein]]^2</calculatedColumnFormula>
    </tableColumn>
    <tableColumn id="22" xr3:uid="{6499BE42-7AEE-414C-B931-28AED96A248F}" name="Fiber" dataDxfId="158"/>
    <tableColumn id="46" xr3:uid="{87BFB8BB-08D0-42EB-B149-65FDDAAE755F}" name="Fiber^2" dataDxfId="157">
      <calculatedColumnFormula>Table834[[#This Row],[Fiber]]^2</calculatedColumnFormula>
    </tableColumn>
    <tableColumn id="23" xr3:uid="{7BCEB75E-9F3A-46F1-9DD6-AEFBAEFC7568}" name="Sugar" dataDxfId="156"/>
    <tableColumn id="47" xr3:uid="{7F41FB1B-9471-4C61-8143-A95DB75D48BA}" name="Sugar^2" dataDxfId="155">
      <calculatedColumnFormula>Table834[[#This Row],[Sugar]]^2</calculatedColumnFormula>
    </tableColumn>
    <tableColumn id="24" xr3:uid="{42B659AC-42AC-4E8E-8784-45D494EE26FC}" name="Servings" dataDxfId="154"/>
    <tableColumn id="48" xr3:uid="{95181A32-A677-49D4-9D6F-FD1AA751BDDA}" name="Servings^2" dataDxfId="153">
      <calculatedColumnFormula>Table834[[#This Row],[Servings]]^2</calculatedColumnFormula>
    </tableColumn>
    <tableColumn id="25" xr3:uid="{D36EA9AB-A616-477D-935C-5ADFCCF538FA}" name="Water" dataDxfId="152"/>
    <tableColumn id="49" xr3:uid="{467B865D-5CB5-4F5F-B53E-CA3E7CAC865D}" name="Water^2" dataDxfId="151">
      <calculatedColumnFormula>Table834[[#This Row],[Water]]^2</calculatedColumnFormula>
    </tableColumn>
    <tableColumn id="28" xr3:uid="{C002AA46-DEF8-4574-9299-CC176BAC677E}" name="Fat Calories" dataDxfId="150"/>
    <tableColumn id="50" xr3:uid="{99DBC005-6F10-47D3-AF99-7796806855F6}" name="Fat Cal^2" dataDxfId="149">
      <calculatedColumnFormula>Table834[[#This Row],[Fat Calories]]^2</calculatedColumnFormula>
    </tableColumn>
    <tableColumn id="51" xr3:uid="{9B1C8BB6-5C32-4DB0-955E-23FAB8373B9F}" name="Weight v Waist" dataDxfId="148">
      <calculatedColumnFormula>Table834[[#This Row],[Weight]]*Table834[[#This Row],[Waist]]</calculatedColumnFormula>
    </tableColumn>
    <tableColumn id="52" xr3:uid="{C122F6DB-25BF-4719-BA0E-F92C81B171C9}" name="Weight v Neck" dataDxfId="147">
      <calculatedColumnFormula>Table834[[#This Row],[Weight]]*Table834[[#This Row],[Neck]]</calculatedColumnFormula>
    </tableColumn>
    <tableColumn id="53" xr3:uid="{7FCE64C5-AD27-487F-AA63-826C79ACCAD0}" name="Weight v Morning Temp" dataDxfId="146">
      <calculatedColumnFormula>Table834[[#This Row],[Weight]]*Table834[[#This Row],[Morning Body Temp]]</calculatedColumnFormula>
    </tableColumn>
    <tableColumn id="54" xr3:uid="{AC8ABDCD-6DA7-4447-98D4-8E34CA913775}" name="Weight v Morning Sys" dataDxfId="145">
      <calculatedColumnFormula>Table834[[#This Row],[Weight]]*Table834[[#This Row],[Morning Systolic Pressure]]</calculatedColumnFormula>
    </tableColumn>
    <tableColumn id="55" xr3:uid="{2C1569CD-2D48-4B35-98D5-FC3234BCBB63}" name="Weight v Morning Dia" dataDxfId="144">
      <calculatedColumnFormula>Table834[[#This Row],[Weight]]*Table834[[#This Row],[Morning Diastolic Pressure]]</calculatedColumnFormula>
    </tableColumn>
    <tableColumn id="56" xr3:uid="{66569429-249E-4944-A992-902833AD1BBA}" name="Weight v Morning Pulse" dataDxfId="143">
      <calculatedColumnFormula>Table834[[#This Row],[Weight]]*Table834[[#This Row],[Morning Pulse]]</calculatedColumnFormula>
    </tableColumn>
    <tableColumn id="57" xr3:uid="{27385424-455F-4641-9EA3-4D9EB31E9D7D}" name="Weight v Night Temp" dataDxfId="142">
      <calculatedColumnFormula>Table834[[#This Row],[Weight]]*Table834[[#This Row],[Night Body Temp]]</calculatedColumnFormula>
    </tableColumn>
    <tableColumn id="58" xr3:uid="{1D948508-82B3-4F82-BA84-2ADC8E2435FF}" name="Weight v Night Sys" dataDxfId="141">
      <calculatedColumnFormula>Table834[[#This Row],[Weight]]*Table834[[#This Row],[Night Systolic Pressure]]</calculatedColumnFormula>
    </tableColumn>
    <tableColumn id="59" xr3:uid="{A342470C-3913-47D5-8CD3-D4CF18B0B684}" name="Weight v Night Dia" dataDxfId="140">
      <calculatedColumnFormula>Table83[[#This Row],[Weight]]*Table83[[#This Row],[Night Diastolic Pressure]]</calculatedColumnFormula>
    </tableColumn>
    <tableColumn id="60" xr3:uid="{D89EDF54-AF18-4DEA-A489-C3E3EC320718}" name="Weight v Night Pulse" dataDxfId="139">
      <calculatedColumnFormula>Table834[[#This Row],[Weight]]*Table834[[#This Row],[Night Pulse]]</calculatedColumnFormula>
    </tableColumn>
    <tableColumn id="61" xr3:uid="{942946C4-A230-43F1-908A-D6F69992AC7E}" name="Weight v Sleep" dataDxfId="138">
      <calculatedColumnFormula>Table834[[#This Row],[Weight]]*Table834[[#This Row],[Sleep]]</calculatedColumnFormula>
    </tableColumn>
    <tableColumn id="62" xr3:uid="{FD2E523F-1639-4DF0-BB4A-4B7923B89EC9}" name="Weight v BMI" dataDxfId="137">
      <calculatedColumnFormula>Table834[[#This Row],[Weight]]*Table834[[#This Row],[BMI]]</calculatedColumnFormula>
    </tableColumn>
    <tableColumn id="63" xr3:uid="{A9EA9A5D-3CD0-401F-AA10-DE7BF9FFCDF1}" name="Weight v CBF" dataDxfId="136">
      <calculatedColumnFormula>Table834[[#This Row],[Weight]]*Table834[[#This Row],[CBF]]</calculatedColumnFormula>
    </tableColumn>
    <tableColumn id="64" xr3:uid="{FC17D821-1731-4449-AB37-ECF268EAA61D}" name="Weight v Gym" dataDxfId="135">
      <calculatedColumnFormula>Table834[[#This Row],[Weight]]*Table834[[#This Row],[Gym]]</calculatedColumnFormula>
    </tableColumn>
    <tableColumn id="65" xr3:uid="{31E699C2-20CC-4FF5-B0DB-FFD758CCC0F5}" name="Weight v Cardio" dataDxfId="134">
      <calculatedColumnFormula>Table834[[#This Row],[Weight]]*Table834[[#This Row],[Cardio]]</calculatedColumnFormula>
    </tableColumn>
    <tableColumn id="66" xr3:uid="{BD310891-605C-4EA3-936C-5C8EA4C34FEA}" name="Weight v Calories" dataDxfId="133">
      <calculatedColumnFormula>Table834[[#This Row],[Weight]]*Table834[[#This Row],[Calories]]</calculatedColumnFormula>
    </tableColumn>
    <tableColumn id="67" xr3:uid="{B14CA4A9-5598-4FD1-BBA1-CF896E5FDA7F}" name="Weight v Carbs" dataDxfId="132">
      <calculatedColumnFormula>Table834[[#This Row],[Weight]]*Table834[[#This Row],[Carbs]]</calculatedColumnFormula>
    </tableColumn>
    <tableColumn id="68" xr3:uid="{5D5ADF86-1CD3-431A-8944-F5029156AB6E}" name="Weight v Fat" dataDxfId="131">
      <calculatedColumnFormula>Table834[[#This Row],[Weight]]*Table834[[#This Row],[Fat ]]</calculatedColumnFormula>
    </tableColumn>
    <tableColumn id="69" xr3:uid="{B9E8A0B5-DA51-4C46-9CF4-B742FA4C8E58}" name="Weight v Protein" dataDxfId="130">
      <calculatedColumnFormula>Table834[[#This Row],[Weight]]*Table834[[#This Row],[Protein]]</calculatedColumnFormula>
    </tableColumn>
    <tableColumn id="70" xr3:uid="{D23FE618-4877-4588-8456-DC0906A4B9D8}" name="Weight v Fiber" dataDxfId="129">
      <calculatedColumnFormula>Table834[[#This Row],[Weight]]*Table834[[#This Row],[Fiber]]</calculatedColumnFormula>
    </tableColumn>
    <tableColumn id="71" xr3:uid="{247657E4-8BA9-405E-8C01-C834B6112D27}" name="Weight v Sugar" dataDxfId="128">
      <calculatedColumnFormula>Table834[[#This Row],[Weight]]*Table834[[#This Row],[Sugar]]</calculatedColumnFormula>
    </tableColumn>
    <tableColumn id="72" xr3:uid="{9040208D-D3D4-47C2-9510-5C7F227D93A0}" name="Weight v Servings" dataDxfId="127">
      <calculatedColumnFormula>Table834[[#This Row],[Weight]]*Table834[[#This Row],[Servings]]</calculatedColumnFormula>
    </tableColumn>
    <tableColumn id="73" xr3:uid="{4D7B433E-6794-4F7E-BC5A-AAEDCA7ABAA8}" name="Weight v Water" dataDxfId="126">
      <calculatedColumnFormula>Table834[[#This Row],[Weight]]*Table834[[#This Row],[Water]]</calculatedColumnFormula>
    </tableColumn>
    <tableColumn id="74" xr3:uid="{7710C5AD-D382-48A1-930F-35E8B20625CF}" name="Weight v Fat Calories" dataDxfId="125">
      <calculatedColumnFormula>Table834[[#This Row],[Weight]]*Table834[[#This Row],[Fat Calories]]</calculatedColumnFormula>
    </tableColumn>
    <tableColumn id="75" xr3:uid="{A40D02EC-47E4-4B41-B41D-5965E6946372}" name="Waist v Neck" dataDxfId="124">
      <calculatedColumnFormula>Table834[[#This Row],[Waist]]*Table834[[#This Row],[Neck]]</calculatedColumnFormula>
    </tableColumn>
    <tableColumn id="76" xr3:uid="{03D8B986-7A72-41A2-BF67-A27766FF071B}" name="Waist v Morning Temp" dataDxfId="123">
      <calculatedColumnFormula>Table834[[#This Row],[Waist]]*Table834[[#This Row],[Morning Body Temp]]</calculatedColumnFormula>
    </tableColumn>
    <tableColumn id="77" xr3:uid="{F9AA09E6-2DC4-4985-AC62-2A3A1C627F50}" name="Waist v Morning Sys" dataDxfId="122">
      <calculatedColumnFormula>Table834[[#This Row],[Waist]]*Table834[[#This Row],[Morning Systolic Pressure]]</calculatedColumnFormula>
    </tableColumn>
    <tableColumn id="78" xr3:uid="{AA3D3872-D072-4AE9-A0E4-D2E266BC910E}" name="Waist v Morning Dia" dataDxfId="121">
      <calculatedColumnFormula>Table834[[#This Row],[Waist]]*Table834[[#This Row],[Morning Diastolic Pressure]]</calculatedColumnFormula>
    </tableColumn>
    <tableColumn id="79" xr3:uid="{7F4931E6-837B-4A57-B41C-787B5E38C1BD}" name="Waist v Morning Pulse" dataDxfId="120">
      <calculatedColumnFormula>Table834[[#This Row],[Waist]]*Table834[[#This Row],[Morning Pulse]]</calculatedColumnFormula>
    </tableColumn>
    <tableColumn id="80" xr3:uid="{81EBD79D-2C1E-4003-9F8B-D244D9C90E1F}" name="Waist v Night Temp" dataDxfId="119">
      <calculatedColumnFormula>Table834[[#This Row],[Waist]]*Table834[[#This Row],[Night Body Temp]]</calculatedColumnFormula>
    </tableColumn>
    <tableColumn id="81" xr3:uid="{D53743F7-67B5-4194-8451-49E6025D2E4E}" name="Waist v  Night Sys" dataDxfId="118">
      <calculatedColumnFormula>Table834[[#This Row],[Waist]]*Table834[[#This Row],[Night Systolic Pressure]]</calculatedColumnFormula>
    </tableColumn>
    <tableColumn id="82" xr3:uid="{9D7F25B1-98A2-4591-92C7-614A943522FC}" name="Waist v Night Dia" dataDxfId="117">
      <calculatedColumnFormula>Table83[[#This Row],[Waist]]*Table83[[#This Row],[Night Diastolic Pressure]]</calculatedColumnFormula>
    </tableColumn>
    <tableColumn id="83" xr3:uid="{F082E122-CDD2-43CC-99C4-CC9F348A38DE}" name="Waist v Night Pulse" dataDxfId="116">
      <calculatedColumnFormula>Table834[[#This Row],[Waist]]*Table834[[#This Row],[Night Pulse]]</calculatedColumnFormula>
    </tableColumn>
    <tableColumn id="84" xr3:uid="{437F052C-1E58-43A1-8A14-B53B5BE3AA64}" name="Waist v  Sleep" dataDxfId="115">
      <calculatedColumnFormula>Table834[[#This Row],[Waist]]*Table834[[#This Row],[Sleep]]</calculatedColumnFormula>
    </tableColumn>
    <tableColumn id="85" xr3:uid="{FB3F9208-95AA-4C9E-A4E2-E83A6E497782}" name="Waist v BMI" dataDxfId="114">
      <calculatedColumnFormula>Table834[[#This Row],[Waist]]*Table834[[#This Row],[BMI]]</calculatedColumnFormula>
    </tableColumn>
    <tableColumn id="86" xr3:uid="{C70BEBDB-FC0A-4581-989B-BF0F63F12840}" name="Waist v  CBF" dataDxfId="113">
      <calculatedColumnFormula>Table834[[#This Row],[Waist]]*Table834[[#This Row],[CBF]]</calculatedColumnFormula>
    </tableColumn>
    <tableColumn id="87" xr3:uid="{183D18DF-8DC9-4704-8473-2E9016E05727}" name="Waist v  Gym" dataDxfId="112">
      <calculatedColumnFormula>Table834[[#This Row],[Waist]]*Table834[[#This Row],[Gym]]</calculatedColumnFormula>
    </tableColumn>
    <tableColumn id="88" xr3:uid="{A69AEFB8-BABF-4E81-8C0B-0BA918C730CF}" name="Waist v Cardio" dataDxfId="111">
      <calculatedColumnFormula>Table834[[#This Row],[Waist]]*Table834[[#This Row],[Cardio]]</calculatedColumnFormula>
    </tableColumn>
    <tableColumn id="89" xr3:uid="{CE73BA7E-773B-42B4-BEAD-9381D9E98BCB}" name="Waist v Calories" dataDxfId="110">
      <calculatedColumnFormula>Table834[[#This Row],[Waist]]*Table834[[#This Row],[Calories]]</calculatedColumnFormula>
    </tableColumn>
    <tableColumn id="90" xr3:uid="{768EF477-FEA0-45B7-AC15-030129FDD4A5}" name="Waist v Carbs" dataDxfId="109">
      <calculatedColumnFormula>Table834[[#This Row],[Waist]]*Table834[[#This Row],[Carbs]]</calculatedColumnFormula>
    </tableColumn>
    <tableColumn id="91" xr3:uid="{9BEA935B-0861-4AB1-BE7D-7D2E8B72F6C0}" name="Waist v Fat" dataDxfId="108">
      <calculatedColumnFormula>Table834[[#This Row],[Waist]]*Table834[[#This Row],[Fat ]]</calculatedColumnFormula>
    </tableColumn>
    <tableColumn id="92" xr3:uid="{C7BC106B-89DD-435C-AE38-D14C2B243460}" name="Waist v Protein" dataDxfId="107">
      <calculatedColumnFormula>Table834[[#This Row],[Waist]]*Table834[[#This Row],[Protein]]</calculatedColumnFormula>
    </tableColumn>
    <tableColumn id="93" xr3:uid="{C9BCB015-FF89-426C-A42C-8D032E356FBF}" name="Waist v Fiber" dataDxfId="106">
      <calculatedColumnFormula>Table834[[#This Row],[Waist]]*Table834[[#This Row],[Fiber]]</calculatedColumnFormula>
    </tableColumn>
    <tableColumn id="94" xr3:uid="{A9AEB933-96E8-488C-AF80-F6BB1E9DFFDD}" name="Waist v Sugar" dataDxfId="105">
      <calculatedColumnFormula>Table834[[#This Row],[Waist]]*Table834[[#This Row],[Sugar]]</calculatedColumnFormula>
    </tableColumn>
    <tableColumn id="95" xr3:uid="{9D8621A8-4614-4DBF-8A9D-3945E480D022}" name="Waist v Servings" dataDxfId="104">
      <calculatedColumnFormula>Table834[[#This Row],[Waist]]*Table834[[#This Row],[Servings]]</calculatedColumnFormula>
    </tableColumn>
    <tableColumn id="96" xr3:uid="{06958B60-6DEA-49D4-BB97-7689440EA3ED}" name="Waist v Water" dataDxfId="103">
      <calculatedColumnFormula>Table834[[#This Row],[Waist]]*Table834[[#This Row],[Water]]</calculatedColumnFormula>
    </tableColumn>
    <tableColumn id="97" xr3:uid="{4EC6CC14-41D6-4569-8CE8-198C055A677A}" name="Waist v Fat Calories" dataDxfId="102">
      <calculatedColumnFormula>Table834[[#This Row],[Waist]]*Table834[[#This Row],[Fat Calories]]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C35606-8FDC-4F69-9D5E-2FF07C5BF75E}" name="Table7" displayName="Table7" ref="A1:EN227" totalsRowShown="0">
  <autoFilter ref="A1:EN227" xr:uid="{7FC35606-8FDC-4F69-9D5E-2FF07C5BF75E}"/>
  <tableColumns count="144">
    <tableColumn id="6" xr3:uid="{ABCA6797-6791-4870-AA5A-34B7FB0945F6}" name="Weight v Waist">
      <calculatedColumnFormula>Regression!$B$10+(Regression!$B$9*Table83[[#This Row],[Waist]])</calculatedColumnFormula>
    </tableColumn>
    <tableColumn id="87" xr3:uid="{37A4BF1B-EB64-4FBA-9751-A3FC659F47F0}" name="Weight v Waist Res" dataDxfId="101">
      <calculatedColumnFormula>Table83[[#This Row],[Weight]]-Table7[[#This Row],[Weight v Waist]]</calculatedColumnFormula>
    </tableColumn>
    <tableColumn id="86" xr3:uid="{41D4B9C6-F101-4491-B465-9D1705064D8E}" name="WW Res Squared" dataDxfId="100">
      <calculatedColumnFormula>Table7[[#This Row],[Weight v Waist Res]]^2</calculatedColumnFormula>
    </tableColumn>
    <tableColumn id="7" xr3:uid="{499EFB7C-C888-4E9E-A9D9-1DBF0C191802}" name="Weight v Neck" dataDxfId="99">
      <calculatedColumnFormula>Regression!$C$10+(Regression!$C$9*Table83[[#This Row],[Neck]])</calculatedColumnFormula>
    </tableColumn>
    <tableColumn id="89" xr3:uid="{22CEA8E9-47EC-4F4D-9DCD-00075D0D2DC4}" name="WN Res" dataDxfId="98">
      <calculatedColumnFormula>Table83[[#This Row],[Weight]]-Table7[[#This Row],[Weight v Neck]]</calculatedColumnFormula>
    </tableColumn>
    <tableColumn id="88" xr3:uid="{9F79CF81-4A98-4F33-BE43-12A91C3796A1}" name="WN Res Squared" dataDxfId="97">
      <calculatedColumnFormula>Table7[[#This Row],[WN Res]]^2</calculatedColumnFormula>
    </tableColumn>
    <tableColumn id="8" xr3:uid="{13BD3C4D-525E-4F3A-B34E-0E1D97E4BA6E}" name="Weight v Morning Temp" dataDxfId="96">
      <calculatedColumnFormula>Regression!$D$10+(Regression!$D$9*Table83[[#This Row],[Morning Body Temp]])</calculatedColumnFormula>
    </tableColumn>
    <tableColumn id="91" xr3:uid="{95A221C1-C1B5-4379-B40B-514CE1D59380}" name="WMT Res" dataDxfId="95">
      <calculatedColumnFormula>Table83[[#This Row],[Weight]]-Table7[[#This Row],[Weight v Morning Temp]]</calculatedColumnFormula>
    </tableColumn>
    <tableColumn id="90" xr3:uid="{59CA11CD-50BF-46F7-A795-47464A4A1648}" name="WMT Res Squared" dataDxfId="94">
      <calculatedColumnFormula>Table7[[#This Row],[WMT Res]]^2</calculatedColumnFormula>
    </tableColumn>
    <tableColumn id="9" xr3:uid="{A62A4AEC-BA3B-4708-B409-993B7C23C031}" name="Weight v Morning Sys" dataDxfId="93">
      <calculatedColumnFormula>Regression!$E$10+(Regression!$E$9*Table83[[#This Row],[Morning Systolic Pressure]])</calculatedColumnFormula>
    </tableColumn>
    <tableColumn id="93" xr3:uid="{3CD1EF91-AA1F-443B-AFE3-FC0BBCC4A294}" name="WMS Res" dataDxfId="92">
      <calculatedColumnFormula>Table83[[#This Row],[Weight]]-Table7[[#This Row],[Weight v Morning Sys]]</calculatedColumnFormula>
    </tableColumn>
    <tableColumn id="92" xr3:uid="{798F2DB2-4BA8-4943-BE85-130345655C25}" name="WMS Res Squared" dataDxfId="91">
      <calculatedColumnFormula>Table7[[#This Row],[WMS Res]]^2</calculatedColumnFormula>
    </tableColumn>
    <tableColumn id="10" xr3:uid="{57F4DD96-82BD-4852-BD7C-D25E8750C7DE}" name="Weight v Morning Dia">
      <calculatedColumnFormula>Regression!$F$10+(Regression!$F$9*Table83[[#This Row],[Morning Diastolic Pressure]])</calculatedColumnFormula>
    </tableColumn>
    <tableColumn id="95" xr3:uid="{2054A1B6-FB08-494E-A365-1BE876EE14F7}" name="WMD Res" dataDxfId="90">
      <calculatedColumnFormula>Table83[[#This Row],[Weight]]-Table7[[#This Row],[Weight v Morning Dia]]</calculatedColumnFormula>
    </tableColumn>
    <tableColumn id="94" xr3:uid="{842E492F-A6D9-45DA-B768-85E5589C3299}" name="WMD Res Squared" dataDxfId="89">
      <calculatedColumnFormula>Table7[[#This Row],[WMD Res]]^2</calculatedColumnFormula>
    </tableColumn>
    <tableColumn id="11" xr3:uid="{AF775A39-31BF-4231-80EE-B724E3DA1698}" name="Weight v Morning Pulse">
      <calculatedColumnFormula>Regression!$G$10+(Regression!$G$9*Table83[[#This Row],[Morning Pulse]])</calculatedColumnFormula>
    </tableColumn>
    <tableColumn id="97" xr3:uid="{2EF76A4D-CA95-436B-8D08-F28456C5CD6A}" name="WMP Res" dataDxfId="88">
      <calculatedColumnFormula>Table83[[#This Row],[Weight]]-Table7[[#This Row],[Weight v Morning Pulse]]</calculatedColumnFormula>
    </tableColumn>
    <tableColumn id="96" xr3:uid="{5367F163-C5B9-476F-A59D-F73710BDC2EA}" name="WMP Res Squared" dataDxfId="87">
      <calculatedColumnFormula>Table7[[#This Row],[WMP Res]]^2</calculatedColumnFormula>
    </tableColumn>
    <tableColumn id="12" xr3:uid="{258EFB57-B9A8-4518-99D3-2ED1DAE4D341}" name="Weight v Night Temp">
      <calculatedColumnFormula>Regression!$H$10+(Regression!$H$9*Table83[[#This Row],[Night Body Temp]])</calculatedColumnFormula>
    </tableColumn>
    <tableColumn id="99" xr3:uid="{8AC13664-39F7-491A-A019-6A96669418D9}" name="WNT Res" dataDxfId="86">
      <calculatedColumnFormula>Table83[[#This Row],[Weight]]-Table7[[#This Row],[Weight v Night Temp]]</calculatedColumnFormula>
    </tableColumn>
    <tableColumn id="98" xr3:uid="{FEF0E2AC-D5D9-4604-8A42-2A829B884F5A}" name="WNT Res Squared" dataDxfId="85">
      <calculatedColumnFormula>Table7[[#This Row],[WNT Res]]^2</calculatedColumnFormula>
    </tableColumn>
    <tableColumn id="13" xr3:uid="{EAC77894-DEEF-46E1-A8FB-CF182B6BEDD6}" name="Weight v Night Sys">
      <calculatedColumnFormula>Regression!$I$10+(Regression!$I$9*Table83[[#This Row],[Night Systolic Pressure]])</calculatedColumnFormula>
    </tableColumn>
    <tableColumn id="100" xr3:uid="{625CD8AE-F6B7-4F21-85CF-1E714E0E722E}" name="WNS Res" dataDxfId="84">
      <calculatedColumnFormula>Table83[[#This Row],[Weight]]-Table7[[#This Row],[Weight v Night Sys]]</calculatedColumnFormula>
    </tableColumn>
    <tableColumn id="101" xr3:uid="{4FB359E4-32F4-4B86-8A28-33AA24243450}" name="WNS Res Squared" dataDxfId="83">
      <calculatedColumnFormula>Table7[[#This Row],[WNS Res]]^2</calculatedColumnFormula>
    </tableColumn>
    <tableColumn id="14" xr3:uid="{EA111CC0-8419-4E3C-88E5-00073EE5EA5D}" name="Weight v Night Dia">
      <calculatedColumnFormula>Regression!$J$10+(Regression!$J$9*Table83[[#This Row],[Night Diastolic Pressure]])</calculatedColumnFormula>
    </tableColumn>
    <tableColumn id="102" xr3:uid="{50F7863D-4D97-4710-BE1F-FBB1BEF57A5C}" name="WND Res" dataDxfId="82">
      <calculatedColumnFormula>Table83[[#This Row],[Weight]]-Table7[[#This Row],[Weight v Night Dia]]</calculatedColumnFormula>
    </tableColumn>
    <tableColumn id="103" xr3:uid="{38623157-BF3F-4D8F-BC47-C00326DCCAA5}" name="WND Res Squared" dataDxfId="81">
      <calculatedColumnFormula>Table7[[#This Row],[WND Res]]^2</calculatedColumnFormula>
    </tableColumn>
    <tableColumn id="15" xr3:uid="{07EC900A-80B7-411F-939A-E516F946CDD2}" name="Weight v Night Pulse">
      <calculatedColumnFormula>Regression!$K$10+(Regression!$K$9*Table83[[#This Row],[Night Pulse]])</calculatedColumnFormula>
    </tableColumn>
    <tableColumn id="104" xr3:uid="{84D90FE4-EBB6-4EF2-A574-98F462771E4F}" name="WNP Res " dataDxfId="80">
      <calculatedColumnFormula>Table83[[#This Row],[Weight]]-Table7[[#This Row],[Weight v Night Pulse]]</calculatedColumnFormula>
    </tableColumn>
    <tableColumn id="105" xr3:uid="{5544E3BE-3EA4-4988-8641-35E129080662}" name="WNP Res Squared" dataDxfId="79">
      <calculatedColumnFormula>Table7[[#This Row],[WNP Res ]]^2</calculatedColumnFormula>
    </tableColumn>
    <tableColumn id="16" xr3:uid="{8F85BE64-DEFD-499E-B694-8131F89606E4}" name="Weight v Sleep">
      <calculatedColumnFormula>Regression!$L$10+(Regression!$L$9*Table83[[#This Row],[Sleep]])</calculatedColumnFormula>
    </tableColumn>
    <tableColumn id="106" xr3:uid="{D47CF119-0006-47FD-B8A5-5291365F91CA}" name="WS Res" dataDxfId="78">
      <calculatedColumnFormula>Table83[[#This Row],[Weight]]-Table7[[#This Row],[Weight v Sleep]]</calculatedColumnFormula>
    </tableColumn>
    <tableColumn id="107" xr3:uid="{13577A4B-F907-4FA6-8174-F41503187289}" name="WS Res Squared" dataDxfId="77">
      <calculatedColumnFormula>Table7[[#This Row],[WS Res]]^2</calculatedColumnFormula>
    </tableColumn>
    <tableColumn id="17" xr3:uid="{410DAF97-D839-404A-832B-2E16ACC2D9E0}" name="Weight v BMI">
      <calculatedColumnFormula>Regression!$M$10+(Regression!$M$9*Table83[[#This Row],[BMI]])</calculatedColumnFormula>
    </tableColumn>
    <tableColumn id="108" xr3:uid="{57ABAD42-1AD4-4234-9DE1-682D276FB51E}" name="WBMI Res" dataDxfId="76">
      <calculatedColumnFormula>Table83[[#This Row],[Weight]]-Table7[[#This Row],[Weight v BMI]]</calculatedColumnFormula>
    </tableColumn>
    <tableColumn id="109" xr3:uid="{3A1EE64C-11B5-4BEE-BDF0-085D544D8480}" name="WBMI Squared" dataDxfId="75">
      <calculatedColumnFormula>Table7[[#This Row],[WBMI Res]]^2</calculatedColumnFormula>
    </tableColumn>
    <tableColumn id="18" xr3:uid="{0347851F-6A0B-4B24-A740-1ABDD4ED7480}" name="Weight v CBF">
      <calculatedColumnFormula>Regression!$N$10+(Regression!$N$9*Table83[[#This Row],[CBF]])</calculatedColumnFormula>
    </tableColumn>
    <tableColumn id="110" xr3:uid="{36BA97AD-611D-424D-8A9B-92D548EEC7C3}" name="WCBF Res" dataDxfId="74">
      <calculatedColumnFormula>Table83[[#This Row],[Weight]]-Table7[[#This Row],[Weight v CBF]]</calculatedColumnFormula>
    </tableColumn>
    <tableColumn id="111" xr3:uid="{5557319E-A6B9-483E-9895-35923FDCDEC2}" name="WCBF Res Squared" dataDxfId="73">
      <calculatedColumnFormula>Table7[[#This Row],[WCBF Res]]^2</calculatedColumnFormula>
    </tableColumn>
    <tableColumn id="19" xr3:uid="{E7215BF7-9DF2-46EB-ABD4-F814016215B5}" name="Weight v Gym">
      <calculatedColumnFormula>Regression!$O$10+(Regression!$O$9*Table83[[#This Row],[Gym]])</calculatedColumnFormula>
    </tableColumn>
    <tableColumn id="112" xr3:uid="{C167E07A-F9DF-4F58-8324-DCF3382ACC9E}" name="WG Res" dataDxfId="72">
      <calculatedColumnFormula>Table83[[#This Row],[Weight]]-Table7[[#This Row],[Weight v Gym]]</calculatedColumnFormula>
    </tableColumn>
    <tableColumn id="113" xr3:uid="{732C00C4-44EB-4AA2-AFB2-FFC25AA752A9}" name="WG Res Squared" dataDxfId="71">
      <calculatedColumnFormula>Table7[[#This Row],[WG Res]]^2</calculatedColumnFormula>
    </tableColumn>
    <tableColumn id="20" xr3:uid="{2E22FEBE-E9FF-4B63-8443-78D81578C57D}" name="Weight v Cardio">
      <calculatedColumnFormula>Regression!$P$10+(Regression!$P$9*Table83[[#This Row],[Cardio]])</calculatedColumnFormula>
    </tableColumn>
    <tableColumn id="114" xr3:uid="{398A3A07-7B15-4CEC-8E47-CA73EEA96887}" name="WC Res" dataDxfId="70">
      <calculatedColumnFormula>Table83[[#This Row],[Weight]]-Table7[[#This Row],[Weight v Cardio]]</calculatedColumnFormula>
    </tableColumn>
    <tableColumn id="115" xr3:uid="{B270558C-F168-4E6A-A230-377A40DDC988}" name="WC Res Squared" dataDxfId="69">
      <calculatedColumnFormula>Table7[[#This Row],[WC Res]]^2</calculatedColumnFormula>
    </tableColumn>
    <tableColumn id="21" xr3:uid="{4C6EAF8E-9A0D-42ED-8DBC-A32F1E534967}" name="Weight v Calories">
      <calculatedColumnFormula>Regression!$Q$10+(Regression!$Q$9*Table83[[#This Row],[Calories]])</calculatedColumnFormula>
    </tableColumn>
    <tableColumn id="116" xr3:uid="{29CB3934-5F6F-417C-BFEF-834B153DF66B}" name="WCAL Res" dataDxfId="68">
      <calculatedColumnFormula>Table83[[#This Row],[Weight]]-Table7[[#This Row],[Weight v Calories]]</calculatedColumnFormula>
    </tableColumn>
    <tableColumn id="117" xr3:uid="{258FF1C8-AAE2-4E16-86EA-0844836D0FC2}" name="WCAL Res Squared" dataDxfId="67">
      <calculatedColumnFormula>Table7[[#This Row],[WCAL Res]]^2</calculatedColumnFormula>
    </tableColumn>
    <tableColumn id="22" xr3:uid="{EC468853-DC11-4DDC-A2B4-01A078B36FFD}" name="Weight v Carbs">
      <calculatedColumnFormula>Regression!$R$10+(Regression!$R$9*Table83[[#This Row],[Carbs]])</calculatedColumnFormula>
    </tableColumn>
    <tableColumn id="118" xr3:uid="{B4A829B3-875B-4E09-A91D-ADA639817C06}" name="Wcarb Res" dataDxfId="66">
      <calculatedColumnFormula>Table83[[#This Row],[Weight]]-Table7[[#This Row],[Weight v Carbs]]</calculatedColumnFormula>
    </tableColumn>
    <tableColumn id="119" xr3:uid="{021159D6-069A-41F3-B556-872FCBB0EDD9}" name="Wcarb Res Squared" dataDxfId="65">
      <calculatedColumnFormula>Table7[[#This Row],[Wcarb Res]]^2</calculatedColumnFormula>
    </tableColumn>
    <tableColumn id="23" xr3:uid="{C8091652-6A32-471D-A62A-C7F50CBDE474}" name="Weight v Fat">
      <calculatedColumnFormula>Regression!$S$10+(Regression!$S$9*Table83[[#This Row],[Fat ]])</calculatedColumnFormula>
    </tableColumn>
    <tableColumn id="120" xr3:uid="{42790509-69C7-4408-8E39-A2F33109463F}" name="WF Res" dataDxfId="64">
      <calculatedColumnFormula>Table83[[#This Row],[Weight]]-Table7[[#This Row],[Weight v Fat]]</calculatedColumnFormula>
    </tableColumn>
    <tableColumn id="121" xr3:uid="{392AC373-4D7D-420E-AEF2-47655122EBF0}" name="WF Res Squared" dataDxfId="63">
      <calculatedColumnFormula>Table7[[#This Row],[WF Res]]^2</calculatedColumnFormula>
    </tableColumn>
    <tableColumn id="24" xr3:uid="{49EBF293-5D8D-4817-B514-6AB70E11AB73}" name="Weight v Protein">
      <calculatedColumnFormula>Regression!$T$10+(Regression!$T$9*Table83[[#This Row],[Protein]])</calculatedColumnFormula>
    </tableColumn>
    <tableColumn id="122" xr3:uid="{EEB493C7-7209-44DE-9DE2-24BF33DE2BE9}" name="WP Res" dataDxfId="62">
      <calculatedColumnFormula>Table83[[#This Row],[Weight]]-Table7[[#This Row],[Weight v Protein]]</calculatedColumnFormula>
    </tableColumn>
    <tableColumn id="123" xr3:uid="{2C5386DE-5861-4C1A-867A-B122C2A97682}" name="WP Res Squared" dataDxfId="61">
      <calculatedColumnFormula>Table7[[#This Row],[WP Res]]^2</calculatedColumnFormula>
    </tableColumn>
    <tableColumn id="25" xr3:uid="{E17E79EE-6383-4BAB-956D-670A1BB2A91F}" name="Weight v Fiber">
      <calculatedColumnFormula>Regression!$U$10+(Regression!$U$9*Table83[[#This Row],[Fiber]])</calculatedColumnFormula>
    </tableColumn>
    <tableColumn id="124" xr3:uid="{0C39315D-2317-49D7-B1EA-4FC7902E0BEE}" name="Wfib Res" dataDxfId="60">
      <calculatedColumnFormula>Table83[[#This Row],[Weight]]-Table7[[#This Row],[Weight v Fiber]]</calculatedColumnFormula>
    </tableColumn>
    <tableColumn id="125" xr3:uid="{65CF39DF-4142-4276-96D2-24D64C071E69}" name="Wfib Res Squared" dataDxfId="59">
      <calculatedColumnFormula>Table7[[#This Row],[Wfib Res]]^2</calculatedColumnFormula>
    </tableColumn>
    <tableColumn id="26" xr3:uid="{6A858F81-D01E-4309-A066-661BE26224C3}" name="Weight v Sugar">
      <calculatedColumnFormula>Regression!$V$10+(Regression!$V$9*Table83[[#This Row],[Sugar]])</calculatedColumnFormula>
    </tableColumn>
    <tableColumn id="126" xr3:uid="{C9EC5C41-0CAD-400A-9B2E-773435D1F7DA}" name="Wsugar Res" dataDxfId="58">
      <calculatedColumnFormula>Table83[[#This Row],[Weight]]-Table7[[#This Row],[Weight v Sugar]]</calculatedColumnFormula>
    </tableColumn>
    <tableColumn id="127" xr3:uid="{D0F33099-45A5-4EDB-9050-57019E481C79}" name="Wsugar Res Squared" dataDxfId="57">
      <calculatedColumnFormula>Table7[[#This Row],[Wsugar Res]]^2</calculatedColumnFormula>
    </tableColumn>
    <tableColumn id="27" xr3:uid="{014A11A4-B516-4A6F-A5D1-6405D3722744}" name="Weight v Servings">
      <calculatedColumnFormula>Regression!$W$10+(Regression!$W$9*Table83[[#This Row],[Servings]])</calculatedColumnFormula>
    </tableColumn>
    <tableColumn id="128" xr3:uid="{AAF9C225-46B9-4E43-8887-B47D56FF9318}" name="Wserv Res" dataDxfId="56">
      <calculatedColumnFormula>Table83[[#This Row],[Weight]]-Table7[[#This Row],[Weight v Servings]]</calculatedColumnFormula>
    </tableColumn>
    <tableColumn id="129" xr3:uid="{3B44A393-57F7-471E-90CB-06444C3E4F8A}" name="Wserv Res Squared" dataDxfId="55">
      <calculatedColumnFormula>Table7[[#This Row],[Wserv Res]]^2</calculatedColumnFormula>
    </tableColumn>
    <tableColumn id="28" xr3:uid="{3AE71BEE-9453-4B77-B6A6-FD0027597D8F}" name="Weight v Water">
      <calculatedColumnFormula>Regression!$X$10+(Regression!$X$9*Table83[[#This Row],[Water]])</calculatedColumnFormula>
    </tableColumn>
    <tableColumn id="130" xr3:uid="{86E2D14C-0577-4BBF-923F-38C22D3FE9DD}" name="Wwater Res" dataDxfId="54">
      <calculatedColumnFormula>Table83[[#This Row],[Weight]]-Table7[[#This Row],[Weight v Water]]</calculatedColumnFormula>
    </tableColumn>
    <tableColumn id="131" xr3:uid="{5DBA108B-CEE0-4C6E-8A35-7155E87173B9}" name="Wwater Res Squared" dataDxfId="53">
      <calculatedColumnFormula>Table7[[#This Row],[Wwater Res]]^2</calculatedColumnFormula>
    </tableColumn>
    <tableColumn id="29" xr3:uid="{1D94A6FB-6F2B-408A-ADA6-569C90771E2D}" name="Weight v Fat Calories">
      <calculatedColumnFormula>Regression!$Y$10+(Regression!$Y$9*Table83[[#This Row],[Fat Calories]])</calculatedColumnFormula>
    </tableColumn>
    <tableColumn id="132" xr3:uid="{069F7DB0-E638-4212-8B1B-29ECA744DA18}" name="WFC Res" dataDxfId="52">
      <calculatedColumnFormula>Table83[[#This Row],[Weight]]-Table7[[#This Row],[Weight v Fat Calories]]</calculatedColumnFormula>
    </tableColumn>
    <tableColumn id="133" xr3:uid="{24EA916C-E2E3-4C06-902F-107EC0B44E08}" name="WFC Res Squared" dataDxfId="51">
      <calculatedColumnFormula>Table7[[#This Row],[WFC Res]]^2</calculatedColumnFormula>
    </tableColumn>
    <tableColumn id="180" xr3:uid="{F2677D24-7966-422F-B689-99E615F4BA98}" name="Waist v Weight" dataDxfId="50">
      <calculatedColumnFormula>Regression!$B$29+(Regression!$B$28*Table83[[#This Row],[Weight]])</calculatedColumnFormula>
    </tableColumn>
    <tableColumn id="179" xr3:uid="{DA056F01-FD29-4D0A-BE10-9B771FDBBBA6}" name="WaistW Res" dataDxfId="49">
      <calculatedColumnFormula>Table83[[#This Row],[Waist]]-Table7[[#This Row],[Waist v Weight]]</calculatedColumnFormula>
    </tableColumn>
    <tableColumn id="178" xr3:uid="{969D0DB9-52BF-4918-B84B-BE18831B20E1}" name="WaistW Res Squared" dataDxfId="48">
      <calculatedColumnFormula>Table7[[#This Row],[WaistW Res]]^2</calculatedColumnFormula>
    </tableColumn>
    <tableColumn id="30" xr3:uid="{E1F44497-0225-4C49-835D-C94919318AE6}" name="Waist v Neck">
      <calculatedColumnFormula>Regression!$C$29+(Regression!$C$28*Table83[[#This Row],[Neck]])</calculatedColumnFormula>
    </tableColumn>
    <tableColumn id="134" xr3:uid="{72E82D78-3D52-4554-BF9C-B199C7E962B8}" name="WaistN Res" dataDxfId="47">
      <calculatedColumnFormula>Table83[[#This Row],[Waist]]-Table7[[#This Row],[Waist v Neck]]</calculatedColumnFormula>
    </tableColumn>
    <tableColumn id="135" xr3:uid="{A9DB12EA-8AEA-4FA0-975C-7AF71F56F361}" name="WaistN Res Squared" dataDxfId="46">
      <calculatedColumnFormula>Table7[[#This Row],[WaistN Res]]^2</calculatedColumnFormula>
    </tableColumn>
    <tableColumn id="31" xr3:uid="{65245029-AD25-4C9C-8698-F3EBB2E41C51}" name="Waist v Morning Temp">
      <calculatedColumnFormula>Regression!$D$29+(Regression!$D$28*Table83[[#This Row],[Morning Body Temp]])</calculatedColumnFormula>
    </tableColumn>
    <tableColumn id="136" xr3:uid="{BCFEA25C-44EC-43F3-84E3-10AE0103C492}" name="WaistMT Res" dataDxfId="45">
      <calculatedColumnFormula>Table83[[#This Row],[Waist]]-Table7[[#This Row],[Waist v Morning Temp]]</calculatedColumnFormula>
    </tableColumn>
    <tableColumn id="137" xr3:uid="{87BB6593-1ADE-4210-AEC8-0A9FCF7F7871}" name="Waist MT Res Squared" dataDxfId="44">
      <calculatedColumnFormula>Table7[[#This Row],[WaistMT Res]]^2</calculatedColumnFormula>
    </tableColumn>
    <tableColumn id="32" xr3:uid="{61E17627-8658-4704-9AD3-AE61A91442B8}" name="Waist v Morning Sys">
      <calculatedColumnFormula>Regression!$E$29+(Regression!$E$28*Table83[[#This Row],[Morning Systolic Pressure]])</calculatedColumnFormula>
    </tableColumn>
    <tableColumn id="138" xr3:uid="{44FBE8A8-11EB-46C6-981C-9661EE9C9F89}" name="WaistMS Res" dataDxfId="43">
      <calculatedColumnFormula>Table83[[#This Row],[Waist]]-Table7[[#This Row],[Waist v Morning Sys]]</calculatedColumnFormula>
    </tableColumn>
    <tableColumn id="139" xr3:uid="{479E3AE1-B5DF-4115-A550-310DB3CFA36C}" name="WaistMS Res Squared" dataDxfId="42">
      <calculatedColumnFormula>Table7[[#This Row],[WaistMS Res]]^2</calculatedColumnFormula>
    </tableColumn>
    <tableColumn id="33" xr3:uid="{FFFE40BB-EA27-4158-84B0-7B196C4569EA}" name="Waist v Morning Dia">
      <calculatedColumnFormula>Regression!$F$29+(Regression!$F$28*Table83[[#This Row],[Morning Diastolic Pressure]])</calculatedColumnFormula>
    </tableColumn>
    <tableColumn id="140" xr3:uid="{67AB1D8D-4089-43D3-AD98-E0358DCB6376}" name="WaistMD Res" dataDxfId="41">
      <calculatedColumnFormula>Table83[[#This Row],[Waist]]-Table7[[#This Row],[Waist v Morning Dia]]</calculatedColumnFormula>
    </tableColumn>
    <tableColumn id="141" xr3:uid="{45C6BB7B-7B8E-4899-90A8-941B6F448454}" name="WaistMD Res Squared" dataDxfId="40">
      <calculatedColumnFormula>Table7[[#This Row],[WaistMD Res]]^2</calculatedColumnFormula>
    </tableColumn>
    <tableColumn id="34" xr3:uid="{DEC45736-01F6-47AC-8157-4BDF26D0532D}" name="Waist v Morning Pulse">
      <calculatedColumnFormula>Regression!$G$29+(Regression!$G$28*Table83[[#This Row],[Morning Pulse]])</calculatedColumnFormula>
    </tableColumn>
    <tableColumn id="142" xr3:uid="{7170627F-1464-4449-9E13-0330C2370E07}" name="WaistMP Res" dataDxfId="39">
      <calculatedColumnFormula>Table83[[#This Row],[Waist]]-Table7[[#This Row],[Waist v Morning Pulse]]</calculatedColumnFormula>
    </tableColumn>
    <tableColumn id="143" xr3:uid="{8A121BBE-016A-48A4-BB5F-D8CD4FEE831F}" name="WaistMP Res Squared" dataDxfId="38">
      <calculatedColumnFormula>Table7[[#This Row],[WaistMP Res]]^2</calculatedColumnFormula>
    </tableColumn>
    <tableColumn id="35" xr3:uid="{C9571936-BD45-44F9-860D-49C125E6DBB9}" name="Waist v Night Temp">
      <calculatedColumnFormula>Regression!$H$29+(Regression!$H$28*Table83[[#This Row],[Night Body Temp]])</calculatedColumnFormula>
    </tableColumn>
    <tableColumn id="144" xr3:uid="{D352F4CE-FF60-41D4-9F9E-91379EAB3098}" name="WaistNT Res" dataDxfId="37">
      <calculatedColumnFormula>Table83[[#This Row],[Waist]]-Table7[[#This Row],[Waist v Night Temp]]</calculatedColumnFormula>
    </tableColumn>
    <tableColumn id="145" xr3:uid="{A6705886-6C13-4D1C-854F-275FFD2303E4}" name="WaistNT Res Squared" dataDxfId="36">
      <calculatedColumnFormula>Table7[[#This Row],[WaistNT Res]]^2</calculatedColumnFormula>
    </tableColumn>
    <tableColumn id="36" xr3:uid="{484758EE-1908-4B65-860D-4B76DDC5F1C1}" name="Waist v  Night Sys">
      <calculatedColumnFormula>Regression!$I$29+(Regression!$I$28*Table83[[#This Row],[Night Systolic Pressure]])</calculatedColumnFormula>
    </tableColumn>
    <tableColumn id="146" xr3:uid="{0FA39123-CFD6-473A-8D89-46BBB6D8CFC0}" name="WaistNS Res" dataDxfId="35">
      <calculatedColumnFormula>Table83[[#This Row],[Waist]]-Table7[[#This Row],[Waist v  Night Sys]]</calculatedColumnFormula>
    </tableColumn>
    <tableColumn id="147" xr3:uid="{E1120774-9F61-4F5B-96B0-1188D678563E}" name="WaistNS Res Squared" dataDxfId="34">
      <calculatedColumnFormula>Table7[[#This Row],[WaistNS Res]]^2</calculatedColumnFormula>
    </tableColumn>
    <tableColumn id="37" xr3:uid="{722FEA21-AB9B-49A6-B552-BDDC5E49E8E7}" name="Waist v Night Dia">
      <calculatedColumnFormula>Regression!$J$29+(Regression!$J$28*Table83[[#This Row],[Night Diastolic Pressure]])</calculatedColumnFormula>
    </tableColumn>
    <tableColumn id="148" xr3:uid="{7C635C82-CBC6-47DD-B855-5EA21BE1504F}" name="WaistND Res" dataDxfId="33">
      <calculatedColumnFormula>Table83[[#This Row],[Waist]]-Table7[[#This Row],[Waist v Night Dia]]</calculatedColumnFormula>
    </tableColumn>
    <tableColumn id="149" xr3:uid="{551DA5E6-0CB4-4A82-8119-96BED83DE175}" name="WaistND Res Squared" dataDxfId="32">
      <calculatedColumnFormula>Table7[[#This Row],[WaistND Res]]^2</calculatedColumnFormula>
    </tableColumn>
    <tableColumn id="38" xr3:uid="{834C19B8-F395-4895-89FF-375C6D11C3AA}" name="Waist v Night Pulse">
      <calculatedColumnFormula>Regression!$K$29+(Regression!$K$28*Table83[[#This Row],[Night Pulse]])</calculatedColumnFormula>
    </tableColumn>
    <tableColumn id="150" xr3:uid="{23561AA3-62BC-451D-BC8C-A309A4148AC4}" name="WaistNP Res" dataDxfId="31">
      <calculatedColumnFormula>Table83[[#This Row],[Waist]]-Table7[[#This Row],[Waist v Night Pulse]]</calculatedColumnFormula>
    </tableColumn>
    <tableColumn id="151" xr3:uid="{92E982AB-9672-463F-9FFF-C31CBEB9C444}" name="WaistNP Res Squared" dataDxfId="30">
      <calculatedColumnFormula>Table7[[#This Row],[WaistNP Res]]^2</calculatedColumnFormula>
    </tableColumn>
    <tableColumn id="39" xr3:uid="{51B6B0BF-9030-48F1-B67E-590F80804DFF}" name="Waist v  Sleep">
      <calculatedColumnFormula>Regression!$L$29+(Regression!$L$28*Table83[[#This Row],[Sleep]])</calculatedColumnFormula>
    </tableColumn>
    <tableColumn id="152" xr3:uid="{8DF94582-BC73-4B00-B8EA-6E40FD2E0A7C}" name="WaistS Res" dataDxfId="29">
      <calculatedColumnFormula>Table83[[#This Row],[Waist]]-Table7[[#This Row],[Waist v  Sleep]]</calculatedColumnFormula>
    </tableColumn>
    <tableColumn id="153" xr3:uid="{0A5C79B3-8995-41A0-A7A7-586818CF47CC}" name="WaistS Res Squared" dataDxfId="28">
      <calculatedColumnFormula>Table7[[#This Row],[WaistS Res]]^2</calculatedColumnFormula>
    </tableColumn>
    <tableColumn id="40" xr3:uid="{A56A6701-3EE8-43A0-944F-710A35D070DE}" name="Waist v BMI">
      <calculatedColumnFormula>Regression!$M$29+(Regression!$M$28*Table83[[#This Row],[BMI]])</calculatedColumnFormula>
    </tableColumn>
    <tableColumn id="154" xr3:uid="{E0E4C091-E594-4A1B-9455-AF4035A497C8}" name="WaistBMI Res" dataDxfId="27">
      <calculatedColumnFormula>Table83[[#This Row],[Waist]]-Table7[[#This Row],[Waist v BMI]]</calculatedColumnFormula>
    </tableColumn>
    <tableColumn id="155" xr3:uid="{2C634591-AA7F-4F0D-BF2C-CA3549C0B110}" name="WaistBMI Res Squared" dataDxfId="26">
      <calculatedColumnFormula>Table7[[#This Row],[WaistBMI Res]]^2</calculatedColumnFormula>
    </tableColumn>
    <tableColumn id="41" xr3:uid="{E74D2B41-EF0A-4FBE-83CF-A08E1DA8A3B9}" name="Waist v  CBF">
      <calculatedColumnFormula>Regression!$N$29+(Regression!$N$28*Table83[[#This Row],[CBF]])</calculatedColumnFormula>
    </tableColumn>
    <tableColumn id="156" xr3:uid="{80466857-D44B-43AA-8AB4-A22B72F2B841}" name="WaistCBF Res" dataDxfId="25">
      <calculatedColumnFormula>Table83[[#This Row],[Waist]]-Table7[[#This Row],[Waist v  CBF]]</calculatedColumnFormula>
    </tableColumn>
    <tableColumn id="157" xr3:uid="{57CAFA7A-DDFE-4F15-8CF6-7C0050879C64}" name="WaistCBF Res Squared" dataDxfId="24">
      <calculatedColumnFormula>Table7[[#This Row],[WaistCBF Res]]^2</calculatedColumnFormula>
    </tableColumn>
    <tableColumn id="42" xr3:uid="{5039B0BD-24E8-4A77-9A2B-EA565C0FE122}" name="Waist v  Gym">
      <calculatedColumnFormula>Regression!$O$29+(Regression!$O$28*Table83[[#This Row],[Gym]])</calculatedColumnFormula>
    </tableColumn>
    <tableColumn id="158" xr3:uid="{0610715F-1F1B-49C0-A017-A4149BA6AE91}" name="WaistGYM Res" dataDxfId="23">
      <calculatedColumnFormula>Table83[[#This Row],[Waist]]-Table7[[#This Row],[Waist v  Gym]]</calculatedColumnFormula>
    </tableColumn>
    <tableColumn id="159" xr3:uid="{1878A780-9D61-4FCA-ADB6-193231978771}" name="WaistGYM Res Squared" dataDxfId="22">
      <calculatedColumnFormula>Table7[[#This Row],[WaistGYM Res]]^2</calculatedColumnFormula>
    </tableColumn>
    <tableColumn id="43" xr3:uid="{4461C21C-3010-47D4-A618-148AE3385342}" name="Waist v Cardio">
      <calculatedColumnFormula>Regression!$P$29+(Regression!$P$28*Table83[[#This Row],[Cardio]])</calculatedColumnFormula>
    </tableColumn>
    <tableColumn id="160" xr3:uid="{B3A04B2A-A31A-41BE-8AE1-EB0443FB652F}" name="WaistC Res" dataDxfId="21">
      <calculatedColumnFormula>Table83[[#This Row],[Waist]]-Table7[[#This Row],[Waist v Cardio]]</calculatedColumnFormula>
    </tableColumn>
    <tableColumn id="161" xr3:uid="{C643DCC8-ED71-4503-9DDF-9FDF4D13EDE0}" name="WaistC Res Squared" dataDxfId="20">
      <calculatedColumnFormula>Table7[[#This Row],[WaistC Res]]^2</calculatedColumnFormula>
    </tableColumn>
    <tableColumn id="44" xr3:uid="{7C5619CF-9409-46CA-A4B5-9C3218B9FFE8}" name="Waist v Calories">
      <calculatedColumnFormula>Regression!$Q$29+(Regression!$Q$28*Table83[[#This Row],[Calories]])</calculatedColumnFormula>
    </tableColumn>
    <tableColumn id="162" xr3:uid="{45A06102-C0C1-4E0A-90B6-A01B3B931493}" name="WaistCal Res" dataDxfId="19">
      <calculatedColumnFormula>Table83[[#This Row],[Waist]]-Table7[[#This Row],[Waist v Calories]]</calculatedColumnFormula>
    </tableColumn>
    <tableColumn id="163" xr3:uid="{94FA0246-5687-4046-AA3D-3B4B082B00D1}" name="WaistCal Res Squared" dataDxfId="18">
      <calculatedColumnFormula>Table7[[#This Row],[WaistCal Res]]^2</calculatedColumnFormula>
    </tableColumn>
    <tableColumn id="45" xr3:uid="{CA93F3D8-6A8C-4AF0-A81F-426F2A5248D8}" name="Waist v Carbs">
      <calculatedColumnFormula>Regression!$R$29+(Regression!$R$28*Table83[[#This Row],[Carbs]])</calculatedColumnFormula>
    </tableColumn>
    <tableColumn id="164" xr3:uid="{C66F9883-D3F1-47D8-BA6C-B2818256B55E}" name="WaistCarb Res" dataDxfId="17">
      <calculatedColumnFormula>Table83[[#This Row],[Waist]]-Table7[[#This Row],[Waist v Carbs]]</calculatedColumnFormula>
    </tableColumn>
    <tableColumn id="165" xr3:uid="{C5C70CD2-F83E-4E02-ABC2-1CD56C389BE9}" name="WaistCarb Res Squared" dataDxfId="16">
      <calculatedColumnFormula>Table7[[#This Row],[WaistCarb Res]]^2</calculatedColumnFormula>
    </tableColumn>
    <tableColumn id="46" xr3:uid="{42BF6100-F3A4-496D-9D28-F8BEB3D89A30}" name="Waist v Fat">
      <calculatedColumnFormula>Regression!$S$29+(Regression!$S$28*Table83[[#This Row],[Fat ]])</calculatedColumnFormula>
    </tableColumn>
    <tableColumn id="166" xr3:uid="{1752A63D-EEB7-45C1-8C06-BB31D809DFE1}" name="WaistF Res" dataDxfId="15">
      <calculatedColumnFormula>Table83[[#This Row],[Waist]]-Table7[[#This Row],[Waist v Fat]]</calculatedColumnFormula>
    </tableColumn>
    <tableColumn id="167" xr3:uid="{91B5713C-7983-4AFC-BE75-999FF5A0A1C9}" name="WaistF Res Squared" dataDxfId="14">
      <calculatedColumnFormula>Table7[[#This Row],[WaistF Res]]^2</calculatedColumnFormula>
    </tableColumn>
    <tableColumn id="47" xr3:uid="{5BA62E69-642D-457C-9B86-B644FE42FCA0}" name="Waist v Protein">
      <calculatedColumnFormula>Regression!$T$29+(Regression!$T$28*Table83[[#This Row],[Protein]])</calculatedColumnFormula>
    </tableColumn>
    <tableColumn id="168" xr3:uid="{04EB90EB-B60B-4FF7-BEEB-2BF0A28C145C}" name="WaistP Res" dataDxfId="13">
      <calculatedColumnFormula>Table83[[#This Row],[Waist]]-Table7[[#This Row],[Waist v Protein]]</calculatedColumnFormula>
    </tableColumn>
    <tableColumn id="169" xr3:uid="{0C698D8E-3612-4350-903A-89C589F691D9}" name="WaistP Res Squared" dataDxfId="12">
      <calculatedColumnFormula>Table7[[#This Row],[WaistP Res]]^2</calculatedColumnFormula>
    </tableColumn>
    <tableColumn id="48" xr3:uid="{3B413D45-1418-4745-AD67-8A9ED97E448A}" name="Waist v Fiber">
      <calculatedColumnFormula>Regression!$U$29+(Regression!$U$28*Table83[[#This Row],[Fiber]])</calculatedColumnFormula>
    </tableColumn>
    <tableColumn id="170" xr3:uid="{1FE7EE2D-64EC-4170-85AD-F7A37F55B6AC}" name="WaistFib Res" dataDxfId="11">
      <calculatedColumnFormula>Table83[[#This Row],[Waist]]-Table7[[#This Row],[Waist v Fiber]]</calculatedColumnFormula>
    </tableColumn>
    <tableColumn id="171" xr3:uid="{0BBB2EBB-4D84-4C26-82DE-587B9D410305}" name="WaistFib Res Squared" dataDxfId="10">
      <calculatedColumnFormula>Table7[[#This Row],[WaistFib Res]]^2</calculatedColumnFormula>
    </tableColumn>
    <tableColumn id="49" xr3:uid="{84839A4C-60D0-404B-BDAA-4B8276417F30}" name="Waist v Sugar">
      <calculatedColumnFormula>Regression!$V$29+(Regression!$V$28*Table83[[#This Row],[Sugar]])</calculatedColumnFormula>
    </tableColumn>
    <tableColumn id="172" xr3:uid="{2DC5A3D3-7394-4739-B7E6-C2B6887962C7}" name="WaistSugar Res" dataDxfId="9">
      <calculatedColumnFormula>Table83[[#This Row],[Waist]]-Table7[[#This Row],[Waist v Sugar]]</calculatedColumnFormula>
    </tableColumn>
    <tableColumn id="173" xr3:uid="{2F939E56-4125-4CC0-8785-A7C9BA7C1ECF}" name="WaistSugar Res Squared" dataDxfId="8">
      <calculatedColumnFormula>Table7[[#This Row],[WaistSugar Res]]^2</calculatedColumnFormula>
    </tableColumn>
    <tableColumn id="50" xr3:uid="{4322A21F-1166-40F0-A6B7-AB41CA3DDEEE}" name="Waist v Servings">
      <calculatedColumnFormula>Regression!$W$29+(Regression!$W$28*Table83[[#This Row],[Servings]])</calculatedColumnFormula>
    </tableColumn>
    <tableColumn id="174" xr3:uid="{4FE4A3A9-7885-4038-A140-F0246A7B4723}" name="WaistServ Res" dataDxfId="7">
      <calculatedColumnFormula>Table83[[#This Row],[Waist]]-Table7[[#This Row],[Waist v Servings]]</calculatedColumnFormula>
    </tableColumn>
    <tableColumn id="175" xr3:uid="{5BB83940-8B37-4F8E-BF6B-EF0850EA29EB}" name="WaistServ Res Squared" dataDxfId="6">
      <calculatedColumnFormula>Table7[[#This Row],[WaistServ Res]]^2</calculatedColumnFormula>
    </tableColumn>
    <tableColumn id="51" xr3:uid="{950352B9-7A81-4AE5-A7FB-244E030CA2F5}" name="Waist v Water">
      <calculatedColumnFormula>Regression!$X$29+(Regression!$X$28*Table83[[#This Row],[Water]])</calculatedColumnFormula>
    </tableColumn>
    <tableColumn id="176" xr3:uid="{C5E8FE20-7A84-49A5-B42F-57109C4E3E17}" name="WaistWat Res" dataDxfId="5">
      <calculatedColumnFormula>Table83[[#This Row],[Waist]]-Table7[[#This Row],[Waist v Water]]</calculatedColumnFormula>
    </tableColumn>
    <tableColumn id="177" xr3:uid="{C9F8E657-6ECE-4A9F-887E-389E175AB0D1}" name="WaistWat Res Squared" dataDxfId="4">
      <calculatedColumnFormula>Table7[[#This Row],[WaistWat Res]]^2</calculatedColumnFormula>
    </tableColumn>
    <tableColumn id="52" xr3:uid="{9134D623-4EB6-4943-8CC4-1622BF8C68D1}" name="Waist v Fat Calories">
      <calculatedColumnFormula>Regression!$Y$29+(Regression!$Y$28*Table83[[#This Row],[Fat Calories]])</calculatedColumnFormula>
    </tableColumn>
    <tableColumn id="181" xr3:uid="{352137A6-954C-4015-8697-5CA79C78EEA1}" name="WaistFatCal Res" dataDxfId="3">
      <calculatedColumnFormula>Table83[[#This Row],[Waist]]-Table7[[#This Row],[Waist v Fat Calories]]</calculatedColumnFormula>
    </tableColumn>
    <tableColumn id="182" xr3:uid="{615F7775-DE31-47B8-A876-DAA861EDD5DB}" name="WaistFatCal Res Squared" dataDxfId="2">
      <calculatedColumnFormula>Table7[[#This Row],[WaistFatCal Res]]^2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0386-37B4-4BAE-96AB-6C105578699D}">
  <sheetPr>
    <pageSetUpPr fitToPage="1"/>
  </sheetPr>
  <dimension ref="A1:Z227"/>
  <sheetViews>
    <sheetView topLeftCell="B1" workbookViewId="0">
      <selection activeCell="N1" sqref="N1"/>
    </sheetView>
  </sheetViews>
  <sheetFormatPr defaultColWidth="29" defaultRowHeight="15" x14ac:dyDescent="0.25"/>
  <cols>
    <col min="1" max="1" width="33.28515625" customWidth="1"/>
    <col min="2" max="2" width="20" customWidth="1"/>
    <col min="3" max="3" width="17.42578125" customWidth="1"/>
    <col min="4" max="4" width="15.7109375" customWidth="1"/>
    <col min="5" max="5" width="23.42578125" customWidth="1"/>
    <col min="6" max="6" width="28.140625" customWidth="1"/>
    <col min="7" max="7" width="27.7109375" customWidth="1"/>
    <col min="8" max="8" width="16.7109375" customWidth="1"/>
    <col min="9" max="9" width="19.85546875" customWidth="1"/>
    <col min="10" max="10" width="25.28515625" customWidth="1"/>
    <col min="11" max="11" width="26.28515625" customWidth="1"/>
    <col min="12" max="12" width="14.7109375" customWidth="1"/>
    <col min="13" max="13" width="9.140625" customWidth="1"/>
    <col min="14" max="14" width="9.7109375" customWidth="1"/>
    <col min="15" max="15" width="9.5703125" customWidth="1"/>
    <col min="16" max="16" width="10.140625" customWidth="1"/>
    <col min="17" max="17" width="11" customWidth="1"/>
    <col min="18" max="18" width="11.7109375" customWidth="1"/>
    <col min="19" max="19" width="10" customWidth="1"/>
    <col min="20" max="20" width="8.5703125" customWidth="1"/>
    <col min="21" max="21" width="10.42578125" customWidth="1"/>
    <col min="22" max="22" width="9.28515625" customWidth="1"/>
    <col min="23" max="23" width="9.85546875" customWidth="1"/>
    <col min="24" max="24" width="11.140625" customWidth="1"/>
    <col min="25" max="25" width="26.85546875" customWidth="1"/>
    <col min="26" max="26" width="14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45317</v>
      </c>
      <c r="B2" s="2">
        <v>275.60000000000002</v>
      </c>
      <c r="C2" s="2">
        <v>47.5</v>
      </c>
      <c r="D2" s="2">
        <v>17</v>
      </c>
      <c r="E2" s="2">
        <v>95.7</v>
      </c>
      <c r="F2" s="2">
        <v>113</v>
      </c>
      <c r="G2" s="2">
        <v>73</v>
      </c>
      <c r="H2" s="2">
        <v>74</v>
      </c>
      <c r="I2" s="2">
        <v>97.4</v>
      </c>
      <c r="J2" s="2">
        <v>128</v>
      </c>
      <c r="K2" s="2">
        <v>79</v>
      </c>
      <c r="L2" s="2">
        <v>73</v>
      </c>
      <c r="M2" s="2">
        <v>11.5</v>
      </c>
      <c r="N2" s="2">
        <f>(B2/4900)*703</f>
        <v>39.540163265306127</v>
      </c>
      <c r="O2" s="2">
        <f t="shared" ref="O2:O65" si="0">(86.01*LOG10(C2-D2))-(70.041*LOG10(70))+36.76</f>
        <v>35.192117361578489</v>
      </c>
      <c r="P2" t="s">
        <v>26</v>
      </c>
      <c r="Q2" t="s">
        <v>26</v>
      </c>
      <c r="R2" s="2">
        <v>1465</v>
      </c>
      <c r="S2" s="2">
        <v>189.5</v>
      </c>
      <c r="T2" s="2">
        <v>50.5</v>
      </c>
      <c r="U2" s="2">
        <v>73</v>
      </c>
      <c r="V2" s="2">
        <v>19</v>
      </c>
      <c r="W2" s="2">
        <v>67.5</v>
      </c>
      <c r="X2" s="2">
        <v>17</v>
      </c>
      <c r="Y2" s="2">
        <v>0.5</v>
      </c>
      <c r="Z2" s="2">
        <v>454.5</v>
      </c>
    </row>
    <row r="3" spans="1:26" x14ac:dyDescent="0.25">
      <c r="A3" s="1">
        <v>45318</v>
      </c>
      <c r="B3" s="2">
        <v>271.8</v>
      </c>
      <c r="C3" s="2">
        <v>47</v>
      </c>
      <c r="D3" s="2">
        <v>17</v>
      </c>
      <c r="E3" s="2">
        <v>96.2</v>
      </c>
      <c r="F3" s="2">
        <v>114</v>
      </c>
      <c r="G3" s="2">
        <v>75</v>
      </c>
      <c r="H3" s="2">
        <v>67</v>
      </c>
      <c r="I3" s="2">
        <v>97.8</v>
      </c>
      <c r="J3" s="2">
        <v>108</v>
      </c>
      <c r="K3" s="2">
        <v>75</v>
      </c>
      <c r="L3" s="2">
        <v>82</v>
      </c>
      <c r="M3" s="2">
        <v>5.5</v>
      </c>
      <c r="N3" s="2">
        <f t="shared" ref="N3:N66" si="1">(B3/4900)*703</f>
        <v>38.994979591836739</v>
      </c>
      <c r="O3" s="2">
        <f t="shared" si="0"/>
        <v>34.574687297799606</v>
      </c>
      <c r="P3" t="s">
        <v>26</v>
      </c>
      <c r="Q3" t="s">
        <v>27</v>
      </c>
      <c r="R3" s="2">
        <v>2521</v>
      </c>
      <c r="S3" s="2">
        <v>499.95</v>
      </c>
      <c r="T3" s="2">
        <v>85</v>
      </c>
      <c r="U3" s="2">
        <v>71.5</v>
      </c>
      <c r="V3" s="2">
        <v>34.5</v>
      </c>
      <c r="W3" s="2">
        <v>325.45</v>
      </c>
      <c r="X3" s="2">
        <v>72.5</v>
      </c>
      <c r="Y3" s="2">
        <v>0.75</v>
      </c>
      <c r="Z3" s="2">
        <v>765</v>
      </c>
    </row>
    <row r="4" spans="1:26" x14ac:dyDescent="0.25">
      <c r="A4" s="1">
        <v>45319</v>
      </c>
      <c r="B4" s="2">
        <v>271.8</v>
      </c>
      <c r="C4" s="2">
        <v>47</v>
      </c>
      <c r="D4" s="2">
        <v>17</v>
      </c>
      <c r="E4" s="2">
        <v>96.7</v>
      </c>
      <c r="F4" s="2">
        <v>136</v>
      </c>
      <c r="G4" s="2">
        <v>76</v>
      </c>
      <c r="H4" s="2">
        <v>71</v>
      </c>
      <c r="I4" s="2">
        <v>96.1</v>
      </c>
      <c r="J4" s="2">
        <v>112</v>
      </c>
      <c r="K4" s="2">
        <v>63</v>
      </c>
      <c r="L4" s="2">
        <v>70</v>
      </c>
      <c r="M4" s="2">
        <v>8</v>
      </c>
      <c r="N4" s="2">
        <f t="shared" si="1"/>
        <v>38.994979591836739</v>
      </c>
      <c r="O4" s="2">
        <f t="shared" si="0"/>
        <v>34.574687297799606</v>
      </c>
      <c r="P4" t="s">
        <v>27</v>
      </c>
      <c r="Q4" t="s">
        <v>27</v>
      </c>
      <c r="R4" s="2">
        <v>1385.1916666666666</v>
      </c>
      <c r="S4" s="2">
        <v>172.41208333333333</v>
      </c>
      <c r="T4" s="2">
        <v>39.075833333333335</v>
      </c>
      <c r="U4" s="2">
        <v>74.289583333333354</v>
      </c>
      <c r="V4" s="2">
        <v>41.209583333333342</v>
      </c>
      <c r="W4" s="2">
        <v>66.442083333333329</v>
      </c>
      <c r="X4" s="2">
        <v>16.350000000000001</v>
      </c>
      <c r="Y4" s="2">
        <v>0.5</v>
      </c>
      <c r="Z4" s="2">
        <v>351.6825</v>
      </c>
    </row>
    <row r="5" spans="1:26" x14ac:dyDescent="0.25">
      <c r="A5" s="1">
        <v>45320</v>
      </c>
      <c r="B5" s="2">
        <v>272.8</v>
      </c>
      <c r="C5" s="2">
        <v>47</v>
      </c>
      <c r="D5" s="2">
        <v>17</v>
      </c>
      <c r="E5" s="2">
        <v>97.5</v>
      </c>
      <c r="F5" s="2">
        <v>131</v>
      </c>
      <c r="G5" s="2">
        <v>85</v>
      </c>
      <c r="H5" s="2">
        <v>76</v>
      </c>
      <c r="I5" s="2">
        <v>97.1</v>
      </c>
      <c r="J5" s="2">
        <v>158</v>
      </c>
      <c r="K5" s="2">
        <v>88</v>
      </c>
      <c r="L5" s="2">
        <v>86</v>
      </c>
      <c r="M5" s="2">
        <v>8</v>
      </c>
      <c r="N5" s="2">
        <f t="shared" si="1"/>
        <v>39.138448979591836</v>
      </c>
      <c r="O5" s="2">
        <f t="shared" si="0"/>
        <v>34.574687297799606</v>
      </c>
      <c r="P5" t="s">
        <v>26</v>
      </c>
      <c r="Q5" t="s">
        <v>27</v>
      </c>
      <c r="R5" s="2">
        <v>570</v>
      </c>
      <c r="S5" s="2">
        <v>108</v>
      </c>
      <c r="T5" s="2">
        <v>12</v>
      </c>
      <c r="U5" s="2">
        <v>4</v>
      </c>
      <c r="V5" s="2">
        <v>8</v>
      </c>
      <c r="W5" s="2">
        <v>46</v>
      </c>
      <c r="X5" s="2">
        <v>6</v>
      </c>
      <c r="Y5" s="2">
        <v>0.5</v>
      </c>
      <c r="Z5" s="2">
        <v>108</v>
      </c>
    </row>
    <row r="6" spans="1:26" x14ac:dyDescent="0.25">
      <c r="A6" s="1">
        <v>45321</v>
      </c>
      <c r="B6" s="2">
        <v>269.60000000000002</v>
      </c>
      <c r="C6" s="2">
        <v>46.5</v>
      </c>
      <c r="D6" s="2">
        <v>17</v>
      </c>
      <c r="E6" s="2">
        <v>97.7</v>
      </c>
      <c r="F6" s="2">
        <v>123</v>
      </c>
      <c r="G6" s="2">
        <v>79</v>
      </c>
      <c r="H6" s="2">
        <v>84</v>
      </c>
      <c r="I6" s="2">
        <v>98.6</v>
      </c>
      <c r="J6" s="2">
        <v>120</v>
      </c>
      <c r="K6" s="2">
        <v>71</v>
      </c>
      <c r="L6" s="2">
        <v>81</v>
      </c>
      <c r="M6" s="2">
        <v>10</v>
      </c>
      <c r="N6" s="2">
        <f t="shared" si="1"/>
        <v>38.679346938775517</v>
      </c>
      <c r="O6" s="2">
        <f t="shared" si="0"/>
        <v>33.946879773643239</v>
      </c>
      <c r="P6" t="s">
        <v>26</v>
      </c>
      <c r="Q6" t="s">
        <v>26</v>
      </c>
      <c r="R6" s="2">
        <v>1946.3333333333301</v>
      </c>
      <c r="S6" s="2">
        <v>259.04000000000002</v>
      </c>
      <c r="T6" s="2">
        <v>60.098333333333343</v>
      </c>
      <c r="U6" s="2">
        <v>104.32666666666668</v>
      </c>
      <c r="V6" s="2">
        <v>47.730000000000004</v>
      </c>
      <c r="W6" s="2">
        <v>67.668333333333322</v>
      </c>
      <c r="X6" s="2">
        <v>19.3</v>
      </c>
      <c r="Y6" s="2">
        <v>2</v>
      </c>
      <c r="Z6" s="2">
        <v>540.88499999999999</v>
      </c>
    </row>
    <row r="7" spans="1:26" x14ac:dyDescent="0.25">
      <c r="A7" s="1">
        <v>45322</v>
      </c>
      <c r="B7" s="2">
        <v>268.60000000000002</v>
      </c>
      <c r="C7" s="2">
        <v>47</v>
      </c>
      <c r="D7" s="2">
        <v>17</v>
      </c>
      <c r="E7" s="2">
        <v>96.1</v>
      </c>
      <c r="F7" s="2">
        <v>132</v>
      </c>
      <c r="G7" s="2">
        <v>75</v>
      </c>
      <c r="H7" s="2">
        <v>62</v>
      </c>
      <c r="I7" s="2">
        <v>96.5</v>
      </c>
      <c r="J7" s="2">
        <v>156</v>
      </c>
      <c r="K7" s="2">
        <v>83</v>
      </c>
      <c r="L7" s="2">
        <v>73</v>
      </c>
      <c r="M7" s="2">
        <v>9</v>
      </c>
      <c r="N7" s="2">
        <f t="shared" si="1"/>
        <v>38.535877551020413</v>
      </c>
      <c r="O7" s="2">
        <f t="shared" si="0"/>
        <v>34.574687297799606</v>
      </c>
      <c r="P7" t="s">
        <v>26</v>
      </c>
      <c r="Q7" t="s">
        <v>27</v>
      </c>
      <c r="R7" s="2">
        <v>1265.2333333333333</v>
      </c>
      <c r="S7" s="2">
        <v>195.20333333333332</v>
      </c>
      <c r="T7" s="2">
        <v>34.861666666666672</v>
      </c>
      <c r="U7" s="2">
        <v>69.580000000000013</v>
      </c>
      <c r="V7" s="2">
        <v>42.556666666666672</v>
      </c>
      <c r="W7" s="2">
        <v>96.87166666666667</v>
      </c>
      <c r="X7" s="2">
        <v>20.9</v>
      </c>
      <c r="Y7" s="2">
        <v>1.5</v>
      </c>
      <c r="Z7" s="2">
        <v>313.755</v>
      </c>
    </row>
    <row r="8" spans="1:26" x14ac:dyDescent="0.25">
      <c r="A8" s="1">
        <v>45323</v>
      </c>
      <c r="B8" s="2">
        <v>268.8</v>
      </c>
      <c r="C8" s="2">
        <v>46.5</v>
      </c>
      <c r="D8" s="2">
        <v>17</v>
      </c>
      <c r="E8" s="2">
        <v>96.4</v>
      </c>
      <c r="F8" s="2">
        <v>132</v>
      </c>
      <c r="G8" s="2">
        <v>70</v>
      </c>
      <c r="H8" s="2">
        <v>71</v>
      </c>
      <c r="I8" s="2">
        <v>97.3</v>
      </c>
      <c r="J8" s="2">
        <v>113</v>
      </c>
      <c r="K8" s="2">
        <v>75</v>
      </c>
      <c r="L8" s="2">
        <v>89</v>
      </c>
      <c r="M8" s="2">
        <v>10</v>
      </c>
      <c r="N8" s="2">
        <f t="shared" si="1"/>
        <v>38.564571428571433</v>
      </c>
      <c r="O8" s="2">
        <f t="shared" si="0"/>
        <v>33.946879773643239</v>
      </c>
      <c r="P8" t="s">
        <v>26</v>
      </c>
      <c r="Q8" t="s">
        <v>26</v>
      </c>
      <c r="R8" s="2">
        <v>2167.3333333333335</v>
      </c>
      <c r="S8" s="2">
        <v>309.47333333333336</v>
      </c>
      <c r="T8" s="2">
        <v>70.801666666666662</v>
      </c>
      <c r="U8" s="2">
        <v>67.880000000000024</v>
      </c>
      <c r="V8" s="2">
        <v>19.906666666666666</v>
      </c>
      <c r="W8" s="2">
        <v>213.35166666666666</v>
      </c>
      <c r="X8" s="2">
        <v>17.5</v>
      </c>
      <c r="Y8" s="2">
        <v>1</v>
      </c>
      <c r="Z8" s="2">
        <v>637.21499999999992</v>
      </c>
    </row>
    <row r="9" spans="1:26" x14ac:dyDescent="0.25">
      <c r="A9" s="1">
        <v>45324</v>
      </c>
      <c r="B9" s="2">
        <v>268.8</v>
      </c>
      <c r="C9" s="2">
        <v>46.5</v>
      </c>
      <c r="D9" s="2">
        <v>17</v>
      </c>
      <c r="E9" s="2">
        <v>96.4</v>
      </c>
      <c r="F9" s="2">
        <v>132</v>
      </c>
      <c r="G9" s="2">
        <v>70</v>
      </c>
      <c r="H9" s="2">
        <v>71</v>
      </c>
      <c r="I9" s="2">
        <v>97.3</v>
      </c>
      <c r="J9" s="2">
        <v>113</v>
      </c>
      <c r="K9" s="2">
        <v>75</v>
      </c>
      <c r="L9" s="2">
        <v>89</v>
      </c>
      <c r="M9" s="2">
        <v>0</v>
      </c>
      <c r="N9" s="2">
        <f t="shared" si="1"/>
        <v>38.564571428571433</v>
      </c>
      <c r="O9" s="2">
        <f t="shared" si="0"/>
        <v>33.946879773643239</v>
      </c>
      <c r="P9" t="s">
        <v>27</v>
      </c>
      <c r="Q9" t="s">
        <v>27</v>
      </c>
      <c r="R9" s="2">
        <v>4080</v>
      </c>
      <c r="S9" s="2">
        <v>349</v>
      </c>
      <c r="T9" s="2">
        <v>229</v>
      </c>
      <c r="U9" s="2">
        <v>163</v>
      </c>
      <c r="V9" s="2">
        <v>15</v>
      </c>
      <c r="W9" s="2">
        <v>91</v>
      </c>
      <c r="X9" s="2">
        <v>12</v>
      </c>
      <c r="Y9" s="2">
        <v>0</v>
      </c>
      <c r="Z9" s="2">
        <v>2061</v>
      </c>
    </row>
    <row r="10" spans="1:26" x14ac:dyDescent="0.25">
      <c r="A10" s="1">
        <v>45325</v>
      </c>
      <c r="B10" s="2">
        <v>269.39999999999998</v>
      </c>
      <c r="C10" s="2">
        <v>47</v>
      </c>
      <c r="D10" s="2">
        <v>17</v>
      </c>
      <c r="E10" s="2">
        <v>97.7</v>
      </c>
      <c r="F10" s="2">
        <v>120</v>
      </c>
      <c r="G10" s="2">
        <v>77</v>
      </c>
      <c r="H10" s="2">
        <v>76</v>
      </c>
      <c r="I10" s="2">
        <v>96.5</v>
      </c>
      <c r="J10" s="2">
        <v>124</v>
      </c>
      <c r="K10" s="2">
        <v>75</v>
      </c>
      <c r="L10" s="2">
        <v>66</v>
      </c>
      <c r="M10" s="2">
        <v>16.5</v>
      </c>
      <c r="N10" s="2">
        <f t="shared" si="1"/>
        <v>38.650653061224489</v>
      </c>
      <c r="O10" s="2">
        <f t="shared" si="0"/>
        <v>34.574687297799606</v>
      </c>
      <c r="P10" t="s">
        <v>26</v>
      </c>
      <c r="Q10" t="s">
        <v>27</v>
      </c>
      <c r="R10" s="2">
        <v>2535.9333333333334</v>
      </c>
      <c r="S10" s="2">
        <v>235.18333333333331</v>
      </c>
      <c r="T10" s="2">
        <v>120.44166666666668</v>
      </c>
      <c r="U10" s="2">
        <v>99.950000000000031</v>
      </c>
      <c r="V10" s="2">
        <v>25.366666666666667</v>
      </c>
      <c r="W10" s="2">
        <v>30.091666666666669</v>
      </c>
      <c r="X10" s="2">
        <v>35</v>
      </c>
      <c r="Y10" s="2">
        <v>2</v>
      </c>
      <c r="Z10" s="2">
        <v>1083.9749999999999</v>
      </c>
    </row>
    <row r="11" spans="1:26" x14ac:dyDescent="0.25">
      <c r="A11" s="1">
        <v>45326</v>
      </c>
      <c r="B11" s="2">
        <v>272.60000000000002</v>
      </c>
      <c r="C11" s="2">
        <v>47</v>
      </c>
      <c r="D11" s="2">
        <v>17</v>
      </c>
      <c r="E11" s="2">
        <v>96.7</v>
      </c>
      <c r="F11" s="2">
        <v>119</v>
      </c>
      <c r="G11" s="2">
        <v>75</v>
      </c>
      <c r="H11" s="2">
        <v>71</v>
      </c>
      <c r="I11" s="2">
        <v>96.4</v>
      </c>
      <c r="J11" s="2">
        <v>116</v>
      </c>
      <c r="K11" s="2">
        <v>74</v>
      </c>
      <c r="L11" s="2">
        <v>68</v>
      </c>
      <c r="M11" s="2">
        <v>10</v>
      </c>
      <c r="N11" s="2">
        <f t="shared" si="1"/>
        <v>39.109755102040822</v>
      </c>
      <c r="O11" s="2">
        <f t="shared" si="0"/>
        <v>34.574687297799606</v>
      </c>
      <c r="P11" t="s">
        <v>26</v>
      </c>
      <c r="Q11" t="s">
        <v>27</v>
      </c>
      <c r="R11" s="2">
        <v>1635.9333333333334</v>
      </c>
      <c r="S11" s="2">
        <v>139.18333333333331</v>
      </c>
      <c r="T11" s="2">
        <v>82.441666666666677</v>
      </c>
      <c r="U11" s="2">
        <v>78.450000000000017</v>
      </c>
      <c r="V11" s="2">
        <v>21.866666666666667</v>
      </c>
      <c r="W11" s="2">
        <v>20.591666666666669</v>
      </c>
      <c r="X11" s="2">
        <v>21.5</v>
      </c>
      <c r="Y11" s="2">
        <v>2</v>
      </c>
      <c r="Z11" s="2">
        <v>741.97499999999991</v>
      </c>
    </row>
    <row r="12" spans="1:26" x14ac:dyDescent="0.25">
      <c r="A12" s="1">
        <v>45327</v>
      </c>
      <c r="B12" s="2">
        <v>270.8</v>
      </c>
      <c r="C12" s="2">
        <v>46.5</v>
      </c>
      <c r="D12" s="2">
        <v>17</v>
      </c>
      <c r="E12" s="2">
        <v>97</v>
      </c>
      <c r="F12" s="2">
        <v>136</v>
      </c>
      <c r="G12" s="2">
        <v>68</v>
      </c>
      <c r="H12" s="2">
        <v>67</v>
      </c>
      <c r="I12" s="2">
        <v>96.7</v>
      </c>
      <c r="J12" s="2">
        <v>127</v>
      </c>
      <c r="K12" s="2">
        <v>73</v>
      </c>
      <c r="L12" s="2">
        <v>65</v>
      </c>
      <c r="M12" s="2">
        <v>8.5</v>
      </c>
      <c r="N12" s="2">
        <f t="shared" si="1"/>
        <v>38.851510204081634</v>
      </c>
      <c r="O12" s="2">
        <f t="shared" si="0"/>
        <v>33.946879773643239</v>
      </c>
      <c r="P12" t="s">
        <v>26</v>
      </c>
      <c r="Q12" t="s">
        <v>27</v>
      </c>
      <c r="R12" s="2">
        <v>1645.3333333333333</v>
      </c>
      <c r="S12" s="2">
        <v>119.54166666666666</v>
      </c>
      <c r="T12" s="2">
        <v>76.603333333333339</v>
      </c>
      <c r="U12" s="2">
        <v>108.05500000000001</v>
      </c>
      <c r="V12" s="2">
        <v>8.2449999999999992</v>
      </c>
      <c r="W12" s="2">
        <v>40.258333333333333</v>
      </c>
      <c r="X12" s="2">
        <v>7.5</v>
      </c>
      <c r="Y12" s="2">
        <v>1.5</v>
      </c>
      <c r="Z12" s="2">
        <v>689.43</v>
      </c>
    </row>
    <row r="13" spans="1:26" x14ac:dyDescent="0.25">
      <c r="A13" s="1">
        <v>45328</v>
      </c>
      <c r="B13" s="2">
        <v>268.39999999999998</v>
      </c>
      <c r="C13" s="2">
        <v>46</v>
      </c>
      <c r="D13" s="2">
        <v>17</v>
      </c>
      <c r="E13" s="2">
        <v>96.2</v>
      </c>
      <c r="F13" s="2">
        <v>128</v>
      </c>
      <c r="G13" s="2">
        <v>74</v>
      </c>
      <c r="H13" s="2">
        <v>60</v>
      </c>
      <c r="I13" s="2">
        <v>97.5</v>
      </c>
      <c r="J13" s="2">
        <v>108</v>
      </c>
      <c r="K13" s="2">
        <v>68</v>
      </c>
      <c r="L13" s="2">
        <v>74</v>
      </c>
      <c r="M13" s="2">
        <v>9</v>
      </c>
      <c r="N13" s="2">
        <f t="shared" si="1"/>
        <v>38.507183673469385</v>
      </c>
      <c r="O13" s="2">
        <f t="shared" si="0"/>
        <v>33.308339978650658</v>
      </c>
      <c r="P13" t="s">
        <v>26</v>
      </c>
      <c r="Q13" t="s">
        <v>26</v>
      </c>
      <c r="R13" s="2">
        <v>1216.2666666666669</v>
      </c>
      <c r="S13" s="2">
        <v>111.93333333333332</v>
      </c>
      <c r="T13" s="2">
        <v>55.379166666666663</v>
      </c>
      <c r="U13" s="2">
        <v>75.029166666666669</v>
      </c>
      <c r="V13" s="2">
        <v>4.5958333333333332</v>
      </c>
      <c r="W13" s="2">
        <v>31.554166666666667</v>
      </c>
      <c r="X13" s="2">
        <v>8.25</v>
      </c>
      <c r="Y13" s="2">
        <v>1</v>
      </c>
      <c r="Z13" s="2">
        <v>498.41249999999997</v>
      </c>
    </row>
    <row r="14" spans="1:26" x14ac:dyDescent="0.25">
      <c r="A14" s="1">
        <v>45329</v>
      </c>
      <c r="B14" s="2">
        <v>266.60000000000002</v>
      </c>
      <c r="C14" s="2">
        <v>46.5</v>
      </c>
      <c r="D14" s="2">
        <v>17</v>
      </c>
      <c r="E14" s="2">
        <v>96.6</v>
      </c>
      <c r="F14" s="2">
        <v>127</v>
      </c>
      <c r="G14" s="2">
        <v>75</v>
      </c>
      <c r="H14" s="2">
        <v>67</v>
      </c>
      <c r="I14" s="2">
        <v>97.3</v>
      </c>
      <c r="J14" s="2">
        <v>144</v>
      </c>
      <c r="K14" s="2">
        <v>72</v>
      </c>
      <c r="L14" s="2">
        <v>78</v>
      </c>
      <c r="M14" s="2">
        <v>8</v>
      </c>
      <c r="N14" s="2">
        <f t="shared" si="1"/>
        <v>38.248938775510204</v>
      </c>
      <c r="O14" s="2">
        <f t="shared" si="0"/>
        <v>33.946879773643239</v>
      </c>
      <c r="P14" t="s">
        <v>26</v>
      </c>
      <c r="Q14" t="s">
        <v>26</v>
      </c>
      <c r="R14" s="2">
        <v>2812.3583333333336</v>
      </c>
      <c r="S14" s="2">
        <v>287.93333333333334</v>
      </c>
      <c r="T14" s="2">
        <v>127.2</v>
      </c>
      <c r="U14" s="2">
        <v>119.9875</v>
      </c>
      <c r="V14" s="2">
        <v>9.2687499999999989</v>
      </c>
      <c r="W14" s="2">
        <v>131.35</v>
      </c>
      <c r="X14" s="2">
        <v>16</v>
      </c>
      <c r="Y14" s="2">
        <v>2</v>
      </c>
      <c r="Z14" s="2">
        <v>1144.8</v>
      </c>
    </row>
    <row r="15" spans="1:26" x14ac:dyDescent="0.25">
      <c r="A15" s="1">
        <v>45330</v>
      </c>
      <c r="B15" s="2">
        <v>269.60000000000002</v>
      </c>
      <c r="C15" s="2">
        <v>46</v>
      </c>
      <c r="D15" s="2">
        <v>17</v>
      </c>
      <c r="E15" s="2">
        <v>96.3</v>
      </c>
      <c r="F15" s="2">
        <v>115</v>
      </c>
      <c r="G15" s="2">
        <v>78</v>
      </c>
      <c r="H15" s="2">
        <v>62</v>
      </c>
      <c r="I15" s="2">
        <v>97.2</v>
      </c>
      <c r="J15" s="2">
        <v>104</v>
      </c>
      <c r="K15" s="2">
        <v>58</v>
      </c>
      <c r="L15" s="2">
        <v>60</v>
      </c>
      <c r="M15" s="2">
        <v>9</v>
      </c>
      <c r="N15" s="2">
        <f t="shared" si="1"/>
        <v>38.679346938775517</v>
      </c>
      <c r="O15" s="2">
        <f t="shared" si="0"/>
        <v>33.308339978650658</v>
      </c>
      <c r="P15" t="s">
        <v>26</v>
      </c>
      <c r="Q15" t="s">
        <v>26</v>
      </c>
      <c r="R15" s="2">
        <v>1805.45</v>
      </c>
      <c r="S15" s="2">
        <v>206.88333333333333</v>
      </c>
      <c r="T15" s="2">
        <v>83.064583333333331</v>
      </c>
      <c r="U15" s="2">
        <v>56.15</v>
      </c>
      <c r="V15" s="2">
        <v>13.204166666666666</v>
      </c>
      <c r="W15" s="2">
        <v>38.685416666666669</v>
      </c>
      <c r="X15" s="2">
        <v>10.25</v>
      </c>
      <c r="Y15" s="2">
        <v>2</v>
      </c>
      <c r="Z15" s="2">
        <v>747.58124999999995</v>
      </c>
    </row>
    <row r="16" spans="1:26" x14ac:dyDescent="0.25">
      <c r="A16" s="1">
        <v>45331</v>
      </c>
      <c r="B16" s="2">
        <v>267.60000000000002</v>
      </c>
      <c r="C16" s="2">
        <v>46</v>
      </c>
      <c r="D16" s="2">
        <v>17</v>
      </c>
      <c r="E16" s="2">
        <v>96.4</v>
      </c>
      <c r="F16" s="2">
        <v>127</v>
      </c>
      <c r="G16" s="2">
        <v>78</v>
      </c>
      <c r="H16" s="2">
        <v>66</v>
      </c>
      <c r="I16" s="2">
        <v>96.9</v>
      </c>
      <c r="J16" s="2">
        <v>125</v>
      </c>
      <c r="K16" s="2">
        <v>68</v>
      </c>
      <c r="L16" s="2">
        <v>66</v>
      </c>
      <c r="M16" s="2">
        <v>9</v>
      </c>
      <c r="N16" s="2">
        <f t="shared" si="1"/>
        <v>38.392408163265308</v>
      </c>
      <c r="O16" s="2">
        <f t="shared" si="0"/>
        <v>33.308339978650658</v>
      </c>
      <c r="P16" t="s">
        <v>27</v>
      </c>
      <c r="Q16" t="s">
        <v>27</v>
      </c>
      <c r="R16" s="2">
        <v>1547.6925000000001</v>
      </c>
      <c r="S16" s="2">
        <v>204.06225000000001</v>
      </c>
      <c r="T16" s="2">
        <v>56.902499999999996</v>
      </c>
      <c r="U16" s="2">
        <v>50.186</v>
      </c>
      <c r="V16" s="2">
        <v>10.215249999999999</v>
      </c>
      <c r="W16" s="2">
        <v>58.955750000000002</v>
      </c>
      <c r="X16" s="2">
        <v>6</v>
      </c>
      <c r="Y16" s="2">
        <v>2</v>
      </c>
      <c r="Z16" s="2">
        <v>512.12249999999995</v>
      </c>
    </row>
    <row r="17" spans="1:26" x14ac:dyDescent="0.25">
      <c r="A17" s="1">
        <v>45332</v>
      </c>
      <c r="B17" s="2">
        <v>267.60000000000002</v>
      </c>
      <c r="C17" s="2">
        <v>46</v>
      </c>
      <c r="D17" s="2">
        <v>17</v>
      </c>
      <c r="E17" s="2">
        <v>95.5</v>
      </c>
      <c r="F17" s="2">
        <v>131</v>
      </c>
      <c r="G17" s="2">
        <v>77</v>
      </c>
      <c r="H17" s="2">
        <v>60</v>
      </c>
      <c r="I17" s="2">
        <v>97.7</v>
      </c>
      <c r="J17" s="2">
        <v>107</v>
      </c>
      <c r="K17" s="2">
        <v>69</v>
      </c>
      <c r="L17" s="2">
        <v>71</v>
      </c>
      <c r="M17" s="2">
        <v>7.5</v>
      </c>
      <c r="N17" s="2">
        <f t="shared" si="1"/>
        <v>38.392408163265308</v>
      </c>
      <c r="O17" s="2">
        <f t="shared" si="0"/>
        <v>33.308339978650658</v>
      </c>
      <c r="P17" t="s">
        <v>26</v>
      </c>
      <c r="Q17" t="s">
        <v>26</v>
      </c>
      <c r="R17" s="2">
        <v>2194.1925000000001</v>
      </c>
      <c r="S17" s="2">
        <v>280.62708333333336</v>
      </c>
      <c r="T17" s="2">
        <v>82.025833333333338</v>
      </c>
      <c r="U17" s="2">
        <v>99.683000000000007</v>
      </c>
      <c r="V17" s="2">
        <v>47.375416666666666</v>
      </c>
      <c r="W17" s="2">
        <v>58.923416666666668</v>
      </c>
      <c r="X17" s="2">
        <v>20.84</v>
      </c>
      <c r="Y17" s="2">
        <v>4</v>
      </c>
      <c r="Z17" s="2">
        <v>738.23249999999996</v>
      </c>
    </row>
    <row r="18" spans="1:26" x14ac:dyDescent="0.25">
      <c r="A18" s="1">
        <v>45333</v>
      </c>
      <c r="B18" s="2">
        <v>264.8</v>
      </c>
      <c r="C18" s="2">
        <v>46</v>
      </c>
      <c r="D18" s="2">
        <v>17</v>
      </c>
      <c r="E18" s="2">
        <v>96.7</v>
      </c>
      <c r="F18" s="2">
        <v>134</v>
      </c>
      <c r="G18" s="2">
        <v>75</v>
      </c>
      <c r="H18" s="2">
        <v>57</v>
      </c>
      <c r="I18" s="2">
        <v>97</v>
      </c>
      <c r="J18" s="2">
        <v>126</v>
      </c>
      <c r="K18" s="2">
        <v>70</v>
      </c>
      <c r="L18" s="2">
        <v>58</v>
      </c>
      <c r="M18" s="2">
        <v>11</v>
      </c>
      <c r="N18" s="2">
        <f t="shared" si="1"/>
        <v>37.990693877551024</v>
      </c>
      <c r="O18" s="2">
        <f t="shared" si="0"/>
        <v>33.308339978650658</v>
      </c>
      <c r="P18" t="s">
        <v>26</v>
      </c>
      <c r="Q18" t="s">
        <v>26</v>
      </c>
      <c r="R18" s="2">
        <v>954.40000000000009</v>
      </c>
      <c r="S18" s="2">
        <v>116.63333333333333</v>
      </c>
      <c r="T18" s="2">
        <v>34.75833333333334</v>
      </c>
      <c r="U18" s="2">
        <v>62.6</v>
      </c>
      <c r="V18" s="2">
        <v>39.766666666666666</v>
      </c>
      <c r="W18" s="2">
        <v>15.641666666666664</v>
      </c>
      <c r="X18" s="2">
        <v>16</v>
      </c>
      <c r="Y18" s="2">
        <v>2</v>
      </c>
      <c r="Z18" s="2">
        <v>312.82499999999999</v>
      </c>
    </row>
    <row r="19" spans="1:26" x14ac:dyDescent="0.25">
      <c r="A19" s="1">
        <v>45334</v>
      </c>
      <c r="B19" s="2">
        <v>264.60000000000002</v>
      </c>
      <c r="C19" s="2">
        <v>46</v>
      </c>
      <c r="D19" s="2">
        <v>17</v>
      </c>
      <c r="E19" s="2">
        <v>96.6</v>
      </c>
      <c r="F19" s="2">
        <v>121</v>
      </c>
      <c r="G19" s="2">
        <v>73</v>
      </c>
      <c r="H19" s="2">
        <v>67</v>
      </c>
      <c r="I19" s="2">
        <v>97</v>
      </c>
      <c r="J19" s="2">
        <v>124</v>
      </c>
      <c r="K19" s="2">
        <v>64</v>
      </c>
      <c r="L19" s="2">
        <v>63</v>
      </c>
      <c r="M19" s="2">
        <v>7</v>
      </c>
      <c r="N19" s="2">
        <f t="shared" si="1"/>
        <v>37.962000000000003</v>
      </c>
      <c r="O19" s="2">
        <f t="shared" si="0"/>
        <v>33.308339978650658</v>
      </c>
      <c r="P19" t="s">
        <v>26</v>
      </c>
      <c r="Q19" t="s">
        <v>26</v>
      </c>
      <c r="R19" s="2">
        <v>1094.4000000000001</v>
      </c>
      <c r="S19" s="2">
        <v>142.63333333333333</v>
      </c>
      <c r="T19" s="2">
        <v>37.75833333333334</v>
      </c>
      <c r="U19" s="2">
        <v>63.6</v>
      </c>
      <c r="V19" s="2">
        <v>41.766666666666666</v>
      </c>
      <c r="W19" s="2">
        <v>26.641666666666666</v>
      </c>
      <c r="X19" s="2">
        <v>17</v>
      </c>
      <c r="Y19" s="2">
        <v>1</v>
      </c>
      <c r="Z19" s="2">
        <v>339.82499999999999</v>
      </c>
    </row>
    <row r="20" spans="1:26" x14ac:dyDescent="0.25">
      <c r="A20" s="1">
        <v>45335</v>
      </c>
      <c r="B20" s="2">
        <v>263.2</v>
      </c>
      <c r="C20" s="2">
        <v>46</v>
      </c>
      <c r="D20" s="2">
        <v>17</v>
      </c>
      <c r="E20" s="2">
        <v>96.5</v>
      </c>
      <c r="F20" s="2">
        <v>132</v>
      </c>
      <c r="G20" s="2">
        <v>74</v>
      </c>
      <c r="H20" s="2">
        <v>67</v>
      </c>
      <c r="I20" s="2">
        <v>97.8</v>
      </c>
      <c r="J20" s="2">
        <v>148</v>
      </c>
      <c r="K20" s="2">
        <v>71</v>
      </c>
      <c r="L20" s="2">
        <v>74</v>
      </c>
      <c r="M20" s="2">
        <v>10.5</v>
      </c>
      <c r="N20" s="2">
        <f t="shared" si="1"/>
        <v>37.761142857142858</v>
      </c>
      <c r="O20" s="2">
        <f t="shared" si="0"/>
        <v>33.308339978650658</v>
      </c>
      <c r="P20" t="s">
        <v>26</v>
      </c>
      <c r="Q20" t="s">
        <v>26</v>
      </c>
      <c r="R20" s="2">
        <v>952.90000000000009</v>
      </c>
      <c r="S20" s="2">
        <v>116.42333333333333</v>
      </c>
      <c r="T20" s="2">
        <v>34.708333333333336</v>
      </c>
      <c r="U20" s="2">
        <v>62.42</v>
      </c>
      <c r="V20" s="2">
        <v>39.376666666666665</v>
      </c>
      <c r="W20" s="2">
        <v>15.801666666666666</v>
      </c>
      <c r="X20" s="2">
        <v>15.899999999999999</v>
      </c>
      <c r="Y20" s="2">
        <v>1.5</v>
      </c>
      <c r="Z20" s="2">
        <v>312.37499999999994</v>
      </c>
    </row>
    <row r="21" spans="1:26" x14ac:dyDescent="0.25">
      <c r="A21" s="1">
        <v>45336</v>
      </c>
      <c r="B21" s="2">
        <v>263</v>
      </c>
      <c r="C21" s="2">
        <v>46</v>
      </c>
      <c r="D21" s="2">
        <v>17</v>
      </c>
      <c r="E21" s="2">
        <v>96.9</v>
      </c>
      <c r="F21" s="2">
        <v>136</v>
      </c>
      <c r="G21" s="2">
        <v>69</v>
      </c>
      <c r="H21" s="2">
        <v>60</v>
      </c>
      <c r="I21" s="2">
        <v>96.8</v>
      </c>
      <c r="J21" s="2">
        <v>137</v>
      </c>
      <c r="K21" s="2">
        <v>72</v>
      </c>
      <c r="L21" s="2">
        <v>73</v>
      </c>
      <c r="M21" s="2">
        <v>2</v>
      </c>
      <c r="N21" s="2">
        <f t="shared" si="1"/>
        <v>37.732448979591837</v>
      </c>
      <c r="O21" s="2">
        <f t="shared" si="0"/>
        <v>33.308339978650658</v>
      </c>
      <c r="P21" t="s">
        <v>26</v>
      </c>
      <c r="Q21" t="s">
        <v>26</v>
      </c>
      <c r="R21" s="2">
        <v>2076.0425</v>
      </c>
      <c r="S21" s="2">
        <v>293.27308333333337</v>
      </c>
      <c r="T21" s="2">
        <v>59.710833333333341</v>
      </c>
      <c r="U21" s="2">
        <v>85.606000000000009</v>
      </c>
      <c r="V21" s="2">
        <v>22.054416666666665</v>
      </c>
      <c r="W21" s="2">
        <v>145.95741666666666</v>
      </c>
      <c r="X21" s="2">
        <v>17.899999999999999</v>
      </c>
      <c r="Y21" s="2">
        <v>2</v>
      </c>
      <c r="Z21" s="2">
        <v>537.39750000000004</v>
      </c>
    </row>
    <row r="22" spans="1:26" x14ac:dyDescent="0.25">
      <c r="A22" s="1">
        <v>45337</v>
      </c>
      <c r="B22" s="2">
        <v>261.8</v>
      </c>
      <c r="C22" s="2">
        <v>46</v>
      </c>
      <c r="D22" s="2">
        <v>17</v>
      </c>
      <c r="E22" s="2">
        <v>96.5</v>
      </c>
      <c r="F22" s="2">
        <v>128</v>
      </c>
      <c r="G22" s="2">
        <v>76</v>
      </c>
      <c r="H22" s="2">
        <v>74</v>
      </c>
      <c r="I22" s="2">
        <v>97.1</v>
      </c>
      <c r="J22" s="2">
        <v>134</v>
      </c>
      <c r="K22" s="2">
        <v>80</v>
      </c>
      <c r="L22" s="2">
        <v>59</v>
      </c>
      <c r="M22" s="2">
        <v>13</v>
      </c>
      <c r="N22" s="2">
        <f t="shared" si="1"/>
        <v>37.560285714285712</v>
      </c>
      <c r="O22" s="2">
        <f t="shared" si="0"/>
        <v>33.308339978650658</v>
      </c>
      <c r="P22" t="s">
        <v>26</v>
      </c>
      <c r="Q22" t="s">
        <v>26</v>
      </c>
      <c r="R22" s="2">
        <v>1171.1500000000001</v>
      </c>
      <c r="S22" s="2">
        <v>124.89999999999998</v>
      </c>
      <c r="T22" s="2">
        <v>43.975000000000001</v>
      </c>
      <c r="U22" s="2">
        <v>63.933333333333337</v>
      </c>
      <c r="V22" s="2">
        <v>21.25</v>
      </c>
      <c r="W22" s="2">
        <v>36.741666666666667</v>
      </c>
      <c r="X22" s="2">
        <v>17</v>
      </c>
      <c r="Y22" s="2">
        <v>1.5</v>
      </c>
      <c r="Z22" s="2">
        <v>395.77500000000003</v>
      </c>
    </row>
    <row r="23" spans="1:26" x14ac:dyDescent="0.25">
      <c r="A23" s="1">
        <v>45338</v>
      </c>
      <c r="B23" s="2">
        <v>261.8</v>
      </c>
      <c r="C23" s="2">
        <v>45.5</v>
      </c>
      <c r="D23" s="2">
        <v>17</v>
      </c>
      <c r="E23" s="2">
        <v>96.1</v>
      </c>
      <c r="F23" s="2">
        <v>136</v>
      </c>
      <c r="G23" s="2">
        <v>83</v>
      </c>
      <c r="H23" s="2">
        <v>61</v>
      </c>
      <c r="I23" s="2">
        <v>95.5</v>
      </c>
      <c r="J23" s="2">
        <v>136</v>
      </c>
      <c r="K23" s="2">
        <v>73</v>
      </c>
      <c r="L23" s="2">
        <v>70</v>
      </c>
      <c r="M23" s="2">
        <v>7.5</v>
      </c>
      <c r="N23" s="2">
        <f t="shared" si="1"/>
        <v>37.560285714285712</v>
      </c>
      <c r="O23" s="2">
        <f t="shared" si="0"/>
        <v>32.6586945886934</v>
      </c>
      <c r="P23" t="s">
        <v>26</v>
      </c>
      <c r="Q23" t="s">
        <v>26</v>
      </c>
      <c r="R23" s="2">
        <v>1103.1424999999999</v>
      </c>
      <c r="S23" s="2">
        <v>126.84975</v>
      </c>
      <c r="T23" s="2">
        <v>45.002499999999998</v>
      </c>
      <c r="U23" s="2">
        <v>45.186</v>
      </c>
      <c r="V23" s="2">
        <v>5.1777499999999996</v>
      </c>
      <c r="W23" s="2">
        <v>32.655749999999998</v>
      </c>
      <c r="X23" s="2">
        <v>6</v>
      </c>
      <c r="Y23" s="2">
        <v>1</v>
      </c>
      <c r="Z23" s="2">
        <v>405.02249999999998</v>
      </c>
    </row>
    <row r="24" spans="1:26" x14ac:dyDescent="0.25">
      <c r="A24" s="1">
        <v>45339</v>
      </c>
      <c r="B24" s="2">
        <v>259.8</v>
      </c>
      <c r="C24" s="2">
        <v>45.5</v>
      </c>
      <c r="D24" s="2">
        <v>17</v>
      </c>
      <c r="E24" s="2">
        <v>97</v>
      </c>
      <c r="F24" s="2">
        <v>137</v>
      </c>
      <c r="G24" s="2">
        <v>77</v>
      </c>
      <c r="H24" s="2">
        <v>69</v>
      </c>
      <c r="I24" s="2">
        <v>97.6</v>
      </c>
      <c r="J24" s="2">
        <v>132</v>
      </c>
      <c r="K24" s="2">
        <v>74</v>
      </c>
      <c r="L24" s="2">
        <v>73</v>
      </c>
      <c r="M24" s="2">
        <v>11.5</v>
      </c>
      <c r="N24" s="2">
        <f t="shared" si="1"/>
        <v>37.273346938775511</v>
      </c>
      <c r="O24" s="2">
        <f t="shared" si="0"/>
        <v>32.6586945886934</v>
      </c>
      <c r="P24" t="s">
        <v>26</v>
      </c>
      <c r="Q24" t="s">
        <v>26</v>
      </c>
      <c r="R24" s="2">
        <v>1099.3403333333333</v>
      </c>
      <c r="S24" s="2">
        <v>136.31986666666666</v>
      </c>
      <c r="T24" s="2">
        <v>36.88773333333333</v>
      </c>
      <c r="U24" s="2">
        <v>50.2958</v>
      </c>
      <c r="V24" s="2">
        <v>6.9224333333333323</v>
      </c>
      <c r="W24" s="2">
        <v>43.19756666666666</v>
      </c>
      <c r="X24" s="2">
        <v>5.2</v>
      </c>
      <c r="Y24" s="2">
        <v>3</v>
      </c>
      <c r="Z24" s="2">
        <v>331.9896</v>
      </c>
    </row>
    <row r="25" spans="1:26" x14ac:dyDescent="0.25">
      <c r="A25" s="1">
        <v>45340</v>
      </c>
      <c r="B25" s="2">
        <v>260.2</v>
      </c>
      <c r="C25" s="2">
        <v>45</v>
      </c>
      <c r="D25" s="2">
        <v>17</v>
      </c>
      <c r="E25" s="2">
        <v>96.4</v>
      </c>
      <c r="F25" s="2">
        <v>136</v>
      </c>
      <c r="G25" s="2">
        <v>76</v>
      </c>
      <c r="H25" s="2">
        <v>58</v>
      </c>
      <c r="I25" s="2">
        <v>95.7</v>
      </c>
      <c r="J25" s="2">
        <v>139</v>
      </c>
      <c r="K25" s="2">
        <v>77</v>
      </c>
      <c r="L25" s="2">
        <v>73</v>
      </c>
      <c r="M25" s="2">
        <v>10</v>
      </c>
      <c r="N25" s="2">
        <f t="shared" si="1"/>
        <v>37.330734693877552</v>
      </c>
      <c r="O25" s="2">
        <f t="shared" si="0"/>
        <v>31.997550455105717</v>
      </c>
      <c r="P25" t="s">
        <v>26</v>
      </c>
      <c r="Q25" t="s">
        <v>26</v>
      </c>
      <c r="R25" s="2">
        <v>929.57666666666671</v>
      </c>
      <c r="S25" s="2">
        <v>119.70183333333333</v>
      </c>
      <c r="T25" s="2">
        <v>29.758666666666667</v>
      </c>
      <c r="U25" s="2">
        <v>61.1265</v>
      </c>
      <c r="V25" s="2">
        <v>38.244666666666667</v>
      </c>
      <c r="W25" s="2">
        <v>19.880333333333333</v>
      </c>
      <c r="X25" s="2">
        <v>16.700000000000003</v>
      </c>
      <c r="Y25" s="2">
        <v>2</v>
      </c>
      <c r="Z25" s="2">
        <v>267.82800000000003</v>
      </c>
    </row>
    <row r="26" spans="1:26" x14ac:dyDescent="0.25">
      <c r="A26" s="1">
        <v>45341</v>
      </c>
      <c r="B26" s="2">
        <v>259</v>
      </c>
      <c r="C26" s="2">
        <v>45.5</v>
      </c>
      <c r="D26" s="2">
        <v>17</v>
      </c>
      <c r="E26" s="2">
        <v>95.7</v>
      </c>
      <c r="F26" s="2">
        <v>113</v>
      </c>
      <c r="G26" s="2">
        <v>74</v>
      </c>
      <c r="H26" s="2">
        <v>59</v>
      </c>
      <c r="I26" s="2">
        <v>96.3</v>
      </c>
      <c r="J26" s="2">
        <v>128</v>
      </c>
      <c r="K26" s="2">
        <v>72</v>
      </c>
      <c r="L26" s="2">
        <v>69</v>
      </c>
      <c r="M26" s="2">
        <v>5</v>
      </c>
      <c r="N26" s="2">
        <f t="shared" si="1"/>
        <v>37.158571428571427</v>
      </c>
      <c r="O26" s="2">
        <f t="shared" si="0"/>
        <v>32.6586945886934</v>
      </c>
      <c r="P26" t="s">
        <v>27</v>
      </c>
      <c r="Q26" t="s">
        <v>26</v>
      </c>
      <c r="R26" s="2">
        <v>1264.6766666666667</v>
      </c>
      <c r="S26" s="2">
        <v>131.39683333333335</v>
      </c>
      <c r="T26" s="2">
        <v>55.948666666666668</v>
      </c>
      <c r="U26" s="2">
        <v>74.95150000000001</v>
      </c>
      <c r="V26" s="2">
        <v>39.94466666666667</v>
      </c>
      <c r="W26" s="2">
        <v>22.310333333333336</v>
      </c>
      <c r="X26" s="2">
        <v>20.05</v>
      </c>
      <c r="Y26" s="2">
        <v>1.5</v>
      </c>
      <c r="Z26" s="2">
        <v>503.53800000000007</v>
      </c>
    </row>
    <row r="27" spans="1:26" x14ac:dyDescent="0.25">
      <c r="A27" s="1">
        <v>45342</v>
      </c>
      <c r="B27" s="2">
        <v>257</v>
      </c>
      <c r="C27" s="2">
        <v>45</v>
      </c>
      <c r="D27" s="2">
        <v>17</v>
      </c>
      <c r="E27" s="2">
        <v>96.2</v>
      </c>
      <c r="F27" s="2">
        <v>113</v>
      </c>
      <c r="G27" s="2">
        <v>76</v>
      </c>
      <c r="H27" s="2">
        <v>62</v>
      </c>
      <c r="I27" s="2">
        <v>97.2</v>
      </c>
      <c r="J27" s="2">
        <v>135</v>
      </c>
      <c r="K27" s="2">
        <v>69</v>
      </c>
      <c r="L27" s="2">
        <v>59</v>
      </c>
      <c r="M27" s="2">
        <v>12</v>
      </c>
      <c r="N27" s="2">
        <f t="shared" si="1"/>
        <v>36.871632653061219</v>
      </c>
      <c r="O27" s="2">
        <f t="shared" si="0"/>
        <v>31.997550455105717</v>
      </c>
      <c r="P27" t="s">
        <v>26</v>
      </c>
      <c r="Q27" t="s">
        <v>26</v>
      </c>
      <c r="R27" s="2">
        <v>1016.4766666666667</v>
      </c>
      <c r="S27" s="2">
        <v>129.08183333333335</v>
      </c>
      <c r="T27" s="2">
        <v>34.86866666666667</v>
      </c>
      <c r="U27" s="2">
        <v>62.576499999999996</v>
      </c>
      <c r="V27" s="2">
        <v>39.494666666666667</v>
      </c>
      <c r="W27" s="2">
        <v>20.500333333333334</v>
      </c>
      <c r="X27" s="2">
        <v>17.600000000000001</v>
      </c>
      <c r="Y27" s="2">
        <v>1.5</v>
      </c>
      <c r="Z27" s="2">
        <v>313.81800000000004</v>
      </c>
    </row>
    <row r="28" spans="1:26" x14ac:dyDescent="0.25">
      <c r="A28" s="1">
        <v>45343</v>
      </c>
      <c r="B28" s="2">
        <v>259.8</v>
      </c>
      <c r="C28" s="2">
        <v>46</v>
      </c>
      <c r="D28" s="2">
        <v>17</v>
      </c>
      <c r="E28" s="2">
        <v>97.1</v>
      </c>
      <c r="F28" s="2">
        <v>148</v>
      </c>
      <c r="G28" s="2">
        <v>79</v>
      </c>
      <c r="H28" s="2">
        <v>65</v>
      </c>
      <c r="I28" s="2">
        <v>97.3</v>
      </c>
      <c r="J28" s="2">
        <v>136</v>
      </c>
      <c r="K28" s="2">
        <v>67</v>
      </c>
      <c r="L28" s="2">
        <v>73</v>
      </c>
      <c r="M28" s="2">
        <v>0</v>
      </c>
      <c r="N28" s="2">
        <f t="shared" si="1"/>
        <v>37.273346938775511</v>
      </c>
      <c r="O28" s="2">
        <f t="shared" si="0"/>
        <v>33.308339978650658</v>
      </c>
      <c r="P28" t="s">
        <v>26</v>
      </c>
      <c r="Q28" t="s">
        <v>26</v>
      </c>
      <c r="R28" s="2">
        <v>1494.2766666666666</v>
      </c>
      <c r="S28" s="2">
        <v>168.80183333333335</v>
      </c>
      <c r="T28" s="2">
        <v>64.888666666666666</v>
      </c>
      <c r="U28" s="2">
        <v>75.656499999999994</v>
      </c>
      <c r="V28" s="2">
        <v>49.134666666666668</v>
      </c>
      <c r="W28" s="2">
        <v>26.580333333333336</v>
      </c>
      <c r="X28" s="2">
        <v>24</v>
      </c>
      <c r="Y28" s="2">
        <v>1</v>
      </c>
      <c r="Z28" s="2">
        <v>583.99800000000005</v>
      </c>
    </row>
    <row r="29" spans="1:26" x14ac:dyDescent="0.25">
      <c r="A29" s="1">
        <v>45344</v>
      </c>
      <c r="B29" s="2">
        <v>259.8</v>
      </c>
      <c r="C29" s="2">
        <v>45</v>
      </c>
      <c r="D29" s="2">
        <v>17</v>
      </c>
      <c r="E29" s="2">
        <v>96.5</v>
      </c>
      <c r="F29" s="2">
        <v>138</v>
      </c>
      <c r="G29" s="2">
        <v>74</v>
      </c>
      <c r="H29" s="2">
        <v>73</v>
      </c>
      <c r="I29" s="2">
        <v>97.1</v>
      </c>
      <c r="J29" s="2">
        <v>138</v>
      </c>
      <c r="K29" s="2">
        <v>73</v>
      </c>
      <c r="L29" s="2">
        <v>61</v>
      </c>
      <c r="M29" s="2">
        <v>8</v>
      </c>
      <c r="N29" s="2">
        <f t="shared" si="1"/>
        <v>37.273346938775511</v>
      </c>
      <c r="O29" s="2">
        <f t="shared" si="0"/>
        <v>31.997550455105717</v>
      </c>
      <c r="P29" t="s">
        <v>26</v>
      </c>
      <c r="Q29" t="s">
        <v>26</v>
      </c>
      <c r="R29" s="2">
        <v>1373.0766666666666</v>
      </c>
      <c r="S29" s="2">
        <v>150.42183333333332</v>
      </c>
      <c r="T29" s="2">
        <v>56.808666666666667</v>
      </c>
      <c r="U29" s="2">
        <v>58.336499999999994</v>
      </c>
      <c r="V29" s="2">
        <v>23.074666666666662</v>
      </c>
      <c r="W29" s="2">
        <v>32.760333333333335</v>
      </c>
      <c r="X29" s="2">
        <v>18.399999999999999</v>
      </c>
      <c r="Y29" s="2">
        <v>1</v>
      </c>
      <c r="Z29" s="2">
        <v>511.27800000000008</v>
      </c>
    </row>
    <row r="30" spans="1:26" x14ac:dyDescent="0.25">
      <c r="A30" s="1">
        <v>45345</v>
      </c>
      <c r="B30" s="2">
        <v>259</v>
      </c>
      <c r="C30" s="2">
        <v>45</v>
      </c>
      <c r="D30" s="2">
        <v>17</v>
      </c>
      <c r="E30" s="2">
        <v>96.3</v>
      </c>
      <c r="F30" s="2">
        <v>112</v>
      </c>
      <c r="G30" s="2">
        <v>68</v>
      </c>
      <c r="H30" s="2">
        <v>61</v>
      </c>
      <c r="I30" s="2">
        <v>96.2</v>
      </c>
      <c r="J30" s="2">
        <v>132</v>
      </c>
      <c r="K30" s="2">
        <v>73</v>
      </c>
      <c r="L30" s="2">
        <v>62</v>
      </c>
      <c r="M30" s="2">
        <v>5</v>
      </c>
      <c r="N30" s="2">
        <f t="shared" si="1"/>
        <v>37.158571428571427</v>
      </c>
      <c r="O30" s="2">
        <f t="shared" si="0"/>
        <v>31.997550455105717</v>
      </c>
      <c r="P30" t="s">
        <v>27</v>
      </c>
      <c r="Q30" t="s">
        <v>27</v>
      </c>
      <c r="R30" s="2">
        <v>1208.0766666666666</v>
      </c>
      <c r="S30" s="2">
        <v>172.42183333333332</v>
      </c>
      <c r="T30" s="2">
        <v>31.808666666666667</v>
      </c>
      <c r="U30" s="2">
        <v>53.336499999999994</v>
      </c>
      <c r="V30" s="2">
        <v>17.074666666666666</v>
      </c>
      <c r="W30" s="2">
        <v>96.760333333333335</v>
      </c>
      <c r="X30" s="2">
        <v>15.4</v>
      </c>
      <c r="Y30" s="2">
        <v>1</v>
      </c>
      <c r="Z30" s="2">
        <v>286.27800000000008</v>
      </c>
    </row>
    <row r="31" spans="1:26" x14ac:dyDescent="0.25">
      <c r="A31" s="1">
        <v>45346</v>
      </c>
      <c r="B31" s="2">
        <v>258.2</v>
      </c>
      <c r="C31" s="2">
        <v>45</v>
      </c>
      <c r="D31" s="2">
        <v>17</v>
      </c>
      <c r="E31" s="2">
        <v>96.1</v>
      </c>
      <c r="F31" s="2">
        <v>134</v>
      </c>
      <c r="G31" s="2">
        <v>76</v>
      </c>
      <c r="H31" s="2">
        <v>72</v>
      </c>
      <c r="I31" s="2">
        <v>97.2</v>
      </c>
      <c r="J31" s="2">
        <v>134</v>
      </c>
      <c r="K31" s="2">
        <v>71</v>
      </c>
      <c r="L31" s="2">
        <v>71</v>
      </c>
      <c r="M31" s="2">
        <v>10</v>
      </c>
      <c r="N31" s="2">
        <f t="shared" si="1"/>
        <v>37.043795918367344</v>
      </c>
      <c r="O31" s="2">
        <f t="shared" si="0"/>
        <v>31.997550455105717</v>
      </c>
      <c r="P31" t="s">
        <v>26</v>
      </c>
      <c r="Q31" t="s">
        <v>26</v>
      </c>
      <c r="R31" s="2">
        <v>1084.4850000000001</v>
      </c>
      <c r="S31" s="2">
        <v>112.8995</v>
      </c>
      <c r="T31" s="2">
        <v>44.83</v>
      </c>
      <c r="U31" s="2">
        <v>55.384499999999996</v>
      </c>
      <c r="V31" s="2">
        <v>3.8554999999999993</v>
      </c>
      <c r="W31" s="2">
        <v>41.361499999999992</v>
      </c>
      <c r="X31" s="2">
        <v>7</v>
      </c>
      <c r="Y31" s="2">
        <v>1.5</v>
      </c>
      <c r="Z31" s="2">
        <v>403.46999999999997</v>
      </c>
    </row>
    <row r="32" spans="1:26" x14ac:dyDescent="0.25">
      <c r="A32" s="1">
        <v>45347</v>
      </c>
      <c r="B32" s="2">
        <v>258</v>
      </c>
      <c r="C32" s="2">
        <v>45</v>
      </c>
      <c r="D32" s="2">
        <v>17</v>
      </c>
      <c r="E32" s="2">
        <v>96.8</v>
      </c>
      <c r="F32" s="2">
        <v>128</v>
      </c>
      <c r="G32" s="2">
        <v>70</v>
      </c>
      <c r="H32" s="2">
        <v>70</v>
      </c>
      <c r="I32" s="2">
        <v>98</v>
      </c>
      <c r="J32" s="2">
        <v>125</v>
      </c>
      <c r="K32" s="2">
        <v>69</v>
      </c>
      <c r="L32" s="2">
        <v>69</v>
      </c>
      <c r="M32" s="2">
        <v>10</v>
      </c>
      <c r="N32" s="2">
        <f t="shared" si="1"/>
        <v>37.015102040816323</v>
      </c>
      <c r="O32" s="2">
        <f t="shared" si="0"/>
        <v>31.997550455105717</v>
      </c>
      <c r="P32" t="s">
        <v>26</v>
      </c>
      <c r="Q32" t="s">
        <v>26</v>
      </c>
      <c r="R32" s="2">
        <v>838.5150000000001</v>
      </c>
      <c r="S32" s="2">
        <v>90.527500000000003</v>
      </c>
      <c r="T32" s="2">
        <v>35.345666666666673</v>
      </c>
      <c r="U32" s="2">
        <v>56.428166666666677</v>
      </c>
      <c r="V32" s="2">
        <v>29.824666666666666</v>
      </c>
      <c r="W32" s="2">
        <v>23.225166666666667</v>
      </c>
      <c r="X32" s="2">
        <v>11</v>
      </c>
      <c r="Y32" s="2">
        <v>1.5</v>
      </c>
      <c r="Z32" s="2">
        <v>318.11100000000005</v>
      </c>
    </row>
    <row r="33" spans="1:26" x14ac:dyDescent="0.25">
      <c r="A33" s="1">
        <v>45348</v>
      </c>
      <c r="B33" s="2">
        <v>256</v>
      </c>
      <c r="C33" s="2">
        <v>45</v>
      </c>
      <c r="D33" s="2">
        <v>17</v>
      </c>
      <c r="E33" s="2">
        <v>96.4</v>
      </c>
      <c r="F33" s="2">
        <v>120</v>
      </c>
      <c r="G33" s="2">
        <v>71</v>
      </c>
      <c r="H33" s="2">
        <v>70</v>
      </c>
      <c r="I33" s="2">
        <v>96.5</v>
      </c>
      <c r="J33" s="2">
        <v>122</v>
      </c>
      <c r="K33" s="2">
        <v>77</v>
      </c>
      <c r="L33" s="2">
        <v>69</v>
      </c>
      <c r="M33" s="2">
        <v>7.5</v>
      </c>
      <c r="N33" s="2">
        <f t="shared" si="1"/>
        <v>36.728163265306122</v>
      </c>
      <c r="O33" s="2">
        <f t="shared" si="0"/>
        <v>31.997550455105717</v>
      </c>
      <c r="P33" t="s">
        <v>26</v>
      </c>
      <c r="Q33" t="s">
        <v>26</v>
      </c>
      <c r="R33" s="2">
        <v>1120.8966666666668</v>
      </c>
      <c r="S33" s="2">
        <v>68.50333333333333</v>
      </c>
      <c r="T33" s="2">
        <v>65.075666666666677</v>
      </c>
      <c r="U33" s="2">
        <v>67.36966666666666</v>
      </c>
      <c r="V33" s="2">
        <v>11.389666666666667</v>
      </c>
      <c r="W33" s="2">
        <v>18.669833333333337</v>
      </c>
      <c r="X33" s="2">
        <v>8</v>
      </c>
      <c r="Y33" s="2">
        <v>2.5</v>
      </c>
      <c r="Z33" s="2">
        <v>585.68100000000004</v>
      </c>
    </row>
    <row r="34" spans="1:26" x14ac:dyDescent="0.25">
      <c r="A34" s="1">
        <v>45349</v>
      </c>
      <c r="B34" s="2">
        <v>256</v>
      </c>
      <c r="C34" s="2">
        <v>44.5</v>
      </c>
      <c r="D34" s="2">
        <v>17</v>
      </c>
      <c r="E34" s="2">
        <v>96.7</v>
      </c>
      <c r="F34" s="2">
        <v>128</v>
      </c>
      <c r="G34" s="2">
        <v>79</v>
      </c>
      <c r="H34" s="2">
        <v>64</v>
      </c>
      <c r="I34" s="2">
        <v>96.5</v>
      </c>
      <c r="J34" s="2">
        <v>127</v>
      </c>
      <c r="K34" s="2">
        <v>76</v>
      </c>
      <c r="L34" s="2">
        <v>71</v>
      </c>
      <c r="M34" s="2">
        <v>9</v>
      </c>
      <c r="N34" s="2">
        <f t="shared" si="1"/>
        <v>36.728163265306122</v>
      </c>
      <c r="O34" s="2">
        <f t="shared" si="0"/>
        <v>31.324493175702337</v>
      </c>
      <c r="P34" t="s">
        <v>26</v>
      </c>
      <c r="Q34" t="s">
        <v>26</v>
      </c>
      <c r="R34" s="2">
        <v>961.5150000000001</v>
      </c>
      <c r="S34" s="2">
        <v>99.227499999999992</v>
      </c>
      <c r="T34" s="2">
        <v>42.745666666666679</v>
      </c>
      <c r="U34" s="2">
        <v>58.128166666666672</v>
      </c>
      <c r="V34" s="2">
        <v>27.424666666666667</v>
      </c>
      <c r="W34" s="2">
        <v>29.625166666666665</v>
      </c>
      <c r="X34" s="2">
        <v>15.3</v>
      </c>
      <c r="Y34" s="2">
        <v>2</v>
      </c>
      <c r="Z34" s="2">
        <v>384.71100000000007</v>
      </c>
    </row>
    <row r="35" spans="1:26" x14ac:dyDescent="0.25">
      <c r="A35" s="1">
        <v>45350</v>
      </c>
      <c r="B35" s="2">
        <v>255</v>
      </c>
      <c r="C35" s="2">
        <v>44.5</v>
      </c>
      <c r="D35" s="2">
        <v>17</v>
      </c>
      <c r="E35" s="2">
        <v>97.1</v>
      </c>
      <c r="F35" s="2">
        <v>124</v>
      </c>
      <c r="G35" s="2">
        <v>74</v>
      </c>
      <c r="H35" s="2">
        <v>55</v>
      </c>
      <c r="I35" s="2">
        <v>96.1</v>
      </c>
      <c r="J35" s="2">
        <v>128</v>
      </c>
      <c r="K35" s="2">
        <v>76</v>
      </c>
      <c r="L35" s="2">
        <v>53</v>
      </c>
      <c r="M35" s="2">
        <v>9.5</v>
      </c>
      <c r="N35" s="2">
        <f t="shared" si="1"/>
        <v>36.584693877551018</v>
      </c>
      <c r="O35" s="2">
        <f t="shared" si="0"/>
        <v>31.324493175702337</v>
      </c>
      <c r="P35" t="s">
        <v>26</v>
      </c>
      <c r="Q35" t="s">
        <v>26</v>
      </c>
      <c r="R35" s="2">
        <v>1679.0300000000002</v>
      </c>
      <c r="S35" s="2">
        <v>119.35499999999999</v>
      </c>
      <c r="T35" s="2">
        <v>89.591333333333353</v>
      </c>
      <c r="U35" s="2">
        <v>122.55633333333336</v>
      </c>
      <c r="V35" s="2">
        <v>44.24933333333334</v>
      </c>
      <c r="W35" s="2">
        <v>24.250333333333334</v>
      </c>
      <c r="X35" s="2">
        <v>20.5</v>
      </c>
      <c r="Y35" s="2">
        <v>2</v>
      </c>
      <c r="Z35" s="2">
        <v>806.32200000000012</v>
      </c>
    </row>
    <row r="36" spans="1:26" x14ac:dyDescent="0.25">
      <c r="A36" s="1">
        <v>45351</v>
      </c>
      <c r="B36" s="2">
        <v>255.6</v>
      </c>
      <c r="C36" s="2">
        <v>44.5</v>
      </c>
      <c r="D36" s="2">
        <v>17</v>
      </c>
      <c r="E36" s="2">
        <v>96.2</v>
      </c>
      <c r="F36" s="2">
        <v>137</v>
      </c>
      <c r="G36" s="2">
        <v>75</v>
      </c>
      <c r="H36" s="2">
        <v>60</v>
      </c>
      <c r="I36" s="2">
        <v>98</v>
      </c>
      <c r="J36" s="2">
        <v>132</v>
      </c>
      <c r="K36" s="2">
        <v>72</v>
      </c>
      <c r="L36" s="2">
        <v>65</v>
      </c>
      <c r="M36" s="2">
        <v>6.5</v>
      </c>
      <c r="N36" s="2">
        <f t="shared" si="1"/>
        <v>36.670775510204081</v>
      </c>
      <c r="O36" s="2">
        <f t="shared" si="0"/>
        <v>31.324493175702337</v>
      </c>
      <c r="P36" t="s">
        <v>26</v>
      </c>
      <c r="Q36" t="s">
        <v>26</v>
      </c>
      <c r="R36" s="2">
        <v>910.89666666666676</v>
      </c>
      <c r="S36" s="2">
        <v>43.003333333333337</v>
      </c>
      <c r="T36" s="2">
        <v>52.075666666666677</v>
      </c>
      <c r="U36" s="2">
        <v>70.36966666666666</v>
      </c>
      <c r="V36" s="2">
        <v>7.3896666666666668</v>
      </c>
      <c r="W36" s="2">
        <v>16.669833333333337</v>
      </c>
      <c r="X36" s="2">
        <v>7</v>
      </c>
      <c r="Y36" s="2">
        <v>1</v>
      </c>
      <c r="Z36" s="2">
        <v>468.68100000000004</v>
      </c>
    </row>
    <row r="37" spans="1:26" x14ac:dyDescent="0.25">
      <c r="A37" s="1">
        <v>45352</v>
      </c>
      <c r="B37" s="2">
        <v>255.6</v>
      </c>
      <c r="C37" s="2">
        <v>44.5</v>
      </c>
      <c r="D37" s="2">
        <v>17</v>
      </c>
      <c r="E37" s="2">
        <v>96.2</v>
      </c>
      <c r="F37" s="2">
        <v>141</v>
      </c>
      <c r="G37" s="2">
        <v>72</v>
      </c>
      <c r="H37" s="2">
        <v>64</v>
      </c>
      <c r="I37" s="2">
        <v>97.5</v>
      </c>
      <c r="J37" s="2">
        <v>127</v>
      </c>
      <c r="K37" s="2">
        <v>67</v>
      </c>
      <c r="L37" s="2">
        <v>70</v>
      </c>
      <c r="M37" s="2">
        <v>1</v>
      </c>
      <c r="N37" s="2">
        <f t="shared" si="1"/>
        <v>36.670775510204081</v>
      </c>
      <c r="O37" s="2">
        <f t="shared" si="0"/>
        <v>31.324493175702337</v>
      </c>
      <c r="P37" t="s">
        <v>26</v>
      </c>
      <c r="Q37" t="s">
        <v>27</v>
      </c>
      <c r="R37" s="2">
        <v>1913</v>
      </c>
      <c r="S37" s="2">
        <v>146.79999999999998</v>
      </c>
      <c r="T37" s="2">
        <v>93.5</v>
      </c>
      <c r="U37" s="2">
        <v>60.4</v>
      </c>
      <c r="V37" s="2">
        <v>9</v>
      </c>
      <c r="W37" s="2">
        <v>88.4</v>
      </c>
      <c r="X37" s="2">
        <v>14</v>
      </c>
      <c r="Y37" s="2">
        <v>1.5</v>
      </c>
      <c r="Z37" s="2">
        <v>841.5</v>
      </c>
    </row>
    <row r="38" spans="1:26" x14ac:dyDescent="0.25">
      <c r="A38" s="1">
        <v>45353</v>
      </c>
      <c r="B38" s="2">
        <v>252.8</v>
      </c>
      <c r="C38" s="2">
        <v>44.5</v>
      </c>
      <c r="D38" s="2">
        <v>17</v>
      </c>
      <c r="E38" s="2">
        <v>96.1</v>
      </c>
      <c r="F38" s="2">
        <v>128</v>
      </c>
      <c r="G38" s="2">
        <v>72</v>
      </c>
      <c r="H38" s="2">
        <v>68</v>
      </c>
      <c r="I38" s="2">
        <v>98</v>
      </c>
      <c r="J38" s="2">
        <v>140</v>
      </c>
      <c r="K38" s="2">
        <v>79</v>
      </c>
      <c r="L38" s="2">
        <v>87</v>
      </c>
      <c r="M38" s="2">
        <v>9.5</v>
      </c>
      <c r="N38" s="2">
        <f t="shared" si="1"/>
        <v>36.269061224489796</v>
      </c>
      <c r="O38" s="2">
        <f t="shared" si="0"/>
        <v>31.324493175702337</v>
      </c>
      <c r="P38" t="s">
        <v>26</v>
      </c>
      <c r="Q38" t="s">
        <v>26</v>
      </c>
      <c r="R38" s="2">
        <v>660.31500000000005</v>
      </c>
      <c r="S38" s="2">
        <v>48.047499999999999</v>
      </c>
      <c r="T38" s="2">
        <v>29.865666666666673</v>
      </c>
      <c r="U38" s="2">
        <v>45.608166666666669</v>
      </c>
      <c r="V38" s="2">
        <v>5.7646666666666668</v>
      </c>
      <c r="W38" s="2">
        <v>21.505166666666668</v>
      </c>
      <c r="X38" s="2">
        <v>12.4</v>
      </c>
      <c r="Y38" s="2">
        <v>2</v>
      </c>
      <c r="Z38" s="2">
        <v>268.79100000000005</v>
      </c>
    </row>
    <row r="39" spans="1:26" x14ac:dyDescent="0.25">
      <c r="A39" s="1">
        <v>45354</v>
      </c>
      <c r="B39" s="2">
        <v>252.8</v>
      </c>
      <c r="C39" s="2">
        <v>44.5</v>
      </c>
      <c r="D39" s="2">
        <v>17</v>
      </c>
      <c r="E39" s="2">
        <v>96.3</v>
      </c>
      <c r="F39" s="2">
        <v>126</v>
      </c>
      <c r="G39" s="2">
        <v>68</v>
      </c>
      <c r="H39" s="2">
        <v>73</v>
      </c>
      <c r="I39" s="2">
        <v>97</v>
      </c>
      <c r="J39" s="2">
        <v>159</v>
      </c>
      <c r="K39" s="2">
        <v>70</v>
      </c>
      <c r="L39" s="2">
        <v>97</v>
      </c>
      <c r="M39" s="2">
        <v>2</v>
      </c>
      <c r="N39" s="2">
        <f t="shared" si="1"/>
        <v>36.269061224489796</v>
      </c>
      <c r="O39" s="2">
        <f t="shared" si="0"/>
        <v>31.324493175702337</v>
      </c>
      <c r="P39" t="s">
        <v>26</v>
      </c>
      <c r="Q39" t="s">
        <v>26</v>
      </c>
      <c r="R39" s="2">
        <v>8729</v>
      </c>
      <c r="S39" s="2">
        <v>908.85000000000014</v>
      </c>
      <c r="T39" s="2">
        <v>275.95</v>
      </c>
      <c r="U39" s="2">
        <v>182.9</v>
      </c>
      <c r="V39" s="2">
        <v>35.450000000000003</v>
      </c>
      <c r="W39" s="2">
        <v>478.34999999999997</v>
      </c>
      <c r="X39" s="2">
        <v>166.5</v>
      </c>
      <c r="Y39" s="2">
        <v>1</v>
      </c>
      <c r="Z39" s="2">
        <v>2483.5499999999997</v>
      </c>
    </row>
    <row r="40" spans="1:26" x14ac:dyDescent="0.25">
      <c r="A40" s="1">
        <v>45355</v>
      </c>
      <c r="B40" s="2">
        <v>257</v>
      </c>
      <c r="C40" s="2">
        <v>45</v>
      </c>
      <c r="D40" s="2">
        <v>17</v>
      </c>
      <c r="E40" s="2">
        <v>97.1</v>
      </c>
      <c r="F40" s="2">
        <v>140</v>
      </c>
      <c r="G40" s="2">
        <v>81</v>
      </c>
      <c r="H40" s="2">
        <v>69</v>
      </c>
      <c r="I40" s="2">
        <v>98</v>
      </c>
      <c r="J40" s="2">
        <v>118</v>
      </c>
      <c r="K40" s="2">
        <v>83</v>
      </c>
      <c r="L40" s="2">
        <v>71</v>
      </c>
      <c r="M40" s="2">
        <v>12</v>
      </c>
      <c r="N40" s="2">
        <f t="shared" si="1"/>
        <v>36.871632653061219</v>
      </c>
      <c r="O40" s="2">
        <f t="shared" si="0"/>
        <v>31.997550455105717</v>
      </c>
      <c r="P40" t="s">
        <v>27</v>
      </c>
      <c r="Q40" t="s">
        <v>27</v>
      </c>
      <c r="R40" s="2">
        <v>5246</v>
      </c>
      <c r="S40" s="2">
        <v>622.20000000000005</v>
      </c>
      <c r="T40" s="2">
        <v>233.5</v>
      </c>
      <c r="U40" s="2">
        <v>172</v>
      </c>
      <c r="V40" s="2">
        <v>23.75</v>
      </c>
      <c r="W40" s="2">
        <v>252.2</v>
      </c>
      <c r="X40" s="2">
        <v>76.5</v>
      </c>
      <c r="Y40" s="2">
        <v>2</v>
      </c>
      <c r="Z40" s="2">
        <v>626</v>
      </c>
    </row>
    <row r="41" spans="1:26" x14ac:dyDescent="0.25">
      <c r="A41" s="1">
        <v>45356</v>
      </c>
      <c r="B41" s="2">
        <v>261.2</v>
      </c>
      <c r="C41" s="2">
        <v>45</v>
      </c>
      <c r="D41" s="2">
        <v>17</v>
      </c>
      <c r="E41" s="2">
        <v>97</v>
      </c>
      <c r="F41" s="2">
        <v>149</v>
      </c>
      <c r="G41" s="2">
        <v>89</v>
      </c>
      <c r="H41" s="2">
        <v>76</v>
      </c>
      <c r="I41" s="2">
        <v>98</v>
      </c>
      <c r="J41" s="2">
        <v>140</v>
      </c>
      <c r="K41" s="2">
        <v>83</v>
      </c>
      <c r="L41" s="2">
        <v>82</v>
      </c>
      <c r="M41" s="2">
        <v>12</v>
      </c>
      <c r="N41" s="2">
        <f t="shared" si="1"/>
        <v>37.474204081632649</v>
      </c>
      <c r="O41" s="2">
        <f t="shared" si="0"/>
        <v>31.997550455105717</v>
      </c>
      <c r="P41" t="s">
        <v>27</v>
      </c>
      <c r="Q41" t="s">
        <v>27</v>
      </c>
      <c r="R41" s="2">
        <v>4250</v>
      </c>
      <c r="S41" s="2">
        <v>572.5</v>
      </c>
      <c r="T41" s="2">
        <v>165</v>
      </c>
      <c r="U41" s="2">
        <v>133.5</v>
      </c>
      <c r="V41" s="2">
        <v>64.5</v>
      </c>
      <c r="W41" s="2">
        <v>325.75</v>
      </c>
      <c r="X41" s="2">
        <v>78</v>
      </c>
      <c r="Y41" s="2">
        <v>0</v>
      </c>
      <c r="Z41" s="2">
        <v>1485</v>
      </c>
    </row>
    <row r="42" spans="1:26" x14ac:dyDescent="0.25">
      <c r="A42" s="1">
        <v>45357</v>
      </c>
      <c r="B42" s="2">
        <v>261</v>
      </c>
      <c r="C42" s="2">
        <v>44</v>
      </c>
      <c r="D42" s="2">
        <v>17</v>
      </c>
      <c r="E42" s="2">
        <v>96.7</v>
      </c>
      <c r="F42" s="2">
        <v>143</v>
      </c>
      <c r="G42" s="2">
        <v>78</v>
      </c>
      <c r="H42" s="2">
        <v>83</v>
      </c>
      <c r="I42" s="2">
        <v>99.2</v>
      </c>
      <c r="J42" s="2">
        <v>138</v>
      </c>
      <c r="K42" s="2">
        <v>93</v>
      </c>
      <c r="L42" s="2">
        <v>96</v>
      </c>
      <c r="M42" s="2">
        <v>5</v>
      </c>
      <c r="N42" s="2">
        <f t="shared" si="1"/>
        <v>37.445510204081636</v>
      </c>
      <c r="O42" s="2">
        <f t="shared" si="0"/>
        <v>30.639085534675949</v>
      </c>
      <c r="P42" t="s">
        <v>27</v>
      </c>
      <c r="Q42" t="s">
        <v>27</v>
      </c>
      <c r="R42" s="2">
        <v>3910</v>
      </c>
      <c r="S42" s="2">
        <v>655</v>
      </c>
      <c r="T42" s="2">
        <v>99.25</v>
      </c>
      <c r="U42" s="2">
        <v>117</v>
      </c>
      <c r="V42" s="2">
        <v>67</v>
      </c>
      <c r="W42" s="2">
        <v>328.25</v>
      </c>
      <c r="X42" s="2">
        <v>84.5</v>
      </c>
      <c r="Y42" s="2">
        <v>0</v>
      </c>
      <c r="Z42" s="2">
        <v>893.25</v>
      </c>
    </row>
    <row r="43" spans="1:26" x14ac:dyDescent="0.25">
      <c r="A43" s="1">
        <v>45358</v>
      </c>
      <c r="B43" s="2">
        <v>258.60000000000002</v>
      </c>
      <c r="C43" s="2">
        <v>44.5</v>
      </c>
      <c r="D43" s="2">
        <v>17</v>
      </c>
      <c r="E43" s="2">
        <v>96.4</v>
      </c>
      <c r="F43" s="2">
        <v>133</v>
      </c>
      <c r="G43" s="2">
        <v>86</v>
      </c>
      <c r="H43" s="2">
        <v>81</v>
      </c>
      <c r="I43" s="2">
        <v>97.6</v>
      </c>
      <c r="J43" s="2">
        <v>152</v>
      </c>
      <c r="K43" s="2">
        <v>89</v>
      </c>
      <c r="L43" s="2">
        <v>81</v>
      </c>
      <c r="M43" s="2">
        <v>10</v>
      </c>
      <c r="N43" s="2">
        <f t="shared" si="1"/>
        <v>37.101183673469393</v>
      </c>
      <c r="O43" s="2">
        <f t="shared" si="0"/>
        <v>31.324493175702337</v>
      </c>
      <c r="P43" t="s">
        <v>26</v>
      </c>
      <c r="Q43" t="s">
        <v>27</v>
      </c>
      <c r="R43" s="2">
        <v>2672</v>
      </c>
      <c r="S43" s="2">
        <v>340.8</v>
      </c>
      <c r="T43" s="2">
        <v>119.6</v>
      </c>
      <c r="U43" s="2">
        <v>93.2</v>
      </c>
      <c r="V43" s="2">
        <v>15.6</v>
      </c>
      <c r="W43" s="2">
        <v>272</v>
      </c>
      <c r="X43" s="2">
        <v>80</v>
      </c>
      <c r="Y43" s="2">
        <v>0</v>
      </c>
      <c r="Z43" s="2">
        <v>1076.4000000000001</v>
      </c>
    </row>
    <row r="44" spans="1:26" x14ac:dyDescent="0.25">
      <c r="A44" s="1">
        <v>45359</v>
      </c>
      <c r="B44" s="2">
        <v>258</v>
      </c>
      <c r="C44" s="2">
        <v>44.5</v>
      </c>
      <c r="D44" s="2">
        <v>17</v>
      </c>
      <c r="E44" s="2">
        <v>97.6</v>
      </c>
      <c r="F44" s="2">
        <v>141</v>
      </c>
      <c r="G44" s="2">
        <v>83</v>
      </c>
      <c r="H44" s="2">
        <v>73</v>
      </c>
      <c r="I44" s="2">
        <v>97.3</v>
      </c>
      <c r="J44" s="2">
        <v>138</v>
      </c>
      <c r="K44" s="2">
        <v>87</v>
      </c>
      <c r="L44" s="2">
        <v>74</v>
      </c>
      <c r="M44" s="2">
        <v>6</v>
      </c>
      <c r="N44" s="2">
        <f t="shared" si="1"/>
        <v>37.015102040816323</v>
      </c>
      <c r="O44" s="2">
        <f t="shared" si="0"/>
        <v>31.324493175702337</v>
      </c>
      <c r="P44" t="s">
        <v>27</v>
      </c>
      <c r="Q44" t="s">
        <v>27</v>
      </c>
      <c r="R44" s="2">
        <v>2990</v>
      </c>
      <c r="S44" s="2">
        <v>364</v>
      </c>
      <c r="T44" s="2">
        <v>135</v>
      </c>
      <c r="U44" s="2">
        <v>57</v>
      </c>
      <c r="V44" s="2">
        <v>26.5</v>
      </c>
      <c r="W44" s="2">
        <v>134</v>
      </c>
      <c r="X44" s="2">
        <v>11</v>
      </c>
      <c r="Y44" s="2">
        <v>0.5</v>
      </c>
      <c r="Z44" s="2">
        <v>1215</v>
      </c>
    </row>
    <row r="45" spans="1:26" x14ac:dyDescent="0.25">
      <c r="A45" s="1">
        <v>45360</v>
      </c>
      <c r="B45" s="2">
        <v>260</v>
      </c>
      <c r="C45" s="2">
        <v>44.5</v>
      </c>
      <c r="D45" s="2">
        <v>17</v>
      </c>
      <c r="E45" s="2">
        <v>96</v>
      </c>
      <c r="F45" s="2">
        <v>143</v>
      </c>
      <c r="G45" s="2">
        <v>92</v>
      </c>
      <c r="H45" s="2">
        <v>72</v>
      </c>
      <c r="I45" s="2">
        <v>97.2</v>
      </c>
      <c r="J45" s="2">
        <v>152</v>
      </c>
      <c r="K45" s="2">
        <v>92</v>
      </c>
      <c r="L45" s="2">
        <v>82</v>
      </c>
      <c r="M45" s="2">
        <v>8</v>
      </c>
      <c r="N45" s="2">
        <f t="shared" si="1"/>
        <v>37.302040816326532</v>
      </c>
      <c r="O45" s="2">
        <f t="shared" si="0"/>
        <v>31.324493175702337</v>
      </c>
      <c r="P45" t="s">
        <v>27</v>
      </c>
      <c r="Q45" t="s">
        <v>27</v>
      </c>
      <c r="R45" s="2">
        <v>4480</v>
      </c>
      <c r="S45" s="2">
        <v>575</v>
      </c>
      <c r="T45" s="2">
        <v>198</v>
      </c>
      <c r="U45" s="2">
        <v>120</v>
      </c>
      <c r="V45" s="2">
        <v>32</v>
      </c>
      <c r="W45" s="2">
        <v>290</v>
      </c>
      <c r="X45" s="2">
        <v>74</v>
      </c>
      <c r="Y45" s="2">
        <v>0.5</v>
      </c>
      <c r="Z45" s="2">
        <v>1782</v>
      </c>
    </row>
    <row r="46" spans="1:26" x14ac:dyDescent="0.25">
      <c r="A46" s="1">
        <v>45361</v>
      </c>
      <c r="B46" s="2">
        <v>259.2</v>
      </c>
      <c r="C46" s="2">
        <v>44.5</v>
      </c>
      <c r="D46" s="2">
        <v>17</v>
      </c>
      <c r="E46" s="2">
        <v>95.9</v>
      </c>
      <c r="F46" s="2">
        <v>141</v>
      </c>
      <c r="G46" s="2">
        <v>87</v>
      </c>
      <c r="H46" s="2">
        <v>76</v>
      </c>
      <c r="I46" s="2">
        <v>97.6</v>
      </c>
      <c r="J46" s="2">
        <v>155</v>
      </c>
      <c r="K46" s="2">
        <v>87</v>
      </c>
      <c r="L46" s="2">
        <v>81</v>
      </c>
      <c r="M46" s="2">
        <v>12</v>
      </c>
      <c r="N46" s="2">
        <f t="shared" si="1"/>
        <v>37.187265306122448</v>
      </c>
      <c r="O46" s="2">
        <f t="shared" si="0"/>
        <v>31.324493175702337</v>
      </c>
      <c r="P46" t="s">
        <v>27</v>
      </c>
      <c r="Q46" t="s">
        <v>27</v>
      </c>
      <c r="R46" s="2">
        <v>4097.0910000000003</v>
      </c>
      <c r="S46" s="2">
        <v>628.79999999999995</v>
      </c>
      <c r="T46" s="2">
        <v>116.2924</v>
      </c>
      <c r="U46" s="2">
        <v>166.13659999999999</v>
      </c>
      <c r="V46" s="2">
        <v>30.093800000000002</v>
      </c>
      <c r="W46" s="2">
        <v>322.23899999999998</v>
      </c>
      <c r="X46" s="2">
        <v>83.75</v>
      </c>
      <c r="Y46" s="2">
        <v>0.5</v>
      </c>
      <c r="Z46" s="2">
        <v>1046.6315999999999</v>
      </c>
    </row>
    <row r="47" spans="1:26" x14ac:dyDescent="0.25">
      <c r="A47" s="1">
        <v>45362</v>
      </c>
      <c r="B47" s="2">
        <v>260.8</v>
      </c>
      <c r="C47" s="2">
        <v>45</v>
      </c>
      <c r="D47" s="2">
        <v>17</v>
      </c>
      <c r="E47" s="2">
        <v>96.7</v>
      </c>
      <c r="F47" s="2">
        <v>134</v>
      </c>
      <c r="G47" s="2">
        <v>77</v>
      </c>
      <c r="H47" s="2">
        <v>74</v>
      </c>
      <c r="I47" s="2">
        <v>97.3</v>
      </c>
      <c r="J47" s="2">
        <v>144</v>
      </c>
      <c r="K47" s="2">
        <v>76</v>
      </c>
      <c r="L47" s="2">
        <v>86</v>
      </c>
      <c r="M47" s="2">
        <v>11</v>
      </c>
      <c r="N47" s="2">
        <f t="shared" si="1"/>
        <v>37.416816326530615</v>
      </c>
      <c r="O47" s="2">
        <f t="shared" si="0"/>
        <v>31.997550455105717</v>
      </c>
      <c r="P47" t="s">
        <v>27</v>
      </c>
      <c r="Q47" t="s">
        <v>27</v>
      </c>
      <c r="R47" s="2">
        <v>4807.8961428571429</v>
      </c>
      <c r="S47" s="2">
        <v>631.78571428571422</v>
      </c>
      <c r="T47" s="2">
        <v>189.84674285714286</v>
      </c>
      <c r="U47" s="2">
        <v>158.75139999999999</v>
      </c>
      <c r="V47" s="2">
        <v>20.440199999999997</v>
      </c>
      <c r="W47" s="2">
        <v>341.44171428571428</v>
      </c>
      <c r="X47" s="2">
        <v>98</v>
      </c>
      <c r="Y47" s="2">
        <v>0.5</v>
      </c>
      <c r="Z47" s="2">
        <v>1708.6206857142856</v>
      </c>
    </row>
    <row r="48" spans="1:26" x14ac:dyDescent="0.25">
      <c r="A48" s="1">
        <v>45363</v>
      </c>
      <c r="B48" s="2">
        <v>261.8</v>
      </c>
      <c r="C48" s="2">
        <v>45</v>
      </c>
      <c r="D48" s="2">
        <v>17</v>
      </c>
      <c r="E48" s="2">
        <v>97</v>
      </c>
      <c r="F48" s="2">
        <v>111</v>
      </c>
      <c r="G48" s="2">
        <v>85</v>
      </c>
      <c r="H48" s="2">
        <v>86</v>
      </c>
      <c r="I48" s="2">
        <v>97.6</v>
      </c>
      <c r="J48" s="2">
        <v>140</v>
      </c>
      <c r="K48" s="2">
        <v>75</v>
      </c>
      <c r="L48" s="2">
        <v>77</v>
      </c>
      <c r="M48" s="2">
        <v>8.5</v>
      </c>
      <c r="N48" s="2">
        <f t="shared" si="1"/>
        <v>37.560285714285712</v>
      </c>
      <c r="O48" s="2">
        <f t="shared" si="0"/>
        <v>31.997550455105717</v>
      </c>
      <c r="P48" t="s">
        <v>26</v>
      </c>
      <c r="Q48" t="s">
        <v>26</v>
      </c>
      <c r="R48" s="2">
        <v>1731.8363095238096</v>
      </c>
      <c r="S48" s="2">
        <v>303.92931547619042</v>
      </c>
      <c r="T48" s="2">
        <v>49.472916666666663</v>
      </c>
      <c r="U48" s="2">
        <v>23.972023809523812</v>
      </c>
      <c r="V48" s="2">
        <v>7.8666666666666671</v>
      </c>
      <c r="W48" s="2">
        <v>212.22544642857144</v>
      </c>
      <c r="X48" s="2">
        <v>54.5</v>
      </c>
      <c r="Y48" s="2">
        <v>1</v>
      </c>
      <c r="Z48" s="2">
        <v>445.25625000000002</v>
      </c>
    </row>
    <row r="49" spans="1:26" x14ac:dyDescent="0.25">
      <c r="A49" s="1">
        <v>45364</v>
      </c>
      <c r="B49" s="2">
        <v>257.8</v>
      </c>
      <c r="C49" s="2">
        <v>44.5</v>
      </c>
      <c r="D49" s="2">
        <v>17</v>
      </c>
      <c r="E49" s="2">
        <v>96.5</v>
      </c>
      <c r="F49" s="2">
        <v>132</v>
      </c>
      <c r="G49" s="2">
        <v>84</v>
      </c>
      <c r="H49" s="2">
        <v>70</v>
      </c>
      <c r="I49" s="2">
        <v>97.2</v>
      </c>
      <c r="J49" s="2">
        <v>159</v>
      </c>
      <c r="K49" s="2">
        <v>89</v>
      </c>
      <c r="L49" s="2">
        <v>67</v>
      </c>
      <c r="M49" s="2">
        <v>5</v>
      </c>
      <c r="N49" s="2">
        <f t="shared" si="1"/>
        <v>36.98640816326531</v>
      </c>
      <c r="O49" s="2">
        <f t="shared" si="0"/>
        <v>31.324493175702337</v>
      </c>
      <c r="P49" t="s">
        <v>26</v>
      </c>
      <c r="Q49" t="s">
        <v>26</v>
      </c>
      <c r="R49" s="2">
        <v>1426.5876015289059</v>
      </c>
      <c r="S49" s="2">
        <v>66.84253132133567</v>
      </c>
      <c r="T49" s="2">
        <v>75.686984392419191</v>
      </c>
      <c r="U49" s="2">
        <v>121.90903540903541</v>
      </c>
      <c r="V49" s="2">
        <v>10.690542549238202</v>
      </c>
      <c r="W49" s="2">
        <v>14.921518155757285</v>
      </c>
      <c r="X49" s="2">
        <v>11</v>
      </c>
      <c r="Y49" s="2">
        <v>2</v>
      </c>
      <c r="Z49" s="2">
        <v>681.18285953177258</v>
      </c>
    </row>
    <row r="50" spans="1:26" x14ac:dyDescent="0.25">
      <c r="A50" s="1">
        <v>45365</v>
      </c>
      <c r="B50" s="2">
        <v>255.8</v>
      </c>
      <c r="C50" s="2">
        <v>44.5</v>
      </c>
      <c r="D50" s="2">
        <v>17</v>
      </c>
      <c r="E50" s="2">
        <v>96.4</v>
      </c>
      <c r="F50" s="2">
        <v>133</v>
      </c>
      <c r="G50" s="2">
        <v>76</v>
      </c>
      <c r="H50" s="2">
        <v>68</v>
      </c>
      <c r="I50" s="2">
        <v>97</v>
      </c>
      <c r="J50" s="2">
        <v>153</v>
      </c>
      <c r="K50" s="2">
        <v>91</v>
      </c>
      <c r="L50" s="2">
        <v>76</v>
      </c>
      <c r="M50" s="2">
        <v>10</v>
      </c>
      <c r="N50" s="2">
        <f t="shared" si="1"/>
        <v>36.699469387755101</v>
      </c>
      <c r="O50" s="2">
        <f t="shared" si="0"/>
        <v>31.324493175702337</v>
      </c>
      <c r="P50" t="s">
        <v>26</v>
      </c>
      <c r="Q50" t="s">
        <v>27</v>
      </c>
      <c r="R50" s="2">
        <v>1383.4785714285715</v>
      </c>
      <c r="S50" s="2">
        <v>63.817261904761914</v>
      </c>
      <c r="T50" s="2">
        <v>76.954999999999998</v>
      </c>
      <c r="U50" s="2">
        <v>108.60142857142858</v>
      </c>
      <c r="V50" s="2">
        <v>7.6433333333333335</v>
      </c>
      <c r="W50" s="2">
        <v>27.305119047619048</v>
      </c>
      <c r="X50" s="2">
        <v>17</v>
      </c>
      <c r="Y50" s="2">
        <v>2</v>
      </c>
      <c r="Z50" s="2">
        <v>692.59500000000003</v>
      </c>
    </row>
    <row r="51" spans="1:26" x14ac:dyDescent="0.25">
      <c r="A51" s="1">
        <v>45366</v>
      </c>
      <c r="B51" s="2">
        <v>254</v>
      </c>
      <c r="C51" s="2">
        <v>44.5</v>
      </c>
      <c r="D51" s="2">
        <v>17</v>
      </c>
      <c r="E51" s="2">
        <v>96.1</v>
      </c>
      <c r="F51" s="2">
        <v>138</v>
      </c>
      <c r="G51" s="2">
        <v>82</v>
      </c>
      <c r="H51" s="2">
        <v>67</v>
      </c>
      <c r="I51" s="2">
        <v>97.5</v>
      </c>
      <c r="J51" s="2">
        <v>159</v>
      </c>
      <c r="K51" s="2">
        <v>86</v>
      </c>
      <c r="L51" s="2">
        <v>70</v>
      </c>
      <c r="M51" s="2">
        <v>11</v>
      </c>
      <c r="N51" s="2">
        <f t="shared" si="1"/>
        <v>36.441224489795914</v>
      </c>
      <c r="O51" s="2">
        <f t="shared" si="0"/>
        <v>31.324493175702337</v>
      </c>
      <c r="P51" t="s">
        <v>26</v>
      </c>
      <c r="Q51" t="s">
        <v>27</v>
      </c>
      <c r="R51" s="2">
        <v>1320.5876015289059</v>
      </c>
      <c r="S51" s="2">
        <v>70.942531321335665</v>
      </c>
      <c r="T51" s="2">
        <v>65.986984392419188</v>
      </c>
      <c r="U51" s="2">
        <v>114.00903540903542</v>
      </c>
      <c r="V51" s="2">
        <v>9.4905425492382012</v>
      </c>
      <c r="W51" s="2">
        <v>20.721518155757284</v>
      </c>
      <c r="X51" s="2">
        <v>10</v>
      </c>
      <c r="Y51" s="2">
        <v>1.5</v>
      </c>
      <c r="Z51" s="2">
        <v>593.88285953177251</v>
      </c>
    </row>
    <row r="52" spans="1:26" x14ac:dyDescent="0.25">
      <c r="A52" s="1">
        <v>45367</v>
      </c>
      <c r="B52" s="2">
        <v>253</v>
      </c>
      <c r="C52" s="2">
        <v>44.5</v>
      </c>
      <c r="D52" s="2">
        <v>17</v>
      </c>
      <c r="E52" s="2">
        <v>96</v>
      </c>
      <c r="F52" s="2">
        <v>138</v>
      </c>
      <c r="G52" s="2">
        <v>73</v>
      </c>
      <c r="H52" s="2">
        <v>65</v>
      </c>
      <c r="I52" s="2">
        <v>98.4</v>
      </c>
      <c r="J52" s="2">
        <v>149</v>
      </c>
      <c r="K52" s="2">
        <v>78</v>
      </c>
      <c r="L52" s="2">
        <v>77</v>
      </c>
      <c r="M52" s="2">
        <v>7</v>
      </c>
      <c r="N52" s="2">
        <f t="shared" si="1"/>
        <v>36.297755102040817</v>
      </c>
      <c r="O52" s="2">
        <f t="shared" si="0"/>
        <v>31.324493175702337</v>
      </c>
      <c r="P52" t="s">
        <v>26</v>
      </c>
      <c r="Q52" t="s">
        <v>27</v>
      </c>
      <c r="R52" s="2">
        <v>1420.5876015289059</v>
      </c>
      <c r="S52" s="2">
        <v>71.442531321335665</v>
      </c>
      <c r="T52" s="2">
        <v>74.486984392419188</v>
      </c>
      <c r="U52" s="2">
        <v>121.00903540903542</v>
      </c>
      <c r="V52" s="2">
        <v>9.4905425492382012</v>
      </c>
      <c r="W52" s="2">
        <v>20.721518155757284</v>
      </c>
      <c r="X52" s="2">
        <v>12</v>
      </c>
      <c r="Y52" s="2">
        <v>1</v>
      </c>
      <c r="Z52" s="2">
        <v>670.38285953177251</v>
      </c>
    </row>
    <row r="53" spans="1:26" x14ac:dyDescent="0.25">
      <c r="A53" s="1">
        <v>45368</v>
      </c>
      <c r="B53" s="2">
        <v>252.6</v>
      </c>
      <c r="C53" s="2">
        <v>44.5</v>
      </c>
      <c r="D53" s="2">
        <v>17</v>
      </c>
      <c r="E53" s="2">
        <v>95.9</v>
      </c>
      <c r="F53" s="2">
        <v>136</v>
      </c>
      <c r="G53" s="2">
        <v>75</v>
      </c>
      <c r="H53" s="2">
        <v>71</v>
      </c>
      <c r="I53" s="2">
        <v>96.1</v>
      </c>
      <c r="J53" s="2">
        <v>136</v>
      </c>
      <c r="K53" s="2">
        <v>81</v>
      </c>
      <c r="L53" s="2">
        <v>63</v>
      </c>
      <c r="M53" s="2">
        <v>7</v>
      </c>
      <c r="N53" s="2">
        <f t="shared" si="1"/>
        <v>36.240367346938775</v>
      </c>
      <c r="O53" s="2">
        <f t="shared" si="0"/>
        <v>31.324493175702337</v>
      </c>
      <c r="P53" t="s">
        <v>26</v>
      </c>
      <c r="Q53" t="s">
        <v>27</v>
      </c>
      <c r="R53" s="2">
        <v>2715.5266666666666</v>
      </c>
      <c r="S53" s="2">
        <v>346.685</v>
      </c>
      <c r="T53" s="2">
        <v>114.53066666666666</v>
      </c>
      <c r="U53" s="2">
        <v>131.61566666666667</v>
      </c>
      <c r="V53" s="2">
        <v>68.535333333333341</v>
      </c>
      <c r="W53" s="2">
        <v>207.03666666666669</v>
      </c>
      <c r="X53" s="2">
        <v>84.59</v>
      </c>
      <c r="Y53" s="2">
        <v>1</v>
      </c>
      <c r="Z53" s="2">
        <v>1030.7759999999998</v>
      </c>
    </row>
    <row r="54" spans="1:26" x14ac:dyDescent="0.25">
      <c r="A54" s="1">
        <v>45369</v>
      </c>
      <c r="B54" s="2">
        <v>254.4</v>
      </c>
      <c r="C54" s="2">
        <v>44.5</v>
      </c>
      <c r="D54" s="2">
        <v>17</v>
      </c>
      <c r="E54" s="2">
        <v>96.9</v>
      </c>
      <c r="F54" s="2">
        <v>108</v>
      </c>
      <c r="G54" s="2">
        <v>81</v>
      </c>
      <c r="H54" s="2">
        <v>69</v>
      </c>
      <c r="I54" s="2">
        <v>96.9</v>
      </c>
      <c r="J54" s="2">
        <v>140</v>
      </c>
      <c r="K54" s="2">
        <v>83</v>
      </c>
      <c r="L54" s="2">
        <v>65</v>
      </c>
      <c r="M54" s="2">
        <v>13</v>
      </c>
      <c r="N54" s="2">
        <f t="shared" si="1"/>
        <v>36.498612244897963</v>
      </c>
      <c r="O54" s="2">
        <f t="shared" si="0"/>
        <v>31.324493175702337</v>
      </c>
      <c r="P54" t="s">
        <v>26</v>
      </c>
      <c r="Q54" t="s">
        <v>27</v>
      </c>
      <c r="R54" s="2">
        <v>1360.5876015289059</v>
      </c>
      <c r="S54" s="2">
        <v>71.442531321335665</v>
      </c>
      <c r="T54" s="2">
        <v>68.986984392419188</v>
      </c>
      <c r="U54" s="2">
        <v>118.00903540903542</v>
      </c>
      <c r="V54" s="2">
        <v>9.4905425492382012</v>
      </c>
      <c r="W54" s="2">
        <v>20.721518155757284</v>
      </c>
      <c r="X54" s="2">
        <v>12</v>
      </c>
      <c r="Y54" s="2">
        <v>2</v>
      </c>
      <c r="Z54" s="2">
        <v>620.88285953177274</v>
      </c>
    </row>
    <row r="55" spans="1:26" x14ac:dyDescent="0.25">
      <c r="A55" s="1">
        <v>45370</v>
      </c>
      <c r="B55" s="2">
        <v>252.8</v>
      </c>
      <c r="C55" s="2">
        <v>44.5</v>
      </c>
      <c r="D55" s="2">
        <v>17</v>
      </c>
      <c r="E55" s="2">
        <v>96</v>
      </c>
      <c r="F55" s="2">
        <v>142</v>
      </c>
      <c r="G55" s="2">
        <v>76</v>
      </c>
      <c r="H55" s="2">
        <v>64</v>
      </c>
      <c r="I55" s="2">
        <v>95.8</v>
      </c>
      <c r="J55" s="2">
        <v>133</v>
      </c>
      <c r="K55" s="2">
        <v>81</v>
      </c>
      <c r="L55" s="2">
        <v>63</v>
      </c>
      <c r="M55" s="2">
        <v>3.5</v>
      </c>
      <c r="N55" s="2">
        <f t="shared" si="1"/>
        <v>36.269061224489796</v>
      </c>
      <c r="O55" s="2">
        <f t="shared" si="0"/>
        <v>31.324493175702337</v>
      </c>
      <c r="P55" t="s">
        <v>26</v>
      </c>
      <c r="Q55" t="s">
        <v>27</v>
      </c>
      <c r="R55" s="2">
        <v>1806.7666666666669</v>
      </c>
      <c r="S55" s="2">
        <v>151.16</v>
      </c>
      <c r="T55" s="2">
        <v>95.526666666666657</v>
      </c>
      <c r="U55" s="2">
        <v>125.10666666666668</v>
      </c>
      <c r="V55" s="2">
        <v>56.993333333333339</v>
      </c>
      <c r="W55" s="2">
        <v>36.246666666666663</v>
      </c>
      <c r="X55" s="2">
        <v>30.1</v>
      </c>
      <c r="Y55" s="2">
        <v>2</v>
      </c>
      <c r="Z55" s="2">
        <v>859.7399999999999</v>
      </c>
    </row>
    <row r="56" spans="1:26" x14ac:dyDescent="0.25">
      <c r="A56" s="1">
        <v>45371</v>
      </c>
      <c r="B56" s="2">
        <v>253.2</v>
      </c>
      <c r="C56" s="2">
        <v>44</v>
      </c>
      <c r="D56" s="2">
        <v>17</v>
      </c>
      <c r="E56" s="2">
        <v>97.6</v>
      </c>
      <c r="F56" s="2">
        <v>128</v>
      </c>
      <c r="G56" s="2">
        <v>72</v>
      </c>
      <c r="H56" s="2">
        <v>78</v>
      </c>
      <c r="I56" s="2">
        <v>96.5</v>
      </c>
      <c r="J56" s="2">
        <v>142</v>
      </c>
      <c r="K56" s="2">
        <v>82</v>
      </c>
      <c r="L56" s="2">
        <v>54</v>
      </c>
      <c r="M56" s="2">
        <v>12</v>
      </c>
      <c r="N56" s="2">
        <f t="shared" si="1"/>
        <v>36.326448979591831</v>
      </c>
      <c r="O56" s="2">
        <f t="shared" si="0"/>
        <v>30.639085534675949</v>
      </c>
      <c r="P56" t="s">
        <v>26</v>
      </c>
      <c r="Q56" t="s">
        <v>27</v>
      </c>
      <c r="R56" s="2">
        <v>1420.5876015289059</v>
      </c>
      <c r="S56" s="2">
        <v>72.442531321335665</v>
      </c>
      <c r="T56" s="2">
        <v>72.486984392419188</v>
      </c>
      <c r="U56" s="2">
        <v>118.50903540903542</v>
      </c>
      <c r="V56" s="2">
        <v>9.4905425492382012</v>
      </c>
      <c r="W56" s="2">
        <v>21.721518155757284</v>
      </c>
      <c r="X56" s="2">
        <v>13</v>
      </c>
      <c r="Y56" s="2">
        <v>2.25</v>
      </c>
      <c r="Z56" s="2">
        <v>652.38285953177251</v>
      </c>
    </row>
    <row r="57" spans="1:26" x14ac:dyDescent="0.25">
      <c r="A57" s="1">
        <v>45372</v>
      </c>
      <c r="B57" s="2">
        <v>251.6</v>
      </c>
      <c r="C57" s="2">
        <v>44</v>
      </c>
      <c r="D57" s="2">
        <v>17</v>
      </c>
      <c r="E57" s="2">
        <v>96.7</v>
      </c>
      <c r="F57" s="2">
        <v>134</v>
      </c>
      <c r="G57" s="2">
        <v>78</v>
      </c>
      <c r="H57" s="2">
        <v>64</v>
      </c>
      <c r="I57" s="2">
        <v>97.5</v>
      </c>
      <c r="J57" s="2">
        <v>134</v>
      </c>
      <c r="K57" s="2">
        <v>74</v>
      </c>
      <c r="L57" s="2">
        <v>80</v>
      </c>
      <c r="M57" s="2">
        <v>7</v>
      </c>
      <c r="N57" s="2">
        <f t="shared" si="1"/>
        <v>36.096897959183678</v>
      </c>
      <c r="O57" s="2">
        <f t="shared" si="0"/>
        <v>30.639085534675949</v>
      </c>
      <c r="P57" t="s">
        <v>26</v>
      </c>
      <c r="Q57" t="s">
        <v>27</v>
      </c>
      <c r="R57" s="2">
        <v>2139.6756967670008</v>
      </c>
      <c r="S57" s="2">
        <v>215.71526941657376</v>
      </c>
      <c r="T57" s="2">
        <v>86.228651059085863</v>
      </c>
      <c r="U57" s="2">
        <v>124.3742735042735</v>
      </c>
      <c r="V57" s="2">
        <v>34.770542549238208</v>
      </c>
      <c r="W57" s="2">
        <v>106.58306577480491</v>
      </c>
      <c r="X57" s="2">
        <v>24.1</v>
      </c>
      <c r="Y57" s="2">
        <v>2</v>
      </c>
      <c r="Z57" s="2">
        <v>776.05785953177258</v>
      </c>
    </row>
    <row r="58" spans="1:26" x14ac:dyDescent="0.25">
      <c r="A58" s="1">
        <v>45373</v>
      </c>
      <c r="B58" s="2">
        <v>251.4</v>
      </c>
      <c r="C58" s="2">
        <v>44</v>
      </c>
      <c r="D58" s="2">
        <v>17</v>
      </c>
      <c r="E58" s="2">
        <v>97</v>
      </c>
      <c r="F58" s="2">
        <v>134</v>
      </c>
      <c r="G58" s="2">
        <v>84</v>
      </c>
      <c r="H58" s="2">
        <v>78</v>
      </c>
      <c r="I58" s="2">
        <v>97.2</v>
      </c>
      <c r="J58" s="2">
        <v>126</v>
      </c>
      <c r="K58" s="2">
        <v>71</v>
      </c>
      <c r="L58" s="2">
        <v>70</v>
      </c>
      <c r="M58" s="2">
        <v>9.5</v>
      </c>
      <c r="N58" s="2">
        <f t="shared" si="1"/>
        <v>36.068204081632651</v>
      </c>
      <c r="O58" s="2">
        <f t="shared" si="0"/>
        <v>30.639085534675949</v>
      </c>
      <c r="P58" t="s">
        <v>26</v>
      </c>
      <c r="Q58" t="s">
        <v>26</v>
      </c>
      <c r="R58" s="2">
        <v>1865.945238095238</v>
      </c>
      <c r="S58" s="2">
        <v>178.92202380952378</v>
      </c>
      <c r="T58" s="2">
        <v>79.477380952380969</v>
      </c>
      <c r="U58" s="2">
        <v>118.11428571428573</v>
      </c>
      <c r="V58" s="2">
        <v>7.0666666666666664</v>
      </c>
      <c r="W58" s="2">
        <v>149.85178571428571</v>
      </c>
      <c r="X58" s="2">
        <v>15</v>
      </c>
      <c r="Y58" s="2">
        <v>2.5</v>
      </c>
      <c r="Z58" s="2">
        <v>715.29642857142858</v>
      </c>
    </row>
    <row r="59" spans="1:26" x14ac:dyDescent="0.25">
      <c r="A59" s="1">
        <v>45374</v>
      </c>
      <c r="B59" s="2">
        <v>250</v>
      </c>
      <c r="C59" s="2">
        <v>44</v>
      </c>
      <c r="D59" s="2">
        <v>17</v>
      </c>
      <c r="E59" s="2">
        <v>96.3</v>
      </c>
      <c r="F59" s="2">
        <v>136</v>
      </c>
      <c r="G59" s="2">
        <v>76</v>
      </c>
      <c r="H59" s="2">
        <v>61</v>
      </c>
      <c r="I59" s="2">
        <v>96.9</v>
      </c>
      <c r="J59" s="2">
        <v>156</v>
      </c>
      <c r="K59" s="2">
        <v>76</v>
      </c>
      <c r="L59" s="2">
        <v>60</v>
      </c>
      <c r="M59" s="2">
        <v>7</v>
      </c>
      <c r="N59" s="2">
        <f t="shared" si="1"/>
        <v>35.867346938775512</v>
      </c>
      <c r="O59" s="2">
        <f t="shared" si="0"/>
        <v>30.639085534675949</v>
      </c>
      <c r="P59" t="s">
        <v>26</v>
      </c>
      <c r="Q59" t="s">
        <v>27</v>
      </c>
      <c r="R59" s="2">
        <v>950.84523809523807</v>
      </c>
      <c r="S59" s="2">
        <v>44.072023809523806</v>
      </c>
      <c r="T59" s="2">
        <v>57.210714285714296</v>
      </c>
      <c r="U59" s="2">
        <v>61.680952380952384</v>
      </c>
      <c r="V59" s="2">
        <v>4.1666666666666661</v>
      </c>
      <c r="W59" s="2">
        <v>17.201785714285712</v>
      </c>
      <c r="X59" s="2">
        <v>11.5</v>
      </c>
      <c r="Y59" s="2">
        <v>2</v>
      </c>
      <c r="Z59" s="2">
        <v>514.8964285714286</v>
      </c>
    </row>
    <row r="60" spans="1:26" x14ac:dyDescent="0.25">
      <c r="A60" s="1">
        <v>45375</v>
      </c>
      <c r="B60" s="2">
        <v>249.6</v>
      </c>
      <c r="C60" s="2">
        <v>44</v>
      </c>
      <c r="D60" s="2">
        <v>17</v>
      </c>
      <c r="E60" s="2">
        <v>96.9</v>
      </c>
      <c r="F60" s="2">
        <v>146</v>
      </c>
      <c r="G60" s="2">
        <v>82</v>
      </c>
      <c r="H60" s="2">
        <v>62</v>
      </c>
      <c r="I60" s="2">
        <v>96.8</v>
      </c>
      <c r="J60" s="2">
        <v>153</v>
      </c>
      <c r="K60" s="2">
        <v>78</v>
      </c>
      <c r="L60" s="2">
        <v>65</v>
      </c>
      <c r="M60" s="2">
        <v>8</v>
      </c>
      <c r="N60" s="2">
        <f t="shared" si="1"/>
        <v>35.80995918367347</v>
      </c>
      <c r="O60" s="2">
        <f t="shared" si="0"/>
        <v>30.639085534675949</v>
      </c>
      <c r="P60" t="s">
        <v>26</v>
      </c>
      <c r="Q60" t="s">
        <v>27</v>
      </c>
      <c r="R60" s="2">
        <v>1500.1</v>
      </c>
      <c r="S60" s="2">
        <v>73.849999999999994</v>
      </c>
      <c r="T60" s="2">
        <v>91.766666666666666</v>
      </c>
      <c r="U60" s="2">
        <v>98.933333333333337</v>
      </c>
      <c r="V60" s="2">
        <v>7.4</v>
      </c>
      <c r="W60" s="2">
        <v>14.649999999999999</v>
      </c>
      <c r="X60" s="2">
        <v>12.5</v>
      </c>
      <c r="Y60" s="2">
        <v>3</v>
      </c>
      <c r="Z60" s="2">
        <v>825.90000000000009</v>
      </c>
    </row>
    <row r="61" spans="1:26" x14ac:dyDescent="0.25">
      <c r="A61" s="1">
        <v>45376</v>
      </c>
      <c r="B61" s="2">
        <v>249.2</v>
      </c>
      <c r="C61" s="2">
        <v>43.5</v>
      </c>
      <c r="D61" s="2">
        <v>17</v>
      </c>
      <c r="E61" s="2">
        <v>96</v>
      </c>
      <c r="F61" s="2">
        <v>131</v>
      </c>
      <c r="G61" s="2">
        <v>76</v>
      </c>
      <c r="H61" s="2">
        <v>63</v>
      </c>
      <c r="I61" s="2">
        <v>97.4</v>
      </c>
      <c r="J61" s="2">
        <v>148</v>
      </c>
      <c r="K61" s="2">
        <v>73</v>
      </c>
      <c r="L61" s="2">
        <v>66</v>
      </c>
      <c r="M61" s="2">
        <v>8.5</v>
      </c>
      <c r="N61" s="2">
        <f t="shared" si="1"/>
        <v>35.752571428571429</v>
      </c>
      <c r="O61" s="2">
        <f t="shared" si="0"/>
        <v>29.940865796666294</v>
      </c>
      <c r="P61" t="s">
        <v>26</v>
      </c>
      <c r="Q61" t="s">
        <v>27</v>
      </c>
      <c r="R61" s="2">
        <v>947.84523809523807</v>
      </c>
      <c r="S61" s="2">
        <v>47.87202380952381</v>
      </c>
      <c r="T61" s="2">
        <v>54.210714285714296</v>
      </c>
      <c r="U61" s="2">
        <v>68.180952380952391</v>
      </c>
      <c r="V61" s="2">
        <v>5.666666666666667</v>
      </c>
      <c r="W61" s="2">
        <v>12.401785714285712</v>
      </c>
      <c r="X61" s="2">
        <v>10</v>
      </c>
      <c r="Y61" s="2">
        <v>2</v>
      </c>
      <c r="Z61" s="2">
        <v>487.89642857142866</v>
      </c>
    </row>
    <row r="62" spans="1:26" x14ac:dyDescent="0.25">
      <c r="A62" s="1">
        <v>45377</v>
      </c>
      <c r="B62" s="2">
        <v>248.4</v>
      </c>
      <c r="C62" s="2">
        <v>43.5</v>
      </c>
      <c r="D62" s="2">
        <v>17</v>
      </c>
      <c r="E62" s="2">
        <v>97.3</v>
      </c>
      <c r="F62" s="2">
        <v>144</v>
      </c>
      <c r="G62" s="2">
        <v>71</v>
      </c>
      <c r="H62" s="2">
        <v>65</v>
      </c>
      <c r="I62" s="2">
        <v>97.5</v>
      </c>
      <c r="J62" s="2">
        <v>130</v>
      </c>
      <c r="K62" s="2">
        <v>74</v>
      </c>
      <c r="L62" s="2">
        <v>73</v>
      </c>
      <c r="M62" s="2">
        <v>0</v>
      </c>
      <c r="N62" s="2">
        <f t="shared" si="1"/>
        <v>35.637795918367345</v>
      </c>
      <c r="O62" s="2">
        <f t="shared" si="0"/>
        <v>29.940865796666294</v>
      </c>
      <c r="P62" t="s">
        <v>26</v>
      </c>
      <c r="Q62" t="s">
        <v>27</v>
      </c>
      <c r="R62" s="2">
        <v>1579.1</v>
      </c>
      <c r="S62" s="2">
        <v>51.45</v>
      </c>
      <c r="T62" s="2">
        <v>107.96666666666667</v>
      </c>
      <c r="U62" s="2">
        <v>110.33333333333334</v>
      </c>
      <c r="V62" s="2">
        <v>6.6000000000000005</v>
      </c>
      <c r="W62" s="2">
        <v>11.649999999999999</v>
      </c>
      <c r="X62" s="2">
        <v>14</v>
      </c>
      <c r="Y62" s="2">
        <v>2.5</v>
      </c>
      <c r="Z62" s="2">
        <v>971.7</v>
      </c>
    </row>
    <row r="63" spans="1:26" x14ac:dyDescent="0.25">
      <c r="A63" s="1">
        <v>45378</v>
      </c>
      <c r="B63" s="2">
        <v>247.6</v>
      </c>
      <c r="C63" s="2">
        <v>43.5</v>
      </c>
      <c r="D63" s="2">
        <v>16.5</v>
      </c>
      <c r="E63" s="2">
        <v>96</v>
      </c>
      <c r="F63" s="2">
        <v>147</v>
      </c>
      <c r="G63" s="2">
        <v>78</v>
      </c>
      <c r="H63" s="2">
        <v>62</v>
      </c>
      <c r="I63" s="2">
        <v>97.1</v>
      </c>
      <c r="J63" s="2">
        <v>143</v>
      </c>
      <c r="K63" s="2">
        <v>79</v>
      </c>
      <c r="L63" s="2">
        <v>71</v>
      </c>
      <c r="M63" s="2">
        <v>5.5</v>
      </c>
      <c r="N63" s="2">
        <f t="shared" si="1"/>
        <v>35.523020408163262</v>
      </c>
      <c r="O63" s="2">
        <f t="shared" si="0"/>
        <v>30.639085534675949</v>
      </c>
      <c r="P63" t="s">
        <v>26</v>
      </c>
      <c r="Q63" t="s">
        <v>27</v>
      </c>
      <c r="R63" s="2">
        <v>1396.8452380952381</v>
      </c>
      <c r="S63" s="2">
        <v>103.9720238095238</v>
      </c>
      <c r="T63" s="2">
        <v>76.5107142857143</v>
      </c>
      <c r="U63" s="2">
        <v>72.280952380952385</v>
      </c>
      <c r="V63" s="2">
        <v>2.4666666666666663</v>
      </c>
      <c r="W63" s="2">
        <v>88.201785714285705</v>
      </c>
      <c r="X63" s="2">
        <v>10</v>
      </c>
      <c r="Y63" s="2">
        <v>2.5</v>
      </c>
      <c r="Z63" s="2">
        <v>688.59642857142865</v>
      </c>
    </row>
    <row r="64" spans="1:26" x14ac:dyDescent="0.25">
      <c r="A64" s="1">
        <v>45379</v>
      </c>
      <c r="B64" s="2">
        <v>246.6</v>
      </c>
      <c r="C64" s="2">
        <v>43.5</v>
      </c>
      <c r="D64" s="2">
        <v>16</v>
      </c>
      <c r="E64" s="2">
        <v>95.2</v>
      </c>
      <c r="F64" s="2">
        <v>140</v>
      </c>
      <c r="G64" s="2">
        <v>76</v>
      </c>
      <c r="H64" s="2">
        <v>64</v>
      </c>
      <c r="I64" s="2">
        <v>96.7</v>
      </c>
      <c r="J64" s="2">
        <v>136</v>
      </c>
      <c r="K64" s="2">
        <v>69</v>
      </c>
      <c r="L64" s="2">
        <v>75</v>
      </c>
      <c r="M64" s="2">
        <v>9</v>
      </c>
      <c r="N64" s="2">
        <f t="shared" si="1"/>
        <v>35.379551020408158</v>
      </c>
      <c r="O64" s="2">
        <f t="shared" si="0"/>
        <v>31.324493175702337</v>
      </c>
      <c r="P64" t="s">
        <v>26</v>
      </c>
      <c r="Q64" t="s">
        <v>27</v>
      </c>
      <c r="R64" s="2">
        <v>1535.945238095238</v>
      </c>
      <c r="S64" s="2">
        <v>50.922023809523814</v>
      </c>
      <c r="T64" s="2">
        <v>93.977380952380969</v>
      </c>
      <c r="U64" s="2">
        <v>124.61428571428573</v>
      </c>
      <c r="V64" s="2">
        <v>7.0666666666666664</v>
      </c>
      <c r="W64" s="2">
        <v>23.851785714285711</v>
      </c>
      <c r="X64" s="2">
        <v>14</v>
      </c>
      <c r="Y64" s="2">
        <v>3.5</v>
      </c>
      <c r="Z64" s="2">
        <v>845.79642857142858</v>
      </c>
    </row>
    <row r="65" spans="1:26" x14ac:dyDescent="0.25">
      <c r="A65" s="1">
        <v>45380</v>
      </c>
      <c r="B65" s="2">
        <v>246.6</v>
      </c>
      <c r="C65" s="2">
        <v>43</v>
      </c>
      <c r="D65" s="2">
        <v>16</v>
      </c>
      <c r="E65" s="2">
        <v>96.3</v>
      </c>
      <c r="F65" s="2">
        <v>134</v>
      </c>
      <c r="G65" s="2">
        <v>71</v>
      </c>
      <c r="H65" s="2">
        <v>66</v>
      </c>
      <c r="I65" s="2">
        <v>96.3</v>
      </c>
      <c r="J65" s="2">
        <v>144</v>
      </c>
      <c r="K65" s="2">
        <v>76</v>
      </c>
      <c r="L65" s="2">
        <v>70</v>
      </c>
      <c r="M65" s="2">
        <v>11</v>
      </c>
      <c r="N65" s="2">
        <f t="shared" si="1"/>
        <v>35.379551020408158</v>
      </c>
      <c r="O65" s="2">
        <f t="shared" si="0"/>
        <v>30.639085534675949</v>
      </c>
      <c r="P65" t="s">
        <v>26</v>
      </c>
      <c r="Q65" t="s">
        <v>27</v>
      </c>
      <c r="R65" s="2">
        <v>917.09999999999991</v>
      </c>
      <c r="S65" s="2">
        <v>86.149999999999991</v>
      </c>
      <c r="T65" s="2">
        <v>38.466666666666669</v>
      </c>
      <c r="U65" s="2">
        <v>62.333333333333336</v>
      </c>
      <c r="V65" s="2">
        <v>8.6</v>
      </c>
      <c r="W65" s="2">
        <v>37.449999999999996</v>
      </c>
      <c r="X65" s="2">
        <v>9</v>
      </c>
      <c r="Y65" s="2">
        <v>2.5</v>
      </c>
      <c r="Z65" s="2">
        <v>346.20000000000005</v>
      </c>
    </row>
    <row r="66" spans="1:26" x14ac:dyDescent="0.25">
      <c r="A66" s="1">
        <v>45381</v>
      </c>
      <c r="B66" s="2">
        <v>247</v>
      </c>
      <c r="C66" s="2">
        <v>43</v>
      </c>
      <c r="D66" s="2">
        <v>16</v>
      </c>
      <c r="E66" s="2">
        <v>96.1</v>
      </c>
      <c r="F66" s="2">
        <v>128</v>
      </c>
      <c r="G66" s="2">
        <v>75</v>
      </c>
      <c r="H66" s="2">
        <v>65</v>
      </c>
      <c r="I66" s="2">
        <v>98.6</v>
      </c>
      <c r="J66" s="2">
        <v>137</v>
      </c>
      <c r="K66" s="2">
        <v>76</v>
      </c>
      <c r="L66" s="2">
        <v>99</v>
      </c>
      <c r="M66" s="2">
        <v>9</v>
      </c>
      <c r="N66" s="2">
        <f t="shared" si="1"/>
        <v>35.436938775510207</v>
      </c>
      <c r="O66" s="2">
        <f t="shared" ref="O66:O129" si="2">(86.01*LOG10(C66-D66))-(70.041*LOG10(70))+36.76</f>
        <v>30.639085534675949</v>
      </c>
      <c r="P66" t="s">
        <v>27</v>
      </c>
      <c r="Q66" t="s">
        <v>27</v>
      </c>
      <c r="R66" s="2">
        <v>5571</v>
      </c>
      <c r="S66" s="2">
        <v>731.84999999999991</v>
      </c>
      <c r="T66" s="2">
        <v>251.6</v>
      </c>
      <c r="U66" s="2">
        <v>95.1</v>
      </c>
      <c r="V66" s="2">
        <v>32.075000000000003</v>
      </c>
      <c r="W66" s="2">
        <v>489.79999999999995</v>
      </c>
      <c r="X66" s="2">
        <v>55.1</v>
      </c>
      <c r="Y66" s="2">
        <v>0.5</v>
      </c>
      <c r="Z66" s="2">
        <v>2264.4</v>
      </c>
    </row>
    <row r="67" spans="1:26" x14ac:dyDescent="0.25">
      <c r="A67" s="1">
        <v>45382</v>
      </c>
      <c r="B67" s="2">
        <v>250.8</v>
      </c>
      <c r="C67" s="2">
        <v>43.5</v>
      </c>
      <c r="D67" s="2">
        <v>16.5</v>
      </c>
      <c r="E67" s="2">
        <v>95.7</v>
      </c>
      <c r="F67" s="2">
        <v>146</v>
      </c>
      <c r="G67" s="2">
        <v>78</v>
      </c>
      <c r="H67" s="2">
        <v>80</v>
      </c>
      <c r="I67" s="2">
        <v>97</v>
      </c>
      <c r="J67" s="2">
        <v>149</v>
      </c>
      <c r="K67" s="2">
        <v>84</v>
      </c>
      <c r="L67" s="2">
        <v>73</v>
      </c>
      <c r="M67" s="2">
        <v>11</v>
      </c>
      <c r="N67" s="2">
        <f t="shared" ref="N67:N130" si="3">(B67/4900)*703</f>
        <v>35.982122448979595</v>
      </c>
      <c r="O67" s="2">
        <f t="shared" si="2"/>
        <v>30.639085534675949</v>
      </c>
      <c r="P67" t="s">
        <v>26</v>
      </c>
      <c r="Q67" t="s">
        <v>26</v>
      </c>
      <c r="R67" s="2">
        <v>563</v>
      </c>
      <c r="S67" s="2">
        <v>80.800000000000011</v>
      </c>
      <c r="T67" s="2">
        <v>19.900000000000002</v>
      </c>
      <c r="U67" s="2">
        <v>14.4</v>
      </c>
      <c r="V67" s="2">
        <v>6.3</v>
      </c>
      <c r="W67" s="2">
        <v>14.2</v>
      </c>
      <c r="X67" s="2">
        <v>4.9000000000000004</v>
      </c>
      <c r="Y67" s="2">
        <v>1.5</v>
      </c>
      <c r="Z67" s="2">
        <v>179.10000000000002</v>
      </c>
    </row>
    <row r="68" spans="1:26" x14ac:dyDescent="0.25">
      <c r="A68" s="1">
        <v>45383</v>
      </c>
      <c r="B68" s="2">
        <v>249</v>
      </c>
      <c r="C68" s="2">
        <v>43.5</v>
      </c>
      <c r="D68" s="2">
        <v>16.5</v>
      </c>
      <c r="E68" s="2">
        <v>95.7</v>
      </c>
      <c r="F68" s="2">
        <v>124</v>
      </c>
      <c r="G68" s="2">
        <v>67</v>
      </c>
      <c r="H68" s="2">
        <v>79</v>
      </c>
      <c r="I68" s="2">
        <v>97.6</v>
      </c>
      <c r="J68" s="2">
        <v>135</v>
      </c>
      <c r="K68" s="2">
        <v>77</v>
      </c>
      <c r="L68" s="2">
        <v>70</v>
      </c>
      <c r="M68" s="2">
        <v>1</v>
      </c>
      <c r="N68" s="2">
        <f t="shared" si="3"/>
        <v>35.723877551020408</v>
      </c>
      <c r="O68" s="2">
        <f t="shared" si="2"/>
        <v>30.639085534675949</v>
      </c>
      <c r="P68" t="s">
        <v>26</v>
      </c>
      <c r="Q68" t="s">
        <v>26</v>
      </c>
      <c r="R68" s="2">
        <v>1751.8452380952381</v>
      </c>
      <c r="S68" s="2">
        <v>236.07202380952378</v>
      </c>
      <c r="T68" s="2">
        <v>61.510714285714293</v>
      </c>
      <c r="U68" s="2">
        <v>65.180952380952391</v>
      </c>
      <c r="V68" s="2">
        <v>7.666666666666667</v>
      </c>
      <c r="W68" s="2">
        <v>189.20178571428573</v>
      </c>
      <c r="X68" s="2">
        <v>21</v>
      </c>
      <c r="Y68" s="2">
        <v>1.25</v>
      </c>
      <c r="Z68" s="2">
        <v>553.59642857142865</v>
      </c>
    </row>
    <row r="69" spans="1:26" x14ac:dyDescent="0.25">
      <c r="A69" s="1">
        <v>45384</v>
      </c>
      <c r="B69" s="2">
        <v>248.8</v>
      </c>
      <c r="C69" s="2">
        <v>43.5</v>
      </c>
      <c r="D69" s="2">
        <v>16.5</v>
      </c>
      <c r="E69" s="2">
        <v>94.9</v>
      </c>
      <c r="F69" s="2">
        <v>128</v>
      </c>
      <c r="G69" s="2">
        <v>73</v>
      </c>
      <c r="H69" s="2">
        <v>61</v>
      </c>
      <c r="I69" s="2">
        <v>97</v>
      </c>
      <c r="J69" s="2">
        <v>129</v>
      </c>
      <c r="K69" s="2">
        <v>82</v>
      </c>
      <c r="L69" s="2">
        <v>70</v>
      </c>
      <c r="M69" s="2">
        <v>8</v>
      </c>
      <c r="N69" s="2">
        <f t="shared" si="3"/>
        <v>35.695183673469387</v>
      </c>
      <c r="O69" s="2">
        <f t="shared" si="2"/>
        <v>30.639085534675949</v>
      </c>
      <c r="P69" t="s">
        <v>26</v>
      </c>
      <c r="Q69" t="s">
        <v>26</v>
      </c>
      <c r="R69" s="2">
        <v>6805.1</v>
      </c>
      <c r="S69" s="2">
        <v>837.35000000000014</v>
      </c>
      <c r="T69" s="2">
        <v>310.46666666666664</v>
      </c>
      <c r="U69" s="2">
        <v>226.33333333333334</v>
      </c>
      <c r="V69" s="2">
        <v>37.1</v>
      </c>
      <c r="W69" s="2">
        <v>425.65</v>
      </c>
      <c r="X69" s="2">
        <v>81</v>
      </c>
      <c r="Y69" s="2">
        <v>1.5</v>
      </c>
      <c r="Z69" s="2">
        <v>2794.2000000000003</v>
      </c>
    </row>
    <row r="70" spans="1:26" x14ac:dyDescent="0.25">
      <c r="A70" s="1">
        <v>45385</v>
      </c>
      <c r="B70" s="2">
        <v>252.4</v>
      </c>
      <c r="C70" s="2">
        <v>44</v>
      </c>
      <c r="D70" s="2">
        <v>16.5</v>
      </c>
      <c r="E70" s="2">
        <v>96.1</v>
      </c>
      <c r="F70" s="2">
        <v>123</v>
      </c>
      <c r="G70" s="2">
        <v>79</v>
      </c>
      <c r="H70" s="2">
        <v>70</v>
      </c>
      <c r="I70" s="2">
        <v>96.4</v>
      </c>
      <c r="J70" s="2">
        <v>144</v>
      </c>
      <c r="K70" s="2">
        <v>77</v>
      </c>
      <c r="L70" s="2">
        <v>62</v>
      </c>
      <c r="M70" s="2">
        <v>11</v>
      </c>
      <c r="N70" s="2">
        <f t="shared" si="3"/>
        <v>36.211673469387755</v>
      </c>
      <c r="O70" s="2">
        <f t="shared" si="2"/>
        <v>31.324493175702337</v>
      </c>
      <c r="P70" t="s">
        <v>26</v>
      </c>
      <c r="Q70" t="s">
        <v>27</v>
      </c>
      <c r="R70" s="2">
        <v>1611.3416666666667</v>
      </c>
      <c r="S70" s="2">
        <v>114.51944444444445</v>
      </c>
      <c r="T70" s="2">
        <v>84.974999999999994</v>
      </c>
      <c r="U70" s="2">
        <v>80.822222222222223</v>
      </c>
      <c r="V70" s="2">
        <v>6.4027777777777768</v>
      </c>
      <c r="W70" s="2">
        <v>29.545833333333334</v>
      </c>
      <c r="X70" s="2">
        <v>15.5</v>
      </c>
      <c r="Y70" s="2">
        <v>2</v>
      </c>
      <c r="Z70" s="2">
        <v>764.77500000000009</v>
      </c>
    </row>
    <row r="71" spans="1:26" x14ac:dyDescent="0.25">
      <c r="A71" s="1">
        <v>45386</v>
      </c>
      <c r="B71" s="2">
        <v>249.6</v>
      </c>
      <c r="C71" s="2">
        <v>43.5</v>
      </c>
      <c r="D71" s="2">
        <v>16.5</v>
      </c>
      <c r="E71" s="2">
        <v>96.4</v>
      </c>
      <c r="F71" s="2">
        <v>141</v>
      </c>
      <c r="G71" s="2">
        <v>80</v>
      </c>
      <c r="H71" s="2">
        <v>71</v>
      </c>
      <c r="I71" s="2">
        <v>97</v>
      </c>
      <c r="J71" s="2">
        <v>132</v>
      </c>
      <c r="K71" s="2">
        <v>72</v>
      </c>
      <c r="L71" s="2">
        <v>62</v>
      </c>
      <c r="M71" s="2">
        <v>8</v>
      </c>
      <c r="N71" s="2">
        <f t="shared" si="3"/>
        <v>35.80995918367347</v>
      </c>
      <c r="O71" s="2">
        <f t="shared" si="2"/>
        <v>30.639085534675949</v>
      </c>
      <c r="P71" t="s">
        <v>26</v>
      </c>
      <c r="Q71" t="s">
        <v>27</v>
      </c>
      <c r="R71" s="2">
        <v>1531.4642857142858</v>
      </c>
      <c r="S71" s="2">
        <v>61.185317460317457</v>
      </c>
      <c r="T71" s="2">
        <v>88.759523809523827</v>
      </c>
      <c r="U71" s="2">
        <v>138.28492063492064</v>
      </c>
      <c r="V71" s="2">
        <v>10.27222222222222</v>
      </c>
      <c r="W71" s="2">
        <v>29.107142857142858</v>
      </c>
      <c r="X71" s="2">
        <v>14</v>
      </c>
      <c r="Y71" s="2">
        <v>3.5</v>
      </c>
      <c r="Z71" s="2">
        <v>798.83571428571429</v>
      </c>
    </row>
    <row r="72" spans="1:26" x14ac:dyDescent="0.25">
      <c r="A72" s="1">
        <v>45387</v>
      </c>
      <c r="B72" s="2">
        <v>247.4</v>
      </c>
      <c r="C72" s="2">
        <v>43.5</v>
      </c>
      <c r="D72" s="2">
        <v>16.5</v>
      </c>
      <c r="E72" s="2">
        <v>96.8</v>
      </c>
      <c r="F72" s="2">
        <v>143</v>
      </c>
      <c r="G72" s="2">
        <v>72</v>
      </c>
      <c r="H72" s="2">
        <v>69</v>
      </c>
      <c r="I72" s="2">
        <v>96.9</v>
      </c>
      <c r="J72" s="2">
        <v>137</v>
      </c>
      <c r="K72" s="2">
        <v>75</v>
      </c>
      <c r="L72" s="2">
        <v>63</v>
      </c>
      <c r="M72" s="2">
        <v>9</v>
      </c>
      <c r="N72" s="2">
        <f t="shared" si="3"/>
        <v>35.494326530612248</v>
      </c>
      <c r="O72" s="2">
        <f t="shared" si="2"/>
        <v>30.639085534675949</v>
      </c>
      <c r="P72" t="s">
        <v>26</v>
      </c>
      <c r="Q72" t="s">
        <v>27</v>
      </c>
      <c r="R72" s="2">
        <v>1168.6833333333334</v>
      </c>
      <c r="S72" s="2">
        <v>116.63888888888889</v>
      </c>
      <c r="T72" s="2">
        <v>48.45</v>
      </c>
      <c r="U72" s="2">
        <v>80.64444444444446</v>
      </c>
      <c r="V72" s="2">
        <v>21.005555555555553</v>
      </c>
      <c r="W72" s="2">
        <v>60.691666666666663</v>
      </c>
      <c r="X72" s="2">
        <v>18</v>
      </c>
      <c r="Y72" s="2">
        <v>2.5</v>
      </c>
      <c r="Z72" s="2">
        <v>436.05000000000007</v>
      </c>
    </row>
    <row r="73" spans="1:26" x14ac:dyDescent="0.25">
      <c r="A73" s="1">
        <v>45388</v>
      </c>
      <c r="B73" s="2">
        <v>245.8</v>
      </c>
      <c r="C73" s="2">
        <v>43</v>
      </c>
      <c r="D73" s="2">
        <v>16.5</v>
      </c>
      <c r="E73" s="2">
        <v>96.2</v>
      </c>
      <c r="F73" s="2">
        <v>128</v>
      </c>
      <c r="G73" s="2">
        <v>77</v>
      </c>
      <c r="H73" s="2">
        <v>63</v>
      </c>
      <c r="I73" s="2">
        <v>98.3</v>
      </c>
      <c r="J73" s="2">
        <v>160</v>
      </c>
      <c r="K73" s="2">
        <v>76</v>
      </c>
      <c r="L73" s="2">
        <v>94</v>
      </c>
      <c r="M73" s="2">
        <v>7</v>
      </c>
      <c r="N73" s="2">
        <f t="shared" si="3"/>
        <v>35.264775510204082</v>
      </c>
      <c r="O73" s="2">
        <f t="shared" si="2"/>
        <v>29.940865796666294</v>
      </c>
      <c r="P73" t="s">
        <v>27</v>
      </c>
      <c r="Q73" t="s">
        <v>27</v>
      </c>
      <c r="R73" s="2">
        <v>5765.9809523809527</v>
      </c>
      <c r="S73" s="2">
        <v>818.50642857142861</v>
      </c>
      <c r="T73" s="2">
        <v>242.8095238095238</v>
      </c>
      <c r="U73" s="2">
        <v>182.32047619047617</v>
      </c>
      <c r="V73" s="2">
        <v>30.466666666666665</v>
      </c>
      <c r="W73" s="2">
        <v>529.81547619047615</v>
      </c>
      <c r="X73" s="2">
        <v>103.4</v>
      </c>
      <c r="Y73" s="2">
        <v>1.5</v>
      </c>
      <c r="Z73" s="2">
        <v>2185.2857142857147</v>
      </c>
    </row>
    <row r="74" spans="1:26" x14ac:dyDescent="0.25">
      <c r="A74" s="1">
        <v>45389</v>
      </c>
      <c r="B74" s="2">
        <v>252</v>
      </c>
      <c r="C74" s="2">
        <v>43</v>
      </c>
      <c r="D74" s="2">
        <v>16.5</v>
      </c>
      <c r="E74" s="2">
        <v>96.5</v>
      </c>
      <c r="F74" s="2">
        <v>131</v>
      </c>
      <c r="G74" s="2">
        <v>76</v>
      </c>
      <c r="H74" s="2">
        <v>68</v>
      </c>
      <c r="I74" s="2">
        <v>97.2</v>
      </c>
      <c r="J74" s="2">
        <v>135</v>
      </c>
      <c r="K74" s="2">
        <v>76</v>
      </c>
      <c r="L74" s="2">
        <v>72</v>
      </c>
      <c r="M74" s="2">
        <v>4</v>
      </c>
      <c r="N74" s="2">
        <f t="shared" si="3"/>
        <v>36.154285714285713</v>
      </c>
      <c r="O74" s="2">
        <f t="shared" si="2"/>
        <v>29.940865796666294</v>
      </c>
      <c r="P74" t="s">
        <v>27</v>
      </c>
      <c r="Q74" t="s">
        <v>27</v>
      </c>
      <c r="R74" s="2">
        <v>1465</v>
      </c>
      <c r="S74" s="2">
        <v>148.1</v>
      </c>
      <c r="T74" s="2">
        <v>71.2</v>
      </c>
      <c r="U74" s="2">
        <v>62.4</v>
      </c>
      <c r="V74" s="2">
        <v>13.7</v>
      </c>
      <c r="W74" s="2">
        <v>23</v>
      </c>
      <c r="X74" s="2">
        <v>7</v>
      </c>
      <c r="Y74" s="2">
        <v>0.5</v>
      </c>
      <c r="Z74" s="2">
        <v>640.79999999999995</v>
      </c>
    </row>
    <row r="75" spans="1:26" x14ac:dyDescent="0.25">
      <c r="A75" s="1">
        <v>45390</v>
      </c>
      <c r="B75" s="2">
        <v>252</v>
      </c>
      <c r="C75" s="2">
        <v>43</v>
      </c>
      <c r="D75" s="2">
        <v>16.5</v>
      </c>
      <c r="E75" s="2">
        <v>96.5</v>
      </c>
      <c r="F75" s="2">
        <v>132</v>
      </c>
      <c r="G75" s="2">
        <v>77</v>
      </c>
      <c r="H75" s="2">
        <v>69</v>
      </c>
      <c r="I75" s="2">
        <v>97.3</v>
      </c>
      <c r="J75" s="2">
        <v>136</v>
      </c>
      <c r="K75" s="2">
        <v>77</v>
      </c>
      <c r="L75" s="2">
        <v>73</v>
      </c>
      <c r="M75" s="2">
        <v>4</v>
      </c>
      <c r="N75" s="2">
        <f t="shared" si="3"/>
        <v>36.154285714285713</v>
      </c>
      <c r="O75" s="2">
        <f t="shared" si="2"/>
        <v>29.940865796666294</v>
      </c>
      <c r="P75" t="s">
        <v>27</v>
      </c>
      <c r="Q75" t="s">
        <v>27</v>
      </c>
      <c r="R75" s="2">
        <v>5250</v>
      </c>
      <c r="S75" s="2">
        <v>756</v>
      </c>
      <c r="T75" s="2">
        <v>209</v>
      </c>
      <c r="U75" s="2">
        <v>123</v>
      </c>
      <c r="V75" s="2">
        <v>43.5</v>
      </c>
      <c r="W75" s="2">
        <v>443</v>
      </c>
      <c r="X75" s="2">
        <v>114</v>
      </c>
      <c r="Y75" s="2">
        <v>0.5</v>
      </c>
      <c r="Z75" s="2">
        <v>1881</v>
      </c>
    </row>
    <row r="76" spans="1:26" x14ac:dyDescent="0.25">
      <c r="A76" s="1">
        <v>45391</v>
      </c>
      <c r="B76" s="2">
        <v>253.4</v>
      </c>
      <c r="C76" s="2">
        <v>44</v>
      </c>
      <c r="D76" s="2">
        <v>16.5</v>
      </c>
      <c r="E76" s="2">
        <v>96.9</v>
      </c>
      <c r="F76" s="2">
        <v>137</v>
      </c>
      <c r="G76" s="2">
        <v>75</v>
      </c>
      <c r="H76" s="2">
        <v>63</v>
      </c>
      <c r="I76" s="2">
        <v>96.7</v>
      </c>
      <c r="J76" s="2">
        <v>132</v>
      </c>
      <c r="K76" s="2">
        <v>83</v>
      </c>
      <c r="L76" s="2">
        <v>66</v>
      </c>
      <c r="M76" s="2">
        <v>11</v>
      </c>
      <c r="N76" s="2">
        <f t="shared" si="3"/>
        <v>36.355142857142859</v>
      </c>
      <c r="O76" s="2">
        <f t="shared" si="2"/>
        <v>31.324493175702337</v>
      </c>
      <c r="P76" t="s">
        <v>26</v>
      </c>
      <c r="Q76" t="s">
        <v>26</v>
      </c>
      <c r="R76" s="2">
        <v>1052.6833333333334</v>
      </c>
      <c r="S76" s="2">
        <v>92.538888888888891</v>
      </c>
      <c r="T76" s="2">
        <v>47.050000000000004</v>
      </c>
      <c r="U76" s="2">
        <v>74.544444444444451</v>
      </c>
      <c r="V76" s="2">
        <v>15.005555555555553</v>
      </c>
      <c r="W76" s="2">
        <v>45.991666666666667</v>
      </c>
      <c r="X76" s="2">
        <v>12</v>
      </c>
      <c r="Y76" s="2">
        <v>1.5</v>
      </c>
      <c r="Z76" s="2">
        <v>423.4500000000001</v>
      </c>
    </row>
    <row r="77" spans="1:26" x14ac:dyDescent="0.25">
      <c r="A77" s="1">
        <v>45392</v>
      </c>
      <c r="B77" s="2">
        <v>249.6</v>
      </c>
      <c r="C77" s="2">
        <v>43.5</v>
      </c>
      <c r="D77" s="2">
        <v>16.5</v>
      </c>
      <c r="E77" s="2">
        <v>96.4</v>
      </c>
      <c r="F77" s="2">
        <v>133</v>
      </c>
      <c r="G77" s="2">
        <v>78</v>
      </c>
      <c r="H77" s="2">
        <v>68</v>
      </c>
      <c r="I77" s="2">
        <v>96.8</v>
      </c>
      <c r="J77" s="2">
        <v>132</v>
      </c>
      <c r="K77" s="2">
        <v>74</v>
      </c>
      <c r="L77" s="2">
        <v>67</v>
      </c>
      <c r="M77" s="2">
        <v>9.5</v>
      </c>
      <c r="N77" s="2">
        <f t="shared" si="3"/>
        <v>35.80995918367347</v>
      </c>
      <c r="O77" s="2">
        <f t="shared" si="2"/>
        <v>30.639085534675949</v>
      </c>
      <c r="P77" t="s">
        <v>26</v>
      </c>
      <c r="Q77" t="s">
        <v>26</v>
      </c>
      <c r="R77" s="2">
        <v>1256.7809523809524</v>
      </c>
      <c r="S77" s="2">
        <v>66.046428571428578</v>
      </c>
      <c r="T77" s="2">
        <v>67.80952380952381</v>
      </c>
      <c r="U77" s="2">
        <v>102.74047619047619</v>
      </c>
      <c r="V77" s="2">
        <v>6.4666666666666659</v>
      </c>
      <c r="W77" s="2">
        <v>31.115476190476191</v>
      </c>
      <c r="X77" s="2">
        <v>16</v>
      </c>
      <c r="Y77" s="2">
        <v>2.5</v>
      </c>
      <c r="Z77" s="2">
        <v>610.28571428571422</v>
      </c>
    </row>
    <row r="78" spans="1:26" x14ac:dyDescent="0.25">
      <c r="A78" s="1">
        <v>45393</v>
      </c>
      <c r="B78" s="2">
        <v>248.8</v>
      </c>
      <c r="C78" s="2">
        <v>43</v>
      </c>
      <c r="D78" s="2">
        <v>16.5</v>
      </c>
      <c r="E78" s="2">
        <v>95.7</v>
      </c>
      <c r="F78" s="2">
        <v>133</v>
      </c>
      <c r="G78" s="2">
        <v>74</v>
      </c>
      <c r="H78" s="2">
        <v>61</v>
      </c>
      <c r="I78" s="2">
        <v>97.4</v>
      </c>
      <c r="J78" s="2">
        <v>126</v>
      </c>
      <c r="K78" s="2">
        <v>75</v>
      </c>
      <c r="L78" s="2">
        <v>67</v>
      </c>
      <c r="M78" s="2">
        <v>3</v>
      </c>
      <c r="N78" s="2">
        <f t="shared" si="3"/>
        <v>35.695183673469387</v>
      </c>
      <c r="O78" s="2">
        <f t="shared" si="2"/>
        <v>29.940865796666294</v>
      </c>
      <c r="P78" t="s">
        <v>26</v>
      </c>
      <c r="Q78" t="s">
        <v>27</v>
      </c>
      <c r="R78" s="2">
        <v>1981.3666666666666</v>
      </c>
      <c r="S78" s="2">
        <v>122.57777777777777</v>
      </c>
      <c r="T78" s="2">
        <v>102.10000000000001</v>
      </c>
      <c r="U78" s="2">
        <v>155.48888888888891</v>
      </c>
      <c r="V78" s="2">
        <v>16.81111111111111</v>
      </c>
      <c r="W78" s="2">
        <v>53.783333333333331</v>
      </c>
      <c r="X78" s="2">
        <v>18</v>
      </c>
      <c r="Y78" s="2">
        <v>2</v>
      </c>
      <c r="Z78" s="2">
        <v>918.90000000000009</v>
      </c>
    </row>
    <row r="79" spans="1:26" x14ac:dyDescent="0.25">
      <c r="A79" s="1">
        <v>45394</v>
      </c>
      <c r="B79" s="2">
        <v>248</v>
      </c>
      <c r="C79" s="2">
        <v>43.5</v>
      </c>
      <c r="D79" s="2">
        <v>16.5</v>
      </c>
      <c r="E79" s="2">
        <v>95.5</v>
      </c>
      <c r="F79" s="2">
        <v>128</v>
      </c>
      <c r="G79" s="2">
        <v>72</v>
      </c>
      <c r="H79" s="2">
        <v>61</v>
      </c>
      <c r="I79" s="2">
        <v>97.5</v>
      </c>
      <c r="J79" s="2">
        <v>133</v>
      </c>
      <c r="K79" s="2">
        <v>75</v>
      </c>
      <c r="L79" s="2">
        <v>69</v>
      </c>
      <c r="M79" s="2">
        <v>2</v>
      </c>
      <c r="N79" s="2">
        <f t="shared" si="3"/>
        <v>35.580408163265311</v>
      </c>
      <c r="O79" s="2">
        <f t="shared" si="2"/>
        <v>30.639085534675949</v>
      </c>
      <c r="P79" t="s">
        <v>26</v>
      </c>
      <c r="Q79" t="s">
        <v>26</v>
      </c>
      <c r="R79" s="2">
        <v>1446.7809523809524</v>
      </c>
      <c r="S79" s="2">
        <v>140.54642857142855</v>
      </c>
      <c r="T79" s="2">
        <v>62.80952380952381</v>
      </c>
      <c r="U79" s="2">
        <v>77.740476190476187</v>
      </c>
      <c r="V79" s="2">
        <v>8.466666666666665</v>
      </c>
      <c r="W79" s="2">
        <v>90.615476190476187</v>
      </c>
      <c r="X79" s="2">
        <v>15</v>
      </c>
      <c r="Y79" s="2">
        <v>1.5</v>
      </c>
      <c r="Z79" s="2">
        <v>565.28571428571422</v>
      </c>
    </row>
    <row r="80" spans="1:26" x14ac:dyDescent="0.25">
      <c r="A80" s="1">
        <v>45395</v>
      </c>
      <c r="B80" s="2">
        <v>246.6</v>
      </c>
      <c r="C80" s="2">
        <v>43.5</v>
      </c>
      <c r="D80" s="2">
        <v>16.5</v>
      </c>
      <c r="E80" s="2">
        <v>96.7</v>
      </c>
      <c r="F80" s="2">
        <v>142</v>
      </c>
      <c r="G80" s="2">
        <v>71</v>
      </c>
      <c r="H80" s="2">
        <v>70</v>
      </c>
      <c r="I80" s="2">
        <v>97.2</v>
      </c>
      <c r="J80" s="2">
        <v>133</v>
      </c>
      <c r="K80" s="2">
        <v>73</v>
      </c>
      <c r="L80" s="2">
        <v>62</v>
      </c>
      <c r="M80" s="2">
        <v>0.5</v>
      </c>
      <c r="N80" s="2">
        <f t="shared" si="3"/>
        <v>35.379551020408158</v>
      </c>
      <c r="O80" s="2">
        <f t="shared" si="2"/>
        <v>30.639085534675949</v>
      </c>
      <c r="P80" t="s">
        <v>26</v>
      </c>
      <c r="Q80" t="s">
        <v>27</v>
      </c>
      <c r="R80" s="2">
        <v>6761.2809523809519</v>
      </c>
      <c r="S80" s="2">
        <v>936.84642857142853</v>
      </c>
      <c r="T80" s="2">
        <v>240.2095238095238</v>
      </c>
      <c r="U80" s="2">
        <v>210.04047619047617</v>
      </c>
      <c r="V80" s="2">
        <v>15.866666666666665</v>
      </c>
      <c r="W80" s="2">
        <v>591.21547619047624</v>
      </c>
      <c r="X80" s="2">
        <v>138.5</v>
      </c>
      <c r="Y80" s="2">
        <v>0.5</v>
      </c>
      <c r="Z80" s="2">
        <v>2161.8857142857146</v>
      </c>
    </row>
    <row r="81" spans="1:26" x14ac:dyDescent="0.25">
      <c r="A81" s="1">
        <v>45396</v>
      </c>
      <c r="B81" s="2">
        <v>250.8</v>
      </c>
      <c r="C81" s="2">
        <v>43.5</v>
      </c>
      <c r="D81" s="2">
        <v>16.5</v>
      </c>
      <c r="E81" s="2">
        <v>96</v>
      </c>
      <c r="F81" s="2">
        <v>112</v>
      </c>
      <c r="G81" s="2">
        <v>76</v>
      </c>
      <c r="H81" s="2">
        <v>60</v>
      </c>
      <c r="I81" s="2">
        <v>97.2</v>
      </c>
      <c r="J81" s="2">
        <v>135</v>
      </c>
      <c r="K81" s="2">
        <v>76</v>
      </c>
      <c r="L81" s="2">
        <v>72</v>
      </c>
      <c r="M81" s="2">
        <v>3</v>
      </c>
      <c r="N81" s="2">
        <f t="shared" si="3"/>
        <v>35.982122448979595</v>
      </c>
      <c r="O81" s="2">
        <f t="shared" si="2"/>
        <v>30.639085534675949</v>
      </c>
      <c r="P81" t="s">
        <v>27</v>
      </c>
      <c r="Q81" t="s">
        <v>27</v>
      </c>
      <c r="R81" s="2">
        <v>3475</v>
      </c>
      <c r="S81" s="2">
        <v>342.6</v>
      </c>
      <c r="T81" s="2">
        <v>127.5</v>
      </c>
      <c r="U81" s="2">
        <v>92.100000000000009</v>
      </c>
      <c r="V81" s="2">
        <v>10.3</v>
      </c>
      <c r="W81" s="2">
        <v>155.6</v>
      </c>
      <c r="X81" s="2">
        <v>20.5</v>
      </c>
      <c r="Y81" s="2">
        <v>0.5</v>
      </c>
      <c r="Z81" s="2">
        <v>1147.5</v>
      </c>
    </row>
    <row r="82" spans="1:26" x14ac:dyDescent="0.25">
      <c r="A82" s="1">
        <v>45397</v>
      </c>
      <c r="B82" s="2">
        <v>251.8</v>
      </c>
      <c r="C82" s="2">
        <v>43.5</v>
      </c>
      <c r="D82" s="2">
        <v>16.5</v>
      </c>
      <c r="E82" s="2">
        <v>97.5</v>
      </c>
      <c r="F82" s="2">
        <v>127</v>
      </c>
      <c r="G82" s="2">
        <v>70</v>
      </c>
      <c r="H82" s="2">
        <v>86</v>
      </c>
      <c r="I82" s="2">
        <v>97.5</v>
      </c>
      <c r="J82" s="2">
        <v>134</v>
      </c>
      <c r="K82" s="2">
        <v>74</v>
      </c>
      <c r="L82" s="2">
        <v>70</v>
      </c>
      <c r="M82" s="2">
        <v>7</v>
      </c>
      <c r="N82" s="2">
        <f t="shared" si="3"/>
        <v>36.125591836734699</v>
      </c>
      <c r="O82" s="2">
        <f t="shared" si="2"/>
        <v>30.639085534675949</v>
      </c>
      <c r="P82" t="s">
        <v>26</v>
      </c>
      <c r="Q82" t="s">
        <v>27</v>
      </c>
      <c r="R82" s="2">
        <v>1697.6833333333334</v>
      </c>
      <c r="S82" s="2">
        <v>241.83888888888887</v>
      </c>
      <c r="T82" s="2">
        <v>54.45</v>
      </c>
      <c r="U82" s="2">
        <v>74.044444444444451</v>
      </c>
      <c r="V82" s="2">
        <v>7.8055555555555545</v>
      </c>
      <c r="W82" s="2">
        <v>201.79166666666669</v>
      </c>
      <c r="X82" s="2">
        <v>65</v>
      </c>
      <c r="Y82" s="2">
        <v>0.5</v>
      </c>
      <c r="Z82" s="2">
        <v>490.05000000000007</v>
      </c>
    </row>
    <row r="83" spans="1:26" x14ac:dyDescent="0.25">
      <c r="A83" s="1">
        <v>45398</v>
      </c>
      <c r="B83" s="2">
        <v>252.6</v>
      </c>
      <c r="C83" s="2">
        <v>43</v>
      </c>
      <c r="D83" s="2">
        <v>16.5</v>
      </c>
      <c r="E83" s="2">
        <v>96.2</v>
      </c>
      <c r="F83" s="2">
        <v>141</v>
      </c>
      <c r="G83" s="2">
        <v>80</v>
      </c>
      <c r="H83" s="2">
        <v>66</v>
      </c>
      <c r="I83" s="2">
        <v>97.3</v>
      </c>
      <c r="J83" s="2">
        <v>138</v>
      </c>
      <c r="K83" s="2">
        <v>81</v>
      </c>
      <c r="L83" s="2">
        <v>78</v>
      </c>
      <c r="M83" s="2">
        <v>7</v>
      </c>
      <c r="N83" s="2">
        <f t="shared" si="3"/>
        <v>36.240367346938775</v>
      </c>
      <c r="O83" s="2">
        <f t="shared" si="2"/>
        <v>29.940865796666294</v>
      </c>
      <c r="P83" t="s">
        <v>26</v>
      </c>
      <c r="Q83" t="s">
        <v>27</v>
      </c>
      <c r="R83" s="2">
        <v>2614.1476190476192</v>
      </c>
      <c r="S83" s="2">
        <v>412.20642857142855</v>
      </c>
      <c r="T83" s="2">
        <v>73.624523809523808</v>
      </c>
      <c r="U83" s="2">
        <v>102.20380952380953</v>
      </c>
      <c r="V83" s="2">
        <v>5.8299999999999992</v>
      </c>
      <c r="W83" s="2">
        <v>386.47047619047618</v>
      </c>
      <c r="X83" s="2">
        <v>60.45</v>
      </c>
      <c r="Y83" s="2">
        <v>0.5</v>
      </c>
      <c r="Z83" s="2">
        <v>662.62071428571426</v>
      </c>
    </row>
    <row r="84" spans="1:26" x14ac:dyDescent="0.25">
      <c r="A84" s="1">
        <v>45399</v>
      </c>
      <c r="B84" s="2">
        <v>249.2</v>
      </c>
      <c r="C84" s="2">
        <v>43.5</v>
      </c>
      <c r="D84" s="2">
        <v>16.5</v>
      </c>
      <c r="E84" s="2">
        <v>96.3</v>
      </c>
      <c r="F84" s="2">
        <v>124</v>
      </c>
      <c r="G84" s="2">
        <v>67</v>
      </c>
      <c r="H84" s="2">
        <v>65</v>
      </c>
      <c r="I84" s="2">
        <v>97.1</v>
      </c>
      <c r="J84" s="2">
        <v>132</v>
      </c>
      <c r="K84" s="2">
        <v>82</v>
      </c>
      <c r="L84" s="2">
        <v>69</v>
      </c>
      <c r="M84" s="2">
        <v>8</v>
      </c>
      <c r="N84" s="2">
        <f t="shared" si="3"/>
        <v>35.752571428571429</v>
      </c>
      <c r="O84" s="2">
        <f t="shared" si="2"/>
        <v>30.639085534675949</v>
      </c>
      <c r="P84" t="s">
        <v>26</v>
      </c>
      <c r="Q84" t="s">
        <v>27</v>
      </c>
      <c r="R84" s="2">
        <v>2384.9333333333334</v>
      </c>
      <c r="S84" s="2">
        <v>390.66500000000002</v>
      </c>
      <c r="T84" s="2">
        <v>63.115000000000002</v>
      </c>
      <c r="U84" s="2">
        <v>73.701666666666682</v>
      </c>
      <c r="V84" s="2">
        <v>42.146666666666668</v>
      </c>
      <c r="W84" s="2">
        <v>265.63499999999999</v>
      </c>
      <c r="X84" s="2">
        <v>65.55</v>
      </c>
      <c r="Y84" s="2">
        <v>0.5</v>
      </c>
      <c r="Z84" s="2">
        <v>568.03499999999997</v>
      </c>
    </row>
    <row r="85" spans="1:26" x14ac:dyDescent="0.25">
      <c r="A85" s="1">
        <v>45400</v>
      </c>
      <c r="B85" s="2">
        <v>248.6</v>
      </c>
      <c r="C85" s="2">
        <v>43.5</v>
      </c>
      <c r="D85" s="2">
        <v>16.5</v>
      </c>
      <c r="E85" s="2">
        <v>96.8</v>
      </c>
      <c r="F85" s="2">
        <v>136</v>
      </c>
      <c r="G85" s="2">
        <v>76</v>
      </c>
      <c r="H85" s="2">
        <v>75</v>
      </c>
      <c r="I85" s="2">
        <v>97.2</v>
      </c>
      <c r="J85" s="2">
        <v>135</v>
      </c>
      <c r="K85" s="2">
        <v>76</v>
      </c>
      <c r="L85" s="2">
        <v>72</v>
      </c>
      <c r="M85" s="2">
        <v>2</v>
      </c>
      <c r="N85" s="2">
        <f t="shared" si="3"/>
        <v>35.666489795918366</v>
      </c>
      <c r="O85" s="2">
        <f t="shared" si="2"/>
        <v>30.639085534675949</v>
      </c>
      <c r="P85" t="s">
        <v>27</v>
      </c>
      <c r="Q85" t="s">
        <v>27</v>
      </c>
      <c r="R85" s="2">
        <v>1826.8833333333332</v>
      </c>
      <c r="S85" s="2">
        <v>321.42</v>
      </c>
      <c r="T85" s="2">
        <v>38.720000000000006</v>
      </c>
      <c r="U85" s="2">
        <v>74.12166666666667</v>
      </c>
      <c r="V85" s="2">
        <v>49.881666666666668</v>
      </c>
      <c r="W85" s="2">
        <v>231.05500000000001</v>
      </c>
      <c r="X85" s="2">
        <v>73.900000000000006</v>
      </c>
      <c r="Y85" s="2">
        <v>0.5</v>
      </c>
      <c r="Z85" s="2">
        <v>348.48</v>
      </c>
    </row>
    <row r="86" spans="1:26" x14ac:dyDescent="0.25">
      <c r="A86" s="1">
        <v>45401</v>
      </c>
      <c r="B86" s="2">
        <v>250</v>
      </c>
      <c r="C86" s="2">
        <v>43.5</v>
      </c>
      <c r="D86" s="2">
        <v>16.5</v>
      </c>
      <c r="E86" s="2">
        <v>96.9</v>
      </c>
      <c r="F86" s="2">
        <v>131</v>
      </c>
      <c r="G86" s="2">
        <v>74</v>
      </c>
      <c r="H86" s="2">
        <v>66</v>
      </c>
      <c r="I86" s="2">
        <v>97.3</v>
      </c>
      <c r="J86" s="2">
        <v>136</v>
      </c>
      <c r="K86" s="2">
        <v>77</v>
      </c>
      <c r="L86" s="2">
        <v>73</v>
      </c>
      <c r="M86" s="2">
        <v>9</v>
      </c>
      <c r="N86" s="2">
        <f t="shared" si="3"/>
        <v>35.867346938775512</v>
      </c>
      <c r="O86" s="2">
        <f t="shared" si="2"/>
        <v>30.639085534675949</v>
      </c>
      <c r="P86" t="s">
        <v>26</v>
      </c>
      <c r="Q86" t="s">
        <v>26</v>
      </c>
      <c r="R86" s="2">
        <v>3227.333333333333</v>
      </c>
      <c r="S86" s="2">
        <v>466.72500000000002</v>
      </c>
      <c r="T86" s="2">
        <v>73.174999999999997</v>
      </c>
      <c r="U86" s="2">
        <v>90.541666666666671</v>
      </c>
      <c r="V86" s="2">
        <v>47.56666666666667</v>
      </c>
      <c r="W86" s="2">
        <v>326.67500000000001</v>
      </c>
      <c r="X86" s="2">
        <v>78.75</v>
      </c>
      <c r="Y86" s="2">
        <v>0</v>
      </c>
      <c r="Z86" s="2">
        <v>658.57500000000005</v>
      </c>
    </row>
    <row r="87" spans="1:26" x14ac:dyDescent="0.25">
      <c r="A87" s="1">
        <v>45402</v>
      </c>
      <c r="B87" s="2">
        <v>251</v>
      </c>
      <c r="C87" s="2">
        <v>43.5</v>
      </c>
      <c r="D87" s="2">
        <v>16.5</v>
      </c>
      <c r="E87" s="2">
        <v>96.8</v>
      </c>
      <c r="F87" s="2">
        <v>136</v>
      </c>
      <c r="G87" s="2">
        <v>77</v>
      </c>
      <c r="H87" s="2">
        <v>76</v>
      </c>
      <c r="I87" s="2">
        <v>97.3</v>
      </c>
      <c r="J87" s="2">
        <v>135</v>
      </c>
      <c r="K87" s="2">
        <v>76</v>
      </c>
      <c r="L87" s="2">
        <v>72</v>
      </c>
      <c r="M87" s="2">
        <v>10</v>
      </c>
      <c r="N87" s="2">
        <f t="shared" si="3"/>
        <v>36.010816326530609</v>
      </c>
      <c r="O87" s="2">
        <f t="shared" si="2"/>
        <v>30.639085534675949</v>
      </c>
      <c r="P87" t="s">
        <v>27</v>
      </c>
      <c r="Q87" t="s">
        <v>27</v>
      </c>
      <c r="R87" s="2">
        <v>5149.2775000000001</v>
      </c>
      <c r="S87" s="2">
        <v>797.06784722222221</v>
      </c>
      <c r="T87" s="2">
        <v>134.22624999999999</v>
      </c>
      <c r="U87" s="2">
        <v>136.32965277777777</v>
      </c>
      <c r="V87" s="2">
        <v>17.288888888888888</v>
      </c>
      <c r="W87" s="2">
        <v>638.91187500000001</v>
      </c>
      <c r="X87" s="2">
        <v>103</v>
      </c>
      <c r="Y87" s="2">
        <v>0.5</v>
      </c>
      <c r="Z87" s="2">
        <v>1208.0362500000001</v>
      </c>
    </row>
    <row r="88" spans="1:26" x14ac:dyDescent="0.25">
      <c r="A88" s="1">
        <v>45403</v>
      </c>
      <c r="B88" s="2">
        <v>254.8</v>
      </c>
      <c r="C88" s="2">
        <v>43.5</v>
      </c>
      <c r="D88" s="2">
        <v>16.5</v>
      </c>
      <c r="E88" s="2">
        <v>96.5</v>
      </c>
      <c r="F88" s="2">
        <v>131</v>
      </c>
      <c r="G88" s="2">
        <v>76</v>
      </c>
      <c r="H88" s="2">
        <v>68</v>
      </c>
      <c r="I88" s="2">
        <v>97.2</v>
      </c>
      <c r="J88" s="2">
        <v>136</v>
      </c>
      <c r="K88" s="2">
        <v>77</v>
      </c>
      <c r="L88" s="2">
        <v>73</v>
      </c>
      <c r="M88" s="2">
        <v>10</v>
      </c>
      <c r="N88" s="2">
        <f t="shared" si="3"/>
        <v>36.556000000000004</v>
      </c>
      <c r="O88" s="2">
        <f t="shared" si="2"/>
        <v>30.639085534675949</v>
      </c>
      <c r="P88" t="s">
        <v>27</v>
      </c>
      <c r="Q88" t="s">
        <v>27</v>
      </c>
      <c r="R88" s="2">
        <v>6937.7775000000001</v>
      </c>
      <c r="S88" s="2">
        <v>989.93312500000002</v>
      </c>
      <c r="T88" s="2">
        <v>266.45125000000002</v>
      </c>
      <c r="U88" s="2">
        <v>192.764375</v>
      </c>
      <c r="V88" s="2">
        <v>34.024999999999999</v>
      </c>
      <c r="W88" s="2">
        <v>522.52437499999996</v>
      </c>
      <c r="X88" s="2">
        <v>154</v>
      </c>
      <c r="Y88" s="2">
        <v>0</v>
      </c>
      <c r="Z88" s="2">
        <v>2398.0612499999997</v>
      </c>
    </row>
    <row r="89" spans="1:26" x14ac:dyDescent="0.25">
      <c r="A89" s="1">
        <v>45404</v>
      </c>
      <c r="B89" s="2">
        <v>258</v>
      </c>
      <c r="C89" s="2">
        <v>43.5</v>
      </c>
      <c r="D89" s="2">
        <v>16.5</v>
      </c>
      <c r="E89" s="2">
        <v>96.2</v>
      </c>
      <c r="F89" s="2">
        <v>130</v>
      </c>
      <c r="G89" s="2">
        <v>78</v>
      </c>
      <c r="H89" s="2">
        <v>72</v>
      </c>
      <c r="I89" s="2">
        <v>97.6</v>
      </c>
      <c r="J89" s="2">
        <v>130</v>
      </c>
      <c r="K89" s="2">
        <v>72</v>
      </c>
      <c r="L89" s="2">
        <v>69</v>
      </c>
      <c r="M89" s="2">
        <v>8</v>
      </c>
      <c r="N89" s="2">
        <f t="shared" si="3"/>
        <v>37.015102040816323</v>
      </c>
      <c r="O89" s="2">
        <f t="shared" si="2"/>
        <v>30.639085534675949</v>
      </c>
      <c r="P89" t="s">
        <v>27</v>
      </c>
      <c r="Q89" t="s">
        <v>27</v>
      </c>
      <c r="R89" s="2">
        <v>1985.5549999999998</v>
      </c>
      <c r="S89" s="2">
        <v>303.86625000000004</v>
      </c>
      <c r="T89" s="2">
        <v>64.902500000000003</v>
      </c>
      <c r="U89" s="2">
        <v>49.528750000000002</v>
      </c>
      <c r="V89" s="2">
        <v>6.05</v>
      </c>
      <c r="W89" s="2">
        <v>208.04874999999998</v>
      </c>
      <c r="X89" s="2">
        <v>63</v>
      </c>
      <c r="Y89" s="2">
        <v>0</v>
      </c>
      <c r="Z89" s="2">
        <v>584.12249999999995</v>
      </c>
    </row>
    <row r="90" spans="1:26" x14ac:dyDescent="0.25">
      <c r="A90" s="1">
        <v>45405</v>
      </c>
      <c r="B90" s="2">
        <v>254.4</v>
      </c>
      <c r="C90" s="2">
        <v>43.5</v>
      </c>
      <c r="D90" s="2">
        <v>16.5</v>
      </c>
      <c r="E90" s="2">
        <v>96.8</v>
      </c>
      <c r="F90" s="2">
        <v>132</v>
      </c>
      <c r="G90" s="2">
        <v>72</v>
      </c>
      <c r="H90" s="2">
        <v>64</v>
      </c>
      <c r="I90" s="2">
        <v>96.2</v>
      </c>
      <c r="J90" s="2">
        <v>119</v>
      </c>
      <c r="K90" s="2">
        <v>73</v>
      </c>
      <c r="L90" s="2">
        <v>63</v>
      </c>
      <c r="M90" s="2">
        <v>10</v>
      </c>
      <c r="N90" s="2">
        <f t="shared" si="3"/>
        <v>36.498612244897963</v>
      </c>
      <c r="O90" s="2">
        <f t="shared" si="2"/>
        <v>30.639085534675949</v>
      </c>
      <c r="P90" t="s">
        <v>26</v>
      </c>
      <c r="Q90" t="s">
        <v>26</v>
      </c>
      <c r="R90" s="2">
        <v>2473.7108333333331</v>
      </c>
      <c r="S90" s="2">
        <v>310.198125</v>
      </c>
      <c r="T90" s="2">
        <v>86.866250000000008</v>
      </c>
      <c r="U90" s="2">
        <v>96.066041666666663</v>
      </c>
      <c r="V90" s="2">
        <v>29.471666666666664</v>
      </c>
      <c r="W90" s="2">
        <v>154.55937500000002</v>
      </c>
      <c r="X90" s="2">
        <v>25.55</v>
      </c>
      <c r="Y90" s="2">
        <v>2</v>
      </c>
      <c r="Z90" s="2">
        <v>781.7962500000001</v>
      </c>
    </row>
    <row r="91" spans="1:26" x14ac:dyDescent="0.25">
      <c r="A91" s="1">
        <v>45406</v>
      </c>
      <c r="B91" s="2">
        <v>253</v>
      </c>
      <c r="C91" s="2">
        <v>44</v>
      </c>
      <c r="D91" s="2">
        <v>16.5</v>
      </c>
      <c r="E91" s="2">
        <v>95.8</v>
      </c>
      <c r="F91" s="2">
        <v>141</v>
      </c>
      <c r="G91" s="2">
        <v>77</v>
      </c>
      <c r="H91" s="2">
        <v>68</v>
      </c>
      <c r="I91" s="2">
        <v>97.3</v>
      </c>
      <c r="J91" s="2">
        <v>128</v>
      </c>
      <c r="K91" s="2">
        <v>74</v>
      </c>
      <c r="L91" s="2">
        <v>77</v>
      </c>
      <c r="M91" s="2">
        <v>5</v>
      </c>
      <c r="N91" s="2">
        <f t="shared" si="3"/>
        <v>36.297755102040817</v>
      </c>
      <c r="O91" s="2">
        <f t="shared" si="2"/>
        <v>31.324493175702337</v>
      </c>
      <c r="P91" t="s">
        <v>26</v>
      </c>
      <c r="Q91" t="s">
        <v>26</v>
      </c>
      <c r="R91" s="2">
        <v>3155.1333333333332</v>
      </c>
      <c r="S91" s="2">
        <v>326.05972222222221</v>
      </c>
      <c r="T91" s="2">
        <v>128.44999999999999</v>
      </c>
      <c r="U91" s="2">
        <v>157.00694444444446</v>
      </c>
      <c r="V91" s="2">
        <v>24.130555555555553</v>
      </c>
      <c r="W91" s="2">
        <v>197.26250000000002</v>
      </c>
      <c r="X91" s="2">
        <v>29.75</v>
      </c>
      <c r="Y91" s="2">
        <v>1</v>
      </c>
      <c r="Z91" s="2">
        <v>1156.05</v>
      </c>
    </row>
    <row r="92" spans="1:26" x14ac:dyDescent="0.25">
      <c r="A92" s="1">
        <v>45407</v>
      </c>
      <c r="B92" s="2">
        <v>254.4</v>
      </c>
      <c r="C92" s="2">
        <v>43.5</v>
      </c>
      <c r="D92" s="2">
        <v>16.5</v>
      </c>
      <c r="E92" s="2">
        <v>95.9</v>
      </c>
      <c r="F92" s="2">
        <v>140</v>
      </c>
      <c r="G92" s="2">
        <v>74</v>
      </c>
      <c r="H92" s="2">
        <v>72</v>
      </c>
      <c r="I92" s="2">
        <v>97.2</v>
      </c>
      <c r="J92" s="2">
        <v>120</v>
      </c>
      <c r="K92" s="2">
        <v>78</v>
      </c>
      <c r="L92" s="2">
        <v>72</v>
      </c>
      <c r="M92" s="2">
        <v>7</v>
      </c>
      <c r="N92" s="2">
        <f t="shared" si="3"/>
        <v>36.498612244897963</v>
      </c>
      <c r="O92" s="2">
        <f t="shared" si="2"/>
        <v>30.639085534675949</v>
      </c>
      <c r="P92" t="s">
        <v>26</v>
      </c>
      <c r="Q92" t="s">
        <v>27</v>
      </c>
      <c r="R92" s="2">
        <v>2717.6</v>
      </c>
      <c r="S92" s="2">
        <v>268.66944444444448</v>
      </c>
      <c r="T92" s="2">
        <v>125.25000000000001</v>
      </c>
      <c r="U92" s="2">
        <v>165.53055555555559</v>
      </c>
      <c r="V92" s="2">
        <v>10.327777777777776</v>
      </c>
      <c r="W92" s="2">
        <v>234.97500000000002</v>
      </c>
      <c r="X92" s="2">
        <v>75</v>
      </c>
      <c r="Y92" s="2">
        <v>0</v>
      </c>
      <c r="Z92" s="2">
        <v>1127.25</v>
      </c>
    </row>
    <row r="93" spans="1:26" x14ac:dyDescent="0.25">
      <c r="A93" s="1">
        <v>45408</v>
      </c>
      <c r="B93" s="2">
        <v>252.4</v>
      </c>
      <c r="C93" s="2">
        <v>43.5</v>
      </c>
      <c r="D93" s="2">
        <v>16.5</v>
      </c>
      <c r="E93" s="2">
        <v>95.9</v>
      </c>
      <c r="F93" s="2">
        <v>135</v>
      </c>
      <c r="G93" s="2">
        <v>76</v>
      </c>
      <c r="H93" s="2">
        <v>74</v>
      </c>
      <c r="I93" s="2">
        <v>96.2</v>
      </c>
      <c r="J93" s="2">
        <v>148</v>
      </c>
      <c r="K93" s="2">
        <v>80</v>
      </c>
      <c r="L93" s="2">
        <v>77</v>
      </c>
      <c r="M93" s="2">
        <v>5</v>
      </c>
      <c r="N93" s="2">
        <f t="shared" si="3"/>
        <v>36.211673469387755</v>
      </c>
      <c r="O93" s="2">
        <f t="shared" si="2"/>
        <v>30.639085534675949</v>
      </c>
      <c r="P93" t="s">
        <v>27</v>
      </c>
      <c r="Q93" t="s">
        <v>27</v>
      </c>
      <c r="R93" s="2">
        <v>7706.8</v>
      </c>
      <c r="S93" s="2">
        <v>934.53472222222229</v>
      </c>
      <c r="T93" s="2">
        <v>327.47499999999997</v>
      </c>
      <c r="U93" s="2">
        <v>276.46527777777777</v>
      </c>
      <c r="V93" s="2">
        <v>28.763888888888889</v>
      </c>
      <c r="W93" s="2">
        <v>523.58749999999998</v>
      </c>
      <c r="X93" s="2">
        <v>98.666666666666671</v>
      </c>
      <c r="Y93" s="2">
        <v>0</v>
      </c>
      <c r="Z93" s="2">
        <v>2947.2750000000001</v>
      </c>
    </row>
    <row r="94" spans="1:26" x14ac:dyDescent="0.25">
      <c r="A94" s="1">
        <v>45409</v>
      </c>
      <c r="B94" s="2">
        <v>255.8</v>
      </c>
      <c r="C94" s="2">
        <v>44</v>
      </c>
      <c r="D94" s="2">
        <v>16.5</v>
      </c>
      <c r="E94" s="2">
        <v>98</v>
      </c>
      <c r="F94" s="2">
        <v>159</v>
      </c>
      <c r="G94" s="2">
        <v>83</v>
      </c>
      <c r="H94" s="2">
        <v>87</v>
      </c>
      <c r="I94" s="2">
        <v>96.9</v>
      </c>
      <c r="J94" s="2">
        <v>148</v>
      </c>
      <c r="K94" s="2">
        <v>81</v>
      </c>
      <c r="L94" s="2">
        <v>82</v>
      </c>
      <c r="M94" s="2">
        <v>8</v>
      </c>
      <c r="N94" s="2">
        <f t="shared" si="3"/>
        <v>36.699469387755101</v>
      </c>
      <c r="O94" s="2">
        <f t="shared" si="2"/>
        <v>31.324493175702337</v>
      </c>
      <c r="P94" t="s">
        <v>27</v>
      </c>
      <c r="Q94" t="s">
        <v>27</v>
      </c>
      <c r="R94" s="2">
        <v>6005.7866666666669</v>
      </c>
      <c r="S94" s="2">
        <v>970.16666666666674</v>
      </c>
      <c r="T94" s="2">
        <v>195.5</v>
      </c>
      <c r="U94" s="2">
        <v>95.833333333333343</v>
      </c>
      <c r="V94" s="2">
        <v>36.256666666666668</v>
      </c>
      <c r="W94" s="2">
        <v>653.99</v>
      </c>
      <c r="X94" s="2">
        <v>126.7</v>
      </c>
      <c r="Y94" s="2">
        <v>0</v>
      </c>
      <c r="Z94" s="2">
        <v>1759.5</v>
      </c>
    </row>
    <row r="95" spans="1:26" x14ac:dyDescent="0.25">
      <c r="A95" s="1">
        <v>45410</v>
      </c>
      <c r="B95" s="2">
        <v>255.6</v>
      </c>
      <c r="C95" s="2">
        <v>44.5</v>
      </c>
      <c r="D95" s="2">
        <v>16.5</v>
      </c>
      <c r="E95" s="2">
        <v>96.4</v>
      </c>
      <c r="F95" s="2">
        <v>132</v>
      </c>
      <c r="G95" s="2">
        <v>81</v>
      </c>
      <c r="H95" s="2">
        <v>62</v>
      </c>
      <c r="I95" s="2">
        <v>96.9</v>
      </c>
      <c r="J95" s="2">
        <v>120</v>
      </c>
      <c r="K95" s="2">
        <v>66</v>
      </c>
      <c r="L95" s="2">
        <v>67</v>
      </c>
      <c r="M95" s="2">
        <v>7</v>
      </c>
      <c r="N95" s="2">
        <f t="shared" si="3"/>
        <v>36.670775510204081</v>
      </c>
      <c r="O95" s="2">
        <f t="shared" si="2"/>
        <v>31.997550455105717</v>
      </c>
      <c r="P95" t="s">
        <v>26</v>
      </c>
      <c r="Q95" t="s">
        <v>26</v>
      </c>
      <c r="R95" s="2">
        <v>1501.3583333333331</v>
      </c>
      <c r="S95" s="2">
        <v>99.205555555555549</v>
      </c>
      <c r="T95" s="2">
        <v>76.7</v>
      </c>
      <c r="U95" s="2">
        <v>110.48611111111113</v>
      </c>
      <c r="V95" s="2">
        <v>12.234722222222221</v>
      </c>
      <c r="W95" s="2">
        <v>28.254166666666666</v>
      </c>
      <c r="X95" s="2">
        <v>15</v>
      </c>
      <c r="Y95" s="2">
        <v>2.5</v>
      </c>
      <c r="Z95" s="2">
        <v>690.3</v>
      </c>
    </row>
    <row r="96" spans="1:26" x14ac:dyDescent="0.25">
      <c r="A96" s="1">
        <v>45411</v>
      </c>
      <c r="B96" s="2">
        <v>253.4</v>
      </c>
      <c r="C96" s="2">
        <v>44.5</v>
      </c>
      <c r="D96" s="2">
        <v>16.5</v>
      </c>
      <c r="E96" s="2">
        <v>96.8</v>
      </c>
      <c r="F96" s="2">
        <v>114</v>
      </c>
      <c r="G96" s="2">
        <v>67</v>
      </c>
      <c r="H96" s="2">
        <v>62</v>
      </c>
      <c r="I96" s="2">
        <v>96.3</v>
      </c>
      <c r="J96" s="2">
        <v>139</v>
      </c>
      <c r="K96" s="2">
        <v>74</v>
      </c>
      <c r="L96" s="2">
        <v>62</v>
      </c>
      <c r="M96" s="2">
        <v>6.5</v>
      </c>
      <c r="N96" s="2">
        <f t="shared" si="3"/>
        <v>36.355142857142859</v>
      </c>
      <c r="O96" s="2">
        <f t="shared" si="2"/>
        <v>31.997550455105717</v>
      </c>
      <c r="P96" t="s">
        <v>26</v>
      </c>
      <c r="Q96" t="s">
        <v>26</v>
      </c>
      <c r="R96" s="2">
        <v>1293.1566666666668</v>
      </c>
      <c r="S96" s="2">
        <v>101.54700000000001</v>
      </c>
      <c r="T96" s="2">
        <v>63.729333333333336</v>
      </c>
      <c r="U96" s="2">
        <v>79.132000000000005</v>
      </c>
      <c r="V96" s="2">
        <v>37.317666666666668</v>
      </c>
      <c r="W96" s="2">
        <v>25.539666666666665</v>
      </c>
      <c r="X96" s="2">
        <v>20.73</v>
      </c>
      <c r="Y96" s="2">
        <v>3</v>
      </c>
      <c r="Z96" s="2">
        <v>573.56399999999996</v>
      </c>
    </row>
    <row r="97" spans="1:26" x14ac:dyDescent="0.25">
      <c r="A97" s="1">
        <v>45412</v>
      </c>
      <c r="B97" s="2">
        <v>253.4</v>
      </c>
      <c r="C97" s="2">
        <v>44</v>
      </c>
      <c r="D97" s="2">
        <v>16.5</v>
      </c>
      <c r="E97" s="2">
        <v>95.7</v>
      </c>
      <c r="F97" s="2">
        <v>128</v>
      </c>
      <c r="G97" s="2">
        <v>61</v>
      </c>
      <c r="H97" s="2">
        <v>69</v>
      </c>
      <c r="I97" s="2">
        <v>96.8</v>
      </c>
      <c r="J97" s="2">
        <v>120</v>
      </c>
      <c r="K97" s="2">
        <v>79</v>
      </c>
      <c r="L97" s="2">
        <v>66</v>
      </c>
      <c r="M97" s="2">
        <v>5</v>
      </c>
      <c r="N97" s="2">
        <f t="shared" si="3"/>
        <v>36.355142857142859</v>
      </c>
      <c r="O97" s="2">
        <f t="shared" si="2"/>
        <v>31.324493175702337</v>
      </c>
      <c r="P97" t="s">
        <v>26</v>
      </c>
      <c r="Q97" t="s">
        <v>26</v>
      </c>
      <c r="R97" s="2">
        <v>2740.1949999999997</v>
      </c>
      <c r="S97" s="2">
        <v>193.24499999999998</v>
      </c>
      <c r="T97" s="2">
        <v>153.24</v>
      </c>
      <c r="U97" s="2">
        <v>148.85499999999999</v>
      </c>
      <c r="V97" s="2">
        <v>13.184999999999999</v>
      </c>
      <c r="W97" s="2">
        <v>40.587499999999999</v>
      </c>
      <c r="X97" s="2">
        <v>25</v>
      </c>
      <c r="Y97" s="2">
        <v>4</v>
      </c>
      <c r="Z97" s="2">
        <v>1379.16</v>
      </c>
    </row>
    <row r="98" spans="1:26" x14ac:dyDescent="0.25">
      <c r="A98" s="1">
        <v>45413</v>
      </c>
      <c r="B98" s="2">
        <v>253.4</v>
      </c>
      <c r="C98" s="2">
        <v>44</v>
      </c>
      <c r="D98" s="2">
        <v>16.5</v>
      </c>
      <c r="E98" s="2">
        <v>97</v>
      </c>
      <c r="F98" s="2">
        <v>128</v>
      </c>
      <c r="G98" s="2">
        <v>82</v>
      </c>
      <c r="H98" s="2">
        <v>76</v>
      </c>
      <c r="I98" s="2">
        <v>96.4</v>
      </c>
      <c r="J98" s="2">
        <v>122</v>
      </c>
      <c r="K98" s="2">
        <v>73</v>
      </c>
      <c r="L98" s="2">
        <v>61</v>
      </c>
      <c r="M98" s="2">
        <v>2</v>
      </c>
      <c r="N98" s="2">
        <f t="shared" si="3"/>
        <v>36.355142857142859</v>
      </c>
      <c r="O98" s="2">
        <f t="shared" si="2"/>
        <v>31.324493175702337</v>
      </c>
      <c r="P98" t="s">
        <v>26</v>
      </c>
      <c r="Q98" t="s">
        <v>26</v>
      </c>
      <c r="R98" s="2">
        <v>1731.3566666666666</v>
      </c>
      <c r="S98" s="2">
        <v>208.52799999999999</v>
      </c>
      <c r="T98" s="2">
        <v>59.829333333333338</v>
      </c>
      <c r="U98" s="2">
        <v>86.525000000000006</v>
      </c>
      <c r="V98" s="2">
        <v>41.031666666666666</v>
      </c>
      <c r="W98" s="2">
        <v>106.81366666666666</v>
      </c>
      <c r="X98" s="2">
        <v>23.54</v>
      </c>
      <c r="Y98" s="2">
        <v>2.5</v>
      </c>
      <c r="Z98" s="2">
        <v>538.46399999999994</v>
      </c>
    </row>
    <row r="99" spans="1:26" x14ac:dyDescent="0.25">
      <c r="A99" s="1">
        <v>45414</v>
      </c>
      <c r="B99" s="2">
        <v>250.4</v>
      </c>
      <c r="C99" s="2">
        <v>44</v>
      </c>
      <c r="D99" s="2">
        <v>16.5</v>
      </c>
      <c r="E99" s="2">
        <v>96.7</v>
      </c>
      <c r="F99" s="2">
        <v>127</v>
      </c>
      <c r="G99" s="2">
        <v>73</v>
      </c>
      <c r="H99" s="2">
        <v>58</v>
      </c>
      <c r="I99" s="2">
        <v>96.3</v>
      </c>
      <c r="J99" s="2">
        <v>126</v>
      </c>
      <c r="K99" s="2">
        <v>77</v>
      </c>
      <c r="L99" s="2">
        <v>62</v>
      </c>
      <c r="M99" s="2">
        <v>10</v>
      </c>
      <c r="N99" s="2">
        <f t="shared" si="3"/>
        <v>35.924734693877546</v>
      </c>
      <c r="O99" s="2">
        <f t="shared" si="2"/>
        <v>31.324493175702337</v>
      </c>
      <c r="P99" t="s">
        <v>26</v>
      </c>
      <c r="Q99" t="s">
        <v>26</v>
      </c>
      <c r="R99" s="2">
        <v>2851.8975</v>
      </c>
      <c r="S99" s="2">
        <v>267.30999999999995</v>
      </c>
      <c r="T99" s="2">
        <v>141.79500000000002</v>
      </c>
      <c r="U99" s="2">
        <v>125.465</v>
      </c>
      <c r="V99" s="2">
        <v>19.27375</v>
      </c>
      <c r="W99" s="2">
        <v>104.0125</v>
      </c>
      <c r="X99" s="2">
        <v>21</v>
      </c>
      <c r="Y99" s="2">
        <v>2</v>
      </c>
      <c r="Z99" s="2">
        <v>1276.155</v>
      </c>
    </row>
    <row r="100" spans="1:26" x14ac:dyDescent="0.25">
      <c r="A100" s="1">
        <v>45415</v>
      </c>
      <c r="B100" s="2">
        <v>250</v>
      </c>
      <c r="C100" s="2">
        <v>43.5</v>
      </c>
      <c r="D100" s="2">
        <v>16.5</v>
      </c>
      <c r="E100" s="2">
        <v>96</v>
      </c>
      <c r="F100" s="2">
        <v>141</v>
      </c>
      <c r="G100" s="2">
        <v>77</v>
      </c>
      <c r="H100" s="2">
        <v>61</v>
      </c>
      <c r="I100" s="2">
        <v>96.6</v>
      </c>
      <c r="J100" s="2">
        <v>123</v>
      </c>
      <c r="K100" s="2">
        <v>84</v>
      </c>
      <c r="L100" s="2">
        <v>66</v>
      </c>
      <c r="M100" s="2">
        <v>8</v>
      </c>
      <c r="N100" s="2">
        <f t="shared" si="3"/>
        <v>35.867346938775512</v>
      </c>
      <c r="O100" s="2">
        <f t="shared" si="2"/>
        <v>30.639085534675949</v>
      </c>
      <c r="P100" t="s">
        <v>27</v>
      </c>
      <c r="Q100" t="s">
        <v>27</v>
      </c>
      <c r="R100" s="2">
        <v>3982.0666666666666</v>
      </c>
      <c r="S100" s="2">
        <v>648.2940000000001</v>
      </c>
      <c r="T100" s="2">
        <v>113.22833333333335</v>
      </c>
      <c r="U100" s="2">
        <v>120.35200000000002</v>
      </c>
      <c r="V100" s="2">
        <v>48.450166666666668</v>
      </c>
      <c r="W100" s="2">
        <v>475.33016666666663</v>
      </c>
      <c r="X100" s="2">
        <v>124.39</v>
      </c>
      <c r="Y100" s="2">
        <v>1</v>
      </c>
      <c r="Z100" s="2">
        <v>1019.0550000000001</v>
      </c>
    </row>
    <row r="101" spans="1:26" x14ac:dyDescent="0.25">
      <c r="A101" s="1">
        <v>45416</v>
      </c>
      <c r="B101" s="2">
        <v>251.4</v>
      </c>
      <c r="C101" s="2">
        <v>43</v>
      </c>
      <c r="D101" s="2">
        <v>16.5</v>
      </c>
      <c r="E101" s="2">
        <v>96.4</v>
      </c>
      <c r="F101" s="2">
        <v>145</v>
      </c>
      <c r="G101" s="2">
        <v>77</v>
      </c>
      <c r="H101" s="2">
        <v>72</v>
      </c>
      <c r="I101" s="2">
        <v>97.6</v>
      </c>
      <c r="J101" s="2">
        <v>136</v>
      </c>
      <c r="K101" s="2">
        <v>72</v>
      </c>
      <c r="L101" s="2">
        <v>73</v>
      </c>
      <c r="M101" s="2">
        <v>7.5</v>
      </c>
      <c r="N101" s="2">
        <f t="shared" si="3"/>
        <v>36.068204081632651</v>
      </c>
      <c r="O101" s="2">
        <f t="shared" si="2"/>
        <v>29.940865796666294</v>
      </c>
      <c r="P101" t="s">
        <v>27</v>
      </c>
      <c r="Q101" t="s">
        <v>27</v>
      </c>
      <c r="R101" s="2">
        <v>4340.2266666666665</v>
      </c>
      <c r="S101" s="2">
        <v>671.29300000000012</v>
      </c>
      <c r="T101" s="2">
        <v>139.17233333333334</v>
      </c>
      <c r="U101" s="2">
        <v>134.52300000000002</v>
      </c>
      <c r="V101" s="2">
        <v>60.768166666666666</v>
      </c>
      <c r="W101" s="2">
        <v>472.61616666666669</v>
      </c>
      <c r="X101" s="2">
        <v>128.52000000000001</v>
      </c>
      <c r="Y101" s="2">
        <v>0.5</v>
      </c>
      <c r="Z101" s="2">
        <v>1252.5509999999999</v>
      </c>
    </row>
    <row r="102" spans="1:26" x14ac:dyDescent="0.25">
      <c r="A102" s="1">
        <v>45417</v>
      </c>
      <c r="B102" s="2">
        <v>250.8</v>
      </c>
      <c r="C102" s="2">
        <v>43.5</v>
      </c>
      <c r="D102" s="2">
        <v>16.5</v>
      </c>
      <c r="E102" s="2">
        <v>96.3</v>
      </c>
      <c r="F102" s="2">
        <v>111</v>
      </c>
      <c r="G102" s="2">
        <v>80</v>
      </c>
      <c r="H102" s="2">
        <v>65</v>
      </c>
      <c r="I102" s="2">
        <v>97.1</v>
      </c>
      <c r="J102" s="2">
        <v>135</v>
      </c>
      <c r="K102" s="2">
        <v>76</v>
      </c>
      <c r="L102" s="2">
        <v>71</v>
      </c>
      <c r="M102" s="2">
        <v>10</v>
      </c>
      <c r="N102" s="2">
        <f t="shared" si="3"/>
        <v>35.982122448979595</v>
      </c>
      <c r="O102" s="2">
        <f t="shared" si="2"/>
        <v>30.639085534675949</v>
      </c>
      <c r="P102" t="s">
        <v>27</v>
      </c>
      <c r="Q102" t="s">
        <v>27</v>
      </c>
      <c r="R102" s="2">
        <v>6197.8975</v>
      </c>
      <c r="S102" s="2">
        <v>850.51</v>
      </c>
      <c r="T102" s="2">
        <v>259.79499999999996</v>
      </c>
      <c r="U102" s="2">
        <v>149.46500000000003</v>
      </c>
      <c r="V102" s="2">
        <v>26.27375</v>
      </c>
      <c r="W102" s="2">
        <v>620.61249999999995</v>
      </c>
      <c r="X102" s="2">
        <v>115</v>
      </c>
      <c r="Y102" s="2">
        <v>0.5</v>
      </c>
      <c r="Z102" s="2">
        <v>2338.1550000000002</v>
      </c>
    </row>
    <row r="103" spans="1:26" x14ac:dyDescent="0.25">
      <c r="A103" s="1">
        <v>45418</v>
      </c>
      <c r="B103" s="2">
        <v>252.2</v>
      </c>
      <c r="C103" s="2">
        <v>43</v>
      </c>
      <c r="D103" s="2">
        <v>16.5</v>
      </c>
      <c r="E103" s="2">
        <v>96.2</v>
      </c>
      <c r="F103" s="2">
        <v>128</v>
      </c>
      <c r="G103" s="2">
        <v>90</v>
      </c>
      <c r="H103" s="2">
        <v>75</v>
      </c>
      <c r="I103" s="2">
        <v>97.2</v>
      </c>
      <c r="J103" s="2">
        <v>134</v>
      </c>
      <c r="K103" s="2">
        <v>77</v>
      </c>
      <c r="L103" s="2">
        <v>72</v>
      </c>
      <c r="M103" s="2">
        <v>12</v>
      </c>
      <c r="N103" s="2">
        <f t="shared" si="3"/>
        <v>36.182979591836734</v>
      </c>
      <c r="O103" s="2">
        <f t="shared" si="2"/>
        <v>29.940865796666294</v>
      </c>
      <c r="P103" t="s">
        <v>27</v>
      </c>
      <c r="Q103" t="s">
        <v>27</v>
      </c>
      <c r="R103" s="2">
        <v>7687</v>
      </c>
      <c r="S103" s="2">
        <v>1192.5999999999999</v>
      </c>
      <c r="T103" s="2">
        <v>255.2</v>
      </c>
      <c r="U103" s="2">
        <v>206.4</v>
      </c>
      <c r="V103" s="2">
        <v>44.2</v>
      </c>
      <c r="W103" s="2">
        <v>808</v>
      </c>
      <c r="X103" s="2">
        <v>155</v>
      </c>
      <c r="Y103" s="2">
        <v>0.5</v>
      </c>
      <c r="Z103" s="2">
        <v>2296.8000000000002</v>
      </c>
    </row>
    <row r="104" spans="1:26" x14ac:dyDescent="0.25">
      <c r="A104" s="1">
        <v>45419</v>
      </c>
      <c r="B104" s="2">
        <v>257.8</v>
      </c>
      <c r="C104" s="2">
        <v>44</v>
      </c>
      <c r="D104" s="2">
        <v>16.5</v>
      </c>
      <c r="E104" s="2">
        <v>96.5</v>
      </c>
      <c r="F104" s="2">
        <v>132</v>
      </c>
      <c r="G104" s="2">
        <v>76</v>
      </c>
      <c r="H104" s="2">
        <v>68</v>
      </c>
      <c r="I104" s="2">
        <v>97.9</v>
      </c>
      <c r="J104" s="2">
        <v>145</v>
      </c>
      <c r="K104" s="2">
        <v>109</v>
      </c>
      <c r="L104" s="2">
        <v>76</v>
      </c>
      <c r="M104" s="2">
        <v>9</v>
      </c>
      <c r="N104" s="2">
        <f t="shared" si="3"/>
        <v>36.98640816326531</v>
      </c>
      <c r="O104" s="2">
        <f t="shared" si="2"/>
        <v>31.324493175702337</v>
      </c>
      <c r="P104" t="s">
        <v>26</v>
      </c>
      <c r="Q104" t="s">
        <v>26</v>
      </c>
      <c r="R104" s="2">
        <v>1855.9666666666667</v>
      </c>
      <c r="S104" s="2">
        <v>290.07400000000001</v>
      </c>
      <c r="T104" s="2">
        <v>42.768333333333331</v>
      </c>
      <c r="U104" s="2">
        <v>64.282000000000011</v>
      </c>
      <c r="V104" s="2">
        <v>16.602666666666664</v>
      </c>
      <c r="W104" s="2">
        <v>192.78766666666667</v>
      </c>
      <c r="X104" s="2">
        <v>63.34</v>
      </c>
      <c r="Y104" s="2">
        <v>0.5</v>
      </c>
      <c r="Z104" s="2">
        <v>384.91500000000002</v>
      </c>
    </row>
    <row r="105" spans="1:26" x14ac:dyDescent="0.25">
      <c r="A105" s="1">
        <v>45420</v>
      </c>
      <c r="B105" s="2">
        <v>258.2</v>
      </c>
      <c r="C105" s="2">
        <v>44.5</v>
      </c>
      <c r="D105" s="2">
        <v>16.5</v>
      </c>
      <c r="E105" s="2">
        <v>97.8</v>
      </c>
      <c r="F105" s="2">
        <v>140</v>
      </c>
      <c r="G105" s="2">
        <v>75</v>
      </c>
      <c r="H105" s="2">
        <v>76</v>
      </c>
      <c r="I105" s="2">
        <v>97.8</v>
      </c>
      <c r="J105" s="2">
        <v>111</v>
      </c>
      <c r="K105" s="2">
        <v>73</v>
      </c>
      <c r="L105" s="2">
        <v>79</v>
      </c>
      <c r="M105" s="2">
        <v>8</v>
      </c>
      <c r="N105" s="2">
        <f t="shared" si="3"/>
        <v>37.043795918367344</v>
      </c>
      <c r="O105" s="2">
        <f t="shared" si="2"/>
        <v>31.997550455105717</v>
      </c>
      <c r="P105" t="s">
        <v>27</v>
      </c>
      <c r="Q105" t="s">
        <v>27</v>
      </c>
      <c r="R105" s="2">
        <v>1957.58</v>
      </c>
      <c r="S105" s="2">
        <v>233.24</v>
      </c>
      <c r="T105" s="2">
        <v>77.650000000000006</v>
      </c>
      <c r="U105" s="2">
        <v>78.52</v>
      </c>
      <c r="V105" s="2">
        <v>18.47</v>
      </c>
      <c r="W105" s="2">
        <v>126.67</v>
      </c>
      <c r="X105" s="2">
        <v>31.23</v>
      </c>
      <c r="Y105" s="2">
        <v>0.5</v>
      </c>
      <c r="Z105" s="2">
        <v>687.54</v>
      </c>
    </row>
    <row r="106" spans="1:26" x14ac:dyDescent="0.25">
      <c r="A106" s="1">
        <v>45421</v>
      </c>
      <c r="B106" s="2">
        <v>256.60000000000002</v>
      </c>
      <c r="C106" s="2">
        <v>44.5</v>
      </c>
      <c r="D106" s="2">
        <v>16.5</v>
      </c>
      <c r="E106" s="2">
        <v>96.5</v>
      </c>
      <c r="F106" s="2">
        <v>132</v>
      </c>
      <c r="G106" s="2">
        <v>76</v>
      </c>
      <c r="H106" s="2">
        <v>68</v>
      </c>
      <c r="I106" s="2">
        <v>97.1</v>
      </c>
      <c r="J106" s="2">
        <v>134</v>
      </c>
      <c r="K106" s="2">
        <v>76</v>
      </c>
      <c r="L106" s="2">
        <v>72</v>
      </c>
      <c r="M106" s="2">
        <v>8</v>
      </c>
      <c r="N106" s="2">
        <f t="shared" si="3"/>
        <v>36.814244897959192</v>
      </c>
      <c r="O106" s="2">
        <f t="shared" si="2"/>
        <v>31.997550455105717</v>
      </c>
      <c r="P106" t="s">
        <v>26</v>
      </c>
      <c r="Q106" t="s">
        <v>26</v>
      </c>
      <c r="R106" s="2">
        <v>1957.58</v>
      </c>
      <c r="S106" s="2">
        <v>233.24</v>
      </c>
      <c r="T106" s="2">
        <v>77.650000000000006</v>
      </c>
      <c r="U106" s="2">
        <v>78.52</v>
      </c>
      <c r="V106" s="2">
        <v>18.47</v>
      </c>
      <c r="W106" s="2">
        <v>126.67</v>
      </c>
      <c r="X106" s="2">
        <v>31.23</v>
      </c>
      <c r="Y106" s="2">
        <v>0.5</v>
      </c>
      <c r="Z106" s="2">
        <v>687.54</v>
      </c>
    </row>
    <row r="107" spans="1:26" x14ac:dyDescent="0.25">
      <c r="A107" s="1">
        <v>45422</v>
      </c>
      <c r="B107" s="2">
        <v>255.6</v>
      </c>
      <c r="C107" s="2">
        <v>44.5</v>
      </c>
      <c r="D107" s="2">
        <v>16.5</v>
      </c>
      <c r="E107" s="2">
        <v>96.9</v>
      </c>
      <c r="F107" s="2">
        <v>136</v>
      </c>
      <c r="G107" s="2">
        <v>84</v>
      </c>
      <c r="H107" s="2">
        <v>77</v>
      </c>
      <c r="I107" s="2">
        <v>96.1</v>
      </c>
      <c r="J107" s="2">
        <v>127</v>
      </c>
      <c r="K107" s="2">
        <v>78</v>
      </c>
      <c r="L107" s="2">
        <v>74</v>
      </c>
      <c r="M107" s="2">
        <v>4.5</v>
      </c>
      <c r="N107" s="2">
        <f t="shared" si="3"/>
        <v>36.670775510204081</v>
      </c>
      <c r="O107" s="2">
        <f t="shared" si="2"/>
        <v>31.997550455105717</v>
      </c>
      <c r="P107" t="s">
        <v>27</v>
      </c>
      <c r="Q107" t="s">
        <v>26</v>
      </c>
      <c r="R107" s="2">
        <v>2466.2033333333334</v>
      </c>
      <c r="S107" s="2">
        <v>299.18766666666664</v>
      </c>
      <c r="T107" s="2">
        <v>90.930500000000009</v>
      </c>
      <c r="U107" s="2">
        <v>123.55766666666668</v>
      </c>
      <c r="V107" s="2">
        <v>52.454666666666661</v>
      </c>
      <c r="W107" s="2">
        <v>138.76400000000001</v>
      </c>
      <c r="X107" s="2">
        <v>25.540000000000003</v>
      </c>
      <c r="Y107" s="2">
        <v>1</v>
      </c>
      <c r="Z107" s="2">
        <v>818.37450000000013</v>
      </c>
    </row>
    <row r="108" spans="1:26" x14ac:dyDescent="0.25">
      <c r="A108" s="1">
        <v>45423</v>
      </c>
      <c r="B108" s="2">
        <v>255.4</v>
      </c>
      <c r="C108" s="2">
        <v>44</v>
      </c>
      <c r="D108" s="2">
        <v>16.5</v>
      </c>
      <c r="E108" s="2">
        <v>96</v>
      </c>
      <c r="F108" s="2">
        <v>121</v>
      </c>
      <c r="G108" s="2">
        <v>91</v>
      </c>
      <c r="H108" s="2">
        <v>69</v>
      </c>
      <c r="I108" s="2">
        <v>95.7</v>
      </c>
      <c r="J108" s="2">
        <v>130</v>
      </c>
      <c r="K108" s="2">
        <v>74</v>
      </c>
      <c r="L108" s="2">
        <v>59</v>
      </c>
      <c r="M108" s="2">
        <v>6</v>
      </c>
      <c r="N108" s="2">
        <f t="shared" si="3"/>
        <v>36.642081632653067</v>
      </c>
      <c r="O108" s="2">
        <f t="shared" si="2"/>
        <v>31.324493175702337</v>
      </c>
      <c r="P108" t="s">
        <v>26</v>
      </c>
      <c r="Q108" t="s">
        <v>26</v>
      </c>
      <c r="R108" s="2">
        <v>2987.55</v>
      </c>
      <c r="S108" s="2">
        <v>461.82499999999999</v>
      </c>
      <c r="T108" s="2">
        <v>98.037500000000009</v>
      </c>
      <c r="U108" s="2">
        <v>81.975000000000009</v>
      </c>
      <c r="V108" s="2">
        <v>16.8</v>
      </c>
      <c r="W108" s="2">
        <v>325.47500000000002</v>
      </c>
      <c r="X108" s="2">
        <v>19</v>
      </c>
      <c r="Y108" s="2">
        <v>1</v>
      </c>
      <c r="Z108" s="2">
        <v>882.33749999999998</v>
      </c>
    </row>
    <row r="109" spans="1:26" x14ac:dyDescent="0.25">
      <c r="A109" s="1">
        <v>45424</v>
      </c>
      <c r="B109" s="2">
        <v>251.4</v>
      </c>
      <c r="C109" s="2">
        <v>44</v>
      </c>
      <c r="D109" s="2">
        <v>16.5</v>
      </c>
      <c r="E109" s="2">
        <v>97.8</v>
      </c>
      <c r="F109" s="2">
        <v>135</v>
      </c>
      <c r="G109" s="2">
        <v>74</v>
      </c>
      <c r="H109" s="2">
        <v>68</v>
      </c>
      <c r="I109" s="2">
        <v>96.9</v>
      </c>
      <c r="J109" s="2">
        <v>141</v>
      </c>
      <c r="K109" s="2">
        <v>82</v>
      </c>
      <c r="L109" s="2">
        <v>67</v>
      </c>
      <c r="M109" s="2">
        <v>12</v>
      </c>
      <c r="N109" s="2">
        <f t="shared" si="3"/>
        <v>36.068204081632651</v>
      </c>
      <c r="O109" s="2">
        <f t="shared" si="2"/>
        <v>31.324493175702337</v>
      </c>
      <c r="P109" t="s">
        <v>26</v>
      </c>
      <c r="Q109" t="s">
        <v>27</v>
      </c>
      <c r="R109" s="2">
        <v>1735.0233333333333</v>
      </c>
      <c r="S109" s="2">
        <v>171.67666666666665</v>
      </c>
      <c r="T109" s="2">
        <v>65.988500000000002</v>
      </c>
      <c r="U109" s="2">
        <v>118.19266666666668</v>
      </c>
      <c r="V109" s="2">
        <v>51.05466666666667</v>
      </c>
      <c r="W109" s="2">
        <v>39.65</v>
      </c>
      <c r="X109" s="2">
        <v>26.41</v>
      </c>
      <c r="Y109" s="2">
        <v>3</v>
      </c>
      <c r="Z109" s="2">
        <v>593.89650000000006</v>
      </c>
    </row>
    <row r="110" spans="1:26" x14ac:dyDescent="0.25">
      <c r="A110" s="1">
        <v>45425</v>
      </c>
      <c r="B110" s="2">
        <v>250.4</v>
      </c>
      <c r="C110" s="2">
        <v>43.5</v>
      </c>
      <c r="D110" s="2">
        <v>16.5</v>
      </c>
      <c r="E110" s="2">
        <v>96.7</v>
      </c>
      <c r="F110" s="2">
        <v>135</v>
      </c>
      <c r="G110" s="2">
        <v>76</v>
      </c>
      <c r="H110" s="2">
        <v>67</v>
      </c>
      <c r="I110" s="2">
        <v>96.6</v>
      </c>
      <c r="J110" s="2">
        <v>145</v>
      </c>
      <c r="K110" s="2">
        <v>77</v>
      </c>
      <c r="L110" s="2">
        <v>68</v>
      </c>
      <c r="M110" s="2">
        <v>6</v>
      </c>
      <c r="N110" s="2">
        <f t="shared" si="3"/>
        <v>35.924734693877546</v>
      </c>
      <c r="O110" s="2">
        <f t="shared" si="2"/>
        <v>30.639085534675949</v>
      </c>
      <c r="P110" t="s">
        <v>26</v>
      </c>
      <c r="Q110" t="s">
        <v>27</v>
      </c>
      <c r="R110" s="2">
        <v>1204.9933333333333</v>
      </c>
      <c r="S110" s="2">
        <v>131.89766666666668</v>
      </c>
      <c r="T110" s="2">
        <v>41.879000000000005</v>
      </c>
      <c r="U110" s="2">
        <v>71.543666666666681</v>
      </c>
      <c r="V110" s="2">
        <v>38.522666666666666</v>
      </c>
      <c r="W110" s="2">
        <v>28.138999999999999</v>
      </c>
      <c r="X110" s="2">
        <v>21.549999999999997</v>
      </c>
      <c r="Y110" s="2">
        <v>2</v>
      </c>
      <c r="Z110" s="2">
        <v>376.911</v>
      </c>
    </row>
    <row r="111" spans="1:26" x14ac:dyDescent="0.25">
      <c r="A111" s="1">
        <v>45426</v>
      </c>
      <c r="B111" s="2">
        <v>250.8</v>
      </c>
      <c r="C111" s="2">
        <v>43.5</v>
      </c>
      <c r="D111" s="2">
        <v>16.5</v>
      </c>
      <c r="E111" s="2">
        <v>95.7</v>
      </c>
      <c r="F111" s="2">
        <v>138</v>
      </c>
      <c r="G111" s="2">
        <v>88</v>
      </c>
      <c r="H111" s="2">
        <v>72</v>
      </c>
      <c r="I111" s="2">
        <v>96.4</v>
      </c>
      <c r="J111" s="2">
        <v>133</v>
      </c>
      <c r="K111" s="2">
        <v>87</v>
      </c>
      <c r="L111" s="2">
        <v>88</v>
      </c>
      <c r="M111" s="2">
        <v>4</v>
      </c>
      <c r="N111" s="2">
        <f t="shared" si="3"/>
        <v>35.982122448979595</v>
      </c>
      <c r="O111" s="2">
        <f t="shared" si="2"/>
        <v>30.639085534675949</v>
      </c>
      <c r="P111" t="s">
        <v>27</v>
      </c>
      <c r="Q111" t="s">
        <v>26</v>
      </c>
      <c r="R111" s="2">
        <v>2981.1</v>
      </c>
      <c r="S111" s="2">
        <v>485.65000000000003</v>
      </c>
      <c r="T111" s="2">
        <v>76.875000000000014</v>
      </c>
      <c r="U111" s="2">
        <v>104.85000000000001</v>
      </c>
      <c r="V111" s="2">
        <v>29.4</v>
      </c>
      <c r="W111" s="2">
        <v>317.35000000000002</v>
      </c>
      <c r="X111" s="2">
        <v>54</v>
      </c>
      <c r="Y111" s="2">
        <v>1</v>
      </c>
      <c r="Z111" s="2">
        <v>691.875</v>
      </c>
    </row>
    <row r="112" spans="1:26" x14ac:dyDescent="0.25">
      <c r="A112" s="1">
        <v>45427</v>
      </c>
      <c r="B112" s="2">
        <v>249.2</v>
      </c>
      <c r="C112" s="2">
        <v>43.5</v>
      </c>
      <c r="D112" s="2">
        <v>16.5</v>
      </c>
      <c r="E112" s="2">
        <v>96.4</v>
      </c>
      <c r="F112" s="2">
        <v>142</v>
      </c>
      <c r="G112" s="2">
        <v>85</v>
      </c>
      <c r="H112" s="2">
        <v>78</v>
      </c>
      <c r="I112" s="2">
        <v>97</v>
      </c>
      <c r="J112" s="2">
        <v>139</v>
      </c>
      <c r="K112" s="2">
        <v>68</v>
      </c>
      <c r="L112" s="2">
        <v>74</v>
      </c>
      <c r="M112" s="2">
        <v>12</v>
      </c>
      <c r="N112" s="2">
        <f t="shared" si="3"/>
        <v>35.752571428571429</v>
      </c>
      <c r="O112" s="2">
        <f t="shared" si="2"/>
        <v>30.639085534675949</v>
      </c>
      <c r="P112" t="s">
        <v>26</v>
      </c>
      <c r="Q112" t="s">
        <v>27</v>
      </c>
      <c r="R112" s="2">
        <v>2506.7633333333333</v>
      </c>
      <c r="S112" s="2">
        <v>408.57266666666663</v>
      </c>
      <c r="T112" s="2">
        <v>65.162000000000006</v>
      </c>
      <c r="U112" s="2">
        <v>88.26166666666667</v>
      </c>
      <c r="V112" s="2">
        <v>39.831666666666663</v>
      </c>
      <c r="W112" s="2">
        <v>307.71899999999999</v>
      </c>
      <c r="X112" s="2">
        <v>72.78</v>
      </c>
      <c r="Y112" s="2">
        <v>0.5</v>
      </c>
      <c r="Z112" s="2">
        <v>586.45799999999997</v>
      </c>
    </row>
    <row r="113" spans="1:26" x14ac:dyDescent="0.25">
      <c r="A113" s="1">
        <v>45428</v>
      </c>
      <c r="B113" s="2">
        <v>250.4</v>
      </c>
      <c r="C113" s="2">
        <v>44</v>
      </c>
      <c r="D113" s="2">
        <v>16.5</v>
      </c>
      <c r="E113" s="2">
        <v>96.4</v>
      </c>
      <c r="F113" s="2">
        <v>116</v>
      </c>
      <c r="G113" s="2">
        <v>71</v>
      </c>
      <c r="H113" s="2">
        <v>66</v>
      </c>
      <c r="I113" s="2">
        <v>97.1</v>
      </c>
      <c r="J113" s="2">
        <v>143</v>
      </c>
      <c r="K113" s="2">
        <v>105</v>
      </c>
      <c r="L113" s="2">
        <v>70</v>
      </c>
      <c r="M113" s="2">
        <v>4</v>
      </c>
      <c r="N113" s="2">
        <f t="shared" si="3"/>
        <v>35.924734693877546</v>
      </c>
      <c r="O113" s="2">
        <f t="shared" si="2"/>
        <v>31.324493175702337</v>
      </c>
      <c r="P113" t="s">
        <v>27</v>
      </c>
      <c r="Q113" t="s">
        <v>27</v>
      </c>
      <c r="R113" s="2">
        <v>3673.7</v>
      </c>
      <c r="S113" s="2">
        <v>676.7</v>
      </c>
      <c r="T113" s="2">
        <v>87.5</v>
      </c>
      <c r="U113" s="2">
        <v>81</v>
      </c>
      <c r="V113" s="2">
        <v>21.7</v>
      </c>
      <c r="W113" s="2">
        <v>475.8</v>
      </c>
      <c r="X113" s="2">
        <v>69</v>
      </c>
      <c r="Y113" s="2">
        <v>0</v>
      </c>
      <c r="Z113" s="2">
        <v>787.5</v>
      </c>
    </row>
    <row r="114" spans="1:26" x14ac:dyDescent="0.25">
      <c r="A114" s="1">
        <v>45429</v>
      </c>
      <c r="B114" s="2">
        <v>251.8</v>
      </c>
      <c r="C114" s="2">
        <v>43.5</v>
      </c>
      <c r="D114" s="2">
        <v>16.5</v>
      </c>
      <c r="E114" s="2">
        <v>96.1</v>
      </c>
      <c r="F114" s="2">
        <v>128</v>
      </c>
      <c r="G114" s="2">
        <v>74</v>
      </c>
      <c r="H114" s="2">
        <v>76</v>
      </c>
      <c r="I114" s="2">
        <v>96.7</v>
      </c>
      <c r="J114" s="2">
        <v>123</v>
      </c>
      <c r="K114" s="2">
        <v>74</v>
      </c>
      <c r="L114" s="2">
        <v>59</v>
      </c>
      <c r="M114" s="2">
        <v>4</v>
      </c>
      <c r="N114" s="2">
        <f t="shared" si="3"/>
        <v>36.125591836734699</v>
      </c>
      <c r="O114" s="2">
        <f t="shared" si="2"/>
        <v>30.639085534675949</v>
      </c>
      <c r="P114" t="s">
        <v>26</v>
      </c>
      <c r="Q114" t="s">
        <v>26</v>
      </c>
      <c r="R114" s="2">
        <v>2366.0533333333333</v>
      </c>
      <c r="S114" s="2">
        <v>410.00766666666669</v>
      </c>
      <c r="T114" s="2">
        <v>58.052999999999997</v>
      </c>
      <c r="U114" s="2">
        <v>67.227666666666678</v>
      </c>
      <c r="V114" s="2">
        <v>39.26466666666667</v>
      </c>
      <c r="W114" s="2">
        <v>306.01900000000001</v>
      </c>
      <c r="X114" s="2">
        <v>62.09</v>
      </c>
      <c r="Y114" s="2">
        <v>0.25</v>
      </c>
      <c r="Z114" s="2">
        <v>522.47699999999998</v>
      </c>
    </row>
    <row r="115" spans="1:26" x14ac:dyDescent="0.25">
      <c r="A115" s="1">
        <v>45430</v>
      </c>
      <c r="B115" s="2">
        <v>248</v>
      </c>
      <c r="C115" s="2">
        <v>43.5</v>
      </c>
      <c r="D115" s="2">
        <v>16.5</v>
      </c>
      <c r="E115" s="2">
        <v>96.6</v>
      </c>
      <c r="F115" s="2">
        <v>140</v>
      </c>
      <c r="G115" s="2">
        <v>74</v>
      </c>
      <c r="H115" s="2">
        <v>71</v>
      </c>
      <c r="I115" s="2">
        <v>96.5</v>
      </c>
      <c r="J115" s="2">
        <v>132</v>
      </c>
      <c r="K115" s="2">
        <v>76</v>
      </c>
      <c r="L115" s="2">
        <v>55</v>
      </c>
      <c r="M115" s="2">
        <v>13.5</v>
      </c>
      <c r="N115" s="2">
        <f t="shared" si="3"/>
        <v>35.580408163265311</v>
      </c>
      <c r="O115" s="2">
        <f t="shared" si="2"/>
        <v>30.639085534675949</v>
      </c>
      <c r="P115" t="s">
        <v>26</v>
      </c>
      <c r="Q115" t="s">
        <v>27</v>
      </c>
      <c r="R115" s="2">
        <v>1635.9233333333332</v>
      </c>
      <c r="S115" s="2">
        <v>268.26966666666664</v>
      </c>
      <c r="T115" s="2">
        <v>37.066000000000003</v>
      </c>
      <c r="U115" s="2">
        <v>70.88666666666667</v>
      </c>
      <c r="V115" s="2">
        <v>39.141666666666666</v>
      </c>
      <c r="W115" s="2">
        <v>188.39699999999999</v>
      </c>
      <c r="X115" s="2">
        <v>65.490000000000009</v>
      </c>
      <c r="Y115" s="2">
        <v>3</v>
      </c>
      <c r="Z115" s="2">
        <v>333.59400000000005</v>
      </c>
    </row>
    <row r="116" spans="1:26" x14ac:dyDescent="0.25">
      <c r="A116" s="1">
        <v>45431</v>
      </c>
      <c r="B116" s="2">
        <v>248.4</v>
      </c>
      <c r="C116" s="2">
        <v>43.5</v>
      </c>
      <c r="D116" s="2">
        <v>16.5</v>
      </c>
      <c r="E116" s="2">
        <v>96.4</v>
      </c>
      <c r="F116" s="2">
        <v>133</v>
      </c>
      <c r="G116" s="2">
        <v>74</v>
      </c>
      <c r="H116" s="2">
        <v>66</v>
      </c>
      <c r="I116" s="2">
        <v>96.1</v>
      </c>
      <c r="J116" s="2">
        <v>145</v>
      </c>
      <c r="K116" s="2">
        <v>75</v>
      </c>
      <c r="L116" s="2">
        <v>58</v>
      </c>
      <c r="M116" s="2">
        <v>7.5</v>
      </c>
      <c r="N116" s="2">
        <f t="shared" si="3"/>
        <v>35.637795918367345</v>
      </c>
      <c r="O116" s="2">
        <f t="shared" si="2"/>
        <v>30.639085534675949</v>
      </c>
      <c r="P116" t="s">
        <v>26</v>
      </c>
      <c r="Q116" t="s">
        <v>27</v>
      </c>
      <c r="R116" s="2">
        <v>1498.1</v>
      </c>
      <c r="S116" s="2">
        <v>139.85</v>
      </c>
      <c r="T116" s="2">
        <v>64.875000000000014</v>
      </c>
      <c r="U116" s="2">
        <v>99.550000000000011</v>
      </c>
      <c r="V116" s="2">
        <v>23.4</v>
      </c>
      <c r="W116" s="2">
        <v>30.150000000000002</v>
      </c>
      <c r="X116" s="2">
        <v>15</v>
      </c>
      <c r="Y116" s="2">
        <v>2.5</v>
      </c>
      <c r="Z116" s="2">
        <v>583.875</v>
      </c>
    </row>
    <row r="117" spans="1:26" x14ac:dyDescent="0.25">
      <c r="A117" s="1">
        <v>45432</v>
      </c>
      <c r="B117" s="2">
        <v>247</v>
      </c>
      <c r="C117" s="2">
        <v>43.5</v>
      </c>
      <c r="D117" s="2">
        <v>16.5</v>
      </c>
      <c r="E117" s="2">
        <v>96.8</v>
      </c>
      <c r="F117" s="2">
        <v>116</v>
      </c>
      <c r="G117" s="2">
        <v>68</v>
      </c>
      <c r="H117" s="2">
        <v>63</v>
      </c>
      <c r="I117" s="2">
        <v>96.3</v>
      </c>
      <c r="J117" s="2">
        <v>129</v>
      </c>
      <c r="K117" s="2">
        <v>72</v>
      </c>
      <c r="L117" s="2">
        <v>53</v>
      </c>
      <c r="M117" s="2">
        <v>10</v>
      </c>
      <c r="N117" s="2">
        <f t="shared" si="3"/>
        <v>35.436938775510207</v>
      </c>
      <c r="O117" s="2">
        <f t="shared" si="2"/>
        <v>30.639085534675949</v>
      </c>
      <c r="P117" t="s">
        <v>26</v>
      </c>
      <c r="Q117" t="s">
        <v>27</v>
      </c>
      <c r="R117" s="2">
        <v>1605.0633333333333</v>
      </c>
      <c r="S117" s="2">
        <v>267.9496666666667</v>
      </c>
      <c r="T117" s="2">
        <v>36.171999999999997</v>
      </c>
      <c r="U117" s="2">
        <v>67.75266666666667</v>
      </c>
      <c r="V117" s="2">
        <v>39.99966666666667</v>
      </c>
      <c r="W117" s="2">
        <v>191.17699999999999</v>
      </c>
      <c r="X117" s="2">
        <v>63.65</v>
      </c>
      <c r="Y117" s="2">
        <v>2</v>
      </c>
      <c r="Z117" s="2">
        <v>325.548</v>
      </c>
    </row>
    <row r="118" spans="1:26" x14ac:dyDescent="0.25">
      <c r="A118" s="1">
        <v>45433</v>
      </c>
      <c r="B118" s="2">
        <v>246.8</v>
      </c>
      <c r="C118" s="2">
        <v>43.5</v>
      </c>
      <c r="D118" s="2">
        <v>16.5</v>
      </c>
      <c r="E118" s="2">
        <v>95.7</v>
      </c>
      <c r="F118" s="2">
        <v>128</v>
      </c>
      <c r="G118" s="2">
        <v>85</v>
      </c>
      <c r="H118" s="2">
        <v>68</v>
      </c>
      <c r="I118" s="2">
        <v>95.4</v>
      </c>
      <c r="J118" s="2">
        <v>132</v>
      </c>
      <c r="K118" s="2">
        <v>80</v>
      </c>
      <c r="L118" s="2">
        <v>64</v>
      </c>
      <c r="M118" s="2">
        <v>8</v>
      </c>
      <c r="N118" s="2">
        <f t="shared" si="3"/>
        <v>35.408244897959186</v>
      </c>
      <c r="O118" s="2">
        <f t="shared" si="2"/>
        <v>30.639085534675949</v>
      </c>
      <c r="P118" t="s">
        <v>26</v>
      </c>
      <c r="Q118" t="s">
        <v>26</v>
      </c>
      <c r="R118" s="2">
        <v>1748.55</v>
      </c>
      <c r="S118" s="2">
        <v>287.77500000000003</v>
      </c>
      <c r="T118" s="2">
        <v>52.537500000000009</v>
      </c>
      <c r="U118" s="2">
        <v>54.975000000000001</v>
      </c>
      <c r="V118" s="2">
        <v>12.299999999999999</v>
      </c>
      <c r="W118" s="2">
        <v>214.67500000000001</v>
      </c>
      <c r="X118" s="2">
        <v>55.5</v>
      </c>
      <c r="Y118" s="2">
        <v>3.2</v>
      </c>
      <c r="Z118" s="2">
        <v>472.83750000000003</v>
      </c>
    </row>
    <row r="119" spans="1:26" x14ac:dyDescent="0.25">
      <c r="A119" s="1">
        <v>45434</v>
      </c>
      <c r="B119" s="2">
        <v>244.8</v>
      </c>
      <c r="C119" s="2">
        <v>43</v>
      </c>
      <c r="D119" s="2">
        <v>16.5</v>
      </c>
      <c r="E119" s="2">
        <v>96.1</v>
      </c>
      <c r="F119" s="2">
        <v>128</v>
      </c>
      <c r="G119" s="2">
        <v>75</v>
      </c>
      <c r="H119" s="2">
        <v>66</v>
      </c>
      <c r="I119" s="2">
        <v>96.7</v>
      </c>
      <c r="J119" s="2">
        <v>137</v>
      </c>
      <c r="K119" s="2">
        <v>73</v>
      </c>
      <c r="L119" s="2">
        <v>65</v>
      </c>
      <c r="M119" s="2">
        <v>6</v>
      </c>
      <c r="N119" s="2">
        <f t="shared" si="3"/>
        <v>35.121306122448978</v>
      </c>
      <c r="O119" s="2">
        <f t="shared" si="2"/>
        <v>29.940865796666294</v>
      </c>
      <c r="P119" t="s">
        <v>26</v>
      </c>
      <c r="Q119" t="s">
        <v>26</v>
      </c>
      <c r="R119" s="2">
        <v>1548.4</v>
      </c>
      <c r="S119" s="2">
        <v>284.02999999999997</v>
      </c>
      <c r="T119" s="2">
        <v>25.599999999999998</v>
      </c>
      <c r="U119" s="2">
        <v>73.13</v>
      </c>
      <c r="V119" s="2">
        <v>9.92</v>
      </c>
      <c r="W119" s="2">
        <v>215.36</v>
      </c>
      <c r="X119" s="2">
        <v>57.2</v>
      </c>
      <c r="Y119" s="2">
        <v>1.5</v>
      </c>
      <c r="Z119" s="2">
        <v>230.4</v>
      </c>
    </row>
    <row r="120" spans="1:26" x14ac:dyDescent="0.25">
      <c r="A120" s="1">
        <v>45435</v>
      </c>
      <c r="B120" s="2">
        <v>244.4</v>
      </c>
      <c r="C120" s="2">
        <v>43</v>
      </c>
      <c r="D120" s="2">
        <v>16.5</v>
      </c>
      <c r="E120" s="2">
        <v>95.7</v>
      </c>
      <c r="F120" s="2">
        <v>121</v>
      </c>
      <c r="G120" s="2">
        <v>75</v>
      </c>
      <c r="H120" s="2">
        <v>65</v>
      </c>
      <c r="I120" s="2">
        <v>95.9</v>
      </c>
      <c r="J120" s="2">
        <v>127</v>
      </c>
      <c r="K120" s="2">
        <v>89</v>
      </c>
      <c r="L120" s="2">
        <v>89</v>
      </c>
      <c r="M120" s="2">
        <v>8</v>
      </c>
      <c r="N120" s="2">
        <f t="shared" si="3"/>
        <v>35.063918367346943</v>
      </c>
      <c r="O120" s="2">
        <f t="shared" si="2"/>
        <v>29.940865796666294</v>
      </c>
      <c r="P120" t="s">
        <v>26</v>
      </c>
      <c r="Q120" t="s">
        <v>27</v>
      </c>
      <c r="R120" s="2">
        <v>1562</v>
      </c>
      <c r="S120" s="2">
        <v>304.09999999999997</v>
      </c>
      <c r="T120" s="2">
        <v>20.8</v>
      </c>
      <c r="U120" s="2">
        <v>59.1</v>
      </c>
      <c r="V120" s="2">
        <v>3.8</v>
      </c>
      <c r="W120" s="2">
        <v>225.1</v>
      </c>
      <c r="X120" s="2">
        <v>58.25</v>
      </c>
      <c r="Y120" s="2">
        <v>0.5</v>
      </c>
      <c r="Z120" s="2">
        <v>187.2</v>
      </c>
    </row>
    <row r="121" spans="1:26" x14ac:dyDescent="0.25">
      <c r="A121" s="1">
        <v>45436</v>
      </c>
      <c r="B121" s="2">
        <v>244.2</v>
      </c>
      <c r="C121" s="2">
        <v>43</v>
      </c>
      <c r="D121" s="2">
        <v>16.5</v>
      </c>
      <c r="E121" s="2">
        <v>96.6</v>
      </c>
      <c r="F121" s="2">
        <v>131</v>
      </c>
      <c r="G121" s="2">
        <v>79</v>
      </c>
      <c r="H121" s="2">
        <v>73</v>
      </c>
      <c r="I121" s="2">
        <v>97</v>
      </c>
      <c r="J121" s="2">
        <v>140</v>
      </c>
      <c r="K121" s="2">
        <v>65</v>
      </c>
      <c r="L121" s="2">
        <v>64</v>
      </c>
      <c r="M121" s="2">
        <v>9</v>
      </c>
      <c r="N121" s="2">
        <f t="shared" si="3"/>
        <v>35.035224489795915</v>
      </c>
      <c r="O121" s="2">
        <f t="shared" si="2"/>
        <v>29.940865796666294</v>
      </c>
      <c r="P121" t="s">
        <v>26</v>
      </c>
      <c r="Q121" t="s">
        <v>27</v>
      </c>
      <c r="R121" s="2">
        <v>1366</v>
      </c>
      <c r="S121" s="2">
        <v>278.7</v>
      </c>
      <c r="T121" s="2">
        <v>9.5</v>
      </c>
      <c r="U121" s="2">
        <v>61.5</v>
      </c>
      <c r="V121" s="2">
        <v>5</v>
      </c>
      <c r="W121" s="2">
        <v>206.1</v>
      </c>
      <c r="X121" s="2">
        <v>59.25</v>
      </c>
      <c r="Y121" s="2">
        <v>2</v>
      </c>
      <c r="Z121" s="2">
        <v>85.5</v>
      </c>
    </row>
    <row r="122" spans="1:26" x14ac:dyDescent="0.25">
      <c r="A122" s="1">
        <v>45437</v>
      </c>
      <c r="B122" s="2">
        <v>245</v>
      </c>
      <c r="C122" s="2">
        <v>43</v>
      </c>
      <c r="D122" s="2">
        <v>16.5</v>
      </c>
      <c r="E122" s="2">
        <v>95.8</v>
      </c>
      <c r="F122" s="2">
        <v>116</v>
      </c>
      <c r="G122" s="2">
        <v>71</v>
      </c>
      <c r="H122" s="2">
        <v>71</v>
      </c>
      <c r="I122" s="2">
        <v>95.7</v>
      </c>
      <c r="J122" s="2">
        <v>123</v>
      </c>
      <c r="K122" s="2">
        <v>71</v>
      </c>
      <c r="L122" s="2">
        <v>88</v>
      </c>
      <c r="M122" s="2">
        <v>7</v>
      </c>
      <c r="N122" s="2">
        <f t="shared" si="3"/>
        <v>35.15</v>
      </c>
      <c r="O122" s="2">
        <f t="shared" si="2"/>
        <v>29.940865796666294</v>
      </c>
      <c r="P122" t="s">
        <v>27</v>
      </c>
      <c r="Q122" t="s">
        <v>27</v>
      </c>
      <c r="R122" s="2">
        <v>1257.0999999999999</v>
      </c>
      <c r="S122" s="2">
        <v>281.8</v>
      </c>
      <c r="T122" s="2">
        <v>11</v>
      </c>
      <c r="U122" s="2">
        <v>17.174999999999997</v>
      </c>
      <c r="V122" s="2">
        <v>6.0000000000000009</v>
      </c>
      <c r="W122" s="2">
        <v>196.04999999999998</v>
      </c>
      <c r="X122" s="2">
        <v>46.75</v>
      </c>
      <c r="Y122" s="2">
        <v>0</v>
      </c>
      <c r="Z122" s="2">
        <v>99</v>
      </c>
    </row>
    <row r="123" spans="1:26" x14ac:dyDescent="0.25">
      <c r="A123" s="1">
        <v>45438</v>
      </c>
      <c r="B123" s="2">
        <v>247</v>
      </c>
      <c r="C123" s="2">
        <v>43.5</v>
      </c>
      <c r="D123" s="2">
        <v>16.5</v>
      </c>
      <c r="E123" s="2">
        <v>97</v>
      </c>
      <c r="F123" s="2">
        <v>136</v>
      </c>
      <c r="G123" s="2">
        <v>73</v>
      </c>
      <c r="H123" s="2">
        <v>64</v>
      </c>
      <c r="I123" s="2">
        <v>97</v>
      </c>
      <c r="J123" s="2">
        <v>134</v>
      </c>
      <c r="K123" s="2">
        <v>77</v>
      </c>
      <c r="L123" s="2">
        <v>71</v>
      </c>
      <c r="M123" s="2">
        <v>2</v>
      </c>
      <c r="N123" s="2">
        <f t="shared" si="3"/>
        <v>35.436938775510207</v>
      </c>
      <c r="O123" s="2">
        <f t="shared" si="2"/>
        <v>30.639085534675949</v>
      </c>
      <c r="P123" t="s">
        <v>27</v>
      </c>
      <c r="Q123" t="s">
        <v>26</v>
      </c>
      <c r="R123" s="2">
        <v>8222</v>
      </c>
      <c r="S123" s="2">
        <v>1273.9000000000001</v>
      </c>
      <c r="T123" s="2">
        <v>288</v>
      </c>
      <c r="U123" s="2">
        <v>172</v>
      </c>
      <c r="V123" s="2">
        <v>35.5</v>
      </c>
      <c r="W123" s="2">
        <v>821.9</v>
      </c>
      <c r="X123" s="2">
        <v>168.5</v>
      </c>
      <c r="Y123" s="2">
        <v>0</v>
      </c>
      <c r="Z123" s="2">
        <v>2592</v>
      </c>
    </row>
    <row r="124" spans="1:26" x14ac:dyDescent="0.25">
      <c r="A124" s="1">
        <v>45439</v>
      </c>
      <c r="B124" s="2">
        <v>249.6</v>
      </c>
      <c r="C124" s="2">
        <v>43.5</v>
      </c>
      <c r="D124" s="2">
        <v>16.5</v>
      </c>
      <c r="E124" s="2">
        <v>97.3</v>
      </c>
      <c r="F124" s="2">
        <v>145</v>
      </c>
      <c r="G124" s="2">
        <v>87</v>
      </c>
      <c r="H124" s="2">
        <v>96</v>
      </c>
      <c r="I124" s="2">
        <v>96.4</v>
      </c>
      <c r="J124" s="2">
        <v>132</v>
      </c>
      <c r="K124" s="2">
        <v>76</v>
      </c>
      <c r="L124" s="2">
        <v>71</v>
      </c>
      <c r="M124" s="2">
        <v>19</v>
      </c>
      <c r="N124" s="2">
        <f t="shared" si="3"/>
        <v>35.80995918367347</v>
      </c>
      <c r="O124" s="2">
        <f t="shared" si="2"/>
        <v>30.639085534675949</v>
      </c>
      <c r="P124" t="s">
        <v>27</v>
      </c>
      <c r="Q124" t="s">
        <v>26</v>
      </c>
      <c r="R124" s="2">
        <v>4515.8237499999996</v>
      </c>
      <c r="S124" s="2">
        <v>873.69037500000002</v>
      </c>
      <c r="T124" s="2">
        <v>94.364999999999995</v>
      </c>
      <c r="U124" s="2">
        <v>95.332875000000001</v>
      </c>
      <c r="V124" s="2">
        <v>31.140249999999998</v>
      </c>
      <c r="W124" s="2">
        <v>687.84012500000006</v>
      </c>
      <c r="X124" s="2">
        <v>141.6</v>
      </c>
      <c r="Y124" s="2">
        <v>0.25</v>
      </c>
      <c r="Z124" s="2">
        <v>849.28499999999997</v>
      </c>
    </row>
    <row r="125" spans="1:26" x14ac:dyDescent="0.25">
      <c r="A125" s="1">
        <v>45440</v>
      </c>
      <c r="B125" s="2">
        <v>250.4</v>
      </c>
      <c r="C125" s="2">
        <v>43.5</v>
      </c>
      <c r="D125" s="2">
        <v>16.5</v>
      </c>
      <c r="E125" s="2">
        <v>96.9</v>
      </c>
      <c r="F125" s="2">
        <v>112</v>
      </c>
      <c r="G125" s="2">
        <v>73</v>
      </c>
      <c r="H125" s="2">
        <v>70</v>
      </c>
      <c r="I125" s="2">
        <v>97.5</v>
      </c>
      <c r="J125" s="2">
        <v>115</v>
      </c>
      <c r="K125" s="2">
        <v>73</v>
      </c>
      <c r="L125" s="2">
        <v>63</v>
      </c>
      <c r="M125" s="2">
        <v>8</v>
      </c>
      <c r="N125" s="2">
        <f t="shared" si="3"/>
        <v>35.924734693877546</v>
      </c>
      <c r="O125" s="2">
        <f t="shared" si="2"/>
        <v>30.639085534675949</v>
      </c>
      <c r="P125" t="s">
        <v>27</v>
      </c>
      <c r="Q125" t="s">
        <v>26</v>
      </c>
      <c r="R125" s="2">
        <v>5192.6812499999996</v>
      </c>
      <c r="S125" s="2">
        <v>717.67062499999997</v>
      </c>
      <c r="T125" s="2">
        <v>203.45</v>
      </c>
      <c r="U125" s="2">
        <v>111.640625</v>
      </c>
      <c r="V125" s="2">
        <v>45.212500000000006</v>
      </c>
      <c r="W125" s="2">
        <v>362.08937499999996</v>
      </c>
      <c r="X125" s="2">
        <v>23.63</v>
      </c>
      <c r="Y125" s="2">
        <v>0.25</v>
      </c>
      <c r="Z125" s="2">
        <v>1831.05</v>
      </c>
    </row>
    <row r="126" spans="1:26" x14ac:dyDescent="0.25">
      <c r="A126" s="1">
        <v>45441</v>
      </c>
      <c r="B126" s="2">
        <v>252.4</v>
      </c>
      <c r="C126" s="2">
        <v>43.5</v>
      </c>
      <c r="D126" s="2">
        <v>16.5</v>
      </c>
      <c r="E126" s="2">
        <v>96.8</v>
      </c>
      <c r="F126" s="2">
        <v>134</v>
      </c>
      <c r="G126" s="2">
        <v>75</v>
      </c>
      <c r="H126" s="2">
        <v>76</v>
      </c>
      <c r="I126" s="2">
        <v>98.6</v>
      </c>
      <c r="J126" s="2">
        <v>136</v>
      </c>
      <c r="K126" s="2">
        <v>78</v>
      </c>
      <c r="L126" s="2">
        <v>94</v>
      </c>
      <c r="M126" s="2">
        <v>2</v>
      </c>
      <c r="N126" s="2">
        <f t="shared" si="3"/>
        <v>36.211673469387755</v>
      </c>
      <c r="O126" s="2">
        <f t="shared" si="2"/>
        <v>30.639085534675949</v>
      </c>
      <c r="P126" t="s">
        <v>27</v>
      </c>
      <c r="Q126" t="s">
        <v>27</v>
      </c>
      <c r="R126" s="2">
        <v>560</v>
      </c>
      <c r="S126" s="2">
        <v>152</v>
      </c>
      <c r="T126" s="2">
        <v>0</v>
      </c>
      <c r="U126" s="2">
        <v>0</v>
      </c>
      <c r="V126" s="2">
        <v>0</v>
      </c>
      <c r="W126" s="2">
        <v>152</v>
      </c>
      <c r="X126" s="2">
        <v>40</v>
      </c>
      <c r="Y126" s="2">
        <v>0</v>
      </c>
      <c r="Z126" s="2">
        <v>0</v>
      </c>
    </row>
    <row r="127" spans="1:26" x14ac:dyDescent="0.25">
      <c r="A127" s="1">
        <v>45442</v>
      </c>
      <c r="B127" s="2">
        <v>250.6</v>
      </c>
      <c r="C127" s="2">
        <v>43.5</v>
      </c>
      <c r="D127" s="2">
        <v>16.5</v>
      </c>
      <c r="E127" s="2">
        <v>96.7</v>
      </c>
      <c r="F127" s="2">
        <v>142</v>
      </c>
      <c r="G127" s="2">
        <v>76</v>
      </c>
      <c r="H127" s="2">
        <v>75</v>
      </c>
      <c r="I127" s="2">
        <v>98.6</v>
      </c>
      <c r="J127" s="2">
        <v>146</v>
      </c>
      <c r="K127" s="2">
        <v>79</v>
      </c>
      <c r="L127" s="2">
        <v>94</v>
      </c>
      <c r="M127" s="2">
        <v>8</v>
      </c>
      <c r="N127" s="2">
        <f t="shared" si="3"/>
        <v>35.953428571428574</v>
      </c>
      <c r="O127" s="2">
        <f t="shared" si="2"/>
        <v>30.639085534675949</v>
      </c>
      <c r="P127" t="s">
        <v>27</v>
      </c>
      <c r="Q127" t="s">
        <v>27</v>
      </c>
      <c r="R127" s="2">
        <v>4345.1558333333342</v>
      </c>
      <c r="S127" s="2">
        <v>606.38508333333334</v>
      </c>
      <c r="T127" s="2">
        <v>138.87399999999997</v>
      </c>
      <c r="U127" s="2">
        <v>206.44258333333335</v>
      </c>
      <c r="V127" s="2">
        <v>73.660250000000005</v>
      </c>
      <c r="W127" s="2">
        <v>349.9449166666667</v>
      </c>
      <c r="X127" s="2">
        <v>79.77</v>
      </c>
      <c r="Y127" s="2">
        <v>0</v>
      </c>
      <c r="Z127" s="2">
        <v>1249.866</v>
      </c>
    </row>
    <row r="128" spans="1:26" x14ac:dyDescent="0.25">
      <c r="A128" s="1">
        <v>45443</v>
      </c>
      <c r="B128" s="2">
        <v>252.6</v>
      </c>
      <c r="C128" s="2">
        <v>43.5</v>
      </c>
      <c r="D128" s="2">
        <v>16.5</v>
      </c>
      <c r="E128" s="2">
        <v>98.1</v>
      </c>
      <c r="F128" s="2">
        <v>133</v>
      </c>
      <c r="G128" s="2">
        <v>76</v>
      </c>
      <c r="H128" s="2">
        <v>63</v>
      </c>
      <c r="I128" s="2">
        <v>98.8</v>
      </c>
      <c r="J128" s="2">
        <v>135</v>
      </c>
      <c r="K128" s="2">
        <v>78</v>
      </c>
      <c r="L128" s="2">
        <v>87</v>
      </c>
      <c r="M128" s="2">
        <v>9</v>
      </c>
      <c r="N128" s="2">
        <f t="shared" si="3"/>
        <v>36.240367346938775</v>
      </c>
      <c r="O128" s="2">
        <f t="shared" si="2"/>
        <v>30.639085534675949</v>
      </c>
      <c r="P128" t="s">
        <v>27</v>
      </c>
      <c r="Q128" t="s">
        <v>27</v>
      </c>
      <c r="R128" s="2">
        <v>5061.466071428571</v>
      </c>
      <c r="S128" s="2">
        <v>708.60833333333335</v>
      </c>
      <c r="T128" s="2">
        <v>179.23839285714286</v>
      </c>
      <c r="U128" s="2">
        <v>192.45416666666668</v>
      </c>
      <c r="V128" s="2">
        <v>38.377083333333339</v>
      </c>
      <c r="W128" s="2">
        <v>516.88958333333335</v>
      </c>
      <c r="X128" s="2">
        <v>107</v>
      </c>
      <c r="Y128" s="2">
        <v>0</v>
      </c>
      <c r="Z128" s="2">
        <v>1613.1455357142856</v>
      </c>
    </row>
    <row r="129" spans="1:26" x14ac:dyDescent="0.25">
      <c r="A129" s="1">
        <v>45444</v>
      </c>
      <c r="B129" s="2">
        <v>253.6</v>
      </c>
      <c r="C129" s="2">
        <v>43.5</v>
      </c>
      <c r="D129" s="2">
        <v>16.5</v>
      </c>
      <c r="E129" s="2">
        <v>98.3</v>
      </c>
      <c r="F129" s="2">
        <v>160</v>
      </c>
      <c r="G129" s="2">
        <v>85</v>
      </c>
      <c r="H129" s="2">
        <v>99</v>
      </c>
      <c r="I129" s="2">
        <v>97.4</v>
      </c>
      <c r="J129" s="2">
        <v>140</v>
      </c>
      <c r="K129" s="2">
        <v>74</v>
      </c>
      <c r="L129" s="2">
        <v>88</v>
      </c>
      <c r="M129" s="2">
        <v>10</v>
      </c>
      <c r="N129" s="2">
        <f t="shared" si="3"/>
        <v>36.38383673469388</v>
      </c>
      <c r="O129" s="2">
        <f t="shared" si="2"/>
        <v>30.639085534675949</v>
      </c>
      <c r="P129" t="s">
        <v>27</v>
      </c>
      <c r="Q129" t="s">
        <v>26</v>
      </c>
      <c r="R129" s="2">
        <v>7330.8238095238103</v>
      </c>
      <c r="S129" s="2">
        <v>1146.0858333333333</v>
      </c>
      <c r="T129" s="2">
        <v>246.7717857142857</v>
      </c>
      <c r="U129" s="2">
        <v>150.10249999999999</v>
      </c>
      <c r="V129" s="2">
        <v>41.461666666666673</v>
      </c>
      <c r="W129" s="2">
        <v>1012.2850000000001</v>
      </c>
      <c r="X129" s="2">
        <v>140.6</v>
      </c>
      <c r="Y129" s="2">
        <v>0</v>
      </c>
      <c r="Z129" s="2">
        <v>2220.9460714285715</v>
      </c>
    </row>
    <row r="130" spans="1:26" x14ac:dyDescent="0.25">
      <c r="A130" s="1">
        <v>45445</v>
      </c>
      <c r="B130" s="2">
        <v>253</v>
      </c>
      <c r="C130" s="2">
        <v>43.5</v>
      </c>
      <c r="D130" s="2">
        <v>16.5</v>
      </c>
      <c r="E130" s="2">
        <v>96.3</v>
      </c>
      <c r="F130" s="2">
        <v>123</v>
      </c>
      <c r="G130" s="2">
        <v>84</v>
      </c>
      <c r="H130" s="2">
        <v>67</v>
      </c>
      <c r="I130" s="2">
        <v>97.4</v>
      </c>
      <c r="J130" s="2">
        <v>133</v>
      </c>
      <c r="K130" s="2">
        <v>74</v>
      </c>
      <c r="L130" s="2">
        <v>72</v>
      </c>
      <c r="M130" s="2">
        <v>14</v>
      </c>
      <c r="N130" s="2">
        <f t="shared" si="3"/>
        <v>36.297755102040817</v>
      </c>
      <c r="O130" s="2">
        <f t="shared" ref="O130:O193" si="4">(86.01*LOG10(C130-D130))-(70.041*LOG10(70))+36.76</f>
        <v>30.639085534675949</v>
      </c>
      <c r="P130" t="s">
        <v>27</v>
      </c>
      <c r="Q130" t="s">
        <v>26</v>
      </c>
      <c r="R130" s="2">
        <v>6810.4339285714286</v>
      </c>
      <c r="S130" s="2">
        <v>947.95781250000005</v>
      </c>
      <c r="T130" s="2">
        <v>253.04129464285711</v>
      </c>
      <c r="U130" s="2">
        <v>209.50156250000001</v>
      </c>
      <c r="V130" s="2">
        <v>71.796875</v>
      </c>
      <c r="W130" s="2">
        <v>540.84687499999995</v>
      </c>
      <c r="X130" s="2">
        <v>90</v>
      </c>
      <c r="Y130" s="2">
        <v>1.25</v>
      </c>
      <c r="Z130" s="2">
        <v>2277.3716517857147</v>
      </c>
    </row>
    <row r="131" spans="1:26" x14ac:dyDescent="0.25">
      <c r="A131" s="1">
        <v>45446</v>
      </c>
      <c r="B131" s="2">
        <v>257.2</v>
      </c>
      <c r="C131" s="2">
        <v>44</v>
      </c>
      <c r="D131" s="2">
        <v>16.5</v>
      </c>
      <c r="E131" s="2">
        <v>96.3</v>
      </c>
      <c r="F131" s="2">
        <v>130</v>
      </c>
      <c r="G131" s="2">
        <v>75</v>
      </c>
      <c r="H131" s="2">
        <v>77</v>
      </c>
      <c r="I131" s="2">
        <v>96.9</v>
      </c>
      <c r="J131" s="2">
        <v>146</v>
      </c>
      <c r="K131" s="2">
        <v>77</v>
      </c>
      <c r="L131" s="2">
        <v>76</v>
      </c>
      <c r="M131" s="2">
        <v>10</v>
      </c>
      <c r="N131" s="2">
        <f t="shared" ref="N131:N194" si="5">(B131/4900)*703</f>
        <v>36.900326530612247</v>
      </c>
      <c r="O131" s="2">
        <f t="shared" si="4"/>
        <v>31.324493175702337</v>
      </c>
      <c r="P131" t="s">
        <v>27</v>
      </c>
      <c r="Q131" t="s">
        <v>26</v>
      </c>
      <c r="R131" s="2">
        <v>5391.7351190476193</v>
      </c>
      <c r="S131" s="2">
        <v>746.953125</v>
      </c>
      <c r="T131" s="2">
        <v>223.14419642857143</v>
      </c>
      <c r="U131" s="2">
        <v>129.65729166666665</v>
      </c>
      <c r="V131" s="2">
        <v>30.235416666666666</v>
      </c>
      <c r="W131" s="2">
        <v>427.88333333333333</v>
      </c>
      <c r="X131" s="2">
        <v>67</v>
      </c>
      <c r="Y131" s="2">
        <v>0.25</v>
      </c>
      <c r="Z131" s="2">
        <v>2008.2977678571428</v>
      </c>
    </row>
    <row r="132" spans="1:26" x14ac:dyDescent="0.25">
      <c r="A132" s="1">
        <v>45447</v>
      </c>
      <c r="B132" s="2">
        <v>254.6</v>
      </c>
      <c r="C132" s="2">
        <v>44</v>
      </c>
      <c r="D132" s="2">
        <v>16.5</v>
      </c>
      <c r="E132" s="2">
        <v>96.8</v>
      </c>
      <c r="F132" s="2">
        <v>137</v>
      </c>
      <c r="G132" s="2">
        <v>81</v>
      </c>
      <c r="H132" s="2">
        <v>73</v>
      </c>
      <c r="I132" s="2">
        <v>97.4</v>
      </c>
      <c r="J132" s="2">
        <v>143</v>
      </c>
      <c r="K132" s="2">
        <v>77</v>
      </c>
      <c r="L132" s="2">
        <v>77</v>
      </c>
      <c r="M132" s="2">
        <v>1</v>
      </c>
      <c r="N132" s="2">
        <f t="shared" si="5"/>
        <v>36.527306122448977</v>
      </c>
      <c r="O132" s="2">
        <f t="shared" si="4"/>
        <v>31.324493175702337</v>
      </c>
      <c r="P132" t="s">
        <v>27</v>
      </c>
      <c r="Q132" t="s">
        <v>26</v>
      </c>
      <c r="R132" s="2">
        <v>4849.4448214285712</v>
      </c>
      <c r="S132" s="2">
        <v>581.27920833333326</v>
      </c>
      <c r="T132" s="2">
        <v>204.39239285714285</v>
      </c>
      <c r="U132" s="2">
        <v>168.54454166666667</v>
      </c>
      <c r="V132" s="2">
        <v>56.406333333333336</v>
      </c>
      <c r="W132" s="2">
        <v>334.10370833333332</v>
      </c>
      <c r="X132" s="2">
        <v>78.22999999999999</v>
      </c>
      <c r="Y132" s="2">
        <v>0.25</v>
      </c>
      <c r="Z132" s="2">
        <v>1839.5315357142856</v>
      </c>
    </row>
    <row r="133" spans="1:26" x14ac:dyDescent="0.25">
      <c r="A133" s="1">
        <v>45448</v>
      </c>
      <c r="B133" s="2">
        <v>255.2</v>
      </c>
      <c r="C133" s="2">
        <v>44</v>
      </c>
      <c r="D133" s="2">
        <v>16.5</v>
      </c>
      <c r="E133" s="2">
        <v>96.4</v>
      </c>
      <c r="F133" s="2">
        <v>136</v>
      </c>
      <c r="G133" s="2">
        <v>74</v>
      </c>
      <c r="H133" s="2">
        <v>74</v>
      </c>
      <c r="I133" s="2">
        <v>97.2</v>
      </c>
      <c r="J133" s="2">
        <v>127</v>
      </c>
      <c r="K133" s="2">
        <v>75</v>
      </c>
      <c r="L133" s="2">
        <v>73</v>
      </c>
      <c r="M133" s="2">
        <v>5</v>
      </c>
      <c r="N133" s="2">
        <f t="shared" si="5"/>
        <v>36.613387755102039</v>
      </c>
      <c r="O133" s="2">
        <f t="shared" si="4"/>
        <v>31.324493175702337</v>
      </c>
      <c r="P133" t="s">
        <v>27</v>
      </c>
      <c r="Q133" t="s">
        <v>27</v>
      </c>
      <c r="R133" s="2">
        <v>500</v>
      </c>
      <c r="S133" s="2">
        <v>130</v>
      </c>
      <c r="T133" s="2">
        <v>0</v>
      </c>
      <c r="U133" s="2">
        <v>0</v>
      </c>
      <c r="V133" s="2">
        <v>0</v>
      </c>
      <c r="W133" s="2">
        <v>129</v>
      </c>
      <c r="X133" s="2">
        <v>3</v>
      </c>
      <c r="Y133" s="2">
        <v>0.25</v>
      </c>
      <c r="Z133" s="2">
        <v>0</v>
      </c>
    </row>
    <row r="134" spans="1:26" x14ac:dyDescent="0.25">
      <c r="A134" s="1">
        <v>45449</v>
      </c>
      <c r="B134" s="2">
        <v>254.8</v>
      </c>
      <c r="C134" s="2">
        <v>44</v>
      </c>
      <c r="D134" s="2">
        <v>16.5</v>
      </c>
      <c r="E134" s="2">
        <v>97.4</v>
      </c>
      <c r="F134" s="2">
        <v>124</v>
      </c>
      <c r="G134" s="2">
        <v>78</v>
      </c>
      <c r="H134" s="2">
        <v>86</v>
      </c>
      <c r="I134" s="2">
        <v>96.6</v>
      </c>
      <c r="J134" s="2">
        <v>141</v>
      </c>
      <c r="K134" s="2">
        <v>74</v>
      </c>
      <c r="L134" s="2">
        <v>80</v>
      </c>
      <c r="M134" s="2">
        <v>10</v>
      </c>
      <c r="N134" s="2">
        <f t="shared" si="5"/>
        <v>36.556000000000004</v>
      </c>
      <c r="O134" s="2">
        <f t="shared" si="4"/>
        <v>31.324493175702337</v>
      </c>
      <c r="P134" t="s">
        <v>27</v>
      </c>
      <c r="Q134" t="s">
        <v>26</v>
      </c>
      <c r="R134" s="2">
        <v>5525</v>
      </c>
      <c r="S134" s="2">
        <v>761.80000000000007</v>
      </c>
      <c r="T134" s="2">
        <v>214.7</v>
      </c>
      <c r="U134" s="2">
        <v>136.4</v>
      </c>
      <c r="V134" s="2">
        <v>38.700000000000003</v>
      </c>
      <c r="W134" s="2">
        <v>378.2</v>
      </c>
      <c r="X134" s="2">
        <v>129</v>
      </c>
      <c r="Y134" s="2">
        <v>0.5</v>
      </c>
      <c r="Z134" s="2">
        <v>1932.3</v>
      </c>
    </row>
    <row r="135" spans="1:26" x14ac:dyDescent="0.25">
      <c r="A135" s="1">
        <v>45450</v>
      </c>
      <c r="B135" s="2">
        <v>255.8</v>
      </c>
      <c r="C135" s="2">
        <v>44</v>
      </c>
      <c r="D135" s="2">
        <v>16.5</v>
      </c>
      <c r="E135" s="2">
        <v>95.7</v>
      </c>
      <c r="F135" s="2">
        <v>122</v>
      </c>
      <c r="G135" s="2">
        <v>73</v>
      </c>
      <c r="H135" s="2">
        <v>69</v>
      </c>
      <c r="I135" s="2">
        <v>97.8</v>
      </c>
      <c r="J135" s="2">
        <v>162</v>
      </c>
      <c r="K135" s="2">
        <v>79</v>
      </c>
      <c r="L135" s="2">
        <v>77</v>
      </c>
      <c r="M135" s="2">
        <v>10</v>
      </c>
      <c r="N135" s="2">
        <f t="shared" si="5"/>
        <v>36.699469387755101</v>
      </c>
      <c r="O135" s="2">
        <f t="shared" si="4"/>
        <v>31.324493175702337</v>
      </c>
      <c r="P135" t="s">
        <v>27</v>
      </c>
      <c r="Q135" t="s">
        <v>27</v>
      </c>
      <c r="R135" s="2">
        <v>4857.2833333333328</v>
      </c>
      <c r="S135" s="2">
        <v>656.09333333333336</v>
      </c>
      <c r="T135" s="2">
        <v>183.95499999999998</v>
      </c>
      <c r="U135" s="2">
        <v>140.09333333333336</v>
      </c>
      <c r="V135" s="2">
        <v>44.68</v>
      </c>
      <c r="W135" s="2">
        <v>390.73166666666668</v>
      </c>
      <c r="X135" s="2">
        <v>98.4</v>
      </c>
      <c r="Y135" s="2">
        <v>0.5</v>
      </c>
      <c r="Z135" s="2">
        <v>1655.595</v>
      </c>
    </row>
    <row r="136" spans="1:26" x14ac:dyDescent="0.25">
      <c r="A136" s="1">
        <v>45451</v>
      </c>
      <c r="B136" s="2">
        <v>257.2</v>
      </c>
      <c r="C136" s="2">
        <v>44.5</v>
      </c>
      <c r="D136" s="2">
        <v>16.5</v>
      </c>
      <c r="E136" s="2">
        <v>96.8</v>
      </c>
      <c r="F136" s="2">
        <v>124</v>
      </c>
      <c r="G136" s="2">
        <v>88</v>
      </c>
      <c r="H136" s="2">
        <v>74</v>
      </c>
      <c r="I136" s="2">
        <v>97.2</v>
      </c>
      <c r="J136" s="2">
        <v>127</v>
      </c>
      <c r="K136" s="2">
        <v>74</v>
      </c>
      <c r="L136" s="2">
        <v>77</v>
      </c>
      <c r="M136" s="2">
        <v>6</v>
      </c>
      <c r="N136" s="2">
        <f t="shared" si="5"/>
        <v>36.900326530612247</v>
      </c>
      <c r="O136" s="2">
        <f t="shared" si="4"/>
        <v>31.997550455105717</v>
      </c>
      <c r="P136" t="s">
        <v>27</v>
      </c>
      <c r="Q136" t="s">
        <v>27</v>
      </c>
      <c r="R136" s="2">
        <v>4762.6833333333334</v>
      </c>
      <c r="S136" s="2">
        <v>648.98333333333335</v>
      </c>
      <c r="T136" s="2">
        <v>250.35499999999999</v>
      </c>
      <c r="U136" s="2">
        <v>136.54333333333335</v>
      </c>
      <c r="V136" s="2">
        <v>73.160000000000011</v>
      </c>
      <c r="W136" s="2">
        <v>316.12166666666667</v>
      </c>
      <c r="X136" s="2">
        <v>70.400000000000006</v>
      </c>
      <c r="Y136" s="2">
        <v>1</v>
      </c>
      <c r="Z136" s="2">
        <v>2253.1950000000002</v>
      </c>
    </row>
    <row r="137" spans="1:26" x14ac:dyDescent="0.25">
      <c r="A137" s="1">
        <v>45452</v>
      </c>
      <c r="B137" s="2">
        <v>258</v>
      </c>
      <c r="C137" s="2">
        <v>44.5</v>
      </c>
      <c r="D137" s="2">
        <v>16.5</v>
      </c>
      <c r="E137" s="2">
        <v>96.6</v>
      </c>
      <c r="F137" s="2">
        <v>139</v>
      </c>
      <c r="G137" s="2">
        <v>77</v>
      </c>
      <c r="H137" s="2">
        <v>66</v>
      </c>
      <c r="I137" s="2">
        <v>98</v>
      </c>
      <c r="J137" s="2">
        <v>131</v>
      </c>
      <c r="K137" s="2">
        <v>78</v>
      </c>
      <c r="L137" s="2">
        <v>85</v>
      </c>
      <c r="M137" s="2">
        <v>9</v>
      </c>
      <c r="N137" s="2">
        <f t="shared" si="5"/>
        <v>37.015102040816323</v>
      </c>
      <c r="O137" s="2">
        <f t="shared" si="4"/>
        <v>31.997550455105717</v>
      </c>
      <c r="P137" t="s">
        <v>26</v>
      </c>
      <c r="Q137" t="s">
        <v>26</v>
      </c>
      <c r="R137" s="2">
        <v>4631.3</v>
      </c>
      <c r="S137" s="2">
        <v>742.88333333333333</v>
      </c>
      <c r="T137" s="2">
        <v>151.15875</v>
      </c>
      <c r="U137" s="2">
        <v>119.62541666666667</v>
      </c>
      <c r="V137" s="2">
        <v>9.6883333333333326</v>
      </c>
      <c r="W137" s="2">
        <v>554.69124999999997</v>
      </c>
      <c r="X137" s="2">
        <v>115.8</v>
      </c>
      <c r="Y137" s="2">
        <v>1</v>
      </c>
      <c r="Z137" s="2">
        <v>1360.42875</v>
      </c>
    </row>
    <row r="138" spans="1:26" x14ac:dyDescent="0.25">
      <c r="A138" s="1">
        <v>45453</v>
      </c>
      <c r="B138" s="2">
        <v>251.8</v>
      </c>
      <c r="C138" s="2">
        <v>44.5</v>
      </c>
      <c r="D138" s="2">
        <v>16.5</v>
      </c>
      <c r="E138" s="2">
        <v>95.3</v>
      </c>
      <c r="F138" s="2">
        <v>123</v>
      </c>
      <c r="G138" s="2">
        <v>77</v>
      </c>
      <c r="H138" s="2">
        <v>69</v>
      </c>
      <c r="I138" s="2">
        <v>97.1</v>
      </c>
      <c r="J138" s="2">
        <v>142</v>
      </c>
      <c r="K138" s="2">
        <v>84</v>
      </c>
      <c r="L138" s="2">
        <v>80</v>
      </c>
      <c r="M138" s="2">
        <v>5</v>
      </c>
      <c r="N138" s="2">
        <f t="shared" si="5"/>
        <v>36.125591836734699</v>
      </c>
      <c r="O138" s="2">
        <f t="shared" si="4"/>
        <v>31.997550455105717</v>
      </c>
      <c r="P138" t="s">
        <v>27</v>
      </c>
      <c r="Q138" t="s">
        <v>26</v>
      </c>
      <c r="R138" s="2">
        <v>3025.2295833333337</v>
      </c>
      <c r="S138" s="2">
        <v>520.81616666666662</v>
      </c>
      <c r="T138" s="2">
        <v>74.574875000000006</v>
      </c>
      <c r="U138" s="2">
        <v>90.387125000000012</v>
      </c>
      <c r="V138" s="2">
        <v>40.594583333333333</v>
      </c>
      <c r="W138" s="2">
        <v>373.47787499999998</v>
      </c>
      <c r="X138" s="2">
        <v>66.430000000000007</v>
      </c>
      <c r="Y138" s="2">
        <v>0.5</v>
      </c>
      <c r="Z138" s="2">
        <v>671.17387499999995</v>
      </c>
    </row>
    <row r="139" spans="1:26" x14ac:dyDescent="0.25">
      <c r="A139" s="1">
        <v>45454</v>
      </c>
      <c r="B139" s="2">
        <v>250.4</v>
      </c>
      <c r="C139" s="2">
        <v>44.5</v>
      </c>
      <c r="D139" s="2">
        <v>16.5</v>
      </c>
      <c r="E139" s="2">
        <v>95.2</v>
      </c>
      <c r="F139" s="2">
        <v>127</v>
      </c>
      <c r="G139" s="2">
        <v>80</v>
      </c>
      <c r="H139" s="2">
        <v>74</v>
      </c>
      <c r="I139" s="2">
        <v>97.4</v>
      </c>
      <c r="J139" s="2">
        <v>137</v>
      </c>
      <c r="K139" s="2">
        <v>83</v>
      </c>
      <c r="L139" s="2">
        <v>81</v>
      </c>
      <c r="M139" s="2">
        <v>4</v>
      </c>
      <c r="N139" s="2">
        <f t="shared" si="5"/>
        <v>35.924734693877546</v>
      </c>
      <c r="O139" s="2">
        <f t="shared" si="4"/>
        <v>31.997550455105717</v>
      </c>
      <c r="P139" t="s">
        <v>27</v>
      </c>
      <c r="Q139" t="s">
        <v>26</v>
      </c>
      <c r="R139" s="2">
        <v>3309.7843750000002</v>
      </c>
      <c r="S139" s="2">
        <v>587.67520833333333</v>
      </c>
      <c r="T139" s="2">
        <v>82.926937499999994</v>
      </c>
      <c r="U139" s="2">
        <v>85.182979166666684</v>
      </c>
      <c r="V139" s="2">
        <v>8.9678333333333331</v>
      </c>
      <c r="W139" s="2">
        <v>498.64431249999996</v>
      </c>
      <c r="X139" s="2">
        <v>97</v>
      </c>
      <c r="Y139" s="2">
        <v>0.5</v>
      </c>
      <c r="Z139" s="2">
        <v>746.34243749999996</v>
      </c>
    </row>
    <row r="140" spans="1:26" x14ac:dyDescent="0.25">
      <c r="A140" s="1">
        <v>45455</v>
      </c>
      <c r="B140" s="2">
        <v>251</v>
      </c>
      <c r="C140" s="2">
        <v>44.5</v>
      </c>
      <c r="D140" s="2">
        <v>16.5</v>
      </c>
      <c r="E140" s="2">
        <v>95.3</v>
      </c>
      <c r="F140" s="2">
        <v>132</v>
      </c>
      <c r="G140" s="2">
        <v>75</v>
      </c>
      <c r="H140" s="2">
        <v>71</v>
      </c>
      <c r="I140" s="2">
        <v>98.3</v>
      </c>
      <c r="J140" s="2">
        <v>144</v>
      </c>
      <c r="K140" s="2">
        <v>82</v>
      </c>
      <c r="L140" s="2">
        <v>83</v>
      </c>
      <c r="M140" s="2">
        <v>4</v>
      </c>
      <c r="N140" s="2">
        <f t="shared" si="5"/>
        <v>36.010816326530609</v>
      </c>
      <c r="O140" s="2">
        <f t="shared" si="4"/>
        <v>31.997550455105717</v>
      </c>
      <c r="P140" t="s">
        <v>27</v>
      </c>
      <c r="Q140" t="s">
        <v>26</v>
      </c>
      <c r="R140" s="2">
        <v>692</v>
      </c>
      <c r="S140" s="2">
        <v>138.4</v>
      </c>
      <c r="T140" s="2">
        <v>17</v>
      </c>
      <c r="U140" s="2">
        <v>2</v>
      </c>
      <c r="V140" s="2">
        <v>0</v>
      </c>
      <c r="W140" s="2">
        <v>119.4</v>
      </c>
      <c r="X140" s="2">
        <v>6</v>
      </c>
      <c r="Y140" s="2">
        <v>0</v>
      </c>
      <c r="Z140" s="2">
        <v>153</v>
      </c>
    </row>
    <row r="141" spans="1:26" x14ac:dyDescent="0.25">
      <c r="A141" s="1">
        <v>45456</v>
      </c>
      <c r="B141" s="2">
        <v>249.2</v>
      </c>
      <c r="C141" s="2">
        <v>44</v>
      </c>
      <c r="D141" s="2">
        <v>16.5</v>
      </c>
      <c r="E141" s="2">
        <v>96.9</v>
      </c>
      <c r="F141" s="2">
        <v>140</v>
      </c>
      <c r="G141" s="2">
        <v>85</v>
      </c>
      <c r="H141" s="2">
        <v>86</v>
      </c>
      <c r="I141" s="2">
        <v>98.2</v>
      </c>
      <c r="J141" s="2">
        <v>134</v>
      </c>
      <c r="K141" s="2">
        <v>75</v>
      </c>
      <c r="L141" s="2">
        <v>88</v>
      </c>
      <c r="M141" s="2">
        <v>9</v>
      </c>
      <c r="N141" s="2">
        <f t="shared" si="5"/>
        <v>35.752571428571429</v>
      </c>
      <c r="O141" s="2">
        <f t="shared" si="4"/>
        <v>31.324493175702337</v>
      </c>
      <c r="P141" t="s">
        <v>27</v>
      </c>
      <c r="Q141" t="s">
        <v>27</v>
      </c>
      <c r="R141" s="2">
        <v>3776.5233333333335</v>
      </c>
      <c r="S141" s="2">
        <v>640.2836666666667</v>
      </c>
      <c r="T141" s="2">
        <v>99.191000000000003</v>
      </c>
      <c r="U141" s="2">
        <v>93.937000000000012</v>
      </c>
      <c r="V141" s="2">
        <v>44.299333333333337</v>
      </c>
      <c r="W141" s="2">
        <v>459.10299999999995</v>
      </c>
      <c r="X141" s="2">
        <v>123.63</v>
      </c>
      <c r="Y141" s="2">
        <v>0.25</v>
      </c>
      <c r="Z141" s="2">
        <v>892.71899999999994</v>
      </c>
    </row>
    <row r="142" spans="1:26" x14ac:dyDescent="0.25">
      <c r="A142" s="1">
        <v>45457</v>
      </c>
      <c r="B142" s="2">
        <v>248</v>
      </c>
      <c r="C142" s="2">
        <v>44</v>
      </c>
      <c r="D142" s="2">
        <v>16.5</v>
      </c>
      <c r="E142" s="2">
        <v>97.1</v>
      </c>
      <c r="F142" s="2">
        <v>123</v>
      </c>
      <c r="G142" s="2">
        <v>70</v>
      </c>
      <c r="H142" s="2">
        <v>74</v>
      </c>
      <c r="I142" s="2">
        <v>97</v>
      </c>
      <c r="J142" s="2">
        <v>147</v>
      </c>
      <c r="K142" s="2">
        <v>85</v>
      </c>
      <c r="L142" s="2">
        <v>78</v>
      </c>
      <c r="M142" s="2">
        <v>16</v>
      </c>
      <c r="N142" s="2">
        <f t="shared" si="5"/>
        <v>35.580408163265311</v>
      </c>
      <c r="O142" s="2">
        <f t="shared" si="4"/>
        <v>31.324493175702337</v>
      </c>
      <c r="P142" t="s">
        <v>26</v>
      </c>
      <c r="Q142" t="s">
        <v>27</v>
      </c>
      <c r="R142" s="2">
        <v>4886.0414583333331</v>
      </c>
      <c r="S142" s="2">
        <v>730.48337500000002</v>
      </c>
      <c r="T142" s="2">
        <v>148.85006249999998</v>
      </c>
      <c r="U142" s="2">
        <v>154.92685416666669</v>
      </c>
      <c r="V142" s="2">
        <v>48.697916666666664</v>
      </c>
      <c r="W142" s="2">
        <v>541.51043749999997</v>
      </c>
      <c r="X142" s="2">
        <v>163.86</v>
      </c>
      <c r="Y142" s="2">
        <v>0</v>
      </c>
      <c r="Z142" s="2">
        <v>1339.6505625</v>
      </c>
    </row>
    <row r="143" spans="1:26" x14ac:dyDescent="0.25">
      <c r="A143" s="1">
        <v>45458</v>
      </c>
      <c r="B143" s="2">
        <v>250.2</v>
      </c>
      <c r="C143" s="2">
        <v>44</v>
      </c>
      <c r="D143" s="2">
        <v>16.5</v>
      </c>
      <c r="E143" s="2">
        <v>96.4</v>
      </c>
      <c r="F143" s="2">
        <v>129</v>
      </c>
      <c r="G143" s="2">
        <v>72</v>
      </c>
      <c r="H143" s="2">
        <v>68</v>
      </c>
      <c r="I143" s="2">
        <v>97</v>
      </c>
      <c r="J143" s="2">
        <v>147</v>
      </c>
      <c r="K143" s="2">
        <v>85</v>
      </c>
      <c r="L143" s="2">
        <v>74</v>
      </c>
      <c r="M143" s="2">
        <v>7</v>
      </c>
      <c r="N143" s="2">
        <f t="shared" si="5"/>
        <v>35.896040816326526</v>
      </c>
      <c r="O143" s="2">
        <f t="shared" si="4"/>
        <v>31.324493175702337</v>
      </c>
      <c r="P143" t="s">
        <v>27</v>
      </c>
      <c r="Q143" t="s">
        <v>27</v>
      </c>
      <c r="R143" s="2">
        <v>3312.8814583333333</v>
      </c>
      <c r="S143" s="2">
        <v>511.657375</v>
      </c>
      <c r="T143" s="2">
        <v>93.966062500000007</v>
      </c>
      <c r="U143" s="2">
        <v>123.98485416666668</v>
      </c>
      <c r="V143" s="2">
        <v>45.321916666666667</v>
      </c>
      <c r="W143" s="2">
        <v>391.66643750000003</v>
      </c>
      <c r="X143" s="2">
        <v>108.56</v>
      </c>
      <c r="Y143" s="2">
        <v>0</v>
      </c>
      <c r="Z143" s="2">
        <v>845.69456249999996</v>
      </c>
    </row>
    <row r="144" spans="1:26" x14ac:dyDescent="0.25">
      <c r="A144" s="1">
        <v>45459</v>
      </c>
      <c r="B144" s="2">
        <v>253</v>
      </c>
      <c r="C144" s="2">
        <v>44</v>
      </c>
      <c r="D144" s="2">
        <v>16.5</v>
      </c>
      <c r="E144" s="2">
        <v>96.6</v>
      </c>
      <c r="F144" s="2">
        <v>133</v>
      </c>
      <c r="G144" s="2">
        <v>73</v>
      </c>
      <c r="H144" s="2">
        <v>72</v>
      </c>
      <c r="I144" s="2">
        <v>96.8</v>
      </c>
      <c r="J144" s="2">
        <v>140</v>
      </c>
      <c r="K144" s="2">
        <v>91</v>
      </c>
      <c r="L144" s="2">
        <v>81</v>
      </c>
      <c r="M144" s="2">
        <v>8</v>
      </c>
      <c r="N144" s="2">
        <f t="shared" si="5"/>
        <v>36.297755102040817</v>
      </c>
      <c r="O144" s="2">
        <f t="shared" si="4"/>
        <v>31.324493175702337</v>
      </c>
      <c r="P144" t="s">
        <v>26</v>
      </c>
      <c r="Q144" t="s">
        <v>27</v>
      </c>
      <c r="R144" s="2">
        <v>3113.3677083333332</v>
      </c>
      <c r="S144" s="2">
        <v>361.111875</v>
      </c>
      <c r="T144" s="2">
        <v>111.4519375</v>
      </c>
      <c r="U144" s="2">
        <v>135.84297916666665</v>
      </c>
      <c r="V144" s="2">
        <v>27.331166666666668</v>
      </c>
      <c r="W144" s="2">
        <v>193.44931249999999</v>
      </c>
      <c r="X144" s="2">
        <v>73.7</v>
      </c>
      <c r="Y144" s="2">
        <v>0</v>
      </c>
      <c r="Z144" s="2">
        <v>1003.0674375</v>
      </c>
    </row>
    <row r="145" spans="1:26" x14ac:dyDescent="0.25">
      <c r="A145" s="1">
        <v>45460</v>
      </c>
      <c r="B145" s="2">
        <v>250.8</v>
      </c>
      <c r="C145" s="2">
        <v>44</v>
      </c>
      <c r="D145" s="2">
        <v>16.5</v>
      </c>
      <c r="E145" s="2">
        <v>97</v>
      </c>
      <c r="F145" s="2">
        <v>116</v>
      </c>
      <c r="G145" s="2">
        <v>71</v>
      </c>
      <c r="H145" s="2">
        <v>78</v>
      </c>
      <c r="I145" s="2">
        <v>96.8</v>
      </c>
      <c r="J145" s="2">
        <v>124</v>
      </c>
      <c r="K145" s="2">
        <v>67</v>
      </c>
      <c r="L145" s="2">
        <v>64</v>
      </c>
      <c r="M145" s="2">
        <v>8</v>
      </c>
      <c r="N145" s="2">
        <f t="shared" si="5"/>
        <v>35.982122448979595</v>
      </c>
      <c r="O145" s="2">
        <f t="shared" si="4"/>
        <v>31.324493175702337</v>
      </c>
      <c r="P145" t="s">
        <v>26</v>
      </c>
      <c r="Q145" t="s">
        <v>27</v>
      </c>
      <c r="R145" s="2">
        <v>4050.583333333333</v>
      </c>
      <c r="S145" s="2">
        <v>644.8366666666667</v>
      </c>
      <c r="T145" s="2">
        <v>105.22500000000001</v>
      </c>
      <c r="U145" s="2">
        <v>89.060000000000016</v>
      </c>
      <c r="V145" s="2">
        <v>28.563333333333333</v>
      </c>
      <c r="W145" s="2">
        <v>436.60500000000002</v>
      </c>
      <c r="X145" s="2">
        <v>133.69999999999999</v>
      </c>
      <c r="Y145" s="2">
        <v>1.5</v>
      </c>
      <c r="Z145" s="2">
        <v>947.02499999999998</v>
      </c>
    </row>
    <row r="146" spans="1:26" x14ac:dyDescent="0.25">
      <c r="A146" s="1">
        <v>45461</v>
      </c>
      <c r="B146" s="2">
        <v>252.8</v>
      </c>
      <c r="C146" s="2">
        <v>44</v>
      </c>
      <c r="D146" s="2">
        <v>16.5</v>
      </c>
      <c r="E146" s="2">
        <v>96.2</v>
      </c>
      <c r="F146" s="2">
        <v>128</v>
      </c>
      <c r="G146" s="2">
        <v>70</v>
      </c>
      <c r="H146" s="2">
        <v>63</v>
      </c>
      <c r="I146" s="2">
        <v>96.4</v>
      </c>
      <c r="J146" s="2">
        <v>121</v>
      </c>
      <c r="K146" s="2">
        <v>75</v>
      </c>
      <c r="L146" s="2">
        <v>66</v>
      </c>
      <c r="M146" s="2">
        <v>6</v>
      </c>
      <c r="N146" s="2">
        <f t="shared" si="5"/>
        <v>36.269061224489796</v>
      </c>
      <c r="O146" s="2">
        <f t="shared" si="4"/>
        <v>31.324493175702337</v>
      </c>
      <c r="P146" t="s">
        <v>26</v>
      </c>
      <c r="Q146" t="s">
        <v>27</v>
      </c>
      <c r="R146" s="2">
        <v>2263.6781249999999</v>
      </c>
      <c r="S146" s="2">
        <v>391.88270833333331</v>
      </c>
      <c r="T146" s="2">
        <v>52.483062500000003</v>
      </c>
      <c r="U146" s="2">
        <v>66.492854166666675</v>
      </c>
      <c r="V146" s="2">
        <v>7.2525833333333329</v>
      </c>
      <c r="W146" s="2">
        <v>349.62943749999999</v>
      </c>
      <c r="X146" s="2">
        <v>114</v>
      </c>
      <c r="Y146" s="2">
        <v>0.5</v>
      </c>
      <c r="Z146" s="2">
        <v>472.34756250000004</v>
      </c>
    </row>
    <row r="147" spans="1:26" x14ac:dyDescent="0.25">
      <c r="A147" s="1">
        <v>45462</v>
      </c>
      <c r="B147" s="2">
        <v>251</v>
      </c>
      <c r="C147" s="2">
        <v>44</v>
      </c>
      <c r="D147" s="2">
        <v>16.5</v>
      </c>
      <c r="E147" s="2">
        <v>96.4</v>
      </c>
      <c r="F147" s="2">
        <v>140</v>
      </c>
      <c r="G147" s="2">
        <v>77</v>
      </c>
      <c r="H147" s="2">
        <v>74</v>
      </c>
      <c r="I147" s="2">
        <v>98.2</v>
      </c>
      <c r="J147" s="2">
        <v>139</v>
      </c>
      <c r="K147" s="2">
        <v>72</v>
      </c>
      <c r="L147" s="2">
        <v>89</v>
      </c>
      <c r="M147" s="2">
        <v>4</v>
      </c>
      <c r="N147" s="2">
        <f t="shared" si="5"/>
        <v>36.010816326530609</v>
      </c>
      <c r="O147" s="2">
        <f t="shared" si="4"/>
        <v>31.324493175702337</v>
      </c>
      <c r="P147" t="s">
        <v>27</v>
      </c>
      <c r="Q147" t="s">
        <v>27</v>
      </c>
      <c r="R147" s="2">
        <v>10</v>
      </c>
      <c r="S147" s="2">
        <v>3</v>
      </c>
      <c r="T147" s="2">
        <v>0</v>
      </c>
      <c r="U147" s="2">
        <v>0</v>
      </c>
      <c r="V147" s="2">
        <v>0</v>
      </c>
      <c r="W147" s="2">
        <v>2</v>
      </c>
      <c r="X147" s="2">
        <v>1</v>
      </c>
      <c r="Y147" s="2">
        <v>0.25</v>
      </c>
      <c r="Z147" s="2">
        <v>0</v>
      </c>
    </row>
    <row r="148" spans="1:26" x14ac:dyDescent="0.25">
      <c r="A148" s="1">
        <v>45463</v>
      </c>
      <c r="B148" s="2">
        <v>249.4</v>
      </c>
      <c r="C148" s="2">
        <v>44</v>
      </c>
      <c r="D148" s="2">
        <v>16.5</v>
      </c>
      <c r="E148" s="2">
        <v>96.9</v>
      </c>
      <c r="F148" s="2">
        <v>138</v>
      </c>
      <c r="G148" s="2">
        <v>78</v>
      </c>
      <c r="H148" s="2">
        <v>75</v>
      </c>
      <c r="I148" s="2">
        <v>98.4</v>
      </c>
      <c r="J148" s="2">
        <v>125</v>
      </c>
      <c r="K148" s="2">
        <v>75</v>
      </c>
      <c r="L148" s="2">
        <v>90</v>
      </c>
      <c r="M148" s="2">
        <v>5</v>
      </c>
      <c r="N148" s="2">
        <f t="shared" si="5"/>
        <v>35.781265306122449</v>
      </c>
      <c r="O148" s="2">
        <f t="shared" si="4"/>
        <v>31.324493175702337</v>
      </c>
      <c r="P148" t="s">
        <v>26</v>
      </c>
      <c r="Q148" t="s">
        <v>27</v>
      </c>
      <c r="R148" s="2">
        <v>2235.6781249999999</v>
      </c>
      <c r="S148" s="2">
        <v>412.28270833333335</v>
      </c>
      <c r="T148" s="2">
        <v>47.483062500000003</v>
      </c>
      <c r="U148" s="2">
        <v>63.492854166666667</v>
      </c>
      <c r="V148" s="2">
        <v>15.252583333333332</v>
      </c>
      <c r="W148" s="2">
        <v>372.02943750000003</v>
      </c>
      <c r="X148" s="2">
        <v>102</v>
      </c>
      <c r="Y148" s="2">
        <v>0</v>
      </c>
      <c r="Z148" s="2">
        <v>427.34756250000004</v>
      </c>
    </row>
    <row r="149" spans="1:26" x14ac:dyDescent="0.25">
      <c r="A149" s="1">
        <v>45464</v>
      </c>
      <c r="B149" s="2">
        <v>253.6</v>
      </c>
      <c r="C149" s="2">
        <v>44</v>
      </c>
      <c r="D149" s="2">
        <v>16.5</v>
      </c>
      <c r="E149" s="2">
        <v>96.5</v>
      </c>
      <c r="F149" s="2">
        <v>126</v>
      </c>
      <c r="G149" s="2">
        <v>69</v>
      </c>
      <c r="H149" s="2">
        <v>68</v>
      </c>
      <c r="I149" s="2">
        <v>98.6</v>
      </c>
      <c r="J149" s="2">
        <v>129</v>
      </c>
      <c r="K149" s="2">
        <v>77</v>
      </c>
      <c r="L149" s="2">
        <v>91</v>
      </c>
      <c r="M149" s="2">
        <v>6</v>
      </c>
      <c r="N149" s="2">
        <f t="shared" si="5"/>
        <v>36.38383673469388</v>
      </c>
      <c r="O149" s="2">
        <f t="shared" si="4"/>
        <v>31.324493175702337</v>
      </c>
      <c r="P149" t="s">
        <v>27</v>
      </c>
      <c r="Q149" t="s">
        <v>27</v>
      </c>
      <c r="R149" s="2">
        <v>6047</v>
      </c>
      <c r="S149" s="2">
        <v>759.4</v>
      </c>
      <c r="T149" s="2">
        <v>264.5</v>
      </c>
      <c r="U149" s="2">
        <v>123.5</v>
      </c>
      <c r="V149" s="2">
        <v>45.5</v>
      </c>
      <c r="W149" s="2">
        <v>330.4</v>
      </c>
      <c r="X149" s="2">
        <v>70</v>
      </c>
      <c r="Y149" s="2">
        <v>0</v>
      </c>
      <c r="Z149" s="2">
        <v>2380.5</v>
      </c>
    </row>
    <row r="150" spans="1:26" x14ac:dyDescent="0.25">
      <c r="A150" s="1">
        <v>45465</v>
      </c>
      <c r="B150" s="2">
        <v>254.6</v>
      </c>
      <c r="C150" s="2">
        <v>44</v>
      </c>
      <c r="D150" s="2">
        <v>16.5</v>
      </c>
      <c r="E150" s="2">
        <v>96</v>
      </c>
      <c r="F150" s="2">
        <v>119</v>
      </c>
      <c r="G150" s="2">
        <v>79</v>
      </c>
      <c r="H150" s="2">
        <v>75</v>
      </c>
      <c r="I150" s="2">
        <v>98.2</v>
      </c>
      <c r="J150" s="2">
        <v>141</v>
      </c>
      <c r="K150" s="2">
        <v>86</v>
      </c>
      <c r="L150" s="2">
        <v>91</v>
      </c>
      <c r="M150" s="2">
        <v>3</v>
      </c>
      <c r="N150" s="2">
        <f t="shared" si="5"/>
        <v>36.527306122448977</v>
      </c>
      <c r="O150" s="2">
        <f t="shared" si="4"/>
        <v>31.324493175702337</v>
      </c>
      <c r="P150" t="s">
        <v>27</v>
      </c>
      <c r="Q150" t="s">
        <v>27</v>
      </c>
      <c r="R150" s="2">
        <v>2667</v>
      </c>
      <c r="S150" s="2">
        <v>441.4</v>
      </c>
      <c r="T150" s="2">
        <v>82.5</v>
      </c>
      <c r="U150" s="2">
        <v>41</v>
      </c>
      <c r="V150" s="2">
        <v>12.5</v>
      </c>
      <c r="W150" s="2">
        <v>296.39999999999998</v>
      </c>
      <c r="X150" s="2">
        <v>56</v>
      </c>
      <c r="Y150" s="2">
        <v>0</v>
      </c>
      <c r="Z150" s="2">
        <v>742.5</v>
      </c>
    </row>
    <row r="151" spans="1:26" x14ac:dyDescent="0.25">
      <c r="A151" s="1">
        <v>45466</v>
      </c>
      <c r="B151" s="2">
        <v>253</v>
      </c>
      <c r="C151" s="2">
        <v>44</v>
      </c>
      <c r="D151" s="2">
        <v>16.5</v>
      </c>
      <c r="E151" s="2">
        <v>96.9</v>
      </c>
      <c r="F151" s="2">
        <v>132</v>
      </c>
      <c r="G151" s="2">
        <v>81</v>
      </c>
      <c r="H151" s="2">
        <v>65</v>
      </c>
      <c r="I151" s="2">
        <v>98.3</v>
      </c>
      <c r="J151" s="2">
        <v>136</v>
      </c>
      <c r="K151" s="2">
        <v>82</v>
      </c>
      <c r="L151" s="2">
        <v>89</v>
      </c>
      <c r="M151" s="2">
        <v>9</v>
      </c>
      <c r="N151" s="2">
        <f t="shared" si="5"/>
        <v>36.297755102040817</v>
      </c>
      <c r="O151" s="2">
        <f t="shared" si="4"/>
        <v>31.324493175702337</v>
      </c>
      <c r="P151" t="s">
        <v>26</v>
      </c>
      <c r="Q151" t="s">
        <v>27</v>
      </c>
      <c r="R151" s="2">
        <v>2940</v>
      </c>
      <c r="S151" s="2">
        <v>420.5</v>
      </c>
      <c r="T151" s="2">
        <v>99.2</v>
      </c>
      <c r="U151" s="2">
        <v>98.4</v>
      </c>
      <c r="V151" s="2">
        <v>8.1999999999999993</v>
      </c>
      <c r="W151" s="2">
        <v>295.10000000000002</v>
      </c>
      <c r="X151" s="2">
        <v>69</v>
      </c>
      <c r="Y151" s="2">
        <v>0</v>
      </c>
      <c r="Z151" s="2">
        <v>892.8</v>
      </c>
    </row>
    <row r="152" spans="1:26" x14ac:dyDescent="0.25">
      <c r="A152" s="1">
        <v>45467</v>
      </c>
      <c r="B152" s="2">
        <v>254</v>
      </c>
      <c r="C152" s="2">
        <v>44</v>
      </c>
      <c r="D152" s="2">
        <v>16.5</v>
      </c>
      <c r="E152" s="2">
        <v>96.5</v>
      </c>
      <c r="F152" s="2">
        <v>138</v>
      </c>
      <c r="G152" s="2">
        <v>80</v>
      </c>
      <c r="H152" s="2">
        <v>76</v>
      </c>
      <c r="I152" s="2">
        <v>98.5</v>
      </c>
      <c r="J152" s="2">
        <v>136</v>
      </c>
      <c r="K152" s="2">
        <v>80</v>
      </c>
      <c r="L152" s="2">
        <v>90</v>
      </c>
      <c r="M152" s="2">
        <v>12</v>
      </c>
      <c r="N152" s="2">
        <f t="shared" si="5"/>
        <v>36.441224489795914</v>
      </c>
      <c r="O152" s="2">
        <f t="shared" si="4"/>
        <v>31.324493175702337</v>
      </c>
      <c r="P152" t="s">
        <v>27</v>
      </c>
      <c r="Q152" t="s">
        <v>27</v>
      </c>
      <c r="R152" s="2">
        <v>1592</v>
      </c>
      <c r="S152" s="2">
        <v>244.8</v>
      </c>
      <c r="T152" s="2">
        <v>47</v>
      </c>
      <c r="U152" s="2">
        <v>46</v>
      </c>
      <c r="V152" s="2">
        <v>2</v>
      </c>
      <c r="W152" s="2">
        <v>140.80000000000001</v>
      </c>
      <c r="X152" s="2">
        <v>56</v>
      </c>
      <c r="Y152" s="2">
        <v>0</v>
      </c>
      <c r="Z152" s="2">
        <v>423</v>
      </c>
    </row>
    <row r="153" spans="1:26" x14ac:dyDescent="0.25">
      <c r="A153" s="1">
        <v>45468</v>
      </c>
      <c r="B153" s="2">
        <v>253</v>
      </c>
      <c r="C153" s="2">
        <v>44</v>
      </c>
      <c r="D153" s="2">
        <v>16.5</v>
      </c>
      <c r="E153" s="2">
        <v>94.2</v>
      </c>
      <c r="F153" s="2">
        <v>124</v>
      </c>
      <c r="G153" s="2">
        <v>75</v>
      </c>
      <c r="H153" s="2">
        <v>82</v>
      </c>
      <c r="I153" s="2">
        <v>98.1</v>
      </c>
      <c r="J153" s="2">
        <v>131</v>
      </c>
      <c r="K153" s="2">
        <v>77</v>
      </c>
      <c r="L153" s="2">
        <v>87</v>
      </c>
      <c r="M153" s="2">
        <v>8</v>
      </c>
      <c r="N153" s="2">
        <f t="shared" si="5"/>
        <v>36.297755102040817</v>
      </c>
      <c r="O153" s="2">
        <f t="shared" si="4"/>
        <v>31.324493175702337</v>
      </c>
      <c r="P153" t="s">
        <v>27</v>
      </c>
      <c r="Q153" t="s">
        <v>27</v>
      </c>
      <c r="R153" s="2">
        <v>5802.7849999999999</v>
      </c>
      <c r="S153" s="2">
        <v>833.42620370370378</v>
      </c>
      <c r="T153" s="2">
        <v>216.76972222222221</v>
      </c>
      <c r="U153" s="2">
        <v>143.81657407407408</v>
      </c>
      <c r="V153" s="2">
        <v>10.941203703703703</v>
      </c>
      <c r="W153" s="2">
        <v>525.43208333333337</v>
      </c>
      <c r="X153" s="2">
        <v>129.17000000000002</v>
      </c>
      <c r="Y153" s="2">
        <v>0</v>
      </c>
      <c r="Z153" s="2">
        <v>1950.9275</v>
      </c>
    </row>
    <row r="154" spans="1:26" x14ac:dyDescent="0.25">
      <c r="A154" s="1">
        <v>45469</v>
      </c>
      <c r="B154" s="2">
        <v>251.8</v>
      </c>
      <c r="C154" s="2">
        <v>44</v>
      </c>
      <c r="D154" s="2">
        <v>16.5</v>
      </c>
      <c r="E154" s="2">
        <v>96.7</v>
      </c>
      <c r="F154" s="2">
        <v>124</v>
      </c>
      <c r="G154" s="2">
        <v>74</v>
      </c>
      <c r="H154" s="2">
        <v>75</v>
      </c>
      <c r="I154" s="2">
        <v>98</v>
      </c>
      <c r="J154" s="2">
        <v>135</v>
      </c>
      <c r="K154" s="2">
        <v>79</v>
      </c>
      <c r="L154" s="2">
        <v>90</v>
      </c>
      <c r="M154" s="2">
        <v>6</v>
      </c>
      <c r="N154" s="2">
        <f t="shared" si="5"/>
        <v>36.125591836734699</v>
      </c>
      <c r="O154" s="2">
        <f t="shared" si="4"/>
        <v>31.324493175702337</v>
      </c>
      <c r="P154" t="s">
        <v>27</v>
      </c>
      <c r="Q154" t="s">
        <v>27</v>
      </c>
      <c r="R154" s="2">
        <v>1316.9749999999999</v>
      </c>
      <c r="S154" s="2">
        <v>186.535</v>
      </c>
      <c r="T154" s="2">
        <v>56.275000000000006</v>
      </c>
      <c r="U154" s="2">
        <v>27.375</v>
      </c>
      <c r="V154" s="2">
        <v>27.005000000000003</v>
      </c>
      <c r="W154" s="2">
        <v>82.004999999999995</v>
      </c>
      <c r="X154" s="2">
        <v>15.33</v>
      </c>
      <c r="Y154" s="2">
        <v>0</v>
      </c>
      <c r="Z154" s="2">
        <v>506.47499999999997</v>
      </c>
    </row>
    <row r="155" spans="1:26" x14ac:dyDescent="0.25">
      <c r="A155" s="1">
        <v>45470</v>
      </c>
      <c r="B155" s="2">
        <v>251.4</v>
      </c>
      <c r="C155" s="2">
        <v>44</v>
      </c>
      <c r="D155" s="2">
        <v>16.5</v>
      </c>
      <c r="E155" s="2">
        <v>95.3</v>
      </c>
      <c r="F155" s="2">
        <v>122</v>
      </c>
      <c r="G155" s="2">
        <v>72</v>
      </c>
      <c r="H155" s="2">
        <v>66</v>
      </c>
      <c r="I155" s="2">
        <v>97.6</v>
      </c>
      <c r="J155" s="2">
        <v>133</v>
      </c>
      <c r="K155" s="2">
        <v>77</v>
      </c>
      <c r="L155" s="2">
        <v>86</v>
      </c>
      <c r="M155" s="2">
        <v>12</v>
      </c>
      <c r="N155" s="2">
        <f t="shared" si="5"/>
        <v>36.068204081632651</v>
      </c>
      <c r="O155" s="2">
        <f t="shared" si="4"/>
        <v>31.324493175702337</v>
      </c>
      <c r="P155" t="s">
        <v>27</v>
      </c>
      <c r="Q155" t="s">
        <v>27</v>
      </c>
      <c r="R155" s="2">
        <v>1219.3699999999999</v>
      </c>
      <c r="S155" s="2">
        <v>127.9124074074074</v>
      </c>
      <c r="T155" s="2">
        <v>54.449444444444445</v>
      </c>
      <c r="U155" s="2">
        <v>60.013148148148147</v>
      </c>
      <c r="V155" s="2">
        <v>6.4824074074074067</v>
      </c>
      <c r="W155" s="2">
        <v>67.68416666666667</v>
      </c>
      <c r="X155" s="2">
        <v>5</v>
      </c>
      <c r="Y155" s="2">
        <v>0.5</v>
      </c>
      <c r="Z155" s="2">
        <v>490.04500000000002</v>
      </c>
    </row>
    <row r="156" spans="1:26" x14ac:dyDescent="0.25">
      <c r="A156" s="1">
        <v>45471</v>
      </c>
      <c r="B156" s="2">
        <v>249.2</v>
      </c>
      <c r="C156" s="2">
        <v>44</v>
      </c>
      <c r="D156" s="2">
        <v>16.5</v>
      </c>
      <c r="E156" s="2">
        <v>95.8</v>
      </c>
      <c r="F156" s="2">
        <v>123</v>
      </c>
      <c r="G156" s="2">
        <v>77</v>
      </c>
      <c r="H156" s="2">
        <v>85</v>
      </c>
      <c r="I156" s="2">
        <v>97.1</v>
      </c>
      <c r="J156" s="2">
        <v>117</v>
      </c>
      <c r="K156" s="2">
        <v>68</v>
      </c>
      <c r="L156" s="2">
        <v>66</v>
      </c>
      <c r="M156" s="2">
        <v>14</v>
      </c>
      <c r="N156" s="2">
        <f t="shared" si="5"/>
        <v>35.752571428571429</v>
      </c>
      <c r="O156" s="2">
        <f t="shared" si="4"/>
        <v>31.324493175702337</v>
      </c>
      <c r="P156" t="s">
        <v>27</v>
      </c>
      <c r="Q156" t="s">
        <v>27</v>
      </c>
      <c r="R156" s="2">
        <v>2270.0566666666668</v>
      </c>
      <c r="S156" s="2">
        <v>329.8830740740741</v>
      </c>
      <c r="T156" s="2">
        <v>57.797444444444444</v>
      </c>
      <c r="U156" s="2">
        <v>108.97481481481483</v>
      </c>
      <c r="V156" s="2">
        <v>44.937407407407406</v>
      </c>
      <c r="W156" s="2">
        <v>207.9385</v>
      </c>
      <c r="X156" s="2">
        <v>73.42</v>
      </c>
      <c r="Y156" s="2">
        <v>0.5</v>
      </c>
      <c r="Z156" s="2">
        <v>520.17699999999991</v>
      </c>
    </row>
    <row r="157" spans="1:26" x14ac:dyDescent="0.25">
      <c r="A157" s="1">
        <v>45472</v>
      </c>
      <c r="B157" s="2">
        <v>252.8</v>
      </c>
      <c r="C157" s="2">
        <v>44</v>
      </c>
      <c r="D157" s="2">
        <v>16.5</v>
      </c>
      <c r="E157" s="2">
        <v>96.9</v>
      </c>
      <c r="F157" s="2">
        <v>124</v>
      </c>
      <c r="G157" s="2">
        <v>78</v>
      </c>
      <c r="H157" s="2">
        <v>77</v>
      </c>
      <c r="I157" s="2">
        <v>96.9</v>
      </c>
      <c r="J157" s="2">
        <v>116</v>
      </c>
      <c r="K157" s="2">
        <v>68</v>
      </c>
      <c r="L157" s="2">
        <v>66</v>
      </c>
      <c r="M157" s="2">
        <v>8</v>
      </c>
      <c r="N157" s="2">
        <f t="shared" si="5"/>
        <v>36.269061224489796</v>
      </c>
      <c r="O157" s="2">
        <f t="shared" si="4"/>
        <v>31.324493175702337</v>
      </c>
      <c r="P157" t="s">
        <v>27</v>
      </c>
      <c r="Q157" t="s">
        <v>27</v>
      </c>
      <c r="R157" s="2">
        <v>2812.5150000000003</v>
      </c>
      <c r="S157" s="2">
        <v>441.84981481481475</v>
      </c>
      <c r="T157" s="2">
        <v>74.048888888888882</v>
      </c>
      <c r="U157" s="2">
        <v>109.3012962962963</v>
      </c>
      <c r="V157" s="2">
        <v>14.939814814814813</v>
      </c>
      <c r="W157" s="2">
        <v>345.24333333333334</v>
      </c>
      <c r="X157" s="2">
        <v>106</v>
      </c>
      <c r="Y157" s="2">
        <v>0</v>
      </c>
      <c r="Z157" s="2">
        <v>666.44</v>
      </c>
    </row>
    <row r="158" spans="1:26" x14ac:dyDescent="0.25">
      <c r="A158" s="1">
        <v>45473</v>
      </c>
      <c r="B158" s="2">
        <v>253</v>
      </c>
      <c r="C158" s="2">
        <v>44</v>
      </c>
      <c r="D158" s="2">
        <v>16.5</v>
      </c>
      <c r="E158" s="2">
        <v>97</v>
      </c>
      <c r="F158" s="2">
        <v>140</v>
      </c>
      <c r="G158" s="2">
        <v>87</v>
      </c>
      <c r="H158" s="2">
        <v>78</v>
      </c>
      <c r="I158" s="2">
        <v>97.1</v>
      </c>
      <c r="J158" s="2">
        <v>118</v>
      </c>
      <c r="K158" s="2">
        <v>67</v>
      </c>
      <c r="L158" s="2">
        <v>67</v>
      </c>
      <c r="M158" s="2">
        <v>6</v>
      </c>
      <c r="N158" s="2">
        <f t="shared" si="5"/>
        <v>36.297755102040817</v>
      </c>
      <c r="O158" s="2">
        <f t="shared" si="4"/>
        <v>31.324493175702337</v>
      </c>
      <c r="P158" t="s">
        <v>27</v>
      </c>
      <c r="Q158" t="s">
        <v>27</v>
      </c>
      <c r="R158" s="2">
        <v>7104.37</v>
      </c>
      <c r="S158" s="2">
        <v>816.91240740740739</v>
      </c>
      <c r="T158" s="2">
        <v>277.44944444444445</v>
      </c>
      <c r="U158" s="2">
        <v>221.01314814814816</v>
      </c>
      <c r="V158" s="2">
        <v>51.982407407407408</v>
      </c>
      <c r="W158" s="2">
        <v>292.68416666666667</v>
      </c>
      <c r="X158" s="2">
        <v>101</v>
      </c>
      <c r="Y158" s="2">
        <v>0</v>
      </c>
      <c r="Z158" s="2">
        <v>2497.0450000000001</v>
      </c>
    </row>
    <row r="159" spans="1:26" x14ac:dyDescent="0.25">
      <c r="A159" s="1">
        <v>45474</v>
      </c>
      <c r="B159" s="2">
        <v>259</v>
      </c>
      <c r="C159" s="2">
        <v>44.5</v>
      </c>
      <c r="D159" s="2">
        <v>16.5</v>
      </c>
      <c r="E159" s="2">
        <v>97.2</v>
      </c>
      <c r="F159" s="2">
        <v>140</v>
      </c>
      <c r="G159" s="2">
        <v>80</v>
      </c>
      <c r="H159" s="2">
        <v>86</v>
      </c>
      <c r="I159" s="2">
        <v>97</v>
      </c>
      <c r="J159" s="2">
        <v>137</v>
      </c>
      <c r="K159" s="2">
        <v>67</v>
      </c>
      <c r="L159" s="2">
        <v>65</v>
      </c>
      <c r="M159" s="2">
        <v>6</v>
      </c>
      <c r="N159" s="2">
        <f t="shared" si="5"/>
        <v>37.158571428571427</v>
      </c>
      <c r="O159" s="2">
        <f t="shared" si="4"/>
        <v>31.997550455105717</v>
      </c>
      <c r="P159" t="s">
        <v>27</v>
      </c>
      <c r="Q159" t="s">
        <v>27</v>
      </c>
      <c r="R159" s="2">
        <v>1995.5166666666667</v>
      </c>
      <c r="S159" s="2">
        <v>299.86666666666667</v>
      </c>
      <c r="T159" s="2">
        <v>55.525000000000006</v>
      </c>
      <c r="U159" s="2">
        <v>83.666666666666686</v>
      </c>
      <c r="V159" s="2">
        <v>57.7</v>
      </c>
      <c r="W159" s="2">
        <v>185.90833333333333</v>
      </c>
      <c r="X159" s="2">
        <v>44</v>
      </c>
      <c r="Y159" s="2">
        <v>0</v>
      </c>
      <c r="Z159" s="2">
        <v>499.72500000000002</v>
      </c>
    </row>
    <row r="160" spans="1:26" x14ac:dyDescent="0.25">
      <c r="A160" s="1">
        <v>45475</v>
      </c>
      <c r="B160" s="2">
        <v>254.8</v>
      </c>
      <c r="C160" s="2">
        <v>44.5</v>
      </c>
      <c r="D160" s="2">
        <v>16.5</v>
      </c>
      <c r="E160" s="2">
        <v>96.8</v>
      </c>
      <c r="F160" s="2">
        <v>129</v>
      </c>
      <c r="G160" s="2">
        <v>87</v>
      </c>
      <c r="H160" s="2">
        <v>70</v>
      </c>
      <c r="I160" s="2">
        <v>97.6</v>
      </c>
      <c r="J160" s="2">
        <v>135</v>
      </c>
      <c r="K160" s="2">
        <v>69</v>
      </c>
      <c r="L160" s="2">
        <v>67</v>
      </c>
      <c r="M160" s="2">
        <v>12</v>
      </c>
      <c r="N160" s="2">
        <f t="shared" si="5"/>
        <v>36.556000000000004</v>
      </c>
      <c r="O160" s="2">
        <f t="shared" si="4"/>
        <v>31.997550455105717</v>
      </c>
      <c r="P160" t="s">
        <v>27</v>
      </c>
      <c r="Q160" t="s">
        <v>27</v>
      </c>
      <c r="R160" s="2">
        <v>2392.7399999999998</v>
      </c>
      <c r="S160" s="2">
        <v>133.42481481481479</v>
      </c>
      <c r="T160" s="2">
        <v>135.09888888888889</v>
      </c>
      <c r="U160" s="2">
        <v>182.4262962962963</v>
      </c>
      <c r="V160" s="2">
        <v>14.164814814814813</v>
      </c>
      <c r="W160" s="2">
        <v>31.368333333333336</v>
      </c>
      <c r="X160" s="2">
        <v>21</v>
      </c>
      <c r="Y160" s="2">
        <v>1</v>
      </c>
      <c r="Z160" s="2">
        <v>1215.8900000000001</v>
      </c>
    </row>
    <row r="161" spans="1:26" x14ac:dyDescent="0.25">
      <c r="A161" s="1">
        <v>45476</v>
      </c>
      <c r="B161" s="2">
        <v>252.8</v>
      </c>
      <c r="C161" s="2">
        <v>44.5</v>
      </c>
      <c r="D161" s="2">
        <v>16.5</v>
      </c>
      <c r="E161" s="2">
        <v>96.7</v>
      </c>
      <c r="F161" s="2">
        <v>124</v>
      </c>
      <c r="G161" s="2">
        <v>69</v>
      </c>
      <c r="H161" s="2">
        <v>66</v>
      </c>
      <c r="I161" s="2">
        <v>96.9</v>
      </c>
      <c r="J161" s="2">
        <v>134</v>
      </c>
      <c r="K161" s="2">
        <v>75</v>
      </c>
      <c r="L161" s="2">
        <v>72</v>
      </c>
      <c r="M161" s="2">
        <v>8</v>
      </c>
      <c r="N161" s="2">
        <f t="shared" si="5"/>
        <v>36.269061224489796</v>
      </c>
      <c r="O161" s="2">
        <f t="shared" si="4"/>
        <v>31.997550455105717</v>
      </c>
      <c r="P161" t="s">
        <v>26</v>
      </c>
      <c r="Q161" t="s">
        <v>26</v>
      </c>
      <c r="R161" s="2">
        <v>1908.2166666666665</v>
      </c>
      <c r="S161" s="2">
        <v>213.73666666666668</v>
      </c>
      <c r="T161" s="2">
        <v>173.85499999999999</v>
      </c>
      <c r="U161" s="2">
        <v>97.006666666666675</v>
      </c>
      <c r="V161" s="2">
        <v>59.470000000000006</v>
      </c>
      <c r="W161" s="2">
        <v>50.18833333333334</v>
      </c>
      <c r="X161" s="2">
        <v>38.5</v>
      </c>
      <c r="Y161" s="2">
        <v>2</v>
      </c>
      <c r="Z161" s="2">
        <v>1564.6949999999999</v>
      </c>
    </row>
    <row r="162" spans="1:26" x14ac:dyDescent="0.25">
      <c r="A162" s="1">
        <v>45477</v>
      </c>
      <c r="B162" s="2">
        <v>251.8</v>
      </c>
      <c r="C162" s="2">
        <v>44.5</v>
      </c>
      <c r="D162" s="2">
        <v>16.5</v>
      </c>
      <c r="E162" s="2">
        <v>96.4</v>
      </c>
      <c r="F162" s="2">
        <v>123</v>
      </c>
      <c r="G162" s="2">
        <v>74</v>
      </c>
      <c r="H162" s="2">
        <v>69</v>
      </c>
      <c r="I162" s="2">
        <v>96.9</v>
      </c>
      <c r="J162" s="2">
        <v>135</v>
      </c>
      <c r="K162" s="2">
        <v>69</v>
      </c>
      <c r="L162" s="2">
        <v>71</v>
      </c>
      <c r="M162" s="2">
        <v>8</v>
      </c>
      <c r="N162" s="2">
        <f t="shared" si="5"/>
        <v>36.125591836734699</v>
      </c>
      <c r="O162" s="2">
        <f t="shared" si="4"/>
        <v>31.997550455105717</v>
      </c>
      <c r="P162" t="s">
        <v>27</v>
      </c>
      <c r="Q162" t="s">
        <v>27</v>
      </c>
      <c r="R162" s="2">
        <v>4115.6466666666665</v>
      </c>
      <c r="S162" s="2">
        <v>463.25366666666667</v>
      </c>
      <c r="T162" s="2">
        <v>172.392</v>
      </c>
      <c r="U162" s="2">
        <v>144.58466666666666</v>
      </c>
      <c r="V162" s="2">
        <v>28.869</v>
      </c>
      <c r="W162" s="2">
        <v>218.47633333333334</v>
      </c>
      <c r="X162" s="2">
        <v>64.39</v>
      </c>
      <c r="Y162" s="2">
        <v>1</v>
      </c>
      <c r="Z162" s="2">
        <v>1551.528</v>
      </c>
    </row>
    <row r="163" spans="1:26" x14ac:dyDescent="0.25">
      <c r="A163" s="1">
        <v>45478</v>
      </c>
      <c r="B163" s="2">
        <v>254.8</v>
      </c>
      <c r="C163" s="2">
        <v>44.5</v>
      </c>
      <c r="D163" s="2">
        <v>16.5</v>
      </c>
      <c r="E163" s="2">
        <v>97.2</v>
      </c>
      <c r="F163" s="2">
        <v>144</v>
      </c>
      <c r="G163" s="2">
        <v>83</v>
      </c>
      <c r="H163" s="2">
        <v>99</v>
      </c>
      <c r="I163" s="2">
        <v>96.8</v>
      </c>
      <c r="J163" s="2">
        <v>124</v>
      </c>
      <c r="K163" s="2">
        <v>72</v>
      </c>
      <c r="L163" s="2">
        <v>74</v>
      </c>
      <c r="M163" s="2">
        <v>6</v>
      </c>
      <c r="N163" s="2">
        <f t="shared" si="5"/>
        <v>36.556000000000004</v>
      </c>
      <c r="O163" s="2">
        <f t="shared" si="4"/>
        <v>31.997550455105717</v>
      </c>
      <c r="P163" t="s">
        <v>27</v>
      </c>
      <c r="Q163" t="s">
        <v>27</v>
      </c>
      <c r="R163" s="2">
        <v>2253.5166666666664</v>
      </c>
      <c r="S163" s="2">
        <v>285.66666666666663</v>
      </c>
      <c r="T163" s="2">
        <v>74.325000000000003</v>
      </c>
      <c r="U163" s="2">
        <v>94.26666666666668</v>
      </c>
      <c r="V163" s="2">
        <v>18</v>
      </c>
      <c r="W163" s="2">
        <v>168.30833333333334</v>
      </c>
      <c r="X163" s="2">
        <v>65</v>
      </c>
      <c r="Y163" s="2">
        <v>1</v>
      </c>
      <c r="Z163" s="2">
        <v>668.92499999999995</v>
      </c>
    </row>
    <row r="164" spans="1:26" x14ac:dyDescent="0.25">
      <c r="A164" s="1">
        <v>45479</v>
      </c>
      <c r="B164" s="2">
        <v>255</v>
      </c>
      <c r="C164" s="2">
        <v>44.5</v>
      </c>
      <c r="D164" s="2">
        <v>16.5</v>
      </c>
      <c r="E164" s="2">
        <v>97.3</v>
      </c>
      <c r="F164" s="2">
        <v>133</v>
      </c>
      <c r="G164" s="2">
        <v>83</v>
      </c>
      <c r="H164" s="2">
        <v>76</v>
      </c>
      <c r="I164" s="2">
        <v>97.8</v>
      </c>
      <c r="J164" s="2">
        <v>134</v>
      </c>
      <c r="K164" s="2">
        <v>77</v>
      </c>
      <c r="L164" s="2">
        <v>77</v>
      </c>
      <c r="M164" s="2">
        <v>6</v>
      </c>
      <c r="N164" s="2">
        <f t="shared" si="5"/>
        <v>36.584693877551018</v>
      </c>
      <c r="O164" s="2">
        <f t="shared" si="4"/>
        <v>31.997550455105717</v>
      </c>
      <c r="P164" t="s">
        <v>27</v>
      </c>
      <c r="Q164" t="s">
        <v>27</v>
      </c>
      <c r="R164" s="2">
        <v>4339.55</v>
      </c>
      <c r="S164" s="2">
        <v>871.2</v>
      </c>
      <c r="T164" s="2">
        <v>39.975000000000001</v>
      </c>
      <c r="U164" s="2">
        <v>122.00000000000001</v>
      </c>
      <c r="V164" s="2">
        <v>39.6</v>
      </c>
      <c r="W164" s="2">
        <v>751.32500000000005</v>
      </c>
      <c r="X164" s="2">
        <v>147</v>
      </c>
      <c r="Y164" s="2">
        <v>0</v>
      </c>
      <c r="Z164" s="2">
        <v>359.77499999999998</v>
      </c>
    </row>
    <row r="165" spans="1:26" x14ac:dyDescent="0.25">
      <c r="A165" s="1">
        <v>45480</v>
      </c>
      <c r="B165" s="2">
        <v>254.8</v>
      </c>
      <c r="C165" s="2">
        <v>44.5</v>
      </c>
      <c r="D165" s="2">
        <v>16.5</v>
      </c>
      <c r="E165" s="2">
        <v>95.9</v>
      </c>
      <c r="F165" s="2">
        <v>127</v>
      </c>
      <c r="G165" s="2">
        <v>65</v>
      </c>
      <c r="H165" s="2">
        <v>85</v>
      </c>
      <c r="I165" s="2">
        <v>97.3</v>
      </c>
      <c r="J165" s="2">
        <v>129</v>
      </c>
      <c r="K165" s="2">
        <v>76</v>
      </c>
      <c r="L165" s="2">
        <v>74</v>
      </c>
      <c r="M165" s="2">
        <v>19</v>
      </c>
      <c r="N165" s="2">
        <f t="shared" si="5"/>
        <v>36.556000000000004</v>
      </c>
      <c r="O165" s="2">
        <f t="shared" si="4"/>
        <v>31.997550455105717</v>
      </c>
      <c r="P165" t="s">
        <v>26</v>
      </c>
      <c r="Q165" t="s">
        <v>26</v>
      </c>
      <c r="R165" s="2">
        <v>2963.74</v>
      </c>
      <c r="S165" s="2">
        <v>434.82481481481477</v>
      </c>
      <c r="T165" s="2">
        <v>88.898888888888891</v>
      </c>
      <c r="U165" s="2">
        <v>107.02629629629629</v>
      </c>
      <c r="V165" s="2">
        <v>14.964814814814813</v>
      </c>
      <c r="W165" s="2">
        <v>305.36833333333334</v>
      </c>
      <c r="X165" s="2">
        <v>68</v>
      </c>
      <c r="Y165" s="2">
        <v>1</v>
      </c>
      <c r="Z165" s="2">
        <v>800.09</v>
      </c>
    </row>
    <row r="166" spans="1:26" x14ac:dyDescent="0.25">
      <c r="A166" s="1">
        <v>45481</v>
      </c>
      <c r="B166" s="2">
        <v>251.8</v>
      </c>
      <c r="C166" s="2">
        <v>44.5</v>
      </c>
      <c r="D166" s="2">
        <v>16.5</v>
      </c>
      <c r="E166" s="2">
        <v>97.3</v>
      </c>
      <c r="F166" s="2">
        <v>134</v>
      </c>
      <c r="G166" s="2">
        <v>79</v>
      </c>
      <c r="H166" s="2">
        <v>74</v>
      </c>
      <c r="I166" s="2">
        <v>97.7</v>
      </c>
      <c r="J166" s="2">
        <v>139</v>
      </c>
      <c r="K166" s="2">
        <v>75</v>
      </c>
      <c r="L166" s="2">
        <v>77</v>
      </c>
      <c r="M166" s="2">
        <v>6</v>
      </c>
      <c r="N166" s="2">
        <f t="shared" si="5"/>
        <v>36.125591836734699</v>
      </c>
      <c r="O166" s="2">
        <f t="shared" si="4"/>
        <v>31.997550455105717</v>
      </c>
      <c r="P166" t="s">
        <v>27</v>
      </c>
      <c r="Q166" t="s">
        <v>27</v>
      </c>
      <c r="R166" s="2">
        <v>5194.74</v>
      </c>
      <c r="S166" s="2">
        <v>666.82481481481477</v>
      </c>
      <c r="T166" s="2">
        <v>211.09888888888889</v>
      </c>
      <c r="U166" s="2">
        <v>157.4262962962963</v>
      </c>
      <c r="V166" s="2">
        <v>39.664814814814818</v>
      </c>
      <c r="W166" s="2">
        <v>342.76833333333332</v>
      </c>
      <c r="X166" s="2">
        <v>59</v>
      </c>
      <c r="Y166" s="2">
        <v>0</v>
      </c>
      <c r="Z166" s="2">
        <v>1899.89</v>
      </c>
    </row>
    <row r="167" spans="1:26" x14ac:dyDescent="0.25">
      <c r="A167" s="1">
        <v>45482</v>
      </c>
      <c r="B167" s="2">
        <v>257.39999999999998</v>
      </c>
      <c r="C167" s="2">
        <v>45</v>
      </c>
      <c r="D167" s="2">
        <v>16.5</v>
      </c>
      <c r="E167" s="2">
        <v>97.6</v>
      </c>
      <c r="F167" s="2">
        <v>124</v>
      </c>
      <c r="G167" s="2">
        <v>70</v>
      </c>
      <c r="H167" s="2">
        <v>68</v>
      </c>
      <c r="I167" s="2">
        <v>96.9</v>
      </c>
      <c r="J167" s="2">
        <v>112</v>
      </c>
      <c r="K167" s="2">
        <v>66</v>
      </c>
      <c r="L167" s="2">
        <v>70</v>
      </c>
      <c r="M167" s="2">
        <v>8</v>
      </c>
      <c r="N167" s="2">
        <f t="shared" si="5"/>
        <v>36.929020408163261</v>
      </c>
      <c r="O167" s="2">
        <f t="shared" si="4"/>
        <v>32.6586945886934</v>
      </c>
      <c r="P167" t="s">
        <v>27</v>
      </c>
      <c r="Q167" t="s">
        <v>27</v>
      </c>
      <c r="R167" s="2">
        <v>2174</v>
      </c>
      <c r="S167" s="2">
        <v>437.6</v>
      </c>
      <c r="T167" s="2">
        <v>142.5</v>
      </c>
      <c r="U167" s="2">
        <v>47</v>
      </c>
      <c r="V167" s="2">
        <v>42</v>
      </c>
      <c r="W167" s="2">
        <v>321.39999999999998</v>
      </c>
      <c r="X167" s="2">
        <v>75</v>
      </c>
      <c r="Y167" s="2">
        <v>0.75</v>
      </c>
      <c r="Z167" s="2">
        <v>1282.5</v>
      </c>
    </row>
    <row r="168" spans="1:26" x14ac:dyDescent="0.25">
      <c r="A168" s="1">
        <v>45483</v>
      </c>
      <c r="B168" s="2">
        <v>255.8</v>
      </c>
      <c r="C168" s="2">
        <v>45</v>
      </c>
      <c r="D168" s="2">
        <v>16.5</v>
      </c>
      <c r="E168" s="2">
        <v>96.5</v>
      </c>
      <c r="F168" s="2">
        <v>131</v>
      </c>
      <c r="G168" s="2">
        <v>76</v>
      </c>
      <c r="H168" s="2">
        <v>56</v>
      </c>
      <c r="I168" s="2">
        <v>98.6</v>
      </c>
      <c r="J168" s="2">
        <v>144</v>
      </c>
      <c r="K168" s="2">
        <v>80</v>
      </c>
      <c r="L168" s="2">
        <v>77</v>
      </c>
      <c r="M168" s="2">
        <v>8.5</v>
      </c>
      <c r="N168" s="2">
        <f t="shared" si="5"/>
        <v>36.699469387755101</v>
      </c>
      <c r="O168" s="2">
        <f t="shared" si="4"/>
        <v>32.6586945886934</v>
      </c>
      <c r="P168" t="s">
        <v>27</v>
      </c>
      <c r="Q168" t="s">
        <v>27</v>
      </c>
      <c r="R168" s="2">
        <v>2046.3866666666668</v>
      </c>
      <c r="S168" s="2">
        <v>419.45266666666669</v>
      </c>
      <c r="T168" s="2">
        <v>27.042999999999999</v>
      </c>
      <c r="U168" s="2">
        <v>61.13600000000001</v>
      </c>
      <c r="V168" s="2">
        <v>36.448</v>
      </c>
      <c r="W168" s="2">
        <v>349.86566666666664</v>
      </c>
      <c r="X168" s="2">
        <v>102.94</v>
      </c>
      <c r="Y168" s="2">
        <v>1</v>
      </c>
      <c r="Z168" s="2">
        <v>243.387</v>
      </c>
    </row>
    <row r="169" spans="1:26" x14ac:dyDescent="0.25">
      <c r="A169" s="1">
        <v>45484</v>
      </c>
      <c r="B169" s="2">
        <v>251.8</v>
      </c>
      <c r="C169" s="2">
        <v>44.5</v>
      </c>
      <c r="D169" s="2">
        <v>16.5</v>
      </c>
      <c r="E169" s="2">
        <v>96</v>
      </c>
      <c r="F169" s="2">
        <v>140</v>
      </c>
      <c r="G169" s="2">
        <v>83</v>
      </c>
      <c r="H169" s="2">
        <v>98</v>
      </c>
      <c r="I169" s="2">
        <v>97.1</v>
      </c>
      <c r="J169" s="2">
        <v>148</v>
      </c>
      <c r="K169" s="2">
        <v>74</v>
      </c>
      <c r="L169" s="2">
        <v>71</v>
      </c>
      <c r="M169" s="2">
        <v>0</v>
      </c>
      <c r="N169" s="2">
        <f t="shared" si="5"/>
        <v>36.125591836734699</v>
      </c>
      <c r="O169" s="2">
        <f t="shared" si="4"/>
        <v>31.997550455105717</v>
      </c>
      <c r="P169" t="s">
        <v>27</v>
      </c>
      <c r="Q169" t="s">
        <v>27</v>
      </c>
      <c r="R169" s="2">
        <v>1417.494375</v>
      </c>
      <c r="S169" s="2">
        <v>267.525125</v>
      </c>
      <c r="T169" s="2">
        <v>26.328375000000001</v>
      </c>
      <c r="U169" s="2">
        <v>33.312062499999996</v>
      </c>
      <c r="V169" s="2">
        <v>4.6653124999999998</v>
      </c>
      <c r="W169" s="2">
        <v>158.741625</v>
      </c>
      <c r="X169" s="2">
        <v>17</v>
      </c>
      <c r="Y169" s="2">
        <v>1</v>
      </c>
      <c r="Z169" s="2">
        <v>236.955375</v>
      </c>
    </row>
    <row r="170" spans="1:26" x14ac:dyDescent="0.25">
      <c r="A170" s="1">
        <v>45485</v>
      </c>
      <c r="B170" s="2">
        <v>247.6</v>
      </c>
      <c r="C170" s="2">
        <v>44.5</v>
      </c>
      <c r="D170" s="2">
        <v>16.5</v>
      </c>
      <c r="E170" s="2">
        <v>100.1</v>
      </c>
      <c r="F170" s="2">
        <v>142</v>
      </c>
      <c r="G170" s="2">
        <v>82</v>
      </c>
      <c r="H170" s="2">
        <v>99</v>
      </c>
      <c r="I170" s="2">
        <v>98.1</v>
      </c>
      <c r="J170" s="2">
        <v>148</v>
      </c>
      <c r="K170" s="2">
        <v>79</v>
      </c>
      <c r="L170" s="2">
        <v>74</v>
      </c>
      <c r="M170" s="2">
        <v>16</v>
      </c>
      <c r="N170" s="2">
        <f t="shared" si="5"/>
        <v>35.523020408163262</v>
      </c>
      <c r="O170" s="2">
        <f t="shared" si="4"/>
        <v>31.997550455105717</v>
      </c>
      <c r="P170" t="s">
        <v>27</v>
      </c>
      <c r="Q170" t="s">
        <v>27</v>
      </c>
      <c r="R170" s="2">
        <v>2175.2666666666664</v>
      </c>
      <c r="S170" s="2">
        <v>376.66666666666669</v>
      </c>
      <c r="T170" s="2">
        <v>45.075000000000003</v>
      </c>
      <c r="U170" s="2">
        <v>74.750000000000014</v>
      </c>
      <c r="V170" s="2">
        <v>50.2</v>
      </c>
      <c r="W170" s="2">
        <v>273.8416666666667</v>
      </c>
      <c r="X170" s="2">
        <v>76.5</v>
      </c>
      <c r="Y170" s="2">
        <v>0</v>
      </c>
      <c r="Z170" s="2">
        <v>405.67500000000001</v>
      </c>
    </row>
    <row r="171" spans="1:26" x14ac:dyDescent="0.25">
      <c r="A171" s="1">
        <v>45486</v>
      </c>
      <c r="B171" s="2">
        <v>248.8</v>
      </c>
      <c r="C171" s="2">
        <v>44.5</v>
      </c>
      <c r="D171" s="2">
        <v>16.5</v>
      </c>
      <c r="E171" s="2">
        <v>97.1</v>
      </c>
      <c r="F171" s="2">
        <v>127</v>
      </c>
      <c r="G171" s="2">
        <v>71</v>
      </c>
      <c r="H171" s="2">
        <v>75</v>
      </c>
      <c r="I171" s="2">
        <v>97.1</v>
      </c>
      <c r="J171" s="2">
        <v>134</v>
      </c>
      <c r="K171" s="2">
        <v>73</v>
      </c>
      <c r="L171" s="2">
        <v>73</v>
      </c>
      <c r="M171" s="2">
        <v>10</v>
      </c>
      <c r="N171" s="2">
        <f t="shared" si="5"/>
        <v>35.695183673469387</v>
      </c>
      <c r="O171" s="2">
        <f t="shared" si="4"/>
        <v>31.997550455105717</v>
      </c>
      <c r="P171" t="s">
        <v>27</v>
      </c>
      <c r="Q171" t="s">
        <v>27</v>
      </c>
      <c r="R171" s="2">
        <v>2027.547619047619</v>
      </c>
      <c r="S171" s="2">
        <v>304.3630952380953</v>
      </c>
      <c r="T171" s="2">
        <v>60.359523809523822</v>
      </c>
      <c r="U171" s="2">
        <v>76.157142857142873</v>
      </c>
      <c r="V171" s="2">
        <v>17.166666666666668</v>
      </c>
      <c r="W171" s="2">
        <v>264.0654761904762</v>
      </c>
      <c r="X171" s="2">
        <v>66.5</v>
      </c>
      <c r="Y171" s="2">
        <v>0</v>
      </c>
      <c r="Z171" s="2">
        <v>543.23571428571427</v>
      </c>
    </row>
    <row r="172" spans="1:26" x14ac:dyDescent="0.25">
      <c r="A172" s="1">
        <v>45487</v>
      </c>
      <c r="B172" s="2">
        <v>249.8</v>
      </c>
      <c r="C172" s="2">
        <v>44.5</v>
      </c>
      <c r="D172" s="2">
        <v>16.5</v>
      </c>
      <c r="E172" s="2">
        <v>96.8</v>
      </c>
      <c r="F172" s="2">
        <v>140</v>
      </c>
      <c r="G172" s="2">
        <v>86</v>
      </c>
      <c r="H172" s="2">
        <v>83</v>
      </c>
      <c r="I172" s="2">
        <v>97.2</v>
      </c>
      <c r="J172" s="2">
        <v>135</v>
      </c>
      <c r="K172" s="2">
        <v>79</v>
      </c>
      <c r="L172" s="2">
        <v>75</v>
      </c>
      <c r="M172" s="2">
        <v>8</v>
      </c>
      <c r="N172" s="2">
        <f t="shared" si="5"/>
        <v>35.838653061224491</v>
      </c>
      <c r="O172" s="2">
        <f t="shared" si="4"/>
        <v>31.997550455105717</v>
      </c>
      <c r="P172" t="s">
        <v>27</v>
      </c>
      <c r="Q172" t="s">
        <v>27</v>
      </c>
      <c r="R172" s="2">
        <v>3443.7610416666666</v>
      </c>
      <c r="S172" s="2">
        <v>644.09179166666672</v>
      </c>
      <c r="T172" s="2">
        <v>66.703374999999994</v>
      </c>
      <c r="U172" s="2">
        <v>93.162062500000019</v>
      </c>
      <c r="V172" s="2">
        <v>55.165312499999999</v>
      </c>
      <c r="W172" s="2">
        <v>506.0832916666667</v>
      </c>
      <c r="X172" s="2">
        <v>126</v>
      </c>
      <c r="Y172" s="2">
        <v>0</v>
      </c>
      <c r="Z172" s="2">
        <v>600.330375</v>
      </c>
    </row>
    <row r="173" spans="1:26" x14ac:dyDescent="0.25">
      <c r="A173" s="1">
        <v>45488</v>
      </c>
      <c r="B173" s="2">
        <v>250.6</v>
      </c>
      <c r="C173" s="2">
        <v>44.5</v>
      </c>
      <c r="D173" s="2">
        <v>16.5</v>
      </c>
      <c r="E173" s="2">
        <v>97.3</v>
      </c>
      <c r="F173" s="2">
        <v>136</v>
      </c>
      <c r="G173" s="2">
        <v>82</v>
      </c>
      <c r="H173" s="2">
        <v>73</v>
      </c>
      <c r="I173" s="2">
        <v>96.9</v>
      </c>
      <c r="J173" s="2">
        <v>129</v>
      </c>
      <c r="K173" s="2">
        <v>71</v>
      </c>
      <c r="L173" s="2">
        <v>71</v>
      </c>
      <c r="M173" s="2">
        <v>10</v>
      </c>
      <c r="N173" s="2">
        <f t="shared" si="5"/>
        <v>35.953428571428574</v>
      </c>
      <c r="O173" s="2">
        <f t="shared" si="4"/>
        <v>31.997550455105717</v>
      </c>
      <c r="P173" t="s">
        <v>27</v>
      </c>
      <c r="Q173" t="s">
        <v>27</v>
      </c>
      <c r="R173" s="2">
        <v>3056.2666666666664</v>
      </c>
      <c r="S173" s="2">
        <v>601.56666666666661</v>
      </c>
      <c r="T173" s="2">
        <v>50.875</v>
      </c>
      <c r="U173" s="2">
        <v>76.850000000000009</v>
      </c>
      <c r="V173" s="2">
        <v>53.5</v>
      </c>
      <c r="W173" s="2">
        <v>500.3416666666667</v>
      </c>
      <c r="X173" s="2">
        <v>125</v>
      </c>
      <c r="Y173" s="2">
        <v>0</v>
      </c>
      <c r="Z173" s="2">
        <v>457.875</v>
      </c>
    </row>
    <row r="174" spans="1:26" x14ac:dyDescent="0.25">
      <c r="A174" s="1">
        <v>45489</v>
      </c>
      <c r="B174" s="2">
        <v>252</v>
      </c>
      <c r="C174" s="2">
        <v>44.5</v>
      </c>
      <c r="D174" s="2">
        <v>16.5</v>
      </c>
      <c r="E174" s="2">
        <v>96.6</v>
      </c>
      <c r="F174" s="2">
        <v>128</v>
      </c>
      <c r="G174" s="2">
        <v>74</v>
      </c>
      <c r="H174" s="2">
        <v>73</v>
      </c>
      <c r="I174" s="2">
        <v>97.7</v>
      </c>
      <c r="J174" s="2">
        <v>140</v>
      </c>
      <c r="K174" s="2">
        <v>78</v>
      </c>
      <c r="L174" s="2">
        <v>68</v>
      </c>
      <c r="M174" s="2">
        <v>8</v>
      </c>
      <c r="N174" s="2">
        <f t="shared" si="5"/>
        <v>36.154285714285713</v>
      </c>
      <c r="O174" s="2">
        <f t="shared" si="4"/>
        <v>31.997550455105717</v>
      </c>
      <c r="P174" t="s">
        <v>27</v>
      </c>
      <c r="Q174" t="s">
        <v>27</v>
      </c>
      <c r="R174" s="2">
        <v>6201.5</v>
      </c>
      <c r="S174" s="2">
        <v>872.35</v>
      </c>
      <c r="T174" s="2">
        <v>224.2</v>
      </c>
      <c r="U174" s="2">
        <v>190.4</v>
      </c>
      <c r="V174" s="2">
        <v>37.200000000000003</v>
      </c>
      <c r="W174" s="2">
        <v>508</v>
      </c>
      <c r="X174" s="2">
        <v>84.75</v>
      </c>
      <c r="Y174" s="2">
        <v>1</v>
      </c>
      <c r="Z174" s="2">
        <v>2017.8</v>
      </c>
    </row>
    <row r="175" spans="1:26" x14ac:dyDescent="0.25">
      <c r="A175" s="1">
        <v>45490</v>
      </c>
      <c r="B175" s="2">
        <v>255.6</v>
      </c>
      <c r="C175" s="2">
        <v>44.5</v>
      </c>
      <c r="D175" s="2">
        <v>16.5</v>
      </c>
      <c r="E175" s="2">
        <v>97.1</v>
      </c>
      <c r="F175" s="2">
        <v>133</v>
      </c>
      <c r="G175" s="2">
        <v>78</v>
      </c>
      <c r="H175" s="2">
        <v>78</v>
      </c>
      <c r="I175" s="2">
        <v>96.9</v>
      </c>
      <c r="J175" s="2">
        <v>124</v>
      </c>
      <c r="K175" s="2">
        <v>74</v>
      </c>
      <c r="L175" s="2">
        <v>73</v>
      </c>
      <c r="M175" s="2">
        <v>4</v>
      </c>
      <c r="N175" s="2">
        <f t="shared" si="5"/>
        <v>36.670775510204081</v>
      </c>
      <c r="O175" s="2">
        <f t="shared" si="4"/>
        <v>31.997550455105717</v>
      </c>
      <c r="P175" t="s">
        <v>27</v>
      </c>
      <c r="Q175" t="s">
        <v>27</v>
      </c>
      <c r="R175" s="2">
        <v>3067.041994047619</v>
      </c>
      <c r="S175" s="2">
        <v>431.28822023809528</v>
      </c>
      <c r="T175" s="2">
        <v>109.68789880952382</v>
      </c>
      <c r="U175" s="2">
        <v>97.969205357142869</v>
      </c>
      <c r="V175" s="2">
        <v>7.3319791666666667</v>
      </c>
      <c r="W175" s="2">
        <v>312.70710119047618</v>
      </c>
      <c r="X175" s="2">
        <v>55</v>
      </c>
      <c r="Y175" s="2">
        <v>0</v>
      </c>
      <c r="Z175" s="2">
        <v>987.19108928571427</v>
      </c>
    </row>
    <row r="176" spans="1:26" x14ac:dyDescent="0.25">
      <c r="A176" s="1">
        <v>45491</v>
      </c>
      <c r="B176" s="2">
        <v>252.6</v>
      </c>
      <c r="C176" s="2">
        <v>44.5</v>
      </c>
      <c r="D176" s="2">
        <v>16.5</v>
      </c>
      <c r="E176" s="2">
        <v>96.5</v>
      </c>
      <c r="F176" s="2">
        <v>132</v>
      </c>
      <c r="G176" s="2">
        <v>80</v>
      </c>
      <c r="H176" s="2">
        <v>64</v>
      </c>
      <c r="I176" s="2">
        <v>97.8</v>
      </c>
      <c r="J176" s="2">
        <v>153</v>
      </c>
      <c r="K176" s="2">
        <v>85</v>
      </c>
      <c r="L176" s="2">
        <v>76</v>
      </c>
      <c r="M176" s="2">
        <v>12</v>
      </c>
      <c r="N176" s="2">
        <f t="shared" si="5"/>
        <v>36.240367346938775</v>
      </c>
      <c r="O176" s="2">
        <f t="shared" si="4"/>
        <v>31.997550455105717</v>
      </c>
      <c r="P176" t="s">
        <v>27</v>
      </c>
      <c r="Q176" t="s">
        <v>27</v>
      </c>
      <c r="R176" s="2">
        <v>2795.8586607142856</v>
      </c>
      <c r="S176" s="2">
        <v>317.82588690476189</v>
      </c>
      <c r="T176" s="2">
        <v>104.82789880952382</v>
      </c>
      <c r="U176" s="2">
        <v>149.84720535714285</v>
      </c>
      <c r="V176" s="2">
        <v>39.250979166666667</v>
      </c>
      <c r="W176" s="2">
        <v>199.63276785714285</v>
      </c>
      <c r="X176" s="2">
        <v>77.11</v>
      </c>
      <c r="Y176" s="2">
        <v>0.5</v>
      </c>
      <c r="Z176" s="2">
        <v>943.45108928571426</v>
      </c>
    </row>
    <row r="177" spans="1:26" x14ac:dyDescent="0.25">
      <c r="A177" s="1">
        <v>45492</v>
      </c>
      <c r="B177" s="2">
        <v>252.4</v>
      </c>
      <c r="C177" s="2">
        <v>44.5</v>
      </c>
      <c r="D177" s="2">
        <v>16.5</v>
      </c>
      <c r="E177" s="2">
        <v>97.6</v>
      </c>
      <c r="F177" s="2">
        <v>148</v>
      </c>
      <c r="G177" s="2">
        <v>83</v>
      </c>
      <c r="H177" s="2">
        <v>72</v>
      </c>
      <c r="I177" s="2">
        <v>96.2</v>
      </c>
      <c r="J177" s="2">
        <v>123</v>
      </c>
      <c r="K177" s="2">
        <v>69</v>
      </c>
      <c r="L177" s="2">
        <v>67</v>
      </c>
      <c r="M177" s="2">
        <v>8</v>
      </c>
      <c r="N177" s="2">
        <f t="shared" si="5"/>
        <v>36.211673469387755</v>
      </c>
      <c r="O177" s="2">
        <f t="shared" si="4"/>
        <v>31.997550455105717</v>
      </c>
      <c r="P177" t="s">
        <v>26</v>
      </c>
      <c r="Q177" t="s">
        <v>27</v>
      </c>
      <c r="R177" s="2">
        <v>2490.5476190476193</v>
      </c>
      <c r="S177" s="2">
        <v>300.51309523809522</v>
      </c>
      <c r="T177" s="2">
        <v>97.509523809523827</v>
      </c>
      <c r="U177" s="2">
        <v>109.70714285714286</v>
      </c>
      <c r="V177" s="2">
        <v>8.6666666666666661</v>
      </c>
      <c r="W177" s="2">
        <v>236.3154761904762</v>
      </c>
      <c r="X177" s="2">
        <v>77</v>
      </c>
      <c r="Y177" s="2">
        <v>1</v>
      </c>
      <c r="Z177" s="2">
        <v>877.58571428571429</v>
      </c>
    </row>
    <row r="178" spans="1:26" x14ac:dyDescent="0.25">
      <c r="A178" s="1">
        <v>45493</v>
      </c>
      <c r="B178" s="2">
        <v>251</v>
      </c>
      <c r="C178" s="2">
        <v>44</v>
      </c>
      <c r="D178" s="2">
        <v>16.5</v>
      </c>
      <c r="E178" s="2">
        <v>96.9</v>
      </c>
      <c r="F178" s="2">
        <v>136</v>
      </c>
      <c r="G178" s="2">
        <v>74</v>
      </c>
      <c r="H178" s="2">
        <v>69</v>
      </c>
      <c r="I178" s="2">
        <v>97</v>
      </c>
      <c r="J178" s="2">
        <v>124</v>
      </c>
      <c r="K178" s="2">
        <v>66</v>
      </c>
      <c r="L178" s="2">
        <v>67</v>
      </c>
      <c r="M178" s="2">
        <v>8</v>
      </c>
      <c r="N178" s="2">
        <f t="shared" si="5"/>
        <v>36.010816326530609</v>
      </c>
      <c r="O178" s="2">
        <f t="shared" si="4"/>
        <v>31.324493175702337</v>
      </c>
      <c r="P178" t="s">
        <v>26</v>
      </c>
      <c r="Q178" t="s">
        <v>27</v>
      </c>
      <c r="R178" s="2">
        <v>2392.6666666666665</v>
      </c>
      <c r="S178" s="2">
        <v>267.20166666666665</v>
      </c>
      <c r="T178" s="2">
        <v>97.130000000000024</v>
      </c>
      <c r="U178" s="2">
        <v>125.02500000000002</v>
      </c>
      <c r="V178" s="2">
        <v>43.9</v>
      </c>
      <c r="W178" s="2">
        <v>112.82166666666666</v>
      </c>
      <c r="X178" s="2">
        <v>37.299999999999997</v>
      </c>
      <c r="Y178" s="2">
        <v>1</v>
      </c>
      <c r="Z178" s="2">
        <v>874.17</v>
      </c>
    </row>
    <row r="179" spans="1:26" x14ac:dyDescent="0.25">
      <c r="A179" s="1">
        <v>45494</v>
      </c>
      <c r="B179" s="2">
        <v>251.2</v>
      </c>
      <c r="C179" s="2">
        <v>44</v>
      </c>
      <c r="D179" s="2">
        <v>16.5</v>
      </c>
      <c r="E179" s="2">
        <v>96.4</v>
      </c>
      <c r="F179" s="2">
        <v>117</v>
      </c>
      <c r="G179" s="2">
        <v>68</v>
      </c>
      <c r="H179" s="2">
        <v>67</v>
      </c>
      <c r="I179" s="2">
        <v>96.9</v>
      </c>
      <c r="J179" s="2">
        <v>116</v>
      </c>
      <c r="K179" s="2">
        <v>75</v>
      </c>
      <c r="L179" s="2">
        <v>67</v>
      </c>
      <c r="M179" s="2">
        <v>6.5</v>
      </c>
      <c r="N179" s="2">
        <f t="shared" si="5"/>
        <v>36.03951020408163</v>
      </c>
      <c r="O179" s="2">
        <f t="shared" si="4"/>
        <v>31.324493175702337</v>
      </c>
      <c r="P179" t="s">
        <v>26</v>
      </c>
      <c r="Q179" t="s">
        <v>26</v>
      </c>
      <c r="R179" s="2">
        <v>1220.4000000000001</v>
      </c>
      <c r="S179" s="2">
        <v>224.97499999999999</v>
      </c>
      <c r="T179" s="2">
        <v>30.3</v>
      </c>
      <c r="U179" s="2">
        <v>27.274999999999999</v>
      </c>
      <c r="V179" s="2">
        <v>28.349999999999998</v>
      </c>
      <c r="W179" s="2">
        <v>169.50000000000003</v>
      </c>
      <c r="X179" s="2">
        <v>65</v>
      </c>
      <c r="Y179" s="2">
        <v>1</v>
      </c>
      <c r="Z179" s="2">
        <v>272.7</v>
      </c>
    </row>
    <row r="180" spans="1:26" x14ac:dyDescent="0.25">
      <c r="A180" s="1">
        <v>45495</v>
      </c>
      <c r="B180" s="2">
        <v>252.4</v>
      </c>
      <c r="C180" s="2">
        <v>44</v>
      </c>
      <c r="D180" s="2">
        <v>16.5</v>
      </c>
      <c r="E180" s="2">
        <v>96.9</v>
      </c>
      <c r="F180" s="2">
        <v>141</v>
      </c>
      <c r="G180" s="2">
        <v>80</v>
      </c>
      <c r="H180" s="2">
        <v>68</v>
      </c>
      <c r="I180" s="2">
        <v>98.3</v>
      </c>
      <c r="J180" s="2">
        <v>138</v>
      </c>
      <c r="K180" s="2">
        <v>75</v>
      </c>
      <c r="L180" s="2">
        <v>84</v>
      </c>
      <c r="M180" s="2">
        <v>9</v>
      </c>
      <c r="N180" s="2">
        <f t="shared" si="5"/>
        <v>36.211673469387755</v>
      </c>
      <c r="O180" s="2">
        <f t="shared" si="4"/>
        <v>31.324493175702337</v>
      </c>
      <c r="P180" t="s">
        <v>27</v>
      </c>
      <c r="Q180" t="s">
        <v>27</v>
      </c>
      <c r="R180" s="2">
        <v>4894.0476190476193</v>
      </c>
      <c r="S180" s="2">
        <v>812.71309523809532</v>
      </c>
      <c r="T180" s="2">
        <v>145.65952380952382</v>
      </c>
      <c r="U180" s="2">
        <v>118.25714285714287</v>
      </c>
      <c r="V180" s="2">
        <v>13.466666666666667</v>
      </c>
      <c r="W180" s="2">
        <v>607.8654761904761</v>
      </c>
      <c r="X180" s="2">
        <v>82.75</v>
      </c>
      <c r="Y180" s="2">
        <v>1</v>
      </c>
      <c r="Z180" s="2">
        <v>1310.9357142857143</v>
      </c>
    </row>
    <row r="181" spans="1:26" x14ac:dyDescent="0.25">
      <c r="A181" s="1">
        <v>45496</v>
      </c>
      <c r="B181" s="2">
        <v>254</v>
      </c>
      <c r="C181" s="2">
        <v>44.5</v>
      </c>
      <c r="D181" s="2">
        <v>16.5</v>
      </c>
      <c r="E181" s="2">
        <v>96.5</v>
      </c>
      <c r="F181" s="2">
        <v>142</v>
      </c>
      <c r="G181" s="2">
        <v>81</v>
      </c>
      <c r="H181" s="2">
        <v>69</v>
      </c>
      <c r="I181" s="2">
        <v>97.3</v>
      </c>
      <c r="J181" s="2">
        <v>135</v>
      </c>
      <c r="K181" s="2">
        <v>83</v>
      </c>
      <c r="L181" s="2">
        <v>76</v>
      </c>
      <c r="M181" s="2">
        <v>7.5</v>
      </c>
      <c r="N181" s="2">
        <f t="shared" si="5"/>
        <v>36.441224489795914</v>
      </c>
      <c r="O181" s="2">
        <f t="shared" si="4"/>
        <v>31.997550455105717</v>
      </c>
      <c r="P181" t="s">
        <v>26</v>
      </c>
      <c r="Q181" t="s">
        <v>27</v>
      </c>
      <c r="R181" s="2">
        <v>2821.5142857142855</v>
      </c>
      <c r="S181" s="2">
        <v>486.04285714285714</v>
      </c>
      <c r="T181" s="2">
        <v>65.01428571428572</v>
      </c>
      <c r="U181" s="2">
        <v>95.200000000000017</v>
      </c>
      <c r="V181" s="2">
        <v>10.97142857142857</v>
      </c>
      <c r="W181" s="2">
        <v>293.90000000000003</v>
      </c>
      <c r="X181" s="2">
        <v>83</v>
      </c>
      <c r="Y181" s="2">
        <v>1</v>
      </c>
      <c r="Z181" s="2">
        <v>585.12857142857138</v>
      </c>
    </row>
    <row r="182" spans="1:26" x14ac:dyDescent="0.25">
      <c r="A182" s="1">
        <v>45497</v>
      </c>
      <c r="B182" s="2">
        <v>253.8</v>
      </c>
      <c r="C182" s="2">
        <v>44.5</v>
      </c>
      <c r="D182" s="2">
        <v>16.5</v>
      </c>
      <c r="E182" s="2">
        <v>97</v>
      </c>
      <c r="F182" s="2">
        <v>129</v>
      </c>
      <c r="G182" s="2">
        <v>76</v>
      </c>
      <c r="H182" s="2">
        <v>64</v>
      </c>
      <c r="I182" s="2">
        <v>97.9</v>
      </c>
      <c r="J182" s="2">
        <v>123</v>
      </c>
      <c r="K182" s="2">
        <v>73</v>
      </c>
      <c r="L182" s="2">
        <v>78</v>
      </c>
      <c r="M182" s="2">
        <v>10</v>
      </c>
      <c r="N182" s="2">
        <f t="shared" si="5"/>
        <v>36.4125306122449</v>
      </c>
      <c r="O182" s="2">
        <f t="shared" si="4"/>
        <v>31.997550455105717</v>
      </c>
      <c r="P182" t="s">
        <v>27</v>
      </c>
      <c r="Q182" t="s">
        <v>27</v>
      </c>
      <c r="R182" s="2">
        <v>2853.2666666666664</v>
      </c>
      <c r="S182" s="2">
        <v>408.86666666666667</v>
      </c>
      <c r="T182" s="2">
        <v>105.075</v>
      </c>
      <c r="U182" s="2">
        <v>106.25000000000001</v>
      </c>
      <c r="V182" s="2">
        <v>47.7</v>
      </c>
      <c r="W182" s="2">
        <v>241.64166666666668</v>
      </c>
      <c r="X182" s="2">
        <v>79</v>
      </c>
      <c r="Y182" s="2">
        <v>2</v>
      </c>
      <c r="Z182" s="2">
        <v>945.67499999999995</v>
      </c>
    </row>
    <row r="183" spans="1:26" x14ac:dyDescent="0.25">
      <c r="A183" s="1">
        <v>45498</v>
      </c>
      <c r="B183" s="2">
        <v>254.8</v>
      </c>
      <c r="C183" s="2">
        <v>45</v>
      </c>
      <c r="D183" s="2">
        <v>16.5</v>
      </c>
      <c r="E183" s="2">
        <v>98</v>
      </c>
      <c r="F183" s="2">
        <v>125</v>
      </c>
      <c r="G183" s="2">
        <v>79</v>
      </c>
      <c r="H183" s="2">
        <v>76</v>
      </c>
      <c r="I183" s="2">
        <v>97.6</v>
      </c>
      <c r="J183" s="2">
        <v>129</v>
      </c>
      <c r="K183" s="2">
        <v>71</v>
      </c>
      <c r="L183" s="2">
        <v>72</v>
      </c>
      <c r="M183" s="2">
        <v>11</v>
      </c>
      <c r="N183" s="2">
        <f t="shared" si="5"/>
        <v>36.556000000000004</v>
      </c>
      <c r="O183" s="2">
        <f t="shared" si="4"/>
        <v>32.6586945886934</v>
      </c>
      <c r="P183" t="s">
        <v>26</v>
      </c>
      <c r="Q183" t="s">
        <v>27</v>
      </c>
      <c r="R183" s="2">
        <v>1625.2666666666667</v>
      </c>
      <c r="S183" s="2">
        <v>146.31666666666666</v>
      </c>
      <c r="T183" s="2">
        <v>87.275000000000006</v>
      </c>
      <c r="U183" s="2">
        <v>87.6</v>
      </c>
      <c r="V183" s="2">
        <v>44.599999999999994</v>
      </c>
      <c r="W183" s="2">
        <v>34.091666666666669</v>
      </c>
      <c r="X183" s="2">
        <v>25</v>
      </c>
      <c r="Y183" s="2">
        <v>2</v>
      </c>
      <c r="Z183" s="2">
        <v>785.47500000000002</v>
      </c>
    </row>
    <row r="184" spans="1:26" x14ac:dyDescent="0.25">
      <c r="A184" s="1">
        <v>45499</v>
      </c>
      <c r="B184" s="2">
        <v>253.8</v>
      </c>
      <c r="C184" s="2">
        <v>45</v>
      </c>
      <c r="D184" s="2">
        <v>16.5</v>
      </c>
      <c r="E184" s="2">
        <v>98.5</v>
      </c>
      <c r="F184" s="2">
        <v>134</v>
      </c>
      <c r="G184" s="2">
        <v>81</v>
      </c>
      <c r="H184" s="2">
        <v>83</v>
      </c>
      <c r="I184" s="2">
        <v>97.4</v>
      </c>
      <c r="J184" s="2">
        <v>120</v>
      </c>
      <c r="K184" s="2">
        <v>65</v>
      </c>
      <c r="L184" s="2">
        <v>72</v>
      </c>
      <c r="M184" s="2">
        <v>7</v>
      </c>
      <c r="N184" s="2">
        <f t="shared" si="5"/>
        <v>36.4125306122449</v>
      </c>
      <c r="O184" s="2">
        <f t="shared" si="4"/>
        <v>32.6586945886934</v>
      </c>
      <c r="P184" t="s">
        <v>26</v>
      </c>
      <c r="Q184" t="s">
        <v>27</v>
      </c>
      <c r="R184" s="2">
        <v>3921.0125595238096</v>
      </c>
      <c r="S184" s="2">
        <v>470.13834523809527</v>
      </c>
      <c r="T184" s="2">
        <v>163.58889285714284</v>
      </c>
      <c r="U184" s="2">
        <v>169.024125</v>
      </c>
      <c r="V184" s="2">
        <v>55.516339285714288</v>
      </c>
      <c r="W184" s="2">
        <v>241.87491666666668</v>
      </c>
      <c r="X184" s="2">
        <v>81</v>
      </c>
      <c r="Y184" s="2">
        <v>2</v>
      </c>
      <c r="Z184" s="2">
        <v>1472.3000357142857</v>
      </c>
    </row>
    <row r="185" spans="1:26" x14ac:dyDescent="0.25">
      <c r="A185" s="1">
        <v>45500</v>
      </c>
      <c r="B185" s="2">
        <v>253</v>
      </c>
      <c r="C185" s="2">
        <v>45</v>
      </c>
      <c r="D185" s="2">
        <v>16.5</v>
      </c>
      <c r="E185" s="2">
        <v>98</v>
      </c>
      <c r="F185" s="2">
        <v>119</v>
      </c>
      <c r="G185" s="2">
        <v>74</v>
      </c>
      <c r="H185" s="2">
        <v>75</v>
      </c>
      <c r="I185" s="2">
        <v>97.6</v>
      </c>
      <c r="J185" s="2">
        <v>125</v>
      </c>
      <c r="K185" s="2">
        <v>73</v>
      </c>
      <c r="L185" s="2">
        <v>71</v>
      </c>
      <c r="M185" s="2">
        <v>9</v>
      </c>
      <c r="N185" s="2">
        <f t="shared" si="5"/>
        <v>36.297755102040817</v>
      </c>
      <c r="O185" s="2">
        <f t="shared" si="4"/>
        <v>32.6586945886934</v>
      </c>
      <c r="P185" t="s">
        <v>26</v>
      </c>
      <c r="Q185" t="s">
        <v>27</v>
      </c>
      <c r="R185" s="2">
        <v>2820.7610416666666</v>
      </c>
      <c r="S185" s="2">
        <v>399.39179166666668</v>
      </c>
      <c r="T185" s="2">
        <v>103.903375</v>
      </c>
      <c r="U185" s="2">
        <v>108.56206250000002</v>
      </c>
      <c r="V185" s="2">
        <v>42.365312500000002</v>
      </c>
      <c r="W185" s="2">
        <v>245.88329166666668</v>
      </c>
      <c r="X185" s="2">
        <v>82</v>
      </c>
      <c r="Y185" s="2">
        <v>1.5</v>
      </c>
      <c r="Z185" s="2">
        <v>935.13037499999996</v>
      </c>
    </row>
    <row r="186" spans="1:26" x14ac:dyDescent="0.25">
      <c r="A186" s="1">
        <v>45501</v>
      </c>
      <c r="B186" s="2">
        <v>252.4</v>
      </c>
      <c r="C186" s="2">
        <v>45</v>
      </c>
      <c r="D186" s="2">
        <v>16.5</v>
      </c>
      <c r="E186" s="2">
        <v>97.1</v>
      </c>
      <c r="F186" s="2">
        <v>135</v>
      </c>
      <c r="G186" s="2">
        <v>78</v>
      </c>
      <c r="H186" s="2">
        <v>69</v>
      </c>
      <c r="I186" s="2">
        <v>96.6</v>
      </c>
      <c r="J186" s="2">
        <v>114</v>
      </c>
      <c r="K186" s="2">
        <v>70</v>
      </c>
      <c r="L186" s="2">
        <v>59</v>
      </c>
      <c r="M186" s="2">
        <v>7.5</v>
      </c>
      <c r="N186" s="2">
        <f t="shared" si="5"/>
        <v>36.211673469387755</v>
      </c>
      <c r="O186" s="2">
        <f t="shared" si="4"/>
        <v>32.6586945886934</v>
      </c>
      <c r="P186" t="s">
        <v>26</v>
      </c>
      <c r="Q186" t="s">
        <v>27</v>
      </c>
      <c r="R186" s="2">
        <v>1694.2666666666667</v>
      </c>
      <c r="S186" s="2">
        <v>165.76666666666668</v>
      </c>
      <c r="T186" s="2">
        <v>91.875000000000014</v>
      </c>
      <c r="U186" s="2">
        <v>75.450000000000017</v>
      </c>
      <c r="V186" s="2">
        <v>43.8</v>
      </c>
      <c r="W186" s="2">
        <v>27.741666666666667</v>
      </c>
      <c r="X186" s="2">
        <v>26</v>
      </c>
      <c r="Y186" s="2">
        <v>2.5</v>
      </c>
      <c r="Z186" s="2">
        <v>826.875</v>
      </c>
    </row>
    <row r="187" spans="1:26" x14ac:dyDescent="0.25">
      <c r="A187" s="1">
        <v>45502</v>
      </c>
      <c r="B187" s="2">
        <v>254</v>
      </c>
      <c r="C187" s="2">
        <v>44.5</v>
      </c>
      <c r="D187" s="2">
        <v>16.5</v>
      </c>
      <c r="E187" s="2">
        <v>96.6</v>
      </c>
      <c r="F187" s="2">
        <v>144</v>
      </c>
      <c r="G187" s="2">
        <v>79</v>
      </c>
      <c r="H187" s="2">
        <v>73</v>
      </c>
      <c r="I187" s="2">
        <v>97.6</v>
      </c>
      <c r="J187" s="2">
        <v>146</v>
      </c>
      <c r="K187" s="2">
        <v>78</v>
      </c>
      <c r="L187" s="2">
        <v>73</v>
      </c>
      <c r="M187" s="2">
        <v>8</v>
      </c>
      <c r="N187" s="2">
        <f t="shared" si="5"/>
        <v>36.441224489795914</v>
      </c>
      <c r="O187" s="2">
        <f t="shared" si="4"/>
        <v>31.997550455105717</v>
      </c>
      <c r="P187" t="s">
        <v>26</v>
      </c>
      <c r="Q187" t="s">
        <v>27</v>
      </c>
      <c r="R187" s="2">
        <v>963.26666666666665</v>
      </c>
      <c r="S187" s="2">
        <v>112.86666666666666</v>
      </c>
      <c r="T187" s="2">
        <v>35.075000000000003</v>
      </c>
      <c r="U187" s="2">
        <v>66.250000000000014</v>
      </c>
      <c r="V187" s="2">
        <v>36.700000000000003</v>
      </c>
      <c r="W187" s="2">
        <v>22.141666666666666</v>
      </c>
      <c r="X187" s="2">
        <v>19</v>
      </c>
      <c r="Y187" s="2">
        <v>1.5</v>
      </c>
      <c r="Z187" s="2">
        <v>315.67500000000001</v>
      </c>
    </row>
    <row r="188" spans="1:26" x14ac:dyDescent="0.25">
      <c r="A188" s="1">
        <v>45503</v>
      </c>
      <c r="B188" s="2">
        <v>252.4</v>
      </c>
      <c r="C188" s="2">
        <v>44.5</v>
      </c>
      <c r="D188" s="2">
        <v>16.5</v>
      </c>
      <c r="E188" s="2">
        <v>96.9</v>
      </c>
      <c r="F188" s="2">
        <v>140</v>
      </c>
      <c r="G188" s="2">
        <v>81</v>
      </c>
      <c r="H188" s="2">
        <v>74</v>
      </c>
      <c r="I188" s="2">
        <v>97.6</v>
      </c>
      <c r="J188" s="2">
        <v>129</v>
      </c>
      <c r="K188" s="2">
        <v>72</v>
      </c>
      <c r="L188" s="2">
        <v>74</v>
      </c>
      <c r="M188" s="2">
        <v>0</v>
      </c>
      <c r="N188" s="2">
        <f t="shared" si="5"/>
        <v>36.211673469387755</v>
      </c>
      <c r="O188" s="2">
        <f t="shared" si="4"/>
        <v>31.997550455105717</v>
      </c>
      <c r="P188" t="s">
        <v>27</v>
      </c>
      <c r="Q188" t="s">
        <v>26</v>
      </c>
      <c r="R188" s="2">
        <v>2564.7571428571428</v>
      </c>
      <c r="S188" s="2">
        <v>445.17142857142858</v>
      </c>
      <c r="T188" s="2">
        <v>71.357142857142861</v>
      </c>
      <c r="U188" s="2">
        <v>51.800000000000004</v>
      </c>
      <c r="V188" s="2">
        <v>6.0857142857142854</v>
      </c>
      <c r="W188" s="2">
        <v>314.5</v>
      </c>
      <c r="X188" s="2">
        <v>51</v>
      </c>
      <c r="Y188" s="2">
        <v>1</v>
      </c>
      <c r="Z188" s="2">
        <v>642.21428571428567</v>
      </c>
    </row>
    <row r="189" spans="1:26" x14ac:dyDescent="0.25">
      <c r="A189" s="1">
        <v>45504</v>
      </c>
      <c r="B189" s="2">
        <v>252</v>
      </c>
      <c r="C189" s="2">
        <v>44.5</v>
      </c>
      <c r="D189" s="2">
        <v>16.5</v>
      </c>
      <c r="E189" s="2">
        <v>97.3</v>
      </c>
      <c r="F189" s="2">
        <v>132</v>
      </c>
      <c r="G189" s="2">
        <v>78</v>
      </c>
      <c r="H189" s="2">
        <v>73</v>
      </c>
      <c r="I189" s="2">
        <v>97.2</v>
      </c>
      <c r="J189" s="2">
        <v>145</v>
      </c>
      <c r="K189" s="2">
        <v>73</v>
      </c>
      <c r="L189" s="2">
        <v>76</v>
      </c>
      <c r="M189" s="2">
        <v>7.5</v>
      </c>
      <c r="N189" s="2">
        <f t="shared" si="5"/>
        <v>36.154285714285713</v>
      </c>
      <c r="O189" s="2">
        <f t="shared" si="4"/>
        <v>31.997550455105717</v>
      </c>
      <c r="P189" t="s">
        <v>27</v>
      </c>
      <c r="Q189" t="s">
        <v>26</v>
      </c>
      <c r="R189" s="2">
        <v>3749.5142857142855</v>
      </c>
      <c r="S189" s="2">
        <v>587.79285714285709</v>
      </c>
      <c r="T189" s="2">
        <v>122.51428571428572</v>
      </c>
      <c r="U189" s="2">
        <v>103.75000000000001</v>
      </c>
      <c r="V189" s="2">
        <v>13.87142857142857</v>
      </c>
      <c r="W189" s="2">
        <v>399.6</v>
      </c>
      <c r="X189" s="2">
        <v>117</v>
      </c>
      <c r="Y189" s="2">
        <v>1</v>
      </c>
      <c r="Z189" s="2">
        <v>1102.6285714285714</v>
      </c>
    </row>
    <row r="190" spans="1:26" x14ac:dyDescent="0.25">
      <c r="A190" s="1">
        <v>45505</v>
      </c>
      <c r="B190" s="2">
        <v>253</v>
      </c>
      <c r="C190" s="2">
        <v>44.5</v>
      </c>
      <c r="D190" s="2">
        <v>16.5</v>
      </c>
      <c r="E190" s="2">
        <v>96</v>
      </c>
      <c r="F190" s="2">
        <v>117</v>
      </c>
      <c r="G190" s="2">
        <v>78</v>
      </c>
      <c r="H190" s="2">
        <v>78</v>
      </c>
      <c r="I190" s="2">
        <v>97.1</v>
      </c>
      <c r="J190" s="2">
        <v>140</v>
      </c>
      <c r="K190" s="2">
        <v>63</v>
      </c>
      <c r="L190" s="2">
        <v>68</v>
      </c>
      <c r="M190" s="2">
        <v>7</v>
      </c>
      <c r="N190" s="2">
        <f t="shared" si="5"/>
        <v>36.297755102040817</v>
      </c>
      <c r="O190" s="2">
        <f t="shared" si="4"/>
        <v>31.997550455105717</v>
      </c>
      <c r="P190" t="s">
        <v>27</v>
      </c>
      <c r="Q190" t="s">
        <v>26</v>
      </c>
      <c r="R190" s="2">
        <v>2080.6566666666668</v>
      </c>
      <c r="S190" s="2">
        <v>303.20566666666673</v>
      </c>
      <c r="T190" s="2">
        <v>72.089333333333329</v>
      </c>
      <c r="U190" s="2">
        <v>78.419666666666686</v>
      </c>
      <c r="V190" s="2">
        <v>38.975666666666669</v>
      </c>
      <c r="W190" s="2">
        <v>174.92933333333335</v>
      </c>
      <c r="X190" s="2">
        <v>61.230000000000004</v>
      </c>
      <c r="Y190" s="2">
        <v>1</v>
      </c>
      <c r="Z190" s="2">
        <v>648.80399999999997</v>
      </c>
    </row>
    <row r="191" spans="1:26" x14ac:dyDescent="0.25">
      <c r="A191" s="1">
        <v>45506</v>
      </c>
      <c r="B191" s="2">
        <v>252.4</v>
      </c>
      <c r="C191" s="2">
        <v>44.5</v>
      </c>
      <c r="D191" s="2">
        <v>16.5</v>
      </c>
      <c r="E191" s="2">
        <v>96.3</v>
      </c>
      <c r="F191" s="2">
        <v>117</v>
      </c>
      <c r="G191" s="2">
        <v>81</v>
      </c>
      <c r="H191" s="2">
        <v>70</v>
      </c>
      <c r="I191" s="2">
        <v>96.7</v>
      </c>
      <c r="J191" s="2">
        <v>132</v>
      </c>
      <c r="K191" s="2">
        <v>78</v>
      </c>
      <c r="L191" s="2">
        <v>64</v>
      </c>
      <c r="M191" s="2">
        <v>8</v>
      </c>
      <c r="N191" s="2">
        <f t="shared" si="5"/>
        <v>36.211673469387755</v>
      </c>
      <c r="O191" s="2">
        <f t="shared" si="4"/>
        <v>31.997550455105717</v>
      </c>
      <c r="P191" t="s">
        <v>27</v>
      </c>
      <c r="Q191" t="s">
        <v>26</v>
      </c>
      <c r="R191" s="2">
        <v>6100.4210416666665</v>
      </c>
      <c r="S191" s="2">
        <v>816.2897916666667</v>
      </c>
      <c r="T191" s="2">
        <v>235.14070833333332</v>
      </c>
      <c r="U191" s="2">
        <v>205.10672916666667</v>
      </c>
      <c r="V191" s="2">
        <v>48.135979166666672</v>
      </c>
      <c r="W191" s="2">
        <v>460.83195833333332</v>
      </c>
      <c r="X191" s="2">
        <v>129.47</v>
      </c>
      <c r="Y191" s="2">
        <v>1.5</v>
      </c>
      <c r="Z191" s="2">
        <v>2116.2663750000002</v>
      </c>
    </row>
    <row r="192" spans="1:26" x14ac:dyDescent="0.25">
      <c r="A192" s="1">
        <v>45507</v>
      </c>
      <c r="B192" s="2">
        <v>252.2</v>
      </c>
      <c r="C192" s="2">
        <v>45</v>
      </c>
      <c r="D192" s="2">
        <v>16.5</v>
      </c>
      <c r="E192" s="2">
        <v>97.2</v>
      </c>
      <c r="F192" s="2">
        <v>136</v>
      </c>
      <c r="G192" s="2">
        <v>72</v>
      </c>
      <c r="H192" s="2">
        <v>57</v>
      </c>
      <c r="I192" s="2">
        <v>96.5</v>
      </c>
      <c r="J192" s="2">
        <v>128</v>
      </c>
      <c r="K192" s="2">
        <v>70</v>
      </c>
      <c r="L192" s="2">
        <v>60</v>
      </c>
      <c r="M192" s="2">
        <v>13</v>
      </c>
      <c r="N192" s="2">
        <f t="shared" si="5"/>
        <v>36.182979591836734</v>
      </c>
      <c r="O192" s="2">
        <f t="shared" si="4"/>
        <v>32.6586945886934</v>
      </c>
      <c r="P192" t="s">
        <v>27</v>
      </c>
      <c r="Q192" t="s">
        <v>26</v>
      </c>
      <c r="R192" s="2">
        <v>4590.5896130952387</v>
      </c>
      <c r="S192" s="2">
        <v>709.21607738095236</v>
      </c>
      <c r="T192" s="2">
        <v>143.6438511904762</v>
      </c>
      <c r="U192" s="2">
        <v>140.28872916666668</v>
      </c>
      <c r="V192" s="2">
        <v>47.939122023809524</v>
      </c>
      <c r="W192" s="2">
        <v>444.06567261904763</v>
      </c>
      <c r="X192" s="2">
        <v>81.849999999999994</v>
      </c>
      <c r="Y192" s="2">
        <v>1.5</v>
      </c>
      <c r="Z192" s="2">
        <v>1292.7946607142858</v>
      </c>
    </row>
    <row r="193" spans="1:26" x14ac:dyDescent="0.25">
      <c r="A193" s="1">
        <v>45508</v>
      </c>
      <c r="B193" s="2">
        <v>252.6</v>
      </c>
      <c r="C193" s="2">
        <v>45</v>
      </c>
      <c r="D193" s="2">
        <v>16.5</v>
      </c>
      <c r="E193" s="2">
        <v>97.1</v>
      </c>
      <c r="F193" s="2">
        <v>122</v>
      </c>
      <c r="G193" s="2">
        <v>71</v>
      </c>
      <c r="H193" s="2">
        <v>70</v>
      </c>
      <c r="I193" s="2">
        <v>96.2</v>
      </c>
      <c r="J193" s="2">
        <v>118</v>
      </c>
      <c r="K193" s="2">
        <v>68</v>
      </c>
      <c r="L193" s="2">
        <v>63</v>
      </c>
      <c r="M193" s="2">
        <v>7.5</v>
      </c>
      <c r="N193" s="2">
        <f t="shared" si="5"/>
        <v>36.240367346938775</v>
      </c>
      <c r="O193" s="2">
        <f t="shared" si="4"/>
        <v>32.6586945886934</v>
      </c>
      <c r="P193" t="s">
        <v>27</v>
      </c>
      <c r="Q193" t="s">
        <v>26</v>
      </c>
      <c r="R193" s="2">
        <v>4289.8196130952383</v>
      </c>
      <c r="S193" s="2">
        <v>730.96207738095245</v>
      </c>
      <c r="T193" s="2">
        <v>108.5808511904762</v>
      </c>
      <c r="U193" s="2">
        <v>135.00372916666669</v>
      </c>
      <c r="V193" s="2">
        <v>43.564122023809524</v>
      </c>
      <c r="W193" s="2">
        <v>520.71967261904763</v>
      </c>
      <c r="X193" s="2">
        <v>134.33000000000001</v>
      </c>
      <c r="Y193" s="2">
        <v>0.5</v>
      </c>
      <c r="Z193" s="2">
        <v>977.22766071428578</v>
      </c>
    </row>
    <row r="194" spans="1:26" x14ac:dyDescent="0.25">
      <c r="A194" s="1">
        <v>45509</v>
      </c>
      <c r="B194" s="2">
        <v>254</v>
      </c>
      <c r="C194" s="2">
        <v>44.5</v>
      </c>
      <c r="D194" s="2">
        <v>16.5</v>
      </c>
      <c r="E194" s="2">
        <v>95.8</v>
      </c>
      <c r="F194" s="2">
        <v>133</v>
      </c>
      <c r="G194" s="2">
        <v>80</v>
      </c>
      <c r="H194" s="2">
        <v>82</v>
      </c>
      <c r="I194" s="2">
        <v>98.3</v>
      </c>
      <c r="J194" s="2">
        <v>153</v>
      </c>
      <c r="K194" s="2">
        <v>84</v>
      </c>
      <c r="L194" s="2">
        <v>73</v>
      </c>
      <c r="M194" s="2">
        <v>6.5</v>
      </c>
      <c r="N194" s="2">
        <f t="shared" si="5"/>
        <v>36.441224489795914</v>
      </c>
      <c r="O194" s="2">
        <f t="shared" ref="O194:O227" si="6">(86.01*LOG10(C194-D194))-(70.041*LOG10(70))+36.76</f>
        <v>31.997550455105717</v>
      </c>
      <c r="P194" t="s">
        <v>27</v>
      </c>
      <c r="Q194" t="s">
        <v>26</v>
      </c>
      <c r="R194" s="2">
        <v>5915</v>
      </c>
      <c r="S194" s="2">
        <v>935</v>
      </c>
      <c r="T194" s="2">
        <v>249</v>
      </c>
      <c r="U194" s="2">
        <v>85</v>
      </c>
      <c r="V194" s="2">
        <v>41.5</v>
      </c>
      <c r="W194" s="2">
        <v>530.5</v>
      </c>
      <c r="X194" s="2">
        <v>65.8</v>
      </c>
      <c r="Y194" s="2">
        <v>0</v>
      </c>
      <c r="Z194" s="2">
        <v>2241</v>
      </c>
    </row>
    <row r="195" spans="1:26" x14ac:dyDescent="0.25">
      <c r="A195" s="1">
        <v>45510</v>
      </c>
      <c r="B195" s="2">
        <v>255</v>
      </c>
      <c r="C195" s="2">
        <v>44.5</v>
      </c>
      <c r="D195" s="2">
        <v>16.5</v>
      </c>
      <c r="E195" s="2">
        <v>96.7</v>
      </c>
      <c r="F195" s="2">
        <v>106</v>
      </c>
      <c r="G195" s="2">
        <v>42</v>
      </c>
      <c r="H195" s="2">
        <v>79</v>
      </c>
      <c r="I195" s="2">
        <v>97.7</v>
      </c>
      <c r="J195" s="2">
        <v>124</v>
      </c>
      <c r="K195" s="2">
        <v>77</v>
      </c>
      <c r="L195" s="2">
        <v>75</v>
      </c>
      <c r="M195" s="2">
        <v>14.5</v>
      </c>
      <c r="N195" s="2">
        <f t="shared" ref="N195:N227" si="7">(B195/4900)*703</f>
        <v>36.584693877551018</v>
      </c>
      <c r="O195" s="2">
        <f t="shared" si="6"/>
        <v>31.997550455105717</v>
      </c>
      <c r="P195" t="s">
        <v>27</v>
      </c>
      <c r="Q195" t="s">
        <v>27</v>
      </c>
      <c r="R195" s="2">
        <v>5619.666666666667</v>
      </c>
      <c r="S195" s="2">
        <v>794.51666666666665</v>
      </c>
      <c r="T195" s="2">
        <v>200.4083333333333</v>
      </c>
      <c r="U195" s="2">
        <v>178.76666666666668</v>
      </c>
      <c r="V195" s="2">
        <v>68.766666666666666</v>
      </c>
      <c r="W195" s="2">
        <v>368.85833333333335</v>
      </c>
      <c r="X195" s="2">
        <v>139.5</v>
      </c>
      <c r="Y195" s="2">
        <v>0.5</v>
      </c>
      <c r="Z195" s="2">
        <v>1803.675</v>
      </c>
    </row>
    <row r="196" spans="1:26" x14ac:dyDescent="0.25">
      <c r="A196" s="1">
        <v>45511</v>
      </c>
      <c r="B196" s="2">
        <v>258.2</v>
      </c>
      <c r="C196" s="2">
        <v>44.5</v>
      </c>
      <c r="D196" s="2">
        <v>16.5</v>
      </c>
      <c r="E196" s="2">
        <v>96.6</v>
      </c>
      <c r="F196" s="2">
        <v>141</v>
      </c>
      <c r="G196" s="2">
        <v>83</v>
      </c>
      <c r="H196" s="2">
        <v>75</v>
      </c>
      <c r="I196" s="2">
        <v>98</v>
      </c>
      <c r="J196" s="2">
        <v>156</v>
      </c>
      <c r="K196" s="2">
        <v>89</v>
      </c>
      <c r="L196" s="2">
        <v>76</v>
      </c>
      <c r="M196" s="2">
        <v>8</v>
      </c>
      <c r="N196" s="2">
        <f t="shared" si="7"/>
        <v>37.043795918367344</v>
      </c>
      <c r="O196" s="2">
        <f t="shared" si="6"/>
        <v>31.997550455105717</v>
      </c>
      <c r="P196" t="s">
        <v>27</v>
      </c>
      <c r="Q196" t="s">
        <v>27</v>
      </c>
      <c r="R196" s="2">
        <v>2403.3229464285714</v>
      </c>
      <c r="S196" s="2">
        <v>256.10441071428568</v>
      </c>
      <c r="T196" s="2">
        <v>102.29551785714285</v>
      </c>
      <c r="U196" s="2">
        <v>118.74706250000001</v>
      </c>
      <c r="V196" s="2">
        <v>12.622455357142856</v>
      </c>
      <c r="W196" s="2">
        <v>43.677339285714282</v>
      </c>
      <c r="X196" s="2">
        <v>19.5</v>
      </c>
      <c r="Y196" s="2">
        <v>1.5</v>
      </c>
      <c r="Z196" s="2">
        <v>920.65966071428568</v>
      </c>
    </row>
    <row r="197" spans="1:26" x14ac:dyDescent="0.25">
      <c r="A197" s="1">
        <v>45512</v>
      </c>
      <c r="B197" s="2">
        <v>255.4</v>
      </c>
      <c r="C197" s="2">
        <v>44.5</v>
      </c>
      <c r="D197" s="2">
        <v>16.5</v>
      </c>
      <c r="E197" s="2">
        <v>96.3</v>
      </c>
      <c r="F197" s="2">
        <v>130</v>
      </c>
      <c r="G197" s="2">
        <v>78</v>
      </c>
      <c r="H197" s="2">
        <v>64</v>
      </c>
      <c r="I197" s="2">
        <v>97.5</v>
      </c>
      <c r="J197" s="2">
        <v>148</v>
      </c>
      <c r="K197" s="2">
        <v>72</v>
      </c>
      <c r="L197" s="2">
        <v>68</v>
      </c>
      <c r="M197" s="2">
        <v>13</v>
      </c>
      <c r="N197" s="2">
        <f t="shared" si="7"/>
        <v>36.642081632653067</v>
      </c>
      <c r="O197" s="2">
        <f t="shared" si="6"/>
        <v>31.997550455105717</v>
      </c>
      <c r="P197" t="s">
        <v>26</v>
      </c>
      <c r="Q197" t="s">
        <v>27</v>
      </c>
      <c r="R197" s="2">
        <v>2964.7252380952382</v>
      </c>
      <c r="S197" s="2">
        <v>386.71695238095236</v>
      </c>
      <c r="T197" s="2">
        <v>100.37247619047619</v>
      </c>
      <c r="U197" s="2">
        <v>144.55166666666668</v>
      </c>
      <c r="V197" s="2">
        <v>39.778809523809521</v>
      </c>
      <c r="W197" s="2">
        <v>206.99804761904761</v>
      </c>
      <c r="X197" s="2">
        <v>81.28</v>
      </c>
      <c r="Y197" s="2">
        <v>1</v>
      </c>
      <c r="Z197" s="2">
        <v>903.3522857142857</v>
      </c>
    </row>
    <row r="198" spans="1:26" x14ac:dyDescent="0.25">
      <c r="A198" s="1">
        <v>45513</v>
      </c>
      <c r="B198" s="2">
        <v>252</v>
      </c>
      <c r="C198" s="2">
        <v>44.5</v>
      </c>
      <c r="D198" s="2">
        <v>16.5</v>
      </c>
      <c r="E198" s="2">
        <v>96.3</v>
      </c>
      <c r="F198" s="2">
        <v>128</v>
      </c>
      <c r="G198" s="2">
        <v>74</v>
      </c>
      <c r="H198" s="2">
        <v>83</v>
      </c>
      <c r="I198" s="2">
        <v>97.7</v>
      </c>
      <c r="J198" s="2">
        <v>156</v>
      </c>
      <c r="K198" s="2">
        <v>82</v>
      </c>
      <c r="L198" s="2">
        <v>80</v>
      </c>
      <c r="M198" s="2">
        <v>0.5</v>
      </c>
      <c r="N198" s="2">
        <f t="shared" si="7"/>
        <v>36.154285714285713</v>
      </c>
      <c r="O198" s="2">
        <f t="shared" si="6"/>
        <v>31.997550455105717</v>
      </c>
      <c r="P198" t="s">
        <v>27</v>
      </c>
      <c r="Q198" t="s">
        <v>27</v>
      </c>
      <c r="R198" s="2">
        <v>3016.4285714285716</v>
      </c>
      <c r="S198" s="2">
        <v>546.00428571428574</v>
      </c>
      <c r="T198" s="2">
        <v>80.817142857142869</v>
      </c>
      <c r="U198" s="2">
        <v>44.81</v>
      </c>
      <c r="V198" s="2">
        <v>7.2571428571428571</v>
      </c>
      <c r="W198" s="2">
        <v>421.48571428571432</v>
      </c>
      <c r="X198" s="2">
        <v>105.5</v>
      </c>
      <c r="Y198" s="2">
        <v>2</v>
      </c>
      <c r="Z198" s="2">
        <v>727.35428571428565</v>
      </c>
    </row>
    <row r="199" spans="1:26" x14ac:dyDescent="0.25">
      <c r="A199" s="1">
        <v>45514</v>
      </c>
      <c r="B199" s="2">
        <v>254</v>
      </c>
      <c r="C199" s="2">
        <v>44.5</v>
      </c>
      <c r="D199" s="2">
        <v>16.5</v>
      </c>
      <c r="E199" s="2">
        <v>95.4</v>
      </c>
      <c r="F199" s="2">
        <v>128</v>
      </c>
      <c r="G199" s="2">
        <v>79</v>
      </c>
      <c r="H199" s="2">
        <v>64</v>
      </c>
      <c r="I199" s="2">
        <v>97.8</v>
      </c>
      <c r="J199" s="2">
        <v>150</v>
      </c>
      <c r="K199" s="2">
        <v>82</v>
      </c>
      <c r="L199" s="2">
        <v>86</v>
      </c>
      <c r="M199" s="2">
        <v>8</v>
      </c>
      <c r="N199" s="2">
        <f t="shared" si="7"/>
        <v>36.441224489795914</v>
      </c>
      <c r="O199" s="2">
        <f t="shared" si="6"/>
        <v>31.997550455105717</v>
      </c>
      <c r="P199" t="s">
        <v>27</v>
      </c>
      <c r="Q199" t="s">
        <v>26</v>
      </c>
      <c r="R199" s="2">
        <v>2835.166666666667</v>
      </c>
      <c r="S199" s="2">
        <v>456.7166666666667</v>
      </c>
      <c r="T199" s="2">
        <v>89.608333333333334</v>
      </c>
      <c r="U199" s="2">
        <v>72.866666666666674</v>
      </c>
      <c r="V199" s="2">
        <v>40.066666666666663</v>
      </c>
      <c r="W199" s="2">
        <v>291.75833333333333</v>
      </c>
      <c r="X199" s="2">
        <v>62</v>
      </c>
      <c r="Y199" s="2">
        <v>1</v>
      </c>
      <c r="Z199" s="2">
        <v>806.47500000000002</v>
      </c>
    </row>
    <row r="200" spans="1:26" x14ac:dyDescent="0.25">
      <c r="A200" s="1">
        <v>45515</v>
      </c>
      <c r="B200" s="2">
        <v>255</v>
      </c>
      <c r="C200" s="2">
        <v>45</v>
      </c>
      <c r="D200" s="2">
        <v>16.5</v>
      </c>
      <c r="E200" s="2">
        <v>98.1</v>
      </c>
      <c r="F200" s="2">
        <v>139</v>
      </c>
      <c r="G200" s="2">
        <v>66</v>
      </c>
      <c r="H200" s="2">
        <v>91</v>
      </c>
      <c r="I200" s="2">
        <v>97.5</v>
      </c>
      <c r="J200" s="2">
        <v>132</v>
      </c>
      <c r="K200" s="2">
        <v>78</v>
      </c>
      <c r="L200" s="2">
        <v>70</v>
      </c>
      <c r="M200" s="2">
        <v>6</v>
      </c>
      <c r="N200" s="2">
        <f t="shared" si="7"/>
        <v>36.584693877551018</v>
      </c>
      <c r="O200" s="2">
        <f t="shared" si="6"/>
        <v>32.6586945886934</v>
      </c>
      <c r="P200" t="s">
        <v>27</v>
      </c>
      <c r="Q200" t="s">
        <v>26</v>
      </c>
      <c r="R200" s="2">
        <v>3105.8571428571431</v>
      </c>
      <c r="S200" s="2">
        <v>472.20857142857142</v>
      </c>
      <c r="T200" s="2">
        <v>82.934285714285721</v>
      </c>
      <c r="U200" s="2">
        <v>132.82</v>
      </c>
      <c r="V200" s="2">
        <v>8.1142857142857139</v>
      </c>
      <c r="W200" s="2">
        <v>285.67142857142858</v>
      </c>
      <c r="X200" s="2">
        <v>72</v>
      </c>
      <c r="Y200" s="2">
        <v>1</v>
      </c>
      <c r="Z200" s="2">
        <v>746.40857142857135</v>
      </c>
    </row>
    <row r="201" spans="1:26" x14ac:dyDescent="0.25">
      <c r="A201" s="1">
        <v>45516</v>
      </c>
      <c r="B201" s="2">
        <v>254</v>
      </c>
      <c r="C201" s="2">
        <v>45</v>
      </c>
      <c r="D201" s="2">
        <v>16.5</v>
      </c>
      <c r="E201" s="2">
        <v>99.3</v>
      </c>
      <c r="F201" s="2">
        <v>140</v>
      </c>
      <c r="G201" s="2">
        <v>87</v>
      </c>
      <c r="H201" s="2">
        <v>90</v>
      </c>
      <c r="I201" s="2">
        <v>97.9</v>
      </c>
      <c r="J201" s="2">
        <v>139</v>
      </c>
      <c r="K201" s="2">
        <v>75</v>
      </c>
      <c r="L201" s="2">
        <v>71</v>
      </c>
      <c r="M201" s="2">
        <v>8</v>
      </c>
      <c r="N201" s="2">
        <f t="shared" si="7"/>
        <v>36.441224489795914</v>
      </c>
      <c r="O201" s="2">
        <f t="shared" si="6"/>
        <v>32.6586945886934</v>
      </c>
      <c r="P201" t="s">
        <v>27</v>
      </c>
      <c r="Q201" t="s">
        <v>26</v>
      </c>
      <c r="R201" s="2">
        <v>4711.3943749999999</v>
      </c>
      <c r="S201" s="2">
        <v>600.400125</v>
      </c>
      <c r="T201" s="2">
        <v>204.87837500000001</v>
      </c>
      <c r="U201" s="2">
        <v>122.4370625</v>
      </c>
      <c r="V201" s="2">
        <v>34.365312500000002</v>
      </c>
      <c r="W201" s="2">
        <v>269.09162500000002</v>
      </c>
      <c r="X201" s="2">
        <v>76</v>
      </c>
      <c r="Y201" s="2">
        <v>1</v>
      </c>
      <c r="Z201" s="2">
        <v>1843.905375</v>
      </c>
    </row>
    <row r="202" spans="1:26" x14ac:dyDescent="0.25">
      <c r="A202" s="1">
        <v>45517</v>
      </c>
      <c r="B202" s="2">
        <v>257.8</v>
      </c>
      <c r="C202" s="2">
        <v>45</v>
      </c>
      <c r="D202" s="2">
        <v>16.5</v>
      </c>
      <c r="E202" s="2">
        <v>96</v>
      </c>
      <c r="F202" s="2">
        <v>127</v>
      </c>
      <c r="G202" s="2">
        <v>76</v>
      </c>
      <c r="H202" s="2">
        <v>80</v>
      </c>
      <c r="I202" s="2">
        <v>97.5</v>
      </c>
      <c r="J202" s="2">
        <v>147</v>
      </c>
      <c r="K202" s="2">
        <v>83</v>
      </c>
      <c r="L202" s="2">
        <v>73</v>
      </c>
      <c r="M202" s="2">
        <v>4</v>
      </c>
      <c r="N202" s="2">
        <f t="shared" si="7"/>
        <v>36.98640816326531</v>
      </c>
      <c r="O202" s="2">
        <f t="shared" si="6"/>
        <v>32.6586945886934</v>
      </c>
      <c r="P202" t="s">
        <v>27</v>
      </c>
      <c r="Q202" t="s">
        <v>27</v>
      </c>
      <c r="R202" s="2">
        <v>5535.3943749999999</v>
      </c>
      <c r="S202" s="2">
        <v>785.00012500000003</v>
      </c>
      <c r="T202" s="2">
        <v>228.07837499999999</v>
      </c>
      <c r="U202" s="2">
        <v>85.837062500000002</v>
      </c>
      <c r="V202" s="2">
        <v>43.565312500000005</v>
      </c>
      <c r="W202" s="2">
        <v>381.09162500000002</v>
      </c>
      <c r="X202" s="2">
        <v>69</v>
      </c>
      <c r="Y202" s="2">
        <v>1</v>
      </c>
      <c r="Z202" s="2">
        <v>2052.7053750000005</v>
      </c>
    </row>
    <row r="203" spans="1:26" x14ac:dyDescent="0.25">
      <c r="A203" s="1">
        <v>45518</v>
      </c>
      <c r="B203" s="2">
        <v>256.2</v>
      </c>
      <c r="C203" s="2">
        <v>45</v>
      </c>
      <c r="D203" s="2">
        <v>16.5</v>
      </c>
      <c r="E203" s="2">
        <v>96.3</v>
      </c>
      <c r="F203" s="2">
        <v>141</v>
      </c>
      <c r="G203" s="2">
        <v>99</v>
      </c>
      <c r="H203" s="2">
        <v>70</v>
      </c>
      <c r="I203" s="2">
        <v>97.2</v>
      </c>
      <c r="J203" s="2">
        <v>133</v>
      </c>
      <c r="K203" s="2">
        <v>75</v>
      </c>
      <c r="L203" s="2">
        <v>69</v>
      </c>
      <c r="M203" s="2">
        <v>14</v>
      </c>
      <c r="N203" s="2">
        <f t="shared" si="7"/>
        <v>36.756857142857143</v>
      </c>
      <c r="O203" s="2">
        <f t="shared" si="6"/>
        <v>32.6586945886934</v>
      </c>
      <c r="P203" t="s">
        <v>27</v>
      </c>
      <c r="Q203" t="s">
        <v>26</v>
      </c>
      <c r="R203" s="2">
        <v>6639</v>
      </c>
      <c r="S203" s="2">
        <v>808.33285714285716</v>
      </c>
      <c r="T203" s="2">
        <v>171.74571428571429</v>
      </c>
      <c r="U203" s="2">
        <v>172.75285714285712</v>
      </c>
      <c r="V203" s="2">
        <v>32.142857142857139</v>
      </c>
      <c r="W203" s="2">
        <v>615.0428571428572</v>
      </c>
      <c r="X203" s="2">
        <v>42</v>
      </c>
      <c r="Y203" s="2">
        <v>0.5</v>
      </c>
      <c r="Z203" s="2">
        <v>1545.7114285714285</v>
      </c>
    </row>
    <row r="204" spans="1:26" x14ac:dyDescent="0.25">
      <c r="A204" s="1">
        <v>45519</v>
      </c>
      <c r="B204" s="2">
        <v>260</v>
      </c>
      <c r="C204" s="2">
        <v>45</v>
      </c>
      <c r="D204" s="2">
        <v>16.5</v>
      </c>
      <c r="E204" s="2">
        <v>97.9</v>
      </c>
      <c r="F204" s="2">
        <v>134</v>
      </c>
      <c r="G204" s="2">
        <v>78</v>
      </c>
      <c r="H204" s="2">
        <v>79</v>
      </c>
      <c r="I204" s="2">
        <v>97.8</v>
      </c>
      <c r="J204" s="2">
        <v>138</v>
      </c>
      <c r="K204" s="2">
        <v>82</v>
      </c>
      <c r="L204" s="2">
        <v>79</v>
      </c>
      <c r="M204" s="2">
        <v>7</v>
      </c>
      <c r="N204" s="2">
        <f t="shared" si="7"/>
        <v>37.302040816326532</v>
      </c>
      <c r="O204" s="2">
        <f t="shared" si="6"/>
        <v>32.6586945886934</v>
      </c>
      <c r="P204" t="s">
        <v>27</v>
      </c>
      <c r="Q204" t="s">
        <v>26</v>
      </c>
      <c r="R204" s="2">
        <v>4938.1818750000002</v>
      </c>
      <c r="S204" s="2">
        <v>646.775125</v>
      </c>
      <c r="T204" s="2">
        <v>200.34087500000001</v>
      </c>
      <c r="U204" s="2">
        <v>143.41206249999999</v>
      </c>
      <c r="V204" s="2">
        <v>24.802812500000002</v>
      </c>
      <c r="W204" s="2">
        <v>319.56662499999999</v>
      </c>
      <c r="X204" s="2">
        <v>75</v>
      </c>
      <c r="Y204" s="2">
        <v>1.5</v>
      </c>
      <c r="Z204" s="2">
        <v>1803.067875</v>
      </c>
    </row>
    <row r="205" spans="1:26" x14ac:dyDescent="0.25">
      <c r="A205" s="1">
        <v>45520</v>
      </c>
      <c r="B205" s="2">
        <v>261.8</v>
      </c>
      <c r="C205" s="2">
        <v>45.5</v>
      </c>
      <c r="D205" s="2">
        <v>16.5</v>
      </c>
      <c r="E205" s="2">
        <v>96.7</v>
      </c>
      <c r="F205" s="2">
        <v>133</v>
      </c>
      <c r="G205" s="2">
        <v>82</v>
      </c>
      <c r="H205" s="2">
        <v>70</v>
      </c>
      <c r="I205" s="2">
        <v>98.2</v>
      </c>
      <c r="J205" s="2">
        <v>152</v>
      </c>
      <c r="K205" s="2">
        <v>88</v>
      </c>
      <c r="L205" s="2">
        <v>75</v>
      </c>
      <c r="M205" s="2">
        <v>8</v>
      </c>
      <c r="N205" s="2">
        <f t="shared" si="7"/>
        <v>37.560285714285712</v>
      </c>
      <c r="O205" s="2">
        <f t="shared" si="6"/>
        <v>33.308339978650658</v>
      </c>
      <c r="P205" t="s">
        <v>27</v>
      </c>
      <c r="Q205" t="s">
        <v>27</v>
      </c>
      <c r="R205" s="2">
        <v>6715.1818750000002</v>
      </c>
      <c r="S205" s="2">
        <v>871.47512499999993</v>
      </c>
      <c r="T205" s="2">
        <v>238.79087499999997</v>
      </c>
      <c r="U205" s="2">
        <v>165.51206250000001</v>
      </c>
      <c r="V205" s="2">
        <v>36.702812500000007</v>
      </c>
      <c r="W205" s="2">
        <v>512.46662500000002</v>
      </c>
      <c r="X205" s="2">
        <v>97.3</v>
      </c>
      <c r="Y205" s="2">
        <v>1</v>
      </c>
      <c r="Z205" s="2">
        <v>2149.1178749999999</v>
      </c>
    </row>
    <row r="206" spans="1:26" x14ac:dyDescent="0.25">
      <c r="A206" s="1">
        <v>45521</v>
      </c>
      <c r="B206" s="2">
        <v>260</v>
      </c>
      <c r="C206" s="2">
        <v>45</v>
      </c>
      <c r="D206" s="2">
        <v>16.5</v>
      </c>
      <c r="E206" s="2">
        <v>97.4</v>
      </c>
      <c r="F206" s="2">
        <v>127</v>
      </c>
      <c r="G206" s="2">
        <v>84</v>
      </c>
      <c r="H206" s="2">
        <v>76</v>
      </c>
      <c r="I206" s="2">
        <v>98.3</v>
      </c>
      <c r="J206" s="2">
        <v>151</v>
      </c>
      <c r="K206" s="2">
        <v>87</v>
      </c>
      <c r="L206" s="2">
        <v>68</v>
      </c>
      <c r="M206" s="2">
        <v>8</v>
      </c>
      <c r="N206" s="2">
        <f t="shared" si="7"/>
        <v>37.302040816326532</v>
      </c>
      <c r="O206" s="2">
        <f t="shared" si="6"/>
        <v>32.6586945886934</v>
      </c>
      <c r="P206" t="s">
        <v>26</v>
      </c>
      <c r="Q206" t="s">
        <v>27</v>
      </c>
      <c r="R206" s="2">
        <v>6197</v>
      </c>
      <c r="S206" s="2">
        <v>882.4</v>
      </c>
      <c r="T206" s="2">
        <v>200.2</v>
      </c>
      <c r="U206" s="2">
        <v>86.600000000000009</v>
      </c>
      <c r="V206" s="2">
        <v>30.9</v>
      </c>
      <c r="W206" s="2">
        <v>573.4</v>
      </c>
      <c r="X206" s="2">
        <v>54</v>
      </c>
      <c r="Y206" s="2">
        <v>0</v>
      </c>
      <c r="Z206" s="2">
        <v>1801.8</v>
      </c>
    </row>
    <row r="207" spans="1:26" x14ac:dyDescent="0.25">
      <c r="A207" s="1">
        <v>45522</v>
      </c>
      <c r="B207" s="2">
        <v>262.39999999999998</v>
      </c>
      <c r="C207" s="2">
        <v>45.5</v>
      </c>
      <c r="D207" s="2">
        <v>16.5</v>
      </c>
      <c r="E207" s="2">
        <v>97.6</v>
      </c>
      <c r="F207" s="2">
        <v>131</v>
      </c>
      <c r="G207" s="2">
        <v>91</v>
      </c>
      <c r="H207" s="2">
        <v>81</v>
      </c>
      <c r="I207" s="2">
        <v>97.8</v>
      </c>
      <c r="J207" s="2">
        <v>140</v>
      </c>
      <c r="K207" s="2">
        <v>84</v>
      </c>
      <c r="L207" s="2">
        <v>80</v>
      </c>
      <c r="M207" s="2">
        <v>7</v>
      </c>
      <c r="N207" s="2">
        <f t="shared" si="7"/>
        <v>37.646367346938767</v>
      </c>
      <c r="O207" s="2">
        <f t="shared" si="6"/>
        <v>33.308339978650658</v>
      </c>
      <c r="P207" t="s">
        <v>27</v>
      </c>
      <c r="Q207" t="s">
        <v>27</v>
      </c>
      <c r="R207" s="2">
        <v>5768.4333333333334</v>
      </c>
      <c r="S207" s="2">
        <v>865</v>
      </c>
      <c r="T207" s="2">
        <v>215.96666666666667</v>
      </c>
      <c r="U207" s="2">
        <v>110.83333333333334</v>
      </c>
      <c r="V207" s="2">
        <v>15.033333333333333</v>
      </c>
      <c r="W207" s="2">
        <v>615.70000000000005</v>
      </c>
      <c r="X207" s="2">
        <v>140</v>
      </c>
      <c r="Y207" s="2">
        <v>0</v>
      </c>
      <c r="Z207" s="2">
        <v>1943.6999999999998</v>
      </c>
    </row>
    <row r="208" spans="1:26" x14ac:dyDescent="0.25">
      <c r="A208" s="1">
        <v>45523</v>
      </c>
      <c r="B208" s="2">
        <v>265.2</v>
      </c>
      <c r="C208" s="2">
        <v>46</v>
      </c>
      <c r="D208" s="2">
        <v>16.5</v>
      </c>
      <c r="E208" s="2">
        <v>96.8</v>
      </c>
      <c r="F208" s="2">
        <v>153</v>
      </c>
      <c r="G208" s="2">
        <v>84</v>
      </c>
      <c r="H208" s="2">
        <v>80</v>
      </c>
      <c r="I208" s="2">
        <v>98.1</v>
      </c>
      <c r="J208" s="2">
        <v>136</v>
      </c>
      <c r="K208" s="2">
        <v>80</v>
      </c>
      <c r="L208" s="2">
        <v>72</v>
      </c>
      <c r="M208" s="2">
        <v>9</v>
      </c>
      <c r="N208" s="2">
        <f t="shared" si="7"/>
        <v>38.048081632653059</v>
      </c>
      <c r="O208" s="2">
        <f t="shared" si="6"/>
        <v>33.946879773643239</v>
      </c>
      <c r="P208" t="s">
        <v>27</v>
      </c>
      <c r="Q208" t="s">
        <v>27</v>
      </c>
      <c r="R208" s="2">
        <v>1053.2833333333333</v>
      </c>
      <c r="S208" s="2">
        <v>99.310333333333318</v>
      </c>
      <c r="T208" s="2">
        <v>48.72</v>
      </c>
      <c r="U208" s="2">
        <v>70.575999999999993</v>
      </c>
      <c r="V208" s="2">
        <v>36.656333333333329</v>
      </c>
      <c r="W208" s="2">
        <v>18.666333333333334</v>
      </c>
      <c r="X208" s="2">
        <v>15.469999999999999</v>
      </c>
      <c r="Y208" s="2">
        <v>0</v>
      </c>
      <c r="Z208" s="2">
        <v>438.48</v>
      </c>
    </row>
    <row r="209" spans="1:26" x14ac:dyDescent="0.25">
      <c r="A209" s="1">
        <v>45524</v>
      </c>
      <c r="B209" s="2">
        <v>261.60000000000002</v>
      </c>
      <c r="C209" s="2">
        <v>45.5</v>
      </c>
      <c r="D209" s="2">
        <v>16.5</v>
      </c>
      <c r="E209" s="2">
        <v>96.9</v>
      </c>
      <c r="F209" s="2">
        <v>140</v>
      </c>
      <c r="G209" s="2">
        <v>82</v>
      </c>
      <c r="H209" s="2">
        <v>67</v>
      </c>
      <c r="I209" s="2">
        <v>97.2</v>
      </c>
      <c r="J209" s="2">
        <v>152</v>
      </c>
      <c r="K209" s="2">
        <v>82</v>
      </c>
      <c r="L209" s="2">
        <v>75</v>
      </c>
      <c r="M209" s="2">
        <v>3</v>
      </c>
      <c r="N209" s="2">
        <f t="shared" si="7"/>
        <v>37.531591836734698</v>
      </c>
      <c r="O209" s="2">
        <f t="shared" si="6"/>
        <v>33.308339978650658</v>
      </c>
      <c r="P209" t="s">
        <v>26</v>
      </c>
      <c r="Q209" t="s">
        <v>26</v>
      </c>
      <c r="R209" s="2">
        <v>3000.2233333333334</v>
      </c>
      <c r="S209" s="2">
        <v>477.03699999999998</v>
      </c>
      <c r="T209" s="2">
        <v>82.99766666666666</v>
      </c>
      <c r="U209" s="2">
        <v>113.22366666666667</v>
      </c>
      <c r="V209" s="2">
        <v>40.406000000000006</v>
      </c>
      <c r="W209" s="2">
        <v>295.52633333333335</v>
      </c>
      <c r="X209" s="2">
        <v>23.729999999999997</v>
      </c>
      <c r="Y209" s="2">
        <v>1</v>
      </c>
      <c r="Z209" s="2">
        <v>746.97899999999981</v>
      </c>
    </row>
    <row r="210" spans="1:26" x14ac:dyDescent="0.25">
      <c r="A210" s="1">
        <v>45525</v>
      </c>
      <c r="B210" s="2">
        <v>257.2</v>
      </c>
      <c r="C210" s="2">
        <v>45</v>
      </c>
      <c r="D210" s="2">
        <v>16.5</v>
      </c>
      <c r="E210" s="2">
        <v>95.9</v>
      </c>
      <c r="F210" s="2">
        <v>136</v>
      </c>
      <c r="G210" s="2">
        <v>77</v>
      </c>
      <c r="H210" s="2">
        <v>74</v>
      </c>
      <c r="I210" s="2">
        <v>97.7</v>
      </c>
      <c r="J210" s="2">
        <v>142</v>
      </c>
      <c r="K210" s="2">
        <v>69</v>
      </c>
      <c r="L210" s="2">
        <v>74</v>
      </c>
      <c r="M210" s="2">
        <v>13.5</v>
      </c>
      <c r="N210" s="2">
        <f t="shared" si="7"/>
        <v>36.900326530612247</v>
      </c>
      <c r="O210" s="2">
        <f t="shared" si="6"/>
        <v>32.6586945886934</v>
      </c>
      <c r="P210" t="s">
        <v>26</v>
      </c>
      <c r="Q210" t="s">
        <v>26</v>
      </c>
      <c r="R210" s="2">
        <v>3526.6766666666667</v>
      </c>
      <c r="S210" s="2">
        <v>522.94133333333332</v>
      </c>
      <c r="T210" s="2">
        <v>117.39066666666668</v>
      </c>
      <c r="U210" s="2">
        <v>134.73633333333336</v>
      </c>
      <c r="V210" s="2">
        <v>39.995666666666672</v>
      </c>
      <c r="W210" s="2">
        <v>352.98033333333336</v>
      </c>
      <c r="X210" s="2">
        <v>82.686666666666667</v>
      </c>
      <c r="Y210" s="2">
        <v>1.5</v>
      </c>
      <c r="Z210" s="2">
        <v>1056.5159999999998</v>
      </c>
    </row>
    <row r="211" spans="1:26" x14ac:dyDescent="0.25">
      <c r="A211" s="1">
        <v>45526</v>
      </c>
      <c r="B211" s="2">
        <v>257.60000000000002</v>
      </c>
      <c r="C211" s="2">
        <v>45.5</v>
      </c>
      <c r="D211" s="2">
        <v>16.5</v>
      </c>
      <c r="E211" s="2">
        <v>96</v>
      </c>
      <c r="F211" s="2">
        <v>136</v>
      </c>
      <c r="G211" s="2">
        <v>85</v>
      </c>
      <c r="H211" s="2">
        <v>75</v>
      </c>
      <c r="I211" s="2">
        <v>98.2</v>
      </c>
      <c r="J211" s="2">
        <v>118</v>
      </c>
      <c r="K211" s="2">
        <v>72</v>
      </c>
      <c r="L211" s="2">
        <v>70</v>
      </c>
      <c r="M211" s="2">
        <v>6</v>
      </c>
      <c r="N211" s="2">
        <f t="shared" si="7"/>
        <v>36.957714285714289</v>
      </c>
      <c r="O211" s="2">
        <f t="shared" si="6"/>
        <v>33.308339978650658</v>
      </c>
      <c r="P211" t="s">
        <v>27</v>
      </c>
      <c r="Q211" t="s">
        <v>26</v>
      </c>
      <c r="R211" s="2">
        <v>4550.4666666666662</v>
      </c>
      <c r="S211" s="2">
        <v>650.78666666666675</v>
      </c>
      <c r="T211" s="2">
        <v>151.51999999999998</v>
      </c>
      <c r="U211" s="2">
        <v>197.28</v>
      </c>
      <c r="V211" s="2">
        <v>80.406666666666666</v>
      </c>
      <c r="W211" s="2">
        <v>326.79666666666668</v>
      </c>
      <c r="X211" s="2">
        <v>94.9</v>
      </c>
      <c r="Y211" s="2">
        <v>2</v>
      </c>
      <c r="Z211" s="2">
        <v>1363.68</v>
      </c>
    </row>
    <row r="212" spans="1:26" x14ac:dyDescent="0.25">
      <c r="A212" s="1">
        <v>45527</v>
      </c>
      <c r="B212" s="2">
        <v>260.8</v>
      </c>
      <c r="C212" s="2">
        <v>45</v>
      </c>
      <c r="D212" s="2">
        <v>16.5</v>
      </c>
      <c r="E212" s="2">
        <v>96</v>
      </c>
      <c r="F212" s="2">
        <v>131</v>
      </c>
      <c r="G212" s="2">
        <v>83</v>
      </c>
      <c r="H212" s="2">
        <v>75</v>
      </c>
      <c r="I212" s="2">
        <v>97.9</v>
      </c>
      <c r="J212" s="2">
        <v>128</v>
      </c>
      <c r="K212" s="2">
        <v>74</v>
      </c>
      <c r="L212" s="2">
        <v>67</v>
      </c>
      <c r="M212" s="2">
        <v>11</v>
      </c>
      <c r="N212" s="2">
        <f t="shared" si="7"/>
        <v>37.416816326530615</v>
      </c>
      <c r="O212" s="2">
        <f t="shared" si="6"/>
        <v>32.6586945886934</v>
      </c>
      <c r="P212" t="s">
        <v>27</v>
      </c>
      <c r="Q212" t="s">
        <v>26</v>
      </c>
      <c r="R212" s="2">
        <v>1650.7433333333333</v>
      </c>
      <c r="S212" s="2">
        <v>302.88833333333332</v>
      </c>
      <c r="T212" s="2">
        <v>33.814</v>
      </c>
      <c r="U212" s="2">
        <v>63.984000000000002</v>
      </c>
      <c r="V212" s="2">
        <v>35.25033333333333</v>
      </c>
      <c r="W212" s="2">
        <v>224.61833333333334</v>
      </c>
      <c r="X212" s="2">
        <v>65.89</v>
      </c>
      <c r="Y212" s="2">
        <v>2</v>
      </c>
      <c r="Z212" s="2">
        <v>304.32599999999996</v>
      </c>
    </row>
    <row r="213" spans="1:26" x14ac:dyDescent="0.25">
      <c r="A213" s="1">
        <v>45528</v>
      </c>
      <c r="B213" s="2">
        <v>261.2</v>
      </c>
      <c r="C213" s="2">
        <v>45.5</v>
      </c>
      <c r="D213" s="2">
        <v>16.5</v>
      </c>
      <c r="E213" s="2">
        <v>96.2</v>
      </c>
      <c r="F213" s="2">
        <v>144</v>
      </c>
      <c r="G213" s="2">
        <v>82</v>
      </c>
      <c r="H213" s="2">
        <v>78</v>
      </c>
      <c r="I213" s="2">
        <v>98.2</v>
      </c>
      <c r="J213" s="2">
        <v>126</v>
      </c>
      <c r="K213" s="2">
        <v>85</v>
      </c>
      <c r="L213" s="2">
        <v>66</v>
      </c>
      <c r="M213" s="2">
        <v>8</v>
      </c>
      <c r="N213" s="2">
        <f t="shared" si="7"/>
        <v>37.474204081632649</v>
      </c>
      <c r="O213" s="2">
        <f t="shared" si="6"/>
        <v>33.308339978650658</v>
      </c>
      <c r="P213" t="s">
        <v>27</v>
      </c>
      <c r="Q213" t="s">
        <v>26</v>
      </c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>
        <v>45529</v>
      </c>
      <c r="B214" s="2">
        <v>261.60000000000002</v>
      </c>
      <c r="C214" s="2">
        <v>45.5</v>
      </c>
      <c r="D214" s="2">
        <v>16.5</v>
      </c>
      <c r="E214" s="2">
        <v>97.8</v>
      </c>
      <c r="F214" s="2">
        <v>129</v>
      </c>
      <c r="G214" s="2">
        <v>82</v>
      </c>
      <c r="H214" s="2">
        <v>71</v>
      </c>
      <c r="I214" s="2">
        <v>97.9</v>
      </c>
      <c r="J214" s="2">
        <v>130</v>
      </c>
      <c r="K214" s="2">
        <v>80</v>
      </c>
      <c r="L214" s="2">
        <v>68</v>
      </c>
      <c r="M214" s="2">
        <v>7</v>
      </c>
      <c r="N214" s="2">
        <f t="shared" si="7"/>
        <v>37.531591836734698</v>
      </c>
      <c r="O214" s="2">
        <f t="shared" si="6"/>
        <v>33.308339978650658</v>
      </c>
      <c r="P214" t="s">
        <v>27</v>
      </c>
      <c r="Q214" t="s">
        <v>27</v>
      </c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>
        <v>45530</v>
      </c>
      <c r="B215" s="2">
        <v>263.39999999999998</v>
      </c>
      <c r="C215" s="2">
        <v>45</v>
      </c>
      <c r="D215" s="2">
        <v>16.5</v>
      </c>
      <c r="E215" s="2">
        <v>97</v>
      </c>
      <c r="F215" s="2">
        <v>136</v>
      </c>
      <c r="G215" s="2">
        <v>81</v>
      </c>
      <c r="H215" s="2">
        <v>77</v>
      </c>
      <c r="I215" s="2">
        <v>97</v>
      </c>
      <c r="J215" s="2">
        <v>130</v>
      </c>
      <c r="K215" s="2">
        <v>79</v>
      </c>
      <c r="L215" s="2">
        <v>68</v>
      </c>
      <c r="M215" s="2">
        <v>12</v>
      </c>
      <c r="N215" s="2">
        <f t="shared" si="7"/>
        <v>37.789836734693871</v>
      </c>
      <c r="O215" s="2">
        <f t="shared" si="6"/>
        <v>32.6586945886934</v>
      </c>
      <c r="P215" t="s">
        <v>26</v>
      </c>
      <c r="Q215" t="s">
        <v>26</v>
      </c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>
        <v>45531</v>
      </c>
      <c r="B216" s="2">
        <v>256.2</v>
      </c>
      <c r="C216" s="2">
        <v>44.5</v>
      </c>
      <c r="D216" s="2">
        <v>16.5</v>
      </c>
      <c r="E216" s="2">
        <v>96.4</v>
      </c>
      <c r="F216" s="2">
        <v>146</v>
      </c>
      <c r="G216" s="2">
        <v>80</v>
      </c>
      <c r="H216" s="2">
        <v>82</v>
      </c>
      <c r="I216" s="2">
        <v>97.1</v>
      </c>
      <c r="J216" s="2">
        <v>124</v>
      </c>
      <c r="K216" s="2">
        <v>81</v>
      </c>
      <c r="L216" s="2">
        <v>63</v>
      </c>
      <c r="M216" s="2">
        <v>17</v>
      </c>
      <c r="N216" s="2">
        <f t="shared" si="7"/>
        <v>36.756857142857143</v>
      </c>
      <c r="O216" s="2">
        <f t="shared" si="6"/>
        <v>31.997550455105717</v>
      </c>
      <c r="P216" t="s">
        <v>27</v>
      </c>
      <c r="Q216" t="s">
        <v>26</v>
      </c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>
        <v>45532</v>
      </c>
      <c r="B217" s="2">
        <v>256.8</v>
      </c>
      <c r="C217" s="2">
        <v>44.5</v>
      </c>
      <c r="D217" s="2">
        <v>16.5</v>
      </c>
      <c r="E217" s="2">
        <v>96.2</v>
      </c>
      <c r="F217" s="2">
        <v>119</v>
      </c>
      <c r="G217" s="2">
        <v>80</v>
      </c>
      <c r="H217" s="2">
        <v>61</v>
      </c>
      <c r="I217" s="2">
        <v>96.8</v>
      </c>
      <c r="J217" s="2">
        <v>144</v>
      </c>
      <c r="K217" s="2">
        <v>83</v>
      </c>
      <c r="L217" s="2">
        <v>62</v>
      </c>
      <c r="M217" s="2">
        <v>1</v>
      </c>
      <c r="N217" s="2">
        <f t="shared" si="7"/>
        <v>36.842938775510206</v>
      </c>
      <c r="O217" s="2">
        <f t="shared" si="6"/>
        <v>31.997550455105717</v>
      </c>
      <c r="P217" t="s">
        <v>26</v>
      </c>
      <c r="Q217" t="s">
        <v>26</v>
      </c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>
        <v>45533</v>
      </c>
      <c r="B218" s="2">
        <v>258</v>
      </c>
      <c r="C218" s="2">
        <v>45</v>
      </c>
      <c r="D218" s="2">
        <v>16.5</v>
      </c>
      <c r="E218" s="2">
        <v>96.6</v>
      </c>
      <c r="F218" s="2">
        <v>134</v>
      </c>
      <c r="G218" s="2">
        <v>73</v>
      </c>
      <c r="H218" s="2">
        <v>79</v>
      </c>
      <c r="I218" s="2">
        <v>97.2</v>
      </c>
      <c r="J218" s="2">
        <v>135</v>
      </c>
      <c r="K218" s="2">
        <v>81</v>
      </c>
      <c r="L218" s="2">
        <v>67</v>
      </c>
      <c r="M218" s="2">
        <v>3</v>
      </c>
      <c r="N218" s="2">
        <f t="shared" si="7"/>
        <v>37.015102040816323</v>
      </c>
      <c r="O218" s="2">
        <f t="shared" si="6"/>
        <v>32.6586945886934</v>
      </c>
      <c r="P218" t="s">
        <v>26</v>
      </c>
      <c r="Q218" t="s">
        <v>26</v>
      </c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>
        <v>45534</v>
      </c>
      <c r="B219" s="2">
        <v>258.8</v>
      </c>
      <c r="C219" s="2">
        <v>44.5</v>
      </c>
      <c r="D219" s="2">
        <v>16.5</v>
      </c>
      <c r="E219" s="2">
        <v>96.6</v>
      </c>
      <c r="F219" s="2">
        <v>132</v>
      </c>
      <c r="G219" s="2">
        <v>83</v>
      </c>
      <c r="H219" s="2">
        <v>66</v>
      </c>
      <c r="I219" s="2">
        <v>98.3</v>
      </c>
      <c r="J219" s="2">
        <v>125</v>
      </c>
      <c r="K219" s="2">
        <v>69</v>
      </c>
      <c r="L219" s="2">
        <v>88</v>
      </c>
      <c r="M219" s="2">
        <v>9</v>
      </c>
      <c r="N219" s="2">
        <f t="shared" si="7"/>
        <v>37.129877551020407</v>
      </c>
      <c r="O219" s="2">
        <f t="shared" si="6"/>
        <v>31.997550455105717</v>
      </c>
      <c r="P219" t="s">
        <v>27</v>
      </c>
      <c r="Q219" t="s">
        <v>27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>
        <v>45535</v>
      </c>
      <c r="B220" s="2">
        <v>258.8</v>
      </c>
      <c r="C220" s="2">
        <v>44.5</v>
      </c>
      <c r="D220" s="2">
        <v>16.5</v>
      </c>
      <c r="E220" s="2">
        <v>96.6</v>
      </c>
      <c r="F220" s="2">
        <v>137</v>
      </c>
      <c r="G220" s="2">
        <v>81</v>
      </c>
      <c r="H220" s="2">
        <v>83</v>
      </c>
      <c r="I220" s="2">
        <v>97.4</v>
      </c>
      <c r="J220" s="2">
        <v>151</v>
      </c>
      <c r="K220" s="2">
        <v>79</v>
      </c>
      <c r="L220" s="2">
        <v>71</v>
      </c>
      <c r="M220" s="2">
        <v>5</v>
      </c>
      <c r="N220" s="2">
        <f t="shared" si="7"/>
        <v>37.129877551020407</v>
      </c>
      <c r="O220" s="2">
        <f t="shared" si="6"/>
        <v>31.997550455105717</v>
      </c>
      <c r="P220" t="s">
        <v>27</v>
      </c>
      <c r="Q220" t="s">
        <v>27</v>
      </c>
      <c r="R220" s="2">
        <v>3404.6666666666665</v>
      </c>
      <c r="S220" s="2">
        <v>638.76666666666665</v>
      </c>
      <c r="T220" s="2">
        <v>62.25</v>
      </c>
      <c r="U220" s="2">
        <v>109.2</v>
      </c>
      <c r="V220" s="2">
        <v>29.866666666666664</v>
      </c>
      <c r="W220" s="2">
        <v>407.61666666666667</v>
      </c>
      <c r="X220" s="2">
        <v>80</v>
      </c>
      <c r="Y220" s="2">
        <v>0.5</v>
      </c>
      <c r="Z220" s="2">
        <v>560.25</v>
      </c>
    </row>
    <row r="221" spans="1:26" x14ac:dyDescent="0.25">
      <c r="A221" s="1">
        <v>45536</v>
      </c>
      <c r="B221" s="2">
        <v>261</v>
      </c>
      <c r="C221" s="2">
        <v>45</v>
      </c>
      <c r="D221" s="2">
        <v>16.5</v>
      </c>
      <c r="E221" s="2">
        <v>95.6</v>
      </c>
      <c r="F221" s="2">
        <v>134</v>
      </c>
      <c r="G221" s="2">
        <v>76</v>
      </c>
      <c r="H221" s="2">
        <v>66</v>
      </c>
      <c r="I221" s="2">
        <v>98.3</v>
      </c>
      <c r="J221" s="2">
        <v>114</v>
      </c>
      <c r="K221" s="2">
        <v>71</v>
      </c>
      <c r="L221" s="2">
        <v>95</v>
      </c>
      <c r="M221" s="2">
        <v>5</v>
      </c>
      <c r="N221" s="2">
        <f t="shared" si="7"/>
        <v>37.445510204081636</v>
      </c>
      <c r="O221" s="2">
        <f t="shared" si="6"/>
        <v>32.6586945886934</v>
      </c>
      <c r="P221" t="s">
        <v>27</v>
      </c>
      <c r="Q221" t="s">
        <v>26</v>
      </c>
      <c r="R221" s="2">
        <v>3011</v>
      </c>
      <c r="S221" s="2">
        <v>478.1</v>
      </c>
      <c r="T221" s="2">
        <v>91.25</v>
      </c>
      <c r="U221" s="2">
        <v>78.900000000000006</v>
      </c>
      <c r="V221" s="2">
        <v>23.9</v>
      </c>
      <c r="W221" s="2">
        <v>297.3</v>
      </c>
      <c r="X221" s="2">
        <v>82.7</v>
      </c>
      <c r="Y221" s="2">
        <v>0.5</v>
      </c>
      <c r="Z221" s="2">
        <v>821.25</v>
      </c>
    </row>
    <row r="222" spans="1:26" x14ac:dyDescent="0.25">
      <c r="A222" s="1">
        <v>45537</v>
      </c>
      <c r="B222" s="2">
        <v>261.2</v>
      </c>
      <c r="C222" s="2">
        <v>45</v>
      </c>
      <c r="D222" s="2">
        <v>16.5</v>
      </c>
      <c r="E222" s="2">
        <v>97.01</v>
      </c>
      <c r="F222" s="2">
        <v>124</v>
      </c>
      <c r="G222" s="2">
        <v>73</v>
      </c>
      <c r="H222" s="2">
        <v>67</v>
      </c>
      <c r="I222" s="2">
        <v>97.9</v>
      </c>
      <c r="J222" s="2">
        <v>117</v>
      </c>
      <c r="K222" s="2">
        <v>72</v>
      </c>
      <c r="L222" s="2">
        <v>87</v>
      </c>
      <c r="M222" s="2">
        <v>8</v>
      </c>
      <c r="N222" s="2">
        <f t="shared" si="7"/>
        <v>37.474204081632649</v>
      </c>
      <c r="O222" s="2">
        <f t="shared" si="6"/>
        <v>32.6586945886934</v>
      </c>
      <c r="P222" t="s">
        <v>27</v>
      </c>
      <c r="Q222" t="s">
        <v>26</v>
      </c>
      <c r="R222" s="2">
        <v>1508</v>
      </c>
      <c r="S222" s="2">
        <v>238.3</v>
      </c>
      <c r="T222" s="2">
        <v>52</v>
      </c>
      <c r="U222" s="2">
        <v>28.2</v>
      </c>
      <c r="V222" s="2">
        <v>5.2</v>
      </c>
      <c r="W222" s="2">
        <v>150.4</v>
      </c>
      <c r="X222" s="2">
        <v>52</v>
      </c>
      <c r="Y222" s="2">
        <v>0.5</v>
      </c>
      <c r="Z222" s="2">
        <v>468</v>
      </c>
    </row>
    <row r="223" spans="1:26" x14ac:dyDescent="0.25">
      <c r="A223" s="1">
        <v>45538</v>
      </c>
      <c r="B223" s="2">
        <v>261</v>
      </c>
      <c r="C223" s="2">
        <v>44.5</v>
      </c>
      <c r="D223" s="2">
        <v>16.5</v>
      </c>
      <c r="E223" s="2">
        <v>96.4</v>
      </c>
      <c r="F223" s="2">
        <v>137</v>
      </c>
      <c r="G223" s="2">
        <v>84</v>
      </c>
      <c r="H223" s="2">
        <v>68</v>
      </c>
      <c r="I223" s="2">
        <v>98.3</v>
      </c>
      <c r="J223" s="2">
        <v>109</v>
      </c>
      <c r="K223" s="2">
        <v>69</v>
      </c>
      <c r="L223" s="2">
        <v>86</v>
      </c>
      <c r="M223" s="2">
        <v>12</v>
      </c>
      <c r="N223" s="2">
        <f t="shared" si="7"/>
        <v>37.445510204081636</v>
      </c>
      <c r="O223" s="2">
        <f t="shared" si="6"/>
        <v>31.997550455105717</v>
      </c>
      <c r="P223" t="s">
        <v>27</v>
      </c>
      <c r="Q223" t="s">
        <v>26</v>
      </c>
      <c r="R223" s="2">
        <v>4368</v>
      </c>
      <c r="S223" s="2">
        <v>526.29999999999995</v>
      </c>
      <c r="T223" s="2">
        <v>200.5</v>
      </c>
      <c r="U223" s="2">
        <v>92.7</v>
      </c>
      <c r="V223" s="2">
        <v>37.200000000000003</v>
      </c>
      <c r="W223" s="2">
        <v>208.4</v>
      </c>
      <c r="X223" s="2">
        <v>22.5</v>
      </c>
      <c r="Y223" s="2">
        <v>2</v>
      </c>
      <c r="Z223" s="2">
        <v>1804.5</v>
      </c>
    </row>
    <row r="224" spans="1:26" x14ac:dyDescent="0.25">
      <c r="A224" s="1">
        <v>45539</v>
      </c>
      <c r="B224" s="2">
        <v>259</v>
      </c>
      <c r="C224" s="2">
        <v>45.5</v>
      </c>
      <c r="D224" s="2">
        <v>16.5</v>
      </c>
      <c r="E224" s="2">
        <v>97.5</v>
      </c>
      <c r="F224" s="2">
        <v>140</v>
      </c>
      <c r="G224" s="2">
        <v>86</v>
      </c>
      <c r="H224" s="2">
        <v>78</v>
      </c>
      <c r="I224" s="2">
        <v>97.7</v>
      </c>
      <c r="J224" s="2">
        <v>148</v>
      </c>
      <c r="K224" s="2">
        <v>72</v>
      </c>
      <c r="L224" s="2">
        <v>68</v>
      </c>
      <c r="M224" s="2">
        <v>12</v>
      </c>
      <c r="N224" s="2">
        <f t="shared" si="7"/>
        <v>37.158571428571427</v>
      </c>
      <c r="O224" s="2">
        <f t="shared" si="6"/>
        <v>33.308339978650658</v>
      </c>
      <c r="P224" t="s">
        <v>26</v>
      </c>
      <c r="Q224" t="s">
        <v>27</v>
      </c>
      <c r="R224" s="2">
        <v>1983.9</v>
      </c>
      <c r="S224" s="2">
        <v>341.87333333333328</v>
      </c>
      <c r="T224" s="2">
        <v>49.655000000000001</v>
      </c>
      <c r="U224" s="2">
        <v>66.016666666666666</v>
      </c>
      <c r="V224" s="2">
        <v>37.633333333333333</v>
      </c>
      <c r="W224" s="2">
        <v>228.15166666666667</v>
      </c>
      <c r="X224" s="2">
        <v>66.2</v>
      </c>
      <c r="Y224" s="2">
        <v>1.5</v>
      </c>
      <c r="Z224" s="2">
        <v>446.89499999999998</v>
      </c>
    </row>
    <row r="225" spans="1:26" x14ac:dyDescent="0.25">
      <c r="A225" s="1">
        <v>45540</v>
      </c>
      <c r="B225" s="2">
        <v>258.60000000000002</v>
      </c>
      <c r="C225" s="2">
        <v>45</v>
      </c>
      <c r="D225" s="2">
        <v>16.5</v>
      </c>
      <c r="E225" s="2">
        <v>96.1</v>
      </c>
      <c r="F225" s="2">
        <v>130</v>
      </c>
      <c r="G225" s="2">
        <v>80</v>
      </c>
      <c r="H225" s="2">
        <v>60</v>
      </c>
      <c r="I225" s="2">
        <v>96.8</v>
      </c>
      <c r="J225" s="2">
        <v>132</v>
      </c>
      <c r="K225" s="2">
        <v>79</v>
      </c>
      <c r="L225" s="2">
        <v>65</v>
      </c>
      <c r="M225" s="2">
        <v>3.5</v>
      </c>
      <c r="N225" s="2">
        <f t="shared" si="7"/>
        <v>37.101183673469393</v>
      </c>
      <c r="O225" s="2">
        <f t="shared" si="6"/>
        <v>32.6586945886934</v>
      </c>
      <c r="P225" t="s">
        <v>26</v>
      </c>
      <c r="Q225" t="s">
        <v>26</v>
      </c>
      <c r="R225" s="2">
        <v>1723.8200000000002</v>
      </c>
      <c r="S225" s="2">
        <v>269.86933333333332</v>
      </c>
      <c r="T225" s="2">
        <v>44.442999999999998</v>
      </c>
      <c r="U225" s="2">
        <v>67.25266666666667</v>
      </c>
      <c r="V225" s="2">
        <v>44.481333333333332</v>
      </c>
      <c r="W225" s="2">
        <v>128.01566666666668</v>
      </c>
      <c r="X225" s="2">
        <v>32.44</v>
      </c>
      <c r="Y225" s="2">
        <v>2</v>
      </c>
      <c r="Z225" s="2">
        <v>399.98700000000002</v>
      </c>
    </row>
    <row r="226" spans="1:26" x14ac:dyDescent="0.25">
      <c r="A226" s="1">
        <v>45541</v>
      </c>
      <c r="B226" s="2">
        <v>255.8</v>
      </c>
      <c r="C226" s="2">
        <v>45</v>
      </c>
      <c r="D226" s="2">
        <v>16.5</v>
      </c>
      <c r="E226" s="2">
        <v>95.8</v>
      </c>
      <c r="F226" s="2">
        <v>136</v>
      </c>
      <c r="G226" s="2">
        <v>75</v>
      </c>
      <c r="H226" s="2">
        <v>60</v>
      </c>
      <c r="I226" s="2">
        <v>98.1</v>
      </c>
      <c r="J226" s="2">
        <v>132</v>
      </c>
      <c r="K226" s="2">
        <v>76</v>
      </c>
      <c r="L226" s="2">
        <v>91</v>
      </c>
      <c r="M226" s="2">
        <v>4.5</v>
      </c>
      <c r="N226" s="2">
        <f t="shared" si="7"/>
        <v>36.699469387755101</v>
      </c>
      <c r="O226" s="2">
        <f t="shared" si="6"/>
        <v>32.6586945886934</v>
      </c>
      <c r="P226" t="s">
        <v>26</v>
      </c>
      <c r="Q226" t="s">
        <v>26</v>
      </c>
      <c r="R226" s="2">
        <v>2553.94</v>
      </c>
      <c r="S226" s="2">
        <v>452.02033333333333</v>
      </c>
      <c r="T226" s="2">
        <v>58.711000000000006</v>
      </c>
      <c r="U226" s="2">
        <v>82.283666666666676</v>
      </c>
      <c r="V226" s="2">
        <v>38.439333333333337</v>
      </c>
      <c r="W226" s="2">
        <v>302.9496666666667</v>
      </c>
      <c r="X226" s="2">
        <v>84.53</v>
      </c>
      <c r="Y226" s="2">
        <v>1.5</v>
      </c>
      <c r="Z226" s="2">
        <v>528.399</v>
      </c>
    </row>
    <row r="227" spans="1:26" x14ac:dyDescent="0.25">
      <c r="A227" s="1">
        <v>45542</v>
      </c>
      <c r="B227" s="2">
        <v>255</v>
      </c>
      <c r="C227" s="2">
        <v>45</v>
      </c>
      <c r="D227" s="2">
        <v>16.5</v>
      </c>
      <c r="E227" s="2">
        <v>95.1</v>
      </c>
      <c r="F227" s="2">
        <v>127</v>
      </c>
      <c r="G227" s="2">
        <v>70</v>
      </c>
      <c r="H227" s="2">
        <v>63</v>
      </c>
      <c r="I227" s="2">
        <v>97.1</v>
      </c>
      <c r="J227" s="2">
        <v>124</v>
      </c>
      <c r="K227" s="2">
        <v>71</v>
      </c>
      <c r="L227" s="2">
        <v>95</v>
      </c>
      <c r="M227" s="2">
        <v>4.5</v>
      </c>
      <c r="N227" s="2">
        <f t="shared" si="7"/>
        <v>36.584693877551018</v>
      </c>
      <c r="O227" s="2">
        <f t="shared" si="6"/>
        <v>32.6586945886934</v>
      </c>
      <c r="P227" t="s">
        <v>26</v>
      </c>
      <c r="Q227" t="s">
        <v>26</v>
      </c>
      <c r="R227" s="2">
        <v>8019</v>
      </c>
      <c r="S227" s="2">
        <v>976.6</v>
      </c>
      <c r="T227" s="2">
        <v>282.3</v>
      </c>
      <c r="U227" s="2">
        <v>196.6</v>
      </c>
      <c r="V227" s="2">
        <v>44.3</v>
      </c>
      <c r="W227" s="2">
        <v>481.8</v>
      </c>
      <c r="X227" s="2">
        <v>64.5</v>
      </c>
      <c r="Y227" s="2">
        <v>1</v>
      </c>
      <c r="Z227" s="2">
        <v>2540.6999999999998</v>
      </c>
    </row>
  </sheetData>
  <dataValidations count="1">
    <dataValidation type="list" allowBlank="1" showInputMessage="1" showErrorMessage="1" sqref="P2:Q227 A2:A227" xr:uid="{26C284F9-E698-4A79-9703-185BA8FF57E3}">
      <formula1>"Yes, No"</formula1>
    </dataValidation>
  </dataValidations>
  <pageMargins left="0.25" right="0.25" top="0.75" bottom="0.75" header="0.3" footer="0.3"/>
  <pageSetup paperSize="5" fitToHeight="0"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6C50-2BA9-4D86-86B7-C4B5AD8B4311}">
  <dimension ref="A1"/>
  <sheetViews>
    <sheetView zoomScale="90" zoomScaleNormal="90" workbookViewId="0">
      <selection activeCell="I33" sqref="I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39C2-6331-4453-BA8B-8D6164D7756B}">
  <dimension ref="A1"/>
  <sheetViews>
    <sheetView zoomScale="90" zoomScaleNormal="90" workbookViewId="0">
      <selection activeCell="I33" sqref="I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18D-446A-4048-9AE7-FB1C590AA616}">
  <sheetPr>
    <pageSetUpPr fitToPage="1"/>
  </sheetPr>
  <dimension ref="A1:Z227"/>
  <sheetViews>
    <sheetView tabSelected="1" workbookViewId="0">
      <selection activeCell="F17" sqref="F17"/>
    </sheetView>
  </sheetViews>
  <sheetFormatPr defaultColWidth="29" defaultRowHeight="15" x14ac:dyDescent="0.25"/>
  <cols>
    <col min="1" max="1" width="33.28515625" customWidth="1"/>
    <col min="2" max="2" width="20" style="2" customWidth="1"/>
    <col min="3" max="3" width="17.42578125" style="2" customWidth="1"/>
    <col min="4" max="4" width="15.7109375" style="2" customWidth="1"/>
    <col min="5" max="5" width="23.42578125" style="2" customWidth="1"/>
    <col min="6" max="6" width="28.140625" style="2" customWidth="1"/>
    <col min="7" max="7" width="27.7109375" style="2" customWidth="1"/>
    <col min="8" max="8" width="16.7109375" style="2" customWidth="1"/>
    <col min="9" max="9" width="19.85546875" style="2" customWidth="1"/>
    <col min="10" max="10" width="25.28515625" style="2" customWidth="1"/>
    <col min="11" max="11" width="26.28515625" style="2" customWidth="1"/>
    <col min="12" max="12" width="14.7109375" style="2" customWidth="1"/>
    <col min="13" max="13" width="9.140625" style="2" customWidth="1"/>
    <col min="14" max="14" width="9.7109375" style="2" customWidth="1"/>
    <col min="15" max="15" width="9.5703125" style="2" customWidth="1"/>
    <col min="16" max="16" width="8.42578125" customWidth="1"/>
    <col min="17" max="17" width="11" customWidth="1"/>
    <col min="18" max="18" width="14.28515625" style="2" customWidth="1"/>
    <col min="19" max="19" width="10" style="2" customWidth="1"/>
    <col min="20" max="20" width="8.5703125" style="2" customWidth="1"/>
    <col min="21" max="21" width="10.42578125" style="2" customWidth="1"/>
    <col min="22" max="22" width="9.28515625" style="2" customWidth="1"/>
    <col min="23" max="23" width="9.85546875" style="2" customWidth="1"/>
    <col min="24" max="24" width="11.140625" style="2" customWidth="1"/>
    <col min="25" max="25" width="11.7109375" style="2" customWidth="1"/>
    <col min="26" max="26" width="14.85546875" style="2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31</v>
      </c>
      <c r="Z1" t="s">
        <v>25</v>
      </c>
    </row>
    <row r="2" spans="1:26" x14ac:dyDescent="0.25">
      <c r="A2" s="1">
        <v>45317</v>
      </c>
      <c r="B2" s="2">
        <v>275.60000000000002</v>
      </c>
      <c r="C2" s="2">
        <v>47.5</v>
      </c>
      <c r="D2" s="2">
        <v>17</v>
      </c>
      <c r="E2" s="2">
        <v>95.7</v>
      </c>
      <c r="F2" s="2">
        <v>113</v>
      </c>
      <c r="G2" s="2">
        <v>73</v>
      </c>
      <c r="H2" s="2">
        <v>74</v>
      </c>
      <c r="I2" s="2">
        <v>97.4</v>
      </c>
      <c r="J2" s="2">
        <v>128</v>
      </c>
      <c r="K2" s="2">
        <v>79</v>
      </c>
      <c r="L2" s="2">
        <v>73</v>
      </c>
      <c r="M2" s="2">
        <v>11.5</v>
      </c>
      <c r="N2" s="2">
        <v>39.540163265306127</v>
      </c>
      <c r="O2" s="2">
        <v>35.192117361578489</v>
      </c>
      <c r="P2">
        <v>1</v>
      </c>
      <c r="Q2">
        <v>1</v>
      </c>
      <c r="R2" s="2">
        <v>1465</v>
      </c>
      <c r="S2" s="2">
        <v>189.5</v>
      </c>
      <c r="T2" s="2">
        <v>50.5</v>
      </c>
      <c r="U2" s="2">
        <v>73</v>
      </c>
      <c r="V2" s="2">
        <v>19</v>
      </c>
      <c r="W2" s="2">
        <v>67.5</v>
      </c>
      <c r="X2" s="2">
        <v>17</v>
      </c>
      <c r="Y2" s="2">
        <v>0.5</v>
      </c>
      <c r="Z2" s="2">
        <v>454.5</v>
      </c>
    </row>
    <row r="3" spans="1:26" x14ac:dyDescent="0.25">
      <c r="A3" s="1">
        <v>45318</v>
      </c>
      <c r="B3" s="2">
        <v>271.8</v>
      </c>
      <c r="C3" s="2">
        <v>47</v>
      </c>
      <c r="D3" s="2">
        <v>17</v>
      </c>
      <c r="E3" s="2">
        <v>96.2</v>
      </c>
      <c r="F3" s="2">
        <v>114</v>
      </c>
      <c r="G3" s="2">
        <v>75</v>
      </c>
      <c r="H3" s="2">
        <v>67</v>
      </c>
      <c r="I3" s="2">
        <v>97.8</v>
      </c>
      <c r="J3" s="2">
        <v>108</v>
      </c>
      <c r="K3" s="2">
        <v>75</v>
      </c>
      <c r="L3" s="2">
        <v>82</v>
      </c>
      <c r="M3" s="2">
        <v>5.5</v>
      </c>
      <c r="N3" s="2">
        <v>38.994979591836739</v>
      </c>
      <c r="O3" s="2">
        <v>34.574687297799606</v>
      </c>
      <c r="P3">
        <v>1</v>
      </c>
      <c r="Q3">
        <v>0</v>
      </c>
      <c r="R3" s="2">
        <v>2521</v>
      </c>
      <c r="S3" s="2">
        <v>499.95</v>
      </c>
      <c r="T3" s="2">
        <v>85</v>
      </c>
      <c r="U3" s="2">
        <v>71.5</v>
      </c>
      <c r="V3" s="2">
        <v>34.5</v>
      </c>
      <c r="W3" s="2">
        <v>325.45</v>
      </c>
      <c r="X3" s="2">
        <v>72.5</v>
      </c>
      <c r="Y3" s="2">
        <v>0.75</v>
      </c>
      <c r="Z3" s="2">
        <v>765</v>
      </c>
    </row>
    <row r="4" spans="1:26" x14ac:dyDescent="0.25">
      <c r="A4" s="1">
        <v>45319</v>
      </c>
      <c r="B4" s="2">
        <v>271.8</v>
      </c>
      <c r="C4" s="2">
        <v>47</v>
      </c>
      <c r="D4" s="2">
        <v>17</v>
      </c>
      <c r="E4" s="2">
        <v>96.7</v>
      </c>
      <c r="F4" s="2">
        <v>136</v>
      </c>
      <c r="G4" s="2">
        <v>76</v>
      </c>
      <c r="H4" s="2">
        <v>71</v>
      </c>
      <c r="I4" s="2">
        <v>96.1</v>
      </c>
      <c r="J4" s="2">
        <v>112</v>
      </c>
      <c r="K4" s="2">
        <v>63</v>
      </c>
      <c r="L4" s="2">
        <v>70</v>
      </c>
      <c r="M4" s="2">
        <v>8</v>
      </c>
      <c r="N4" s="2">
        <v>38.994979591836739</v>
      </c>
      <c r="O4" s="2">
        <v>34.574687297799606</v>
      </c>
      <c r="P4">
        <v>0</v>
      </c>
      <c r="Q4">
        <v>0</v>
      </c>
      <c r="R4" s="2">
        <v>1385.1916666666666</v>
      </c>
      <c r="S4" s="2">
        <v>172.41208333333333</v>
      </c>
      <c r="T4" s="2">
        <v>39.075833333333335</v>
      </c>
      <c r="U4" s="2">
        <v>74.289583333333354</v>
      </c>
      <c r="V4" s="2">
        <v>41.209583333333342</v>
      </c>
      <c r="W4" s="2">
        <v>66.442083333333329</v>
      </c>
      <c r="X4" s="2">
        <v>16.350000000000001</v>
      </c>
      <c r="Y4" s="2">
        <v>0.5</v>
      </c>
      <c r="Z4" s="2">
        <v>351.6825</v>
      </c>
    </row>
    <row r="5" spans="1:26" x14ac:dyDescent="0.25">
      <c r="A5" s="1">
        <v>45320</v>
      </c>
      <c r="B5" s="2">
        <v>272.8</v>
      </c>
      <c r="C5" s="2">
        <v>47</v>
      </c>
      <c r="D5" s="2">
        <v>17</v>
      </c>
      <c r="E5" s="2">
        <v>97.5</v>
      </c>
      <c r="F5" s="2">
        <v>131</v>
      </c>
      <c r="G5" s="2">
        <v>85</v>
      </c>
      <c r="H5" s="2">
        <v>76</v>
      </c>
      <c r="I5" s="2">
        <v>97.1</v>
      </c>
      <c r="J5" s="2">
        <v>158</v>
      </c>
      <c r="K5" s="2">
        <v>88</v>
      </c>
      <c r="L5" s="2">
        <v>86</v>
      </c>
      <c r="M5" s="2">
        <v>8</v>
      </c>
      <c r="N5" s="2">
        <v>39.138448979591836</v>
      </c>
      <c r="O5" s="2">
        <v>34.574687297799606</v>
      </c>
      <c r="P5">
        <v>1</v>
      </c>
      <c r="Q5">
        <v>0</v>
      </c>
      <c r="R5" s="2">
        <v>570</v>
      </c>
      <c r="S5" s="2">
        <v>108</v>
      </c>
      <c r="T5" s="2">
        <v>12</v>
      </c>
      <c r="U5" s="2">
        <v>4</v>
      </c>
      <c r="V5" s="2">
        <v>8</v>
      </c>
      <c r="W5" s="2">
        <v>46</v>
      </c>
      <c r="X5" s="2">
        <v>6</v>
      </c>
      <c r="Y5" s="2">
        <v>0.5</v>
      </c>
      <c r="Z5" s="2">
        <v>108</v>
      </c>
    </row>
    <row r="6" spans="1:26" x14ac:dyDescent="0.25">
      <c r="A6" s="1">
        <v>45321</v>
      </c>
      <c r="B6" s="2">
        <v>269.60000000000002</v>
      </c>
      <c r="C6" s="2">
        <v>46.5</v>
      </c>
      <c r="D6" s="2">
        <v>17</v>
      </c>
      <c r="E6" s="2">
        <v>97.7</v>
      </c>
      <c r="F6" s="2">
        <v>123</v>
      </c>
      <c r="G6" s="2">
        <v>79</v>
      </c>
      <c r="H6" s="2">
        <v>84</v>
      </c>
      <c r="I6" s="2">
        <v>98.6</v>
      </c>
      <c r="J6" s="2">
        <v>120</v>
      </c>
      <c r="K6" s="2">
        <v>71</v>
      </c>
      <c r="L6" s="2">
        <v>81</v>
      </c>
      <c r="M6" s="2">
        <v>10</v>
      </c>
      <c r="N6" s="2">
        <v>38.679346938775517</v>
      </c>
      <c r="O6" s="2">
        <v>33.946879773643239</v>
      </c>
      <c r="P6">
        <v>1</v>
      </c>
      <c r="Q6">
        <v>1</v>
      </c>
      <c r="R6" s="2">
        <v>1946.3333333333301</v>
      </c>
      <c r="S6" s="2">
        <v>259.04000000000002</v>
      </c>
      <c r="T6" s="2">
        <v>60.098333333333343</v>
      </c>
      <c r="U6" s="2">
        <v>104.32666666666668</v>
      </c>
      <c r="V6" s="2">
        <v>47.730000000000004</v>
      </c>
      <c r="W6" s="2">
        <v>67.668333333333322</v>
      </c>
      <c r="X6" s="2">
        <v>19.3</v>
      </c>
      <c r="Y6" s="2">
        <v>2</v>
      </c>
      <c r="Z6" s="2">
        <v>540.88499999999999</v>
      </c>
    </row>
    <row r="7" spans="1:26" x14ac:dyDescent="0.25">
      <c r="A7" s="1">
        <v>45322</v>
      </c>
      <c r="B7" s="2">
        <v>268.60000000000002</v>
      </c>
      <c r="C7" s="2">
        <v>47</v>
      </c>
      <c r="D7" s="2">
        <v>17</v>
      </c>
      <c r="E7" s="2">
        <v>96.1</v>
      </c>
      <c r="F7" s="2">
        <v>132</v>
      </c>
      <c r="G7" s="2">
        <v>75</v>
      </c>
      <c r="H7" s="2">
        <v>62</v>
      </c>
      <c r="I7" s="2">
        <v>96.5</v>
      </c>
      <c r="J7" s="2">
        <v>156</v>
      </c>
      <c r="K7" s="2">
        <v>83</v>
      </c>
      <c r="L7" s="2">
        <v>73</v>
      </c>
      <c r="M7" s="2">
        <v>9</v>
      </c>
      <c r="N7" s="2">
        <v>38.535877551020413</v>
      </c>
      <c r="O7" s="2">
        <v>34.574687297799606</v>
      </c>
      <c r="P7">
        <v>1</v>
      </c>
      <c r="Q7">
        <v>0</v>
      </c>
      <c r="R7" s="2">
        <v>1265.2333333333333</v>
      </c>
      <c r="S7" s="2">
        <v>195.20333333333332</v>
      </c>
      <c r="T7" s="2">
        <v>34.861666666666672</v>
      </c>
      <c r="U7" s="2">
        <v>69.580000000000013</v>
      </c>
      <c r="V7" s="2">
        <v>42.556666666666672</v>
      </c>
      <c r="W7" s="2">
        <v>96.87166666666667</v>
      </c>
      <c r="X7" s="2">
        <v>20.9</v>
      </c>
      <c r="Y7" s="2">
        <v>1.5</v>
      </c>
      <c r="Z7" s="2">
        <v>313.755</v>
      </c>
    </row>
    <row r="8" spans="1:26" x14ac:dyDescent="0.25">
      <c r="A8" s="1">
        <v>45323</v>
      </c>
      <c r="B8" s="2">
        <v>268.8</v>
      </c>
      <c r="C8" s="2">
        <v>46.5</v>
      </c>
      <c r="D8" s="2">
        <v>17</v>
      </c>
      <c r="E8" s="2">
        <v>96.4</v>
      </c>
      <c r="F8" s="2">
        <v>132</v>
      </c>
      <c r="G8" s="2">
        <v>70</v>
      </c>
      <c r="H8" s="2">
        <v>71</v>
      </c>
      <c r="I8" s="2">
        <v>97.3</v>
      </c>
      <c r="J8" s="2">
        <v>113</v>
      </c>
      <c r="K8" s="2">
        <v>75</v>
      </c>
      <c r="L8" s="2">
        <v>89</v>
      </c>
      <c r="M8" s="2">
        <v>10</v>
      </c>
      <c r="N8" s="2">
        <v>38.564571428571433</v>
      </c>
      <c r="O8" s="2">
        <v>33.946879773643239</v>
      </c>
      <c r="P8">
        <v>1</v>
      </c>
      <c r="Q8">
        <v>1</v>
      </c>
      <c r="R8" s="2">
        <v>2167.3333333333335</v>
      </c>
      <c r="S8" s="2">
        <v>309.47333333333336</v>
      </c>
      <c r="T8" s="2">
        <v>70.801666666666662</v>
      </c>
      <c r="U8" s="2">
        <v>67.880000000000024</v>
      </c>
      <c r="V8" s="2">
        <v>19.906666666666666</v>
      </c>
      <c r="W8" s="2">
        <v>213.35166666666666</v>
      </c>
      <c r="X8" s="2">
        <v>17.5</v>
      </c>
      <c r="Y8" s="2">
        <v>1</v>
      </c>
      <c r="Z8" s="2">
        <v>637.21499999999992</v>
      </c>
    </row>
    <row r="9" spans="1:26" x14ac:dyDescent="0.25">
      <c r="A9" s="1">
        <v>45324</v>
      </c>
      <c r="B9" s="2">
        <v>268.8</v>
      </c>
      <c r="C9" s="2">
        <v>46.5</v>
      </c>
      <c r="D9" s="2">
        <v>17</v>
      </c>
      <c r="E9" s="2">
        <v>96.4</v>
      </c>
      <c r="F9" s="2">
        <v>132</v>
      </c>
      <c r="G9" s="2">
        <v>70</v>
      </c>
      <c r="H9" s="2">
        <v>71</v>
      </c>
      <c r="I9" s="2">
        <v>97.3</v>
      </c>
      <c r="J9" s="2">
        <v>113</v>
      </c>
      <c r="K9" s="2">
        <v>75</v>
      </c>
      <c r="L9" s="2">
        <v>89</v>
      </c>
      <c r="M9" s="2">
        <v>0</v>
      </c>
      <c r="N9" s="2">
        <v>38.564571428571433</v>
      </c>
      <c r="O9" s="2">
        <v>33.946879773643239</v>
      </c>
      <c r="P9">
        <v>0</v>
      </c>
      <c r="Q9">
        <v>0</v>
      </c>
      <c r="R9" s="2">
        <v>4080</v>
      </c>
      <c r="S9" s="2">
        <v>349</v>
      </c>
      <c r="T9" s="2">
        <v>229</v>
      </c>
      <c r="U9" s="2">
        <v>163</v>
      </c>
      <c r="V9" s="2">
        <v>15</v>
      </c>
      <c r="W9" s="2">
        <v>91</v>
      </c>
      <c r="X9" s="2">
        <v>12</v>
      </c>
      <c r="Y9" s="2">
        <v>0</v>
      </c>
      <c r="Z9" s="2">
        <v>2061</v>
      </c>
    </row>
    <row r="10" spans="1:26" x14ac:dyDescent="0.25">
      <c r="A10" s="1">
        <v>45325</v>
      </c>
      <c r="B10" s="2">
        <v>269.39999999999998</v>
      </c>
      <c r="C10" s="2">
        <v>47</v>
      </c>
      <c r="D10" s="2">
        <v>17</v>
      </c>
      <c r="E10" s="2">
        <v>97.7</v>
      </c>
      <c r="F10" s="2">
        <v>120</v>
      </c>
      <c r="G10" s="2">
        <v>77</v>
      </c>
      <c r="H10" s="2">
        <v>76</v>
      </c>
      <c r="I10" s="2">
        <v>96.5</v>
      </c>
      <c r="J10" s="2">
        <v>124</v>
      </c>
      <c r="K10" s="2">
        <v>75</v>
      </c>
      <c r="L10" s="2">
        <v>66</v>
      </c>
      <c r="M10" s="2">
        <v>16.5</v>
      </c>
      <c r="N10" s="2">
        <v>38.650653061224489</v>
      </c>
      <c r="O10" s="2">
        <v>34.574687297799606</v>
      </c>
      <c r="P10">
        <v>1</v>
      </c>
      <c r="Q10">
        <v>0</v>
      </c>
      <c r="R10" s="2">
        <v>2535.9333333333334</v>
      </c>
      <c r="S10" s="2">
        <v>235.18333333333331</v>
      </c>
      <c r="T10" s="2">
        <v>120.44166666666668</v>
      </c>
      <c r="U10" s="2">
        <v>99.950000000000031</v>
      </c>
      <c r="V10" s="2">
        <v>25.366666666666667</v>
      </c>
      <c r="W10" s="2">
        <v>30.091666666666669</v>
      </c>
      <c r="X10" s="2">
        <v>35</v>
      </c>
      <c r="Y10" s="2">
        <v>2</v>
      </c>
      <c r="Z10" s="2">
        <v>1083.9749999999999</v>
      </c>
    </row>
    <row r="11" spans="1:26" x14ac:dyDescent="0.25">
      <c r="A11" s="1">
        <v>45326</v>
      </c>
      <c r="B11" s="2">
        <v>272.60000000000002</v>
      </c>
      <c r="C11" s="2">
        <v>47</v>
      </c>
      <c r="D11" s="2">
        <v>17</v>
      </c>
      <c r="E11" s="2">
        <v>96.7</v>
      </c>
      <c r="F11" s="2">
        <v>119</v>
      </c>
      <c r="G11" s="2">
        <v>75</v>
      </c>
      <c r="H11" s="2">
        <v>71</v>
      </c>
      <c r="I11" s="2">
        <v>96.4</v>
      </c>
      <c r="J11" s="2">
        <v>116</v>
      </c>
      <c r="K11" s="2">
        <v>74</v>
      </c>
      <c r="L11" s="2">
        <v>68</v>
      </c>
      <c r="M11" s="2">
        <v>10</v>
      </c>
      <c r="N11" s="2">
        <v>39.109755102040822</v>
      </c>
      <c r="O11" s="2">
        <v>34.574687297799606</v>
      </c>
      <c r="P11">
        <v>1</v>
      </c>
      <c r="Q11">
        <v>0</v>
      </c>
      <c r="R11" s="2">
        <v>1635.9333333333334</v>
      </c>
      <c r="S11" s="2">
        <v>139.18333333333331</v>
      </c>
      <c r="T11" s="2">
        <v>82.441666666666677</v>
      </c>
      <c r="U11" s="2">
        <v>78.450000000000017</v>
      </c>
      <c r="V11" s="2">
        <v>21.866666666666667</v>
      </c>
      <c r="W11" s="2">
        <v>20.591666666666669</v>
      </c>
      <c r="X11" s="2">
        <v>21.5</v>
      </c>
      <c r="Y11" s="2">
        <v>2</v>
      </c>
      <c r="Z11" s="2">
        <v>741.97499999999991</v>
      </c>
    </row>
    <row r="12" spans="1:26" x14ac:dyDescent="0.25">
      <c r="A12" s="1">
        <v>45327</v>
      </c>
      <c r="B12" s="2">
        <v>270.8</v>
      </c>
      <c r="C12" s="2">
        <v>46.5</v>
      </c>
      <c r="D12" s="2">
        <v>17</v>
      </c>
      <c r="E12" s="2">
        <v>97</v>
      </c>
      <c r="F12" s="2">
        <v>136</v>
      </c>
      <c r="G12" s="2">
        <v>68</v>
      </c>
      <c r="H12" s="2">
        <v>67</v>
      </c>
      <c r="I12" s="2">
        <v>96.7</v>
      </c>
      <c r="J12" s="2">
        <v>127</v>
      </c>
      <c r="K12" s="2">
        <v>73</v>
      </c>
      <c r="L12" s="2">
        <v>65</v>
      </c>
      <c r="M12" s="2">
        <v>8.5</v>
      </c>
      <c r="N12" s="2">
        <v>38.851510204081634</v>
      </c>
      <c r="O12" s="2">
        <v>33.946879773643239</v>
      </c>
      <c r="P12">
        <v>1</v>
      </c>
      <c r="Q12">
        <v>0</v>
      </c>
      <c r="R12" s="2">
        <v>1645.3333333333333</v>
      </c>
      <c r="S12" s="2">
        <v>119.54166666666666</v>
      </c>
      <c r="T12" s="2">
        <v>76.603333333333339</v>
      </c>
      <c r="U12" s="2">
        <v>108.05500000000001</v>
      </c>
      <c r="V12" s="2">
        <v>8.2449999999999992</v>
      </c>
      <c r="W12" s="2">
        <v>40.258333333333333</v>
      </c>
      <c r="X12" s="2">
        <v>7.5</v>
      </c>
      <c r="Y12" s="2">
        <v>1.5</v>
      </c>
      <c r="Z12" s="2">
        <v>689.43</v>
      </c>
    </row>
    <row r="13" spans="1:26" x14ac:dyDescent="0.25">
      <c r="A13" s="1">
        <v>45328</v>
      </c>
      <c r="B13" s="2">
        <v>268.39999999999998</v>
      </c>
      <c r="C13" s="2">
        <v>46</v>
      </c>
      <c r="D13" s="2">
        <v>17</v>
      </c>
      <c r="E13" s="2">
        <v>96.2</v>
      </c>
      <c r="F13" s="2">
        <v>128</v>
      </c>
      <c r="G13" s="2">
        <v>74</v>
      </c>
      <c r="H13" s="2">
        <v>60</v>
      </c>
      <c r="I13" s="2">
        <v>97.5</v>
      </c>
      <c r="J13" s="2">
        <v>108</v>
      </c>
      <c r="K13" s="2">
        <v>68</v>
      </c>
      <c r="L13" s="2">
        <v>74</v>
      </c>
      <c r="M13" s="2">
        <v>9</v>
      </c>
      <c r="N13" s="2">
        <v>38.507183673469385</v>
      </c>
      <c r="O13" s="2">
        <v>33.308339978650658</v>
      </c>
      <c r="P13">
        <v>1</v>
      </c>
      <c r="Q13">
        <v>1</v>
      </c>
      <c r="R13" s="2">
        <v>1216.2666666666669</v>
      </c>
      <c r="S13" s="2">
        <v>111.93333333333332</v>
      </c>
      <c r="T13" s="2">
        <v>55.379166666666663</v>
      </c>
      <c r="U13" s="2">
        <v>75.029166666666669</v>
      </c>
      <c r="V13" s="2">
        <v>4.5958333333333332</v>
      </c>
      <c r="W13" s="2">
        <v>31.554166666666667</v>
      </c>
      <c r="X13" s="2">
        <v>8.25</v>
      </c>
      <c r="Y13" s="2">
        <v>1</v>
      </c>
      <c r="Z13" s="2">
        <v>498.41249999999997</v>
      </c>
    </row>
    <row r="14" spans="1:26" x14ac:dyDescent="0.25">
      <c r="A14" s="1">
        <v>45329</v>
      </c>
      <c r="B14" s="2">
        <v>266.60000000000002</v>
      </c>
      <c r="C14" s="2">
        <v>46.5</v>
      </c>
      <c r="D14" s="2">
        <v>17</v>
      </c>
      <c r="E14" s="2">
        <v>96.6</v>
      </c>
      <c r="F14" s="2">
        <v>127</v>
      </c>
      <c r="G14" s="2">
        <v>75</v>
      </c>
      <c r="H14" s="2">
        <v>67</v>
      </c>
      <c r="I14" s="2">
        <v>97.3</v>
      </c>
      <c r="J14" s="2">
        <v>144</v>
      </c>
      <c r="K14" s="2">
        <v>72</v>
      </c>
      <c r="L14" s="2">
        <v>78</v>
      </c>
      <c r="M14" s="2">
        <v>8</v>
      </c>
      <c r="N14" s="2">
        <v>38.248938775510204</v>
      </c>
      <c r="O14" s="2">
        <v>33.946879773643239</v>
      </c>
      <c r="P14">
        <v>1</v>
      </c>
      <c r="Q14">
        <v>1</v>
      </c>
      <c r="R14" s="2">
        <v>2812.3583333333336</v>
      </c>
      <c r="S14" s="2">
        <v>287.93333333333334</v>
      </c>
      <c r="T14" s="2">
        <v>127.2</v>
      </c>
      <c r="U14" s="2">
        <v>119.9875</v>
      </c>
      <c r="V14" s="2">
        <v>9.2687499999999989</v>
      </c>
      <c r="W14" s="2">
        <v>131.35</v>
      </c>
      <c r="X14" s="2">
        <v>16</v>
      </c>
      <c r="Y14" s="2">
        <v>2</v>
      </c>
      <c r="Z14" s="2">
        <v>1144.8</v>
      </c>
    </row>
    <row r="15" spans="1:26" x14ac:dyDescent="0.25">
      <c r="A15" s="1">
        <v>45330</v>
      </c>
      <c r="B15" s="2">
        <v>269.60000000000002</v>
      </c>
      <c r="C15" s="2">
        <v>46</v>
      </c>
      <c r="D15" s="2">
        <v>17</v>
      </c>
      <c r="E15" s="2">
        <v>96.3</v>
      </c>
      <c r="F15" s="2">
        <v>115</v>
      </c>
      <c r="G15" s="2">
        <v>78</v>
      </c>
      <c r="H15" s="2">
        <v>62</v>
      </c>
      <c r="I15" s="2">
        <v>97.2</v>
      </c>
      <c r="J15" s="2">
        <v>104</v>
      </c>
      <c r="K15" s="2">
        <v>58</v>
      </c>
      <c r="L15" s="2">
        <v>60</v>
      </c>
      <c r="M15" s="2">
        <v>9</v>
      </c>
      <c r="N15" s="2">
        <v>38.679346938775517</v>
      </c>
      <c r="O15" s="2">
        <v>33.308339978650658</v>
      </c>
      <c r="P15">
        <v>1</v>
      </c>
      <c r="Q15">
        <v>1</v>
      </c>
      <c r="R15" s="2">
        <v>1805.45</v>
      </c>
      <c r="S15" s="2">
        <v>206.88333333333333</v>
      </c>
      <c r="T15" s="2">
        <v>83.064583333333331</v>
      </c>
      <c r="U15" s="2">
        <v>56.15</v>
      </c>
      <c r="V15" s="2">
        <v>13.204166666666666</v>
      </c>
      <c r="W15" s="2">
        <v>38.685416666666669</v>
      </c>
      <c r="X15" s="2">
        <v>10.25</v>
      </c>
      <c r="Y15" s="2">
        <v>2</v>
      </c>
      <c r="Z15" s="2">
        <v>747.58124999999995</v>
      </c>
    </row>
    <row r="16" spans="1:26" x14ac:dyDescent="0.25">
      <c r="A16" s="1">
        <v>45331</v>
      </c>
      <c r="B16" s="2">
        <v>267.60000000000002</v>
      </c>
      <c r="C16" s="2">
        <v>46</v>
      </c>
      <c r="D16" s="2">
        <v>17</v>
      </c>
      <c r="E16" s="2">
        <v>96.4</v>
      </c>
      <c r="F16" s="2">
        <v>127</v>
      </c>
      <c r="G16" s="2">
        <v>78</v>
      </c>
      <c r="H16" s="2">
        <v>66</v>
      </c>
      <c r="I16" s="2">
        <v>96.9</v>
      </c>
      <c r="J16" s="2">
        <v>125</v>
      </c>
      <c r="K16" s="2">
        <v>68</v>
      </c>
      <c r="L16" s="2">
        <v>66</v>
      </c>
      <c r="M16" s="2">
        <v>9</v>
      </c>
      <c r="N16" s="2">
        <v>38.392408163265308</v>
      </c>
      <c r="O16" s="2">
        <v>33.308339978650658</v>
      </c>
      <c r="P16">
        <v>0</v>
      </c>
      <c r="Q16">
        <v>0</v>
      </c>
      <c r="R16" s="2">
        <v>1547.6925000000001</v>
      </c>
      <c r="S16" s="2">
        <v>204.06225000000001</v>
      </c>
      <c r="T16" s="2">
        <v>56.902499999999996</v>
      </c>
      <c r="U16" s="2">
        <v>50.186</v>
      </c>
      <c r="V16" s="2">
        <v>10.215249999999999</v>
      </c>
      <c r="W16" s="2">
        <v>58.955750000000002</v>
      </c>
      <c r="X16" s="2">
        <v>6</v>
      </c>
      <c r="Y16" s="2">
        <v>2</v>
      </c>
      <c r="Z16" s="2">
        <v>512.12249999999995</v>
      </c>
    </row>
    <row r="17" spans="1:26" x14ac:dyDescent="0.25">
      <c r="A17" s="1">
        <v>45332</v>
      </c>
      <c r="B17" s="2">
        <v>267.60000000000002</v>
      </c>
      <c r="C17" s="2">
        <v>46</v>
      </c>
      <c r="D17" s="2">
        <v>17</v>
      </c>
      <c r="E17" s="2">
        <v>95.5</v>
      </c>
      <c r="F17" s="2">
        <v>131</v>
      </c>
      <c r="G17" s="2">
        <v>77</v>
      </c>
      <c r="H17" s="2">
        <v>60</v>
      </c>
      <c r="I17" s="2">
        <v>97.7</v>
      </c>
      <c r="J17" s="2">
        <v>107</v>
      </c>
      <c r="K17" s="2">
        <v>69</v>
      </c>
      <c r="L17" s="2">
        <v>71</v>
      </c>
      <c r="M17" s="2">
        <v>7.5</v>
      </c>
      <c r="N17" s="2">
        <v>38.392408163265308</v>
      </c>
      <c r="O17" s="2">
        <v>33.308339978650658</v>
      </c>
      <c r="P17">
        <v>1</v>
      </c>
      <c r="Q17">
        <v>1</v>
      </c>
      <c r="R17" s="2">
        <v>2194.1925000000001</v>
      </c>
      <c r="S17" s="2">
        <v>280.62708333333336</v>
      </c>
      <c r="T17" s="2">
        <v>82.025833333333338</v>
      </c>
      <c r="U17" s="2">
        <v>99.683000000000007</v>
      </c>
      <c r="V17" s="2">
        <v>47.375416666666666</v>
      </c>
      <c r="W17" s="2">
        <v>58.923416666666668</v>
      </c>
      <c r="X17" s="2">
        <v>20.84</v>
      </c>
      <c r="Y17" s="2">
        <v>4</v>
      </c>
      <c r="Z17" s="2">
        <v>738.23249999999996</v>
      </c>
    </row>
    <row r="18" spans="1:26" x14ac:dyDescent="0.25">
      <c r="A18" s="1">
        <v>45333</v>
      </c>
      <c r="B18" s="2">
        <v>264.8</v>
      </c>
      <c r="C18" s="2">
        <v>46</v>
      </c>
      <c r="D18" s="2">
        <v>17</v>
      </c>
      <c r="E18" s="2">
        <v>96.7</v>
      </c>
      <c r="F18" s="2">
        <v>134</v>
      </c>
      <c r="G18" s="2">
        <v>75</v>
      </c>
      <c r="H18" s="2">
        <v>57</v>
      </c>
      <c r="I18" s="2">
        <v>97</v>
      </c>
      <c r="J18" s="2">
        <v>126</v>
      </c>
      <c r="K18" s="2">
        <v>70</v>
      </c>
      <c r="L18" s="2">
        <v>58</v>
      </c>
      <c r="M18" s="2">
        <v>11</v>
      </c>
      <c r="N18" s="2">
        <v>37.990693877551024</v>
      </c>
      <c r="O18" s="2">
        <v>33.308339978650658</v>
      </c>
      <c r="P18">
        <v>1</v>
      </c>
      <c r="Q18">
        <v>1</v>
      </c>
      <c r="R18" s="2">
        <v>954.40000000000009</v>
      </c>
      <c r="S18" s="2">
        <v>116.63333333333333</v>
      </c>
      <c r="T18" s="2">
        <v>34.75833333333334</v>
      </c>
      <c r="U18" s="2">
        <v>62.6</v>
      </c>
      <c r="V18" s="2">
        <v>39.766666666666666</v>
      </c>
      <c r="W18" s="2">
        <v>15.641666666666664</v>
      </c>
      <c r="X18" s="2">
        <v>16</v>
      </c>
      <c r="Y18" s="2">
        <v>2</v>
      </c>
      <c r="Z18" s="2">
        <v>312.82499999999999</v>
      </c>
    </row>
    <row r="19" spans="1:26" x14ac:dyDescent="0.25">
      <c r="A19" s="1">
        <v>45334</v>
      </c>
      <c r="B19" s="2">
        <v>264.60000000000002</v>
      </c>
      <c r="C19" s="2">
        <v>46</v>
      </c>
      <c r="D19" s="2">
        <v>17</v>
      </c>
      <c r="E19" s="2">
        <v>96.6</v>
      </c>
      <c r="F19" s="2">
        <v>121</v>
      </c>
      <c r="G19" s="2">
        <v>73</v>
      </c>
      <c r="H19" s="2">
        <v>67</v>
      </c>
      <c r="I19" s="2">
        <v>97</v>
      </c>
      <c r="J19" s="2">
        <v>124</v>
      </c>
      <c r="K19" s="2">
        <v>64</v>
      </c>
      <c r="L19" s="2">
        <v>63</v>
      </c>
      <c r="M19" s="2">
        <v>7</v>
      </c>
      <c r="N19" s="2">
        <v>37.962000000000003</v>
      </c>
      <c r="O19" s="2">
        <v>33.308339978650658</v>
      </c>
      <c r="P19">
        <v>1</v>
      </c>
      <c r="Q19">
        <v>1</v>
      </c>
      <c r="R19" s="2">
        <v>1094.4000000000001</v>
      </c>
      <c r="S19" s="2">
        <v>142.63333333333333</v>
      </c>
      <c r="T19" s="2">
        <v>37.75833333333334</v>
      </c>
      <c r="U19" s="2">
        <v>63.6</v>
      </c>
      <c r="V19" s="2">
        <v>41.766666666666666</v>
      </c>
      <c r="W19" s="2">
        <v>26.641666666666666</v>
      </c>
      <c r="X19" s="2">
        <v>17</v>
      </c>
      <c r="Y19" s="2">
        <v>1</v>
      </c>
      <c r="Z19" s="2">
        <v>339.82499999999999</v>
      </c>
    </row>
    <row r="20" spans="1:26" x14ac:dyDescent="0.25">
      <c r="A20" s="1">
        <v>45335</v>
      </c>
      <c r="B20" s="2">
        <v>263.2</v>
      </c>
      <c r="C20" s="2">
        <v>46</v>
      </c>
      <c r="D20" s="2">
        <v>17</v>
      </c>
      <c r="E20" s="2">
        <v>96.5</v>
      </c>
      <c r="F20" s="2">
        <v>132</v>
      </c>
      <c r="G20" s="2">
        <v>74</v>
      </c>
      <c r="H20" s="2">
        <v>67</v>
      </c>
      <c r="I20" s="2">
        <v>97.8</v>
      </c>
      <c r="J20" s="2">
        <v>148</v>
      </c>
      <c r="K20" s="2">
        <v>71</v>
      </c>
      <c r="L20" s="2">
        <v>74</v>
      </c>
      <c r="M20" s="2">
        <v>10.5</v>
      </c>
      <c r="N20" s="2">
        <v>37.761142857142858</v>
      </c>
      <c r="O20" s="2">
        <v>33.308339978650658</v>
      </c>
      <c r="P20">
        <v>1</v>
      </c>
      <c r="Q20">
        <v>1</v>
      </c>
      <c r="R20" s="2">
        <v>952.90000000000009</v>
      </c>
      <c r="S20" s="2">
        <v>116.42333333333333</v>
      </c>
      <c r="T20" s="2">
        <v>34.708333333333336</v>
      </c>
      <c r="U20" s="2">
        <v>62.42</v>
      </c>
      <c r="V20" s="2">
        <v>39.376666666666665</v>
      </c>
      <c r="W20" s="2">
        <v>15.801666666666666</v>
      </c>
      <c r="X20" s="2">
        <v>15.899999999999999</v>
      </c>
      <c r="Y20" s="2">
        <v>1.5</v>
      </c>
      <c r="Z20" s="2">
        <v>312.37499999999994</v>
      </c>
    </row>
    <row r="21" spans="1:26" x14ac:dyDescent="0.25">
      <c r="A21" s="1">
        <v>45336</v>
      </c>
      <c r="B21" s="2">
        <v>263</v>
      </c>
      <c r="C21" s="2">
        <v>46</v>
      </c>
      <c r="D21" s="2">
        <v>17</v>
      </c>
      <c r="E21" s="2">
        <v>96.9</v>
      </c>
      <c r="F21" s="2">
        <v>136</v>
      </c>
      <c r="G21" s="2">
        <v>69</v>
      </c>
      <c r="H21" s="2">
        <v>60</v>
      </c>
      <c r="I21" s="2">
        <v>96.8</v>
      </c>
      <c r="J21" s="2">
        <v>137</v>
      </c>
      <c r="K21" s="2">
        <v>72</v>
      </c>
      <c r="L21" s="2">
        <v>73</v>
      </c>
      <c r="M21" s="2">
        <v>2</v>
      </c>
      <c r="N21" s="2">
        <v>37.732448979591837</v>
      </c>
      <c r="O21" s="2">
        <v>33.308339978650658</v>
      </c>
      <c r="P21">
        <v>1</v>
      </c>
      <c r="Q21">
        <v>1</v>
      </c>
      <c r="R21" s="2">
        <v>2076.0425</v>
      </c>
      <c r="S21" s="2">
        <v>293.27308333333337</v>
      </c>
      <c r="T21" s="2">
        <v>59.710833333333341</v>
      </c>
      <c r="U21" s="2">
        <v>85.606000000000009</v>
      </c>
      <c r="V21" s="2">
        <v>22.054416666666665</v>
      </c>
      <c r="W21" s="2">
        <v>145.95741666666666</v>
      </c>
      <c r="X21" s="2">
        <v>17.899999999999999</v>
      </c>
      <c r="Y21" s="2">
        <v>2</v>
      </c>
      <c r="Z21" s="2">
        <v>537.39750000000004</v>
      </c>
    </row>
    <row r="22" spans="1:26" x14ac:dyDescent="0.25">
      <c r="A22" s="1">
        <v>45337</v>
      </c>
      <c r="B22" s="2">
        <v>261.8</v>
      </c>
      <c r="C22" s="2">
        <v>46</v>
      </c>
      <c r="D22" s="2">
        <v>17</v>
      </c>
      <c r="E22" s="2">
        <v>96.5</v>
      </c>
      <c r="F22" s="2">
        <v>128</v>
      </c>
      <c r="G22" s="2">
        <v>76</v>
      </c>
      <c r="H22" s="2">
        <v>74</v>
      </c>
      <c r="I22" s="2">
        <v>97.1</v>
      </c>
      <c r="J22" s="2">
        <v>134</v>
      </c>
      <c r="K22" s="2">
        <v>80</v>
      </c>
      <c r="L22" s="2">
        <v>59</v>
      </c>
      <c r="M22" s="2">
        <v>13</v>
      </c>
      <c r="N22" s="2">
        <v>37.560285714285712</v>
      </c>
      <c r="O22" s="2">
        <v>33.308339978650658</v>
      </c>
      <c r="P22">
        <v>1</v>
      </c>
      <c r="Q22">
        <v>1</v>
      </c>
      <c r="R22" s="2">
        <v>1171.1500000000001</v>
      </c>
      <c r="S22" s="2">
        <v>124.89999999999998</v>
      </c>
      <c r="T22" s="2">
        <v>43.975000000000001</v>
      </c>
      <c r="U22" s="2">
        <v>63.933333333333337</v>
      </c>
      <c r="V22" s="2">
        <v>21.25</v>
      </c>
      <c r="W22" s="2">
        <v>36.741666666666667</v>
      </c>
      <c r="X22" s="2">
        <v>17</v>
      </c>
      <c r="Y22" s="2">
        <v>1.5</v>
      </c>
      <c r="Z22" s="2">
        <v>395.77500000000003</v>
      </c>
    </row>
    <row r="23" spans="1:26" x14ac:dyDescent="0.25">
      <c r="A23" s="1">
        <v>45338</v>
      </c>
      <c r="B23" s="2">
        <v>261.8</v>
      </c>
      <c r="C23" s="2">
        <v>45.5</v>
      </c>
      <c r="D23" s="2">
        <v>17</v>
      </c>
      <c r="E23" s="2">
        <v>96.1</v>
      </c>
      <c r="F23" s="2">
        <v>136</v>
      </c>
      <c r="G23" s="2">
        <v>83</v>
      </c>
      <c r="H23" s="2">
        <v>61</v>
      </c>
      <c r="I23" s="2">
        <v>95.5</v>
      </c>
      <c r="J23" s="2">
        <v>136</v>
      </c>
      <c r="K23" s="2">
        <v>73</v>
      </c>
      <c r="L23" s="2">
        <v>70</v>
      </c>
      <c r="M23" s="2">
        <v>7.5</v>
      </c>
      <c r="N23" s="2">
        <v>37.560285714285712</v>
      </c>
      <c r="O23" s="2">
        <v>32.6586945886934</v>
      </c>
      <c r="P23">
        <v>1</v>
      </c>
      <c r="Q23">
        <v>1</v>
      </c>
      <c r="R23" s="2">
        <v>1103.1424999999999</v>
      </c>
      <c r="S23" s="2">
        <v>126.84975</v>
      </c>
      <c r="T23" s="2">
        <v>45.002499999999998</v>
      </c>
      <c r="U23" s="2">
        <v>45.186</v>
      </c>
      <c r="V23" s="2">
        <v>5.1777499999999996</v>
      </c>
      <c r="W23" s="2">
        <v>32.655749999999998</v>
      </c>
      <c r="X23" s="2">
        <v>6</v>
      </c>
      <c r="Y23" s="2">
        <v>1</v>
      </c>
      <c r="Z23" s="2">
        <v>405.02249999999998</v>
      </c>
    </row>
    <row r="24" spans="1:26" x14ac:dyDescent="0.25">
      <c r="A24" s="1">
        <v>45339</v>
      </c>
      <c r="B24" s="2">
        <v>259.8</v>
      </c>
      <c r="C24" s="2">
        <v>45.5</v>
      </c>
      <c r="D24" s="2">
        <v>17</v>
      </c>
      <c r="E24" s="2">
        <v>97</v>
      </c>
      <c r="F24" s="2">
        <v>137</v>
      </c>
      <c r="G24" s="2">
        <v>77</v>
      </c>
      <c r="H24" s="2">
        <v>69</v>
      </c>
      <c r="I24" s="2">
        <v>97.6</v>
      </c>
      <c r="J24" s="2">
        <v>132</v>
      </c>
      <c r="K24" s="2">
        <v>74</v>
      </c>
      <c r="L24" s="2">
        <v>73</v>
      </c>
      <c r="M24" s="2">
        <v>11.5</v>
      </c>
      <c r="N24" s="2">
        <v>37.273346938775511</v>
      </c>
      <c r="O24" s="2">
        <v>32.6586945886934</v>
      </c>
      <c r="P24">
        <v>1</v>
      </c>
      <c r="Q24">
        <v>1</v>
      </c>
      <c r="R24" s="2">
        <v>1099.3403333333333</v>
      </c>
      <c r="S24" s="2">
        <v>136.31986666666666</v>
      </c>
      <c r="T24" s="2">
        <v>36.88773333333333</v>
      </c>
      <c r="U24" s="2">
        <v>50.2958</v>
      </c>
      <c r="V24" s="2">
        <v>6.9224333333333323</v>
      </c>
      <c r="W24" s="2">
        <v>43.19756666666666</v>
      </c>
      <c r="X24" s="2">
        <v>5.2</v>
      </c>
      <c r="Y24" s="2">
        <v>3</v>
      </c>
      <c r="Z24" s="2">
        <v>331.9896</v>
      </c>
    </row>
    <row r="25" spans="1:26" x14ac:dyDescent="0.25">
      <c r="A25" s="1">
        <v>45340</v>
      </c>
      <c r="B25" s="2">
        <v>260.2</v>
      </c>
      <c r="C25" s="2">
        <v>45</v>
      </c>
      <c r="D25" s="2">
        <v>17</v>
      </c>
      <c r="E25" s="2">
        <v>96.4</v>
      </c>
      <c r="F25" s="2">
        <v>136</v>
      </c>
      <c r="G25" s="2">
        <v>76</v>
      </c>
      <c r="H25" s="2">
        <v>58</v>
      </c>
      <c r="I25" s="2">
        <v>95.7</v>
      </c>
      <c r="J25" s="2">
        <v>139</v>
      </c>
      <c r="K25" s="2">
        <v>77</v>
      </c>
      <c r="L25" s="2">
        <v>73</v>
      </c>
      <c r="M25" s="2">
        <v>10</v>
      </c>
      <c r="N25" s="2">
        <v>37.330734693877552</v>
      </c>
      <c r="O25" s="2">
        <v>31.997550455105717</v>
      </c>
      <c r="P25">
        <v>1</v>
      </c>
      <c r="Q25">
        <v>1</v>
      </c>
      <c r="R25" s="2">
        <v>929.57666666666671</v>
      </c>
      <c r="S25" s="2">
        <v>119.70183333333333</v>
      </c>
      <c r="T25" s="2">
        <v>29.758666666666667</v>
      </c>
      <c r="U25" s="2">
        <v>61.1265</v>
      </c>
      <c r="V25" s="2">
        <v>38.244666666666667</v>
      </c>
      <c r="W25" s="2">
        <v>19.880333333333333</v>
      </c>
      <c r="X25" s="2">
        <v>16.700000000000003</v>
      </c>
      <c r="Y25" s="2">
        <v>2</v>
      </c>
      <c r="Z25" s="2">
        <v>267.82800000000003</v>
      </c>
    </row>
    <row r="26" spans="1:26" x14ac:dyDescent="0.25">
      <c r="A26" s="1">
        <v>45341</v>
      </c>
      <c r="B26" s="2">
        <v>259</v>
      </c>
      <c r="C26" s="2">
        <v>45.5</v>
      </c>
      <c r="D26" s="2">
        <v>17</v>
      </c>
      <c r="E26" s="2">
        <v>95.7</v>
      </c>
      <c r="F26" s="2">
        <v>113</v>
      </c>
      <c r="G26" s="2">
        <v>74</v>
      </c>
      <c r="H26" s="2">
        <v>59</v>
      </c>
      <c r="I26" s="2">
        <v>96.3</v>
      </c>
      <c r="J26" s="2">
        <v>128</v>
      </c>
      <c r="K26" s="2">
        <v>72</v>
      </c>
      <c r="L26" s="2">
        <v>69</v>
      </c>
      <c r="M26" s="2">
        <v>5</v>
      </c>
      <c r="N26" s="2">
        <v>37.158571428571427</v>
      </c>
      <c r="O26" s="2">
        <v>32.6586945886934</v>
      </c>
      <c r="P26">
        <v>0</v>
      </c>
      <c r="Q26">
        <v>1</v>
      </c>
      <c r="R26" s="2">
        <v>1264.6766666666667</v>
      </c>
      <c r="S26" s="2">
        <v>131.39683333333335</v>
      </c>
      <c r="T26" s="2">
        <v>55.948666666666668</v>
      </c>
      <c r="U26" s="2">
        <v>74.95150000000001</v>
      </c>
      <c r="V26" s="2">
        <v>39.94466666666667</v>
      </c>
      <c r="W26" s="2">
        <v>22.310333333333336</v>
      </c>
      <c r="X26" s="2">
        <v>20.05</v>
      </c>
      <c r="Y26" s="2">
        <v>1.5</v>
      </c>
      <c r="Z26" s="2">
        <v>503.53800000000007</v>
      </c>
    </row>
    <row r="27" spans="1:26" x14ac:dyDescent="0.25">
      <c r="A27" s="1">
        <v>45342</v>
      </c>
      <c r="B27" s="2">
        <v>257</v>
      </c>
      <c r="C27" s="2">
        <v>45</v>
      </c>
      <c r="D27" s="2">
        <v>17</v>
      </c>
      <c r="E27" s="2">
        <v>96.2</v>
      </c>
      <c r="F27" s="2">
        <v>113</v>
      </c>
      <c r="G27" s="2">
        <v>76</v>
      </c>
      <c r="H27" s="2">
        <v>62</v>
      </c>
      <c r="I27" s="2">
        <v>97.2</v>
      </c>
      <c r="J27" s="2">
        <v>135</v>
      </c>
      <c r="K27" s="2">
        <v>69</v>
      </c>
      <c r="L27" s="2">
        <v>59</v>
      </c>
      <c r="M27" s="2">
        <v>12</v>
      </c>
      <c r="N27" s="2">
        <v>36.871632653061219</v>
      </c>
      <c r="O27" s="2">
        <v>31.997550455105717</v>
      </c>
      <c r="P27">
        <v>1</v>
      </c>
      <c r="Q27">
        <v>1</v>
      </c>
      <c r="R27" s="2">
        <v>1016.4766666666667</v>
      </c>
      <c r="S27" s="2">
        <v>129.08183333333335</v>
      </c>
      <c r="T27" s="2">
        <v>34.86866666666667</v>
      </c>
      <c r="U27" s="2">
        <v>62.576499999999996</v>
      </c>
      <c r="V27" s="2">
        <v>39.494666666666667</v>
      </c>
      <c r="W27" s="2">
        <v>20.500333333333334</v>
      </c>
      <c r="X27" s="2">
        <v>17.600000000000001</v>
      </c>
      <c r="Y27" s="2">
        <v>1.5</v>
      </c>
      <c r="Z27" s="2">
        <v>313.81800000000004</v>
      </c>
    </row>
    <row r="28" spans="1:26" x14ac:dyDescent="0.25">
      <c r="A28" s="1">
        <v>45343</v>
      </c>
      <c r="B28" s="2">
        <v>259.8</v>
      </c>
      <c r="C28" s="2">
        <v>46</v>
      </c>
      <c r="D28" s="2">
        <v>17</v>
      </c>
      <c r="E28" s="2">
        <v>97.1</v>
      </c>
      <c r="F28" s="2">
        <v>148</v>
      </c>
      <c r="G28" s="2">
        <v>79</v>
      </c>
      <c r="H28" s="2">
        <v>65</v>
      </c>
      <c r="I28" s="2">
        <v>97.3</v>
      </c>
      <c r="J28" s="2">
        <v>136</v>
      </c>
      <c r="K28" s="2">
        <v>67</v>
      </c>
      <c r="L28" s="2">
        <v>73</v>
      </c>
      <c r="M28" s="2">
        <v>0</v>
      </c>
      <c r="N28" s="2">
        <v>37.273346938775511</v>
      </c>
      <c r="O28" s="2">
        <v>33.308339978650658</v>
      </c>
      <c r="P28">
        <v>1</v>
      </c>
      <c r="Q28">
        <v>1</v>
      </c>
      <c r="R28" s="2">
        <v>1494.2766666666666</v>
      </c>
      <c r="S28" s="2">
        <v>168.80183333333335</v>
      </c>
      <c r="T28" s="2">
        <v>64.888666666666666</v>
      </c>
      <c r="U28" s="2">
        <v>75.656499999999994</v>
      </c>
      <c r="V28" s="2">
        <v>49.134666666666668</v>
      </c>
      <c r="W28" s="2">
        <v>26.580333333333336</v>
      </c>
      <c r="X28" s="2">
        <v>24</v>
      </c>
      <c r="Y28" s="2">
        <v>1</v>
      </c>
      <c r="Z28" s="2">
        <v>583.99800000000005</v>
      </c>
    </row>
    <row r="29" spans="1:26" x14ac:dyDescent="0.25">
      <c r="A29" s="1">
        <v>45344</v>
      </c>
      <c r="B29" s="2">
        <v>259.8</v>
      </c>
      <c r="C29" s="2">
        <v>45</v>
      </c>
      <c r="D29" s="2">
        <v>17</v>
      </c>
      <c r="E29" s="2">
        <v>96.5</v>
      </c>
      <c r="F29" s="2">
        <v>138</v>
      </c>
      <c r="G29" s="2">
        <v>74</v>
      </c>
      <c r="H29" s="2">
        <v>73</v>
      </c>
      <c r="I29" s="2">
        <v>97.1</v>
      </c>
      <c r="J29" s="2">
        <v>138</v>
      </c>
      <c r="K29" s="2">
        <v>73</v>
      </c>
      <c r="L29" s="2">
        <v>61</v>
      </c>
      <c r="M29" s="2">
        <v>8</v>
      </c>
      <c r="N29" s="2">
        <v>37.273346938775511</v>
      </c>
      <c r="O29" s="2">
        <v>31.997550455105717</v>
      </c>
      <c r="P29">
        <v>1</v>
      </c>
      <c r="Q29">
        <v>1</v>
      </c>
      <c r="R29" s="2">
        <v>1373.0766666666666</v>
      </c>
      <c r="S29" s="2">
        <v>150.42183333333332</v>
      </c>
      <c r="T29" s="2">
        <v>56.808666666666667</v>
      </c>
      <c r="U29" s="2">
        <v>58.336499999999994</v>
      </c>
      <c r="V29" s="2">
        <v>23.074666666666662</v>
      </c>
      <c r="W29" s="2">
        <v>32.760333333333335</v>
      </c>
      <c r="X29" s="2">
        <v>18.399999999999999</v>
      </c>
      <c r="Y29" s="2">
        <v>1</v>
      </c>
      <c r="Z29" s="2">
        <v>511.27800000000008</v>
      </c>
    </row>
    <row r="30" spans="1:26" x14ac:dyDescent="0.25">
      <c r="A30" s="1">
        <v>45345</v>
      </c>
      <c r="B30" s="2">
        <v>259</v>
      </c>
      <c r="C30" s="2">
        <v>45</v>
      </c>
      <c r="D30" s="2">
        <v>17</v>
      </c>
      <c r="E30" s="2">
        <v>96.3</v>
      </c>
      <c r="F30" s="2">
        <v>112</v>
      </c>
      <c r="G30" s="2">
        <v>68</v>
      </c>
      <c r="H30" s="2">
        <v>61</v>
      </c>
      <c r="I30" s="2">
        <v>96.2</v>
      </c>
      <c r="J30" s="2">
        <v>132</v>
      </c>
      <c r="K30" s="2">
        <v>73</v>
      </c>
      <c r="L30" s="2">
        <v>62</v>
      </c>
      <c r="M30" s="2">
        <v>5</v>
      </c>
      <c r="N30" s="2">
        <v>37.158571428571427</v>
      </c>
      <c r="O30" s="2">
        <v>31.997550455105717</v>
      </c>
      <c r="P30">
        <v>0</v>
      </c>
      <c r="Q30">
        <v>0</v>
      </c>
      <c r="R30" s="2">
        <v>1208.0766666666666</v>
      </c>
      <c r="S30" s="2">
        <v>172.42183333333332</v>
      </c>
      <c r="T30" s="2">
        <v>31.808666666666667</v>
      </c>
      <c r="U30" s="2">
        <v>53.336499999999994</v>
      </c>
      <c r="V30" s="2">
        <v>17.074666666666666</v>
      </c>
      <c r="W30" s="2">
        <v>96.760333333333335</v>
      </c>
      <c r="X30" s="2">
        <v>15.4</v>
      </c>
      <c r="Y30" s="2">
        <v>1</v>
      </c>
      <c r="Z30" s="2">
        <v>286.27800000000008</v>
      </c>
    </row>
    <row r="31" spans="1:26" x14ac:dyDescent="0.25">
      <c r="A31" s="1">
        <v>45346</v>
      </c>
      <c r="B31" s="2">
        <v>258.2</v>
      </c>
      <c r="C31" s="2">
        <v>45</v>
      </c>
      <c r="D31" s="2">
        <v>17</v>
      </c>
      <c r="E31" s="2">
        <v>96.1</v>
      </c>
      <c r="F31" s="2">
        <v>134</v>
      </c>
      <c r="G31" s="2">
        <v>76</v>
      </c>
      <c r="H31" s="2">
        <v>72</v>
      </c>
      <c r="I31" s="2">
        <v>97.2</v>
      </c>
      <c r="J31" s="2">
        <v>134</v>
      </c>
      <c r="K31" s="2">
        <v>71</v>
      </c>
      <c r="L31" s="2">
        <v>71</v>
      </c>
      <c r="M31" s="2">
        <v>10</v>
      </c>
      <c r="N31" s="2">
        <v>37.043795918367344</v>
      </c>
      <c r="O31" s="2">
        <v>31.997550455105717</v>
      </c>
      <c r="P31">
        <v>1</v>
      </c>
      <c r="Q31">
        <v>1</v>
      </c>
      <c r="R31" s="2">
        <v>1084.4850000000001</v>
      </c>
      <c r="S31" s="2">
        <v>112.8995</v>
      </c>
      <c r="T31" s="2">
        <v>44.83</v>
      </c>
      <c r="U31" s="2">
        <v>55.384499999999996</v>
      </c>
      <c r="V31" s="2">
        <v>3.8554999999999993</v>
      </c>
      <c r="W31" s="2">
        <v>41.361499999999992</v>
      </c>
      <c r="X31" s="2">
        <v>7</v>
      </c>
      <c r="Y31" s="2">
        <v>1.5</v>
      </c>
      <c r="Z31" s="2">
        <v>403.46999999999997</v>
      </c>
    </row>
    <row r="32" spans="1:26" x14ac:dyDescent="0.25">
      <c r="A32" s="1">
        <v>45347</v>
      </c>
      <c r="B32" s="2">
        <v>258</v>
      </c>
      <c r="C32" s="2">
        <v>45</v>
      </c>
      <c r="D32" s="2">
        <v>17</v>
      </c>
      <c r="E32" s="2">
        <v>96.8</v>
      </c>
      <c r="F32" s="2">
        <v>128</v>
      </c>
      <c r="G32" s="2">
        <v>70</v>
      </c>
      <c r="H32" s="2">
        <v>70</v>
      </c>
      <c r="I32" s="2">
        <v>98</v>
      </c>
      <c r="J32" s="2">
        <v>125</v>
      </c>
      <c r="K32" s="2">
        <v>69</v>
      </c>
      <c r="L32" s="2">
        <v>69</v>
      </c>
      <c r="M32" s="2">
        <v>10</v>
      </c>
      <c r="N32" s="2">
        <v>37.015102040816323</v>
      </c>
      <c r="O32" s="2">
        <v>31.997550455105717</v>
      </c>
      <c r="P32">
        <v>1</v>
      </c>
      <c r="Q32">
        <v>1</v>
      </c>
      <c r="R32" s="2">
        <v>838.5150000000001</v>
      </c>
      <c r="S32" s="2">
        <v>90.527500000000003</v>
      </c>
      <c r="T32" s="2">
        <v>35.345666666666673</v>
      </c>
      <c r="U32" s="2">
        <v>56.428166666666677</v>
      </c>
      <c r="V32" s="2">
        <v>29.824666666666666</v>
      </c>
      <c r="W32" s="2">
        <v>23.225166666666667</v>
      </c>
      <c r="X32" s="2">
        <v>11</v>
      </c>
      <c r="Y32" s="2">
        <v>1.5</v>
      </c>
      <c r="Z32" s="2">
        <v>318.11100000000005</v>
      </c>
    </row>
    <row r="33" spans="1:26" x14ac:dyDescent="0.25">
      <c r="A33" s="1">
        <v>45348</v>
      </c>
      <c r="B33" s="2">
        <v>256</v>
      </c>
      <c r="C33" s="2">
        <v>45</v>
      </c>
      <c r="D33" s="2">
        <v>17</v>
      </c>
      <c r="E33" s="2">
        <v>96.4</v>
      </c>
      <c r="F33" s="2">
        <v>120</v>
      </c>
      <c r="G33" s="2">
        <v>71</v>
      </c>
      <c r="H33" s="2">
        <v>70</v>
      </c>
      <c r="I33" s="2">
        <v>96.5</v>
      </c>
      <c r="J33" s="2">
        <v>122</v>
      </c>
      <c r="K33" s="2">
        <v>77</v>
      </c>
      <c r="L33" s="2">
        <v>69</v>
      </c>
      <c r="M33" s="2">
        <v>7.5</v>
      </c>
      <c r="N33" s="2">
        <v>36.728163265306122</v>
      </c>
      <c r="O33" s="2">
        <v>31.997550455105717</v>
      </c>
      <c r="P33">
        <v>1</v>
      </c>
      <c r="Q33">
        <v>1</v>
      </c>
      <c r="R33" s="2">
        <v>1120.8966666666668</v>
      </c>
      <c r="S33" s="2">
        <v>68.50333333333333</v>
      </c>
      <c r="T33" s="2">
        <v>65.075666666666677</v>
      </c>
      <c r="U33" s="2">
        <v>67.36966666666666</v>
      </c>
      <c r="V33" s="2">
        <v>11.389666666666667</v>
      </c>
      <c r="W33" s="2">
        <v>18.669833333333337</v>
      </c>
      <c r="X33" s="2">
        <v>8</v>
      </c>
      <c r="Y33" s="2">
        <v>2.5</v>
      </c>
      <c r="Z33" s="2">
        <v>585.68100000000004</v>
      </c>
    </row>
    <row r="34" spans="1:26" x14ac:dyDescent="0.25">
      <c r="A34" s="1">
        <v>45349</v>
      </c>
      <c r="B34" s="2">
        <v>256</v>
      </c>
      <c r="C34" s="2">
        <v>44.5</v>
      </c>
      <c r="D34" s="2">
        <v>17</v>
      </c>
      <c r="E34" s="2">
        <v>96.7</v>
      </c>
      <c r="F34" s="2">
        <v>128</v>
      </c>
      <c r="G34" s="2">
        <v>79</v>
      </c>
      <c r="H34" s="2">
        <v>64</v>
      </c>
      <c r="I34" s="2">
        <v>96.5</v>
      </c>
      <c r="J34" s="2">
        <v>127</v>
      </c>
      <c r="K34" s="2">
        <v>76</v>
      </c>
      <c r="L34" s="2">
        <v>71</v>
      </c>
      <c r="M34" s="2">
        <v>9</v>
      </c>
      <c r="N34" s="2">
        <v>36.728163265306122</v>
      </c>
      <c r="O34" s="2">
        <v>31.324493175702337</v>
      </c>
      <c r="P34">
        <v>1</v>
      </c>
      <c r="Q34">
        <v>1</v>
      </c>
      <c r="R34" s="2">
        <v>961.5150000000001</v>
      </c>
      <c r="S34" s="2">
        <v>99.227499999999992</v>
      </c>
      <c r="T34" s="2">
        <v>42.745666666666679</v>
      </c>
      <c r="U34" s="2">
        <v>58.128166666666672</v>
      </c>
      <c r="V34" s="2">
        <v>27.424666666666667</v>
      </c>
      <c r="W34" s="2">
        <v>29.625166666666665</v>
      </c>
      <c r="X34" s="2">
        <v>15.3</v>
      </c>
      <c r="Y34" s="2">
        <v>2</v>
      </c>
      <c r="Z34" s="2">
        <v>384.71100000000007</v>
      </c>
    </row>
    <row r="35" spans="1:26" x14ac:dyDescent="0.25">
      <c r="A35" s="1">
        <v>45350</v>
      </c>
      <c r="B35" s="2">
        <v>255</v>
      </c>
      <c r="C35" s="2">
        <v>44.5</v>
      </c>
      <c r="D35" s="2">
        <v>17</v>
      </c>
      <c r="E35" s="2">
        <v>97.1</v>
      </c>
      <c r="F35" s="2">
        <v>124</v>
      </c>
      <c r="G35" s="2">
        <v>74</v>
      </c>
      <c r="H35" s="2">
        <v>55</v>
      </c>
      <c r="I35" s="2">
        <v>96.1</v>
      </c>
      <c r="J35" s="2">
        <v>128</v>
      </c>
      <c r="K35" s="2">
        <v>76</v>
      </c>
      <c r="L35" s="2">
        <v>53</v>
      </c>
      <c r="M35" s="2">
        <v>9.5</v>
      </c>
      <c r="N35" s="2">
        <v>36.584693877551018</v>
      </c>
      <c r="O35" s="2">
        <v>31.324493175702337</v>
      </c>
      <c r="P35">
        <v>1</v>
      </c>
      <c r="Q35">
        <v>1</v>
      </c>
      <c r="R35" s="2">
        <v>1679.0300000000002</v>
      </c>
      <c r="S35" s="2">
        <v>119.35499999999999</v>
      </c>
      <c r="T35" s="2">
        <v>89.591333333333353</v>
      </c>
      <c r="U35" s="2">
        <v>122.55633333333336</v>
      </c>
      <c r="V35" s="2">
        <v>44.24933333333334</v>
      </c>
      <c r="W35" s="2">
        <v>24.250333333333334</v>
      </c>
      <c r="X35" s="2">
        <v>20.5</v>
      </c>
      <c r="Y35" s="2">
        <v>2</v>
      </c>
      <c r="Z35" s="2">
        <v>806.32200000000012</v>
      </c>
    </row>
    <row r="36" spans="1:26" x14ac:dyDescent="0.25">
      <c r="A36" s="1">
        <v>45351</v>
      </c>
      <c r="B36" s="2">
        <v>255.6</v>
      </c>
      <c r="C36" s="2">
        <v>44.5</v>
      </c>
      <c r="D36" s="2">
        <v>17</v>
      </c>
      <c r="E36" s="2">
        <v>96.2</v>
      </c>
      <c r="F36" s="2">
        <v>137</v>
      </c>
      <c r="G36" s="2">
        <v>75</v>
      </c>
      <c r="H36" s="2">
        <v>60</v>
      </c>
      <c r="I36" s="2">
        <v>98</v>
      </c>
      <c r="J36" s="2">
        <v>132</v>
      </c>
      <c r="K36" s="2">
        <v>72</v>
      </c>
      <c r="L36" s="2">
        <v>65</v>
      </c>
      <c r="M36" s="2">
        <v>6.5</v>
      </c>
      <c r="N36" s="2">
        <v>36.670775510204081</v>
      </c>
      <c r="O36" s="2">
        <v>31.324493175702337</v>
      </c>
      <c r="P36">
        <v>1</v>
      </c>
      <c r="Q36">
        <v>1</v>
      </c>
      <c r="R36" s="2">
        <v>910.89666666666676</v>
      </c>
      <c r="S36" s="2">
        <v>43.003333333333337</v>
      </c>
      <c r="T36" s="2">
        <v>52.075666666666677</v>
      </c>
      <c r="U36" s="2">
        <v>70.36966666666666</v>
      </c>
      <c r="V36" s="2">
        <v>7.3896666666666668</v>
      </c>
      <c r="W36" s="2">
        <v>16.669833333333337</v>
      </c>
      <c r="X36" s="2">
        <v>7</v>
      </c>
      <c r="Y36" s="2">
        <v>1</v>
      </c>
      <c r="Z36" s="2">
        <v>468.68100000000004</v>
      </c>
    </row>
    <row r="37" spans="1:26" x14ac:dyDescent="0.25">
      <c r="A37" s="1">
        <v>45352</v>
      </c>
      <c r="B37" s="2">
        <v>255.6</v>
      </c>
      <c r="C37" s="2">
        <v>44.5</v>
      </c>
      <c r="D37" s="2">
        <v>17</v>
      </c>
      <c r="E37" s="2">
        <v>96.2</v>
      </c>
      <c r="F37" s="2">
        <v>141</v>
      </c>
      <c r="G37" s="2">
        <v>72</v>
      </c>
      <c r="H37" s="2">
        <v>64</v>
      </c>
      <c r="I37" s="2">
        <v>97.5</v>
      </c>
      <c r="J37" s="2">
        <v>127</v>
      </c>
      <c r="K37" s="2">
        <v>67</v>
      </c>
      <c r="L37" s="2">
        <v>70</v>
      </c>
      <c r="M37" s="2">
        <v>1</v>
      </c>
      <c r="N37" s="2">
        <v>36.670775510204081</v>
      </c>
      <c r="O37" s="2">
        <v>31.324493175702337</v>
      </c>
      <c r="P37">
        <v>1</v>
      </c>
      <c r="Q37">
        <v>0</v>
      </c>
      <c r="R37" s="2">
        <v>1913</v>
      </c>
      <c r="S37" s="2">
        <v>146.79999999999998</v>
      </c>
      <c r="T37" s="2">
        <v>93.5</v>
      </c>
      <c r="U37" s="2">
        <v>60.4</v>
      </c>
      <c r="V37" s="2">
        <v>9</v>
      </c>
      <c r="W37" s="2">
        <v>88.4</v>
      </c>
      <c r="X37" s="2">
        <v>14</v>
      </c>
      <c r="Y37" s="2">
        <v>1.5</v>
      </c>
      <c r="Z37" s="2">
        <v>841.5</v>
      </c>
    </row>
    <row r="38" spans="1:26" x14ac:dyDescent="0.25">
      <c r="A38" s="1">
        <v>45353</v>
      </c>
      <c r="B38" s="2">
        <v>252.8</v>
      </c>
      <c r="C38" s="2">
        <v>44.5</v>
      </c>
      <c r="D38" s="2">
        <v>17</v>
      </c>
      <c r="E38" s="2">
        <v>96.1</v>
      </c>
      <c r="F38" s="2">
        <v>128</v>
      </c>
      <c r="G38" s="2">
        <v>72</v>
      </c>
      <c r="H38" s="2">
        <v>68</v>
      </c>
      <c r="I38" s="2">
        <v>98</v>
      </c>
      <c r="J38" s="2">
        <v>140</v>
      </c>
      <c r="K38" s="2">
        <v>79</v>
      </c>
      <c r="L38" s="2">
        <v>87</v>
      </c>
      <c r="M38" s="2">
        <v>9.5</v>
      </c>
      <c r="N38" s="2">
        <v>36.269061224489796</v>
      </c>
      <c r="O38" s="2">
        <v>31.324493175702337</v>
      </c>
      <c r="P38">
        <v>1</v>
      </c>
      <c r="Q38">
        <v>1</v>
      </c>
      <c r="R38" s="2">
        <v>660.31500000000005</v>
      </c>
      <c r="S38" s="2">
        <v>48.047499999999999</v>
      </c>
      <c r="T38" s="2">
        <v>29.865666666666673</v>
      </c>
      <c r="U38" s="2">
        <v>45.608166666666669</v>
      </c>
      <c r="V38" s="2">
        <v>5.7646666666666668</v>
      </c>
      <c r="W38" s="2">
        <v>21.505166666666668</v>
      </c>
      <c r="X38" s="2">
        <v>12.4</v>
      </c>
      <c r="Y38" s="2">
        <v>2</v>
      </c>
      <c r="Z38" s="2">
        <v>268.79100000000005</v>
      </c>
    </row>
    <row r="39" spans="1:26" x14ac:dyDescent="0.25">
      <c r="A39" s="1">
        <v>45354</v>
      </c>
      <c r="B39" s="2">
        <v>252.8</v>
      </c>
      <c r="C39" s="2">
        <v>44.5</v>
      </c>
      <c r="D39" s="2">
        <v>17</v>
      </c>
      <c r="E39" s="2">
        <v>96.3</v>
      </c>
      <c r="F39" s="2">
        <v>126</v>
      </c>
      <c r="G39" s="2">
        <v>68</v>
      </c>
      <c r="H39" s="2">
        <v>73</v>
      </c>
      <c r="I39" s="2">
        <v>97</v>
      </c>
      <c r="J39" s="2">
        <v>159</v>
      </c>
      <c r="K39" s="2">
        <v>70</v>
      </c>
      <c r="L39" s="2">
        <v>97</v>
      </c>
      <c r="M39" s="2">
        <v>2</v>
      </c>
      <c r="N39" s="2">
        <v>36.269061224489796</v>
      </c>
      <c r="O39" s="2">
        <v>31.324493175702337</v>
      </c>
      <c r="P39">
        <v>1</v>
      </c>
      <c r="Q39">
        <v>1</v>
      </c>
      <c r="R39" s="2">
        <v>8729</v>
      </c>
      <c r="S39" s="2">
        <v>908.85000000000014</v>
      </c>
      <c r="T39" s="2">
        <v>275.95</v>
      </c>
      <c r="U39" s="2">
        <v>182.9</v>
      </c>
      <c r="V39" s="2">
        <v>35.450000000000003</v>
      </c>
      <c r="W39" s="2">
        <v>478.34999999999997</v>
      </c>
      <c r="X39" s="2">
        <v>166.5</v>
      </c>
      <c r="Y39" s="2">
        <v>1</v>
      </c>
      <c r="Z39" s="2">
        <v>2483.5499999999997</v>
      </c>
    </row>
    <row r="40" spans="1:26" x14ac:dyDescent="0.25">
      <c r="A40" s="1">
        <v>45355</v>
      </c>
      <c r="B40" s="2">
        <v>257</v>
      </c>
      <c r="C40" s="2">
        <v>45</v>
      </c>
      <c r="D40" s="2">
        <v>17</v>
      </c>
      <c r="E40" s="2">
        <v>97.1</v>
      </c>
      <c r="F40" s="2">
        <v>140</v>
      </c>
      <c r="G40" s="2">
        <v>81</v>
      </c>
      <c r="H40" s="2">
        <v>69</v>
      </c>
      <c r="I40" s="2">
        <v>98</v>
      </c>
      <c r="J40" s="2">
        <v>118</v>
      </c>
      <c r="K40" s="2">
        <v>83</v>
      </c>
      <c r="L40" s="2">
        <v>71</v>
      </c>
      <c r="M40" s="2">
        <v>12</v>
      </c>
      <c r="N40" s="2">
        <v>36.871632653061219</v>
      </c>
      <c r="O40" s="2">
        <v>31.997550455105717</v>
      </c>
      <c r="P40">
        <v>0</v>
      </c>
      <c r="Q40">
        <v>0</v>
      </c>
      <c r="R40" s="2">
        <v>5246</v>
      </c>
      <c r="S40" s="2">
        <v>622.20000000000005</v>
      </c>
      <c r="T40" s="2">
        <v>233.5</v>
      </c>
      <c r="U40" s="2">
        <v>172</v>
      </c>
      <c r="V40" s="2">
        <v>23.75</v>
      </c>
      <c r="W40" s="2">
        <v>252.2</v>
      </c>
      <c r="X40" s="2">
        <v>76.5</v>
      </c>
      <c r="Y40" s="2">
        <v>2</v>
      </c>
      <c r="Z40" s="2">
        <v>626</v>
      </c>
    </row>
    <row r="41" spans="1:26" x14ac:dyDescent="0.25">
      <c r="A41" s="1">
        <v>45356</v>
      </c>
      <c r="B41" s="2">
        <v>261.2</v>
      </c>
      <c r="C41" s="2">
        <v>45</v>
      </c>
      <c r="D41" s="2">
        <v>17</v>
      </c>
      <c r="E41" s="2">
        <v>97</v>
      </c>
      <c r="F41" s="2">
        <v>149</v>
      </c>
      <c r="G41" s="2">
        <v>89</v>
      </c>
      <c r="H41" s="2">
        <v>76</v>
      </c>
      <c r="I41" s="2">
        <v>98</v>
      </c>
      <c r="J41" s="2">
        <v>140</v>
      </c>
      <c r="K41" s="2">
        <v>83</v>
      </c>
      <c r="L41" s="2">
        <v>82</v>
      </c>
      <c r="M41" s="2">
        <v>12</v>
      </c>
      <c r="N41" s="2">
        <v>37.474204081632649</v>
      </c>
      <c r="O41" s="2">
        <v>31.997550455105717</v>
      </c>
      <c r="P41">
        <v>0</v>
      </c>
      <c r="Q41">
        <v>0</v>
      </c>
      <c r="R41" s="2">
        <v>4250</v>
      </c>
      <c r="S41" s="2">
        <v>572.5</v>
      </c>
      <c r="T41" s="2">
        <v>165</v>
      </c>
      <c r="U41" s="2">
        <v>133.5</v>
      </c>
      <c r="V41" s="2">
        <v>64.5</v>
      </c>
      <c r="W41" s="2">
        <v>325.75</v>
      </c>
      <c r="X41" s="2">
        <v>78</v>
      </c>
      <c r="Y41" s="2">
        <v>0</v>
      </c>
      <c r="Z41" s="2">
        <v>1485</v>
      </c>
    </row>
    <row r="42" spans="1:26" x14ac:dyDescent="0.25">
      <c r="A42" s="1">
        <v>45357</v>
      </c>
      <c r="B42" s="2">
        <v>261</v>
      </c>
      <c r="C42" s="2">
        <v>44</v>
      </c>
      <c r="D42" s="2">
        <v>17</v>
      </c>
      <c r="E42" s="2">
        <v>96.7</v>
      </c>
      <c r="F42" s="2">
        <v>143</v>
      </c>
      <c r="G42" s="2">
        <v>78</v>
      </c>
      <c r="H42" s="2">
        <v>83</v>
      </c>
      <c r="I42" s="2">
        <v>99.2</v>
      </c>
      <c r="J42" s="2">
        <v>138</v>
      </c>
      <c r="K42" s="2">
        <v>93</v>
      </c>
      <c r="L42" s="2">
        <v>96</v>
      </c>
      <c r="M42" s="2">
        <v>5</v>
      </c>
      <c r="N42" s="2">
        <v>37.445510204081636</v>
      </c>
      <c r="O42" s="2">
        <v>30.639085534675949</v>
      </c>
      <c r="P42">
        <v>0</v>
      </c>
      <c r="Q42">
        <v>0</v>
      </c>
      <c r="R42" s="2">
        <v>3910</v>
      </c>
      <c r="S42" s="2">
        <v>655</v>
      </c>
      <c r="T42" s="2">
        <v>99.25</v>
      </c>
      <c r="U42" s="2">
        <v>117</v>
      </c>
      <c r="V42" s="2">
        <v>67</v>
      </c>
      <c r="W42" s="2">
        <v>328.25</v>
      </c>
      <c r="X42" s="2">
        <v>84.5</v>
      </c>
      <c r="Y42" s="2">
        <v>0</v>
      </c>
      <c r="Z42" s="2">
        <v>893.25</v>
      </c>
    </row>
    <row r="43" spans="1:26" x14ac:dyDescent="0.25">
      <c r="A43" s="1">
        <v>45358</v>
      </c>
      <c r="B43" s="2">
        <v>258.60000000000002</v>
      </c>
      <c r="C43" s="2">
        <v>44.5</v>
      </c>
      <c r="D43" s="2">
        <v>17</v>
      </c>
      <c r="E43" s="2">
        <v>96.4</v>
      </c>
      <c r="F43" s="2">
        <v>133</v>
      </c>
      <c r="G43" s="2">
        <v>86</v>
      </c>
      <c r="H43" s="2">
        <v>81</v>
      </c>
      <c r="I43" s="2">
        <v>97.6</v>
      </c>
      <c r="J43" s="2">
        <v>152</v>
      </c>
      <c r="K43" s="2">
        <v>89</v>
      </c>
      <c r="L43" s="2">
        <v>81</v>
      </c>
      <c r="M43" s="2">
        <v>10</v>
      </c>
      <c r="N43" s="2">
        <v>37.101183673469393</v>
      </c>
      <c r="O43" s="2">
        <v>31.324493175702337</v>
      </c>
      <c r="P43">
        <v>1</v>
      </c>
      <c r="Q43">
        <v>0</v>
      </c>
      <c r="R43" s="2">
        <v>2672</v>
      </c>
      <c r="S43" s="2">
        <v>340.8</v>
      </c>
      <c r="T43" s="2">
        <v>119.6</v>
      </c>
      <c r="U43" s="2">
        <v>93.2</v>
      </c>
      <c r="V43" s="2">
        <v>15.6</v>
      </c>
      <c r="W43" s="2">
        <v>272</v>
      </c>
      <c r="X43" s="2">
        <v>80</v>
      </c>
      <c r="Y43" s="2">
        <v>0</v>
      </c>
      <c r="Z43" s="2">
        <v>1076.4000000000001</v>
      </c>
    </row>
    <row r="44" spans="1:26" x14ac:dyDescent="0.25">
      <c r="A44" s="1">
        <v>45359</v>
      </c>
      <c r="B44" s="2">
        <v>258</v>
      </c>
      <c r="C44" s="2">
        <v>44.5</v>
      </c>
      <c r="D44" s="2">
        <v>17</v>
      </c>
      <c r="E44" s="2">
        <v>97.6</v>
      </c>
      <c r="F44" s="2">
        <v>141</v>
      </c>
      <c r="G44" s="2">
        <v>83</v>
      </c>
      <c r="H44" s="2">
        <v>73</v>
      </c>
      <c r="I44" s="2">
        <v>97.3</v>
      </c>
      <c r="J44" s="2">
        <v>138</v>
      </c>
      <c r="K44" s="2">
        <v>87</v>
      </c>
      <c r="L44" s="2">
        <v>74</v>
      </c>
      <c r="M44" s="2">
        <v>6</v>
      </c>
      <c r="N44" s="2">
        <v>37.015102040816323</v>
      </c>
      <c r="O44" s="2">
        <v>31.324493175702337</v>
      </c>
      <c r="P44">
        <v>0</v>
      </c>
      <c r="Q44">
        <v>0</v>
      </c>
      <c r="R44" s="2">
        <v>2990</v>
      </c>
      <c r="S44" s="2">
        <v>364</v>
      </c>
      <c r="T44" s="2">
        <v>135</v>
      </c>
      <c r="U44" s="2">
        <v>57</v>
      </c>
      <c r="V44" s="2">
        <v>26.5</v>
      </c>
      <c r="W44" s="2">
        <v>134</v>
      </c>
      <c r="X44" s="2">
        <v>11</v>
      </c>
      <c r="Y44" s="2">
        <v>0.5</v>
      </c>
      <c r="Z44" s="2">
        <v>1215</v>
      </c>
    </row>
    <row r="45" spans="1:26" x14ac:dyDescent="0.25">
      <c r="A45" s="1">
        <v>45360</v>
      </c>
      <c r="B45" s="2">
        <v>260</v>
      </c>
      <c r="C45" s="2">
        <v>44.5</v>
      </c>
      <c r="D45" s="2">
        <v>17</v>
      </c>
      <c r="E45" s="2">
        <v>96</v>
      </c>
      <c r="F45" s="2">
        <v>143</v>
      </c>
      <c r="G45" s="2">
        <v>92</v>
      </c>
      <c r="H45" s="2">
        <v>72</v>
      </c>
      <c r="I45" s="2">
        <v>97.2</v>
      </c>
      <c r="J45" s="2">
        <v>152</v>
      </c>
      <c r="K45" s="2">
        <v>92</v>
      </c>
      <c r="L45" s="2">
        <v>82</v>
      </c>
      <c r="M45" s="2">
        <v>8</v>
      </c>
      <c r="N45" s="2">
        <v>37.302040816326532</v>
      </c>
      <c r="O45" s="2">
        <v>31.324493175702337</v>
      </c>
      <c r="P45">
        <v>0</v>
      </c>
      <c r="Q45">
        <v>0</v>
      </c>
      <c r="R45" s="2">
        <v>4480</v>
      </c>
      <c r="S45" s="2">
        <v>575</v>
      </c>
      <c r="T45" s="2">
        <v>198</v>
      </c>
      <c r="U45" s="2">
        <v>120</v>
      </c>
      <c r="V45" s="2">
        <v>32</v>
      </c>
      <c r="W45" s="2">
        <v>290</v>
      </c>
      <c r="X45" s="2">
        <v>74</v>
      </c>
      <c r="Y45" s="2">
        <v>0.5</v>
      </c>
      <c r="Z45" s="2">
        <v>1782</v>
      </c>
    </row>
    <row r="46" spans="1:26" x14ac:dyDescent="0.25">
      <c r="A46" s="1">
        <v>45361</v>
      </c>
      <c r="B46" s="2">
        <v>259.2</v>
      </c>
      <c r="C46" s="2">
        <v>44.5</v>
      </c>
      <c r="D46" s="2">
        <v>17</v>
      </c>
      <c r="E46" s="2">
        <v>95.9</v>
      </c>
      <c r="F46" s="2">
        <v>141</v>
      </c>
      <c r="G46" s="2">
        <v>87</v>
      </c>
      <c r="H46" s="2">
        <v>76</v>
      </c>
      <c r="I46" s="2">
        <v>97.6</v>
      </c>
      <c r="J46" s="2">
        <v>155</v>
      </c>
      <c r="K46" s="2">
        <v>87</v>
      </c>
      <c r="L46" s="2">
        <v>81</v>
      </c>
      <c r="M46" s="2">
        <v>12</v>
      </c>
      <c r="N46" s="2">
        <v>37.187265306122448</v>
      </c>
      <c r="O46" s="2">
        <v>31.324493175702337</v>
      </c>
      <c r="P46">
        <v>0</v>
      </c>
      <c r="Q46">
        <v>0</v>
      </c>
      <c r="R46" s="2">
        <v>4097.0910000000003</v>
      </c>
      <c r="S46" s="2">
        <v>628.79999999999995</v>
      </c>
      <c r="T46" s="2">
        <v>116.2924</v>
      </c>
      <c r="U46" s="2">
        <v>166.13659999999999</v>
      </c>
      <c r="V46" s="2">
        <v>30.093800000000002</v>
      </c>
      <c r="W46" s="2">
        <v>322.23899999999998</v>
      </c>
      <c r="X46" s="2">
        <v>83.75</v>
      </c>
      <c r="Y46" s="2">
        <v>0.5</v>
      </c>
      <c r="Z46" s="2">
        <v>1046.6315999999999</v>
      </c>
    </row>
    <row r="47" spans="1:26" x14ac:dyDescent="0.25">
      <c r="A47" s="1">
        <v>45362</v>
      </c>
      <c r="B47" s="2">
        <v>260.8</v>
      </c>
      <c r="C47" s="2">
        <v>45</v>
      </c>
      <c r="D47" s="2">
        <v>17</v>
      </c>
      <c r="E47" s="2">
        <v>96.7</v>
      </c>
      <c r="F47" s="2">
        <v>134</v>
      </c>
      <c r="G47" s="2">
        <v>77</v>
      </c>
      <c r="H47" s="2">
        <v>74</v>
      </c>
      <c r="I47" s="2">
        <v>97.3</v>
      </c>
      <c r="J47" s="2">
        <v>144</v>
      </c>
      <c r="K47" s="2">
        <v>76</v>
      </c>
      <c r="L47" s="2">
        <v>86</v>
      </c>
      <c r="M47" s="2">
        <v>11</v>
      </c>
      <c r="N47" s="2">
        <v>37.416816326530615</v>
      </c>
      <c r="O47" s="2">
        <v>31.997550455105717</v>
      </c>
      <c r="P47">
        <v>0</v>
      </c>
      <c r="Q47">
        <v>0</v>
      </c>
      <c r="R47" s="2">
        <v>4807.8961428571429</v>
      </c>
      <c r="S47" s="2">
        <v>631.78571428571422</v>
      </c>
      <c r="T47" s="2">
        <v>189.84674285714286</v>
      </c>
      <c r="U47" s="2">
        <v>158.75139999999999</v>
      </c>
      <c r="V47" s="2">
        <v>20.440199999999997</v>
      </c>
      <c r="W47" s="2">
        <v>341.44171428571428</v>
      </c>
      <c r="X47" s="2">
        <v>98</v>
      </c>
      <c r="Y47" s="2">
        <v>0.5</v>
      </c>
      <c r="Z47" s="2">
        <v>1708.6206857142856</v>
      </c>
    </row>
    <row r="48" spans="1:26" x14ac:dyDescent="0.25">
      <c r="A48" s="1">
        <v>45363</v>
      </c>
      <c r="B48" s="2">
        <v>261.8</v>
      </c>
      <c r="C48" s="2">
        <v>45</v>
      </c>
      <c r="D48" s="2">
        <v>17</v>
      </c>
      <c r="E48" s="2">
        <v>97</v>
      </c>
      <c r="F48" s="2">
        <v>111</v>
      </c>
      <c r="G48" s="2">
        <v>85</v>
      </c>
      <c r="H48" s="2">
        <v>86</v>
      </c>
      <c r="I48" s="2">
        <v>97.6</v>
      </c>
      <c r="J48" s="2">
        <v>140</v>
      </c>
      <c r="K48" s="2">
        <v>75</v>
      </c>
      <c r="L48" s="2">
        <v>77</v>
      </c>
      <c r="M48" s="2">
        <v>8.5</v>
      </c>
      <c r="N48" s="2">
        <v>37.560285714285712</v>
      </c>
      <c r="O48" s="2">
        <v>31.997550455105717</v>
      </c>
      <c r="P48">
        <v>1</v>
      </c>
      <c r="Q48">
        <v>1</v>
      </c>
      <c r="R48" s="2">
        <v>1731.8363095238096</v>
      </c>
      <c r="S48" s="2">
        <v>303.92931547619042</v>
      </c>
      <c r="T48" s="2">
        <v>49.472916666666663</v>
      </c>
      <c r="U48" s="2">
        <v>23.972023809523812</v>
      </c>
      <c r="V48" s="2">
        <v>7.8666666666666671</v>
      </c>
      <c r="W48" s="2">
        <v>212.22544642857144</v>
      </c>
      <c r="X48" s="2">
        <v>54.5</v>
      </c>
      <c r="Y48" s="2">
        <v>1</v>
      </c>
      <c r="Z48" s="2">
        <v>445.25625000000002</v>
      </c>
    </row>
    <row r="49" spans="1:26" x14ac:dyDescent="0.25">
      <c r="A49" s="1">
        <v>45364</v>
      </c>
      <c r="B49" s="2">
        <v>257.8</v>
      </c>
      <c r="C49" s="2">
        <v>44.5</v>
      </c>
      <c r="D49" s="2">
        <v>17</v>
      </c>
      <c r="E49" s="2">
        <v>96.5</v>
      </c>
      <c r="F49" s="2">
        <v>132</v>
      </c>
      <c r="G49" s="2">
        <v>84</v>
      </c>
      <c r="H49" s="2">
        <v>70</v>
      </c>
      <c r="I49" s="2">
        <v>97.2</v>
      </c>
      <c r="J49" s="2">
        <v>159</v>
      </c>
      <c r="K49" s="2">
        <v>89</v>
      </c>
      <c r="L49" s="2">
        <v>67</v>
      </c>
      <c r="M49" s="2">
        <v>5</v>
      </c>
      <c r="N49" s="2">
        <v>36.98640816326531</v>
      </c>
      <c r="O49" s="2">
        <v>31.324493175702337</v>
      </c>
      <c r="P49">
        <v>1</v>
      </c>
      <c r="Q49">
        <v>1</v>
      </c>
      <c r="R49" s="2">
        <v>1426.5876015289059</v>
      </c>
      <c r="S49" s="2">
        <v>66.84253132133567</v>
      </c>
      <c r="T49" s="2">
        <v>75.686984392419191</v>
      </c>
      <c r="U49" s="2">
        <v>121.90903540903541</v>
      </c>
      <c r="V49" s="2">
        <v>10.690542549238202</v>
      </c>
      <c r="W49" s="2">
        <v>14.921518155757285</v>
      </c>
      <c r="X49" s="2">
        <v>11</v>
      </c>
      <c r="Y49" s="2">
        <v>2</v>
      </c>
      <c r="Z49" s="2">
        <v>681.18285953177258</v>
      </c>
    </row>
    <row r="50" spans="1:26" x14ac:dyDescent="0.25">
      <c r="A50" s="1">
        <v>45365</v>
      </c>
      <c r="B50" s="2">
        <v>255.8</v>
      </c>
      <c r="C50" s="2">
        <v>44.5</v>
      </c>
      <c r="D50" s="2">
        <v>17</v>
      </c>
      <c r="E50" s="2">
        <v>96.4</v>
      </c>
      <c r="F50" s="2">
        <v>133</v>
      </c>
      <c r="G50" s="2">
        <v>76</v>
      </c>
      <c r="H50" s="2">
        <v>68</v>
      </c>
      <c r="I50" s="2">
        <v>97</v>
      </c>
      <c r="J50" s="2">
        <v>153</v>
      </c>
      <c r="K50" s="2">
        <v>91</v>
      </c>
      <c r="L50" s="2">
        <v>76</v>
      </c>
      <c r="M50" s="2">
        <v>10</v>
      </c>
      <c r="N50" s="2">
        <v>36.699469387755101</v>
      </c>
      <c r="O50" s="2">
        <v>31.324493175702337</v>
      </c>
      <c r="P50">
        <v>1</v>
      </c>
      <c r="Q50">
        <v>0</v>
      </c>
      <c r="R50" s="2">
        <v>1383.4785714285715</v>
      </c>
      <c r="S50" s="2">
        <v>63.817261904761914</v>
      </c>
      <c r="T50" s="2">
        <v>76.954999999999998</v>
      </c>
      <c r="U50" s="2">
        <v>108.60142857142858</v>
      </c>
      <c r="V50" s="2">
        <v>7.6433333333333335</v>
      </c>
      <c r="W50" s="2">
        <v>27.305119047619048</v>
      </c>
      <c r="X50" s="2">
        <v>17</v>
      </c>
      <c r="Y50" s="2">
        <v>2</v>
      </c>
      <c r="Z50" s="2">
        <v>692.59500000000003</v>
      </c>
    </row>
    <row r="51" spans="1:26" x14ac:dyDescent="0.25">
      <c r="A51" s="1">
        <v>45366</v>
      </c>
      <c r="B51" s="2">
        <v>254</v>
      </c>
      <c r="C51" s="2">
        <v>44.5</v>
      </c>
      <c r="D51" s="2">
        <v>17</v>
      </c>
      <c r="E51" s="2">
        <v>96.1</v>
      </c>
      <c r="F51" s="2">
        <v>138</v>
      </c>
      <c r="G51" s="2">
        <v>82</v>
      </c>
      <c r="H51" s="2">
        <v>67</v>
      </c>
      <c r="I51" s="2">
        <v>97.5</v>
      </c>
      <c r="J51" s="2">
        <v>159</v>
      </c>
      <c r="K51" s="2">
        <v>86</v>
      </c>
      <c r="L51" s="2">
        <v>70</v>
      </c>
      <c r="M51" s="2">
        <v>11</v>
      </c>
      <c r="N51" s="2">
        <v>36.441224489795914</v>
      </c>
      <c r="O51" s="2">
        <v>31.324493175702337</v>
      </c>
      <c r="P51">
        <v>1</v>
      </c>
      <c r="Q51">
        <v>0</v>
      </c>
      <c r="R51" s="2">
        <v>1320.5876015289059</v>
      </c>
      <c r="S51" s="2">
        <v>70.942531321335665</v>
      </c>
      <c r="T51" s="2">
        <v>65.986984392419188</v>
      </c>
      <c r="U51" s="2">
        <v>114.00903540903542</v>
      </c>
      <c r="V51" s="2">
        <v>9.4905425492382012</v>
      </c>
      <c r="W51" s="2">
        <v>20.721518155757284</v>
      </c>
      <c r="X51" s="2">
        <v>10</v>
      </c>
      <c r="Y51" s="2">
        <v>1.5</v>
      </c>
      <c r="Z51" s="2">
        <v>593.88285953177251</v>
      </c>
    </row>
    <row r="52" spans="1:26" x14ac:dyDescent="0.25">
      <c r="A52" s="1">
        <v>45367</v>
      </c>
      <c r="B52" s="2">
        <v>253</v>
      </c>
      <c r="C52" s="2">
        <v>44.5</v>
      </c>
      <c r="D52" s="2">
        <v>17</v>
      </c>
      <c r="E52" s="2">
        <v>96</v>
      </c>
      <c r="F52" s="2">
        <v>138</v>
      </c>
      <c r="G52" s="2">
        <v>73</v>
      </c>
      <c r="H52" s="2">
        <v>65</v>
      </c>
      <c r="I52" s="2">
        <v>98.4</v>
      </c>
      <c r="J52" s="2">
        <v>149</v>
      </c>
      <c r="K52" s="2">
        <v>78</v>
      </c>
      <c r="L52" s="2">
        <v>77</v>
      </c>
      <c r="M52" s="2">
        <v>7</v>
      </c>
      <c r="N52" s="2">
        <v>36.297755102040817</v>
      </c>
      <c r="O52" s="2">
        <v>31.324493175702337</v>
      </c>
      <c r="P52">
        <v>1</v>
      </c>
      <c r="Q52">
        <v>0</v>
      </c>
      <c r="R52" s="2">
        <v>1420.5876015289059</v>
      </c>
      <c r="S52" s="2">
        <v>71.442531321335665</v>
      </c>
      <c r="T52" s="2">
        <v>74.486984392419188</v>
      </c>
      <c r="U52" s="2">
        <v>121.00903540903542</v>
      </c>
      <c r="V52" s="2">
        <v>9.4905425492382012</v>
      </c>
      <c r="W52" s="2">
        <v>20.721518155757284</v>
      </c>
      <c r="X52" s="2">
        <v>12</v>
      </c>
      <c r="Y52" s="2">
        <v>1</v>
      </c>
      <c r="Z52" s="2">
        <v>670.38285953177251</v>
      </c>
    </row>
    <row r="53" spans="1:26" x14ac:dyDescent="0.25">
      <c r="A53" s="1">
        <v>45368</v>
      </c>
      <c r="B53" s="2">
        <v>252.6</v>
      </c>
      <c r="C53" s="2">
        <v>44.5</v>
      </c>
      <c r="D53" s="2">
        <v>17</v>
      </c>
      <c r="E53" s="2">
        <v>95.9</v>
      </c>
      <c r="F53" s="2">
        <v>136</v>
      </c>
      <c r="G53" s="2">
        <v>75</v>
      </c>
      <c r="H53" s="2">
        <v>71</v>
      </c>
      <c r="I53" s="2">
        <v>96.1</v>
      </c>
      <c r="J53" s="2">
        <v>136</v>
      </c>
      <c r="K53" s="2">
        <v>81</v>
      </c>
      <c r="L53" s="2">
        <v>63</v>
      </c>
      <c r="M53" s="2">
        <v>7</v>
      </c>
      <c r="N53" s="2">
        <v>36.240367346938775</v>
      </c>
      <c r="O53" s="2">
        <v>31.324493175702337</v>
      </c>
      <c r="P53">
        <v>1</v>
      </c>
      <c r="Q53">
        <v>0</v>
      </c>
      <c r="R53" s="2">
        <v>2715.5266666666666</v>
      </c>
      <c r="S53" s="2">
        <v>346.685</v>
      </c>
      <c r="T53" s="2">
        <v>114.53066666666666</v>
      </c>
      <c r="U53" s="2">
        <v>131.61566666666667</v>
      </c>
      <c r="V53" s="2">
        <v>68.535333333333341</v>
      </c>
      <c r="W53" s="2">
        <v>207.03666666666669</v>
      </c>
      <c r="X53" s="2">
        <v>84.59</v>
      </c>
      <c r="Y53" s="2">
        <v>1</v>
      </c>
      <c r="Z53" s="2">
        <v>1030.7759999999998</v>
      </c>
    </row>
    <row r="54" spans="1:26" x14ac:dyDescent="0.25">
      <c r="A54" s="1">
        <v>45369</v>
      </c>
      <c r="B54" s="2">
        <v>254.4</v>
      </c>
      <c r="C54" s="2">
        <v>44.5</v>
      </c>
      <c r="D54" s="2">
        <v>17</v>
      </c>
      <c r="E54" s="2">
        <v>96.9</v>
      </c>
      <c r="F54" s="2">
        <v>108</v>
      </c>
      <c r="G54" s="2">
        <v>81</v>
      </c>
      <c r="H54" s="2">
        <v>69</v>
      </c>
      <c r="I54" s="2">
        <v>96.9</v>
      </c>
      <c r="J54" s="2">
        <v>140</v>
      </c>
      <c r="K54" s="2">
        <v>83</v>
      </c>
      <c r="L54" s="2">
        <v>65</v>
      </c>
      <c r="M54" s="2">
        <v>13</v>
      </c>
      <c r="N54" s="2">
        <v>36.498612244897963</v>
      </c>
      <c r="O54" s="2">
        <v>31.324493175702337</v>
      </c>
      <c r="P54">
        <v>1</v>
      </c>
      <c r="Q54">
        <v>0</v>
      </c>
      <c r="R54" s="2">
        <v>1360.5876015289059</v>
      </c>
      <c r="S54" s="2">
        <v>71.442531321335665</v>
      </c>
      <c r="T54" s="2">
        <v>68.986984392419188</v>
      </c>
      <c r="U54" s="2">
        <v>118.00903540903542</v>
      </c>
      <c r="V54" s="2">
        <v>9.4905425492382012</v>
      </c>
      <c r="W54" s="2">
        <v>20.721518155757284</v>
      </c>
      <c r="X54" s="2">
        <v>12</v>
      </c>
      <c r="Y54" s="2">
        <v>2</v>
      </c>
      <c r="Z54" s="2">
        <v>620.88285953177274</v>
      </c>
    </row>
    <row r="55" spans="1:26" x14ac:dyDescent="0.25">
      <c r="A55" s="1">
        <v>45370</v>
      </c>
      <c r="B55" s="2">
        <v>252.8</v>
      </c>
      <c r="C55" s="2">
        <v>44.5</v>
      </c>
      <c r="D55" s="2">
        <v>17</v>
      </c>
      <c r="E55" s="2">
        <v>96</v>
      </c>
      <c r="F55" s="2">
        <v>142</v>
      </c>
      <c r="G55" s="2">
        <v>76</v>
      </c>
      <c r="H55" s="2">
        <v>64</v>
      </c>
      <c r="I55" s="2">
        <v>95.8</v>
      </c>
      <c r="J55" s="2">
        <v>133</v>
      </c>
      <c r="K55" s="2">
        <v>81</v>
      </c>
      <c r="L55" s="2">
        <v>63</v>
      </c>
      <c r="M55" s="2">
        <v>3.5</v>
      </c>
      <c r="N55" s="2">
        <v>36.269061224489796</v>
      </c>
      <c r="O55" s="2">
        <v>31.324493175702337</v>
      </c>
      <c r="P55">
        <v>1</v>
      </c>
      <c r="Q55">
        <v>0</v>
      </c>
      <c r="R55" s="2">
        <v>1806.7666666666669</v>
      </c>
      <c r="S55" s="2">
        <v>151.16</v>
      </c>
      <c r="T55" s="2">
        <v>95.526666666666657</v>
      </c>
      <c r="U55" s="2">
        <v>125.10666666666668</v>
      </c>
      <c r="V55" s="2">
        <v>56.993333333333339</v>
      </c>
      <c r="W55" s="2">
        <v>36.246666666666663</v>
      </c>
      <c r="X55" s="2">
        <v>30.1</v>
      </c>
      <c r="Y55" s="2">
        <v>2</v>
      </c>
      <c r="Z55" s="2">
        <v>859.7399999999999</v>
      </c>
    </row>
    <row r="56" spans="1:26" x14ac:dyDescent="0.25">
      <c r="A56" s="1">
        <v>45371</v>
      </c>
      <c r="B56" s="2">
        <v>253.2</v>
      </c>
      <c r="C56" s="2">
        <v>44</v>
      </c>
      <c r="D56" s="2">
        <v>17</v>
      </c>
      <c r="E56" s="2">
        <v>97.6</v>
      </c>
      <c r="F56" s="2">
        <v>128</v>
      </c>
      <c r="G56" s="2">
        <v>72</v>
      </c>
      <c r="H56" s="2">
        <v>78</v>
      </c>
      <c r="I56" s="2">
        <v>96.5</v>
      </c>
      <c r="J56" s="2">
        <v>142</v>
      </c>
      <c r="K56" s="2">
        <v>82</v>
      </c>
      <c r="L56" s="2">
        <v>54</v>
      </c>
      <c r="M56" s="2">
        <v>12</v>
      </c>
      <c r="N56" s="2">
        <v>36.326448979591831</v>
      </c>
      <c r="O56" s="2">
        <v>30.639085534675949</v>
      </c>
      <c r="P56">
        <v>1</v>
      </c>
      <c r="Q56">
        <v>0</v>
      </c>
      <c r="R56" s="2">
        <v>1420.5876015289059</v>
      </c>
      <c r="S56" s="2">
        <v>72.442531321335665</v>
      </c>
      <c r="T56" s="2">
        <v>72.486984392419188</v>
      </c>
      <c r="U56" s="2">
        <v>118.50903540903542</v>
      </c>
      <c r="V56" s="2">
        <v>9.4905425492382012</v>
      </c>
      <c r="W56" s="2">
        <v>21.721518155757284</v>
      </c>
      <c r="X56" s="2">
        <v>13</v>
      </c>
      <c r="Y56" s="2">
        <v>2.25</v>
      </c>
      <c r="Z56" s="2">
        <v>652.38285953177251</v>
      </c>
    </row>
    <row r="57" spans="1:26" x14ac:dyDescent="0.25">
      <c r="A57" s="1">
        <v>45372</v>
      </c>
      <c r="B57" s="2">
        <v>251.6</v>
      </c>
      <c r="C57" s="2">
        <v>44</v>
      </c>
      <c r="D57" s="2">
        <v>17</v>
      </c>
      <c r="E57" s="2">
        <v>96.7</v>
      </c>
      <c r="F57" s="2">
        <v>134</v>
      </c>
      <c r="G57" s="2">
        <v>78</v>
      </c>
      <c r="H57" s="2">
        <v>64</v>
      </c>
      <c r="I57" s="2">
        <v>97.5</v>
      </c>
      <c r="J57" s="2">
        <v>134</v>
      </c>
      <c r="K57" s="2">
        <v>74</v>
      </c>
      <c r="L57" s="2">
        <v>80</v>
      </c>
      <c r="M57" s="2">
        <v>7</v>
      </c>
      <c r="N57" s="2">
        <v>36.096897959183678</v>
      </c>
      <c r="O57" s="2">
        <v>30.639085534675949</v>
      </c>
      <c r="P57">
        <v>1</v>
      </c>
      <c r="Q57">
        <v>0</v>
      </c>
      <c r="R57" s="2">
        <v>2139.6756967670008</v>
      </c>
      <c r="S57" s="2">
        <v>215.71526941657376</v>
      </c>
      <c r="T57" s="2">
        <v>86.228651059085863</v>
      </c>
      <c r="U57" s="2">
        <v>124.3742735042735</v>
      </c>
      <c r="V57" s="2">
        <v>34.770542549238208</v>
      </c>
      <c r="W57" s="2">
        <v>106.58306577480491</v>
      </c>
      <c r="X57" s="2">
        <v>24.1</v>
      </c>
      <c r="Y57" s="2">
        <v>2</v>
      </c>
      <c r="Z57" s="2">
        <v>776.05785953177258</v>
      </c>
    </row>
    <row r="58" spans="1:26" x14ac:dyDescent="0.25">
      <c r="A58" s="1">
        <v>45373</v>
      </c>
      <c r="B58" s="2">
        <v>251.4</v>
      </c>
      <c r="C58" s="2">
        <v>44</v>
      </c>
      <c r="D58" s="2">
        <v>17</v>
      </c>
      <c r="E58" s="2">
        <v>97</v>
      </c>
      <c r="F58" s="2">
        <v>134</v>
      </c>
      <c r="G58" s="2">
        <v>84</v>
      </c>
      <c r="H58" s="2">
        <v>78</v>
      </c>
      <c r="I58" s="2">
        <v>97.2</v>
      </c>
      <c r="J58" s="2">
        <v>126</v>
      </c>
      <c r="K58" s="2">
        <v>71</v>
      </c>
      <c r="L58" s="2">
        <v>70</v>
      </c>
      <c r="M58" s="2">
        <v>9.5</v>
      </c>
      <c r="N58" s="2">
        <v>36.068204081632651</v>
      </c>
      <c r="O58" s="2">
        <v>30.639085534675949</v>
      </c>
      <c r="P58">
        <v>1</v>
      </c>
      <c r="Q58">
        <v>1</v>
      </c>
      <c r="R58" s="2">
        <v>1865.945238095238</v>
      </c>
      <c r="S58" s="2">
        <v>178.92202380952378</v>
      </c>
      <c r="T58" s="2">
        <v>79.477380952380969</v>
      </c>
      <c r="U58" s="2">
        <v>118.11428571428573</v>
      </c>
      <c r="V58" s="2">
        <v>7.0666666666666664</v>
      </c>
      <c r="W58" s="2">
        <v>149.85178571428571</v>
      </c>
      <c r="X58" s="2">
        <v>15</v>
      </c>
      <c r="Y58" s="2">
        <v>2.5</v>
      </c>
      <c r="Z58" s="2">
        <v>715.29642857142858</v>
      </c>
    </row>
    <row r="59" spans="1:26" x14ac:dyDescent="0.25">
      <c r="A59" s="1">
        <v>45374</v>
      </c>
      <c r="B59" s="2">
        <v>250</v>
      </c>
      <c r="C59" s="2">
        <v>44</v>
      </c>
      <c r="D59" s="2">
        <v>17</v>
      </c>
      <c r="E59" s="2">
        <v>96.3</v>
      </c>
      <c r="F59" s="2">
        <v>136</v>
      </c>
      <c r="G59" s="2">
        <v>76</v>
      </c>
      <c r="H59" s="2">
        <v>61</v>
      </c>
      <c r="I59" s="2">
        <v>96.9</v>
      </c>
      <c r="J59" s="2">
        <v>156</v>
      </c>
      <c r="K59" s="2">
        <v>76</v>
      </c>
      <c r="L59" s="2">
        <v>60</v>
      </c>
      <c r="M59" s="2">
        <v>7</v>
      </c>
      <c r="N59" s="2">
        <v>35.867346938775512</v>
      </c>
      <c r="O59" s="2">
        <v>30.639085534675949</v>
      </c>
      <c r="P59">
        <v>1</v>
      </c>
      <c r="Q59">
        <v>0</v>
      </c>
      <c r="R59" s="2">
        <v>950.84523809523807</v>
      </c>
      <c r="S59" s="2">
        <v>44.072023809523806</v>
      </c>
      <c r="T59" s="2">
        <v>57.210714285714296</v>
      </c>
      <c r="U59" s="2">
        <v>61.680952380952384</v>
      </c>
      <c r="V59" s="2">
        <v>4.1666666666666661</v>
      </c>
      <c r="W59" s="2">
        <v>17.201785714285712</v>
      </c>
      <c r="X59" s="2">
        <v>11.5</v>
      </c>
      <c r="Y59" s="2">
        <v>2</v>
      </c>
      <c r="Z59" s="2">
        <v>514.8964285714286</v>
      </c>
    </row>
    <row r="60" spans="1:26" x14ac:dyDescent="0.25">
      <c r="A60" s="1">
        <v>45375</v>
      </c>
      <c r="B60" s="2">
        <v>249.6</v>
      </c>
      <c r="C60" s="2">
        <v>44</v>
      </c>
      <c r="D60" s="2">
        <v>17</v>
      </c>
      <c r="E60" s="2">
        <v>96.9</v>
      </c>
      <c r="F60" s="2">
        <v>146</v>
      </c>
      <c r="G60" s="2">
        <v>82</v>
      </c>
      <c r="H60" s="2">
        <v>62</v>
      </c>
      <c r="I60" s="2">
        <v>96.8</v>
      </c>
      <c r="J60" s="2">
        <v>153</v>
      </c>
      <c r="K60" s="2">
        <v>78</v>
      </c>
      <c r="L60" s="2">
        <v>65</v>
      </c>
      <c r="M60" s="2">
        <v>8</v>
      </c>
      <c r="N60" s="2">
        <v>35.80995918367347</v>
      </c>
      <c r="O60" s="2">
        <v>30.639085534675949</v>
      </c>
      <c r="P60">
        <v>1</v>
      </c>
      <c r="Q60">
        <v>0</v>
      </c>
      <c r="R60" s="2">
        <v>1500.1</v>
      </c>
      <c r="S60" s="2">
        <v>73.849999999999994</v>
      </c>
      <c r="T60" s="2">
        <v>91.766666666666666</v>
      </c>
      <c r="U60" s="2">
        <v>98.933333333333337</v>
      </c>
      <c r="V60" s="2">
        <v>7.4</v>
      </c>
      <c r="W60" s="2">
        <v>14.649999999999999</v>
      </c>
      <c r="X60" s="2">
        <v>12.5</v>
      </c>
      <c r="Y60" s="2">
        <v>3</v>
      </c>
      <c r="Z60" s="2">
        <v>825.90000000000009</v>
      </c>
    </row>
    <row r="61" spans="1:26" x14ac:dyDescent="0.25">
      <c r="A61" s="1">
        <v>45376</v>
      </c>
      <c r="B61" s="2">
        <v>249.2</v>
      </c>
      <c r="C61" s="2">
        <v>43.5</v>
      </c>
      <c r="D61" s="2">
        <v>17</v>
      </c>
      <c r="E61" s="2">
        <v>96</v>
      </c>
      <c r="F61" s="2">
        <v>131</v>
      </c>
      <c r="G61" s="2">
        <v>76</v>
      </c>
      <c r="H61" s="2">
        <v>63</v>
      </c>
      <c r="I61" s="2">
        <v>97.4</v>
      </c>
      <c r="J61" s="2">
        <v>148</v>
      </c>
      <c r="K61" s="2">
        <v>73</v>
      </c>
      <c r="L61" s="2">
        <v>66</v>
      </c>
      <c r="M61" s="2">
        <v>8.5</v>
      </c>
      <c r="N61" s="2">
        <v>35.752571428571429</v>
      </c>
      <c r="O61" s="2">
        <v>29.940865796666294</v>
      </c>
      <c r="P61">
        <v>1</v>
      </c>
      <c r="Q61">
        <v>0</v>
      </c>
      <c r="R61" s="2">
        <v>947.84523809523807</v>
      </c>
      <c r="S61" s="2">
        <v>47.87202380952381</v>
      </c>
      <c r="T61" s="2">
        <v>54.210714285714296</v>
      </c>
      <c r="U61" s="2">
        <v>68.180952380952391</v>
      </c>
      <c r="V61" s="2">
        <v>5.666666666666667</v>
      </c>
      <c r="W61" s="2">
        <v>12.401785714285712</v>
      </c>
      <c r="X61" s="2">
        <v>10</v>
      </c>
      <c r="Y61" s="2">
        <v>2</v>
      </c>
      <c r="Z61" s="2">
        <v>487.89642857142866</v>
      </c>
    </row>
    <row r="62" spans="1:26" x14ac:dyDescent="0.25">
      <c r="A62" s="1">
        <v>45377</v>
      </c>
      <c r="B62" s="2">
        <v>248.4</v>
      </c>
      <c r="C62" s="2">
        <v>43.5</v>
      </c>
      <c r="D62" s="2">
        <v>17</v>
      </c>
      <c r="E62" s="2">
        <v>97.3</v>
      </c>
      <c r="F62" s="2">
        <v>144</v>
      </c>
      <c r="G62" s="2">
        <v>71</v>
      </c>
      <c r="H62" s="2">
        <v>65</v>
      </c>
      <c r="I62" s="2">
        <v>97.5</v>
      </c>
      <c r="J62" s="2">
        <v>130</v>
      </c>
      <c r="K62" s="2">
        <v>74</v>
      </c>
      <c r="L62" s="2">
        <v>73</v>
      </c>
      <c r="M62" s="2">
        <v>0</v>
      </c>
      <c r="N62" s="2">
        <v>35.637795918367345</v>
      </c>
      <c r="O62" s="2">
        <v>29.940865796666294</v>
      </c>
      <c r="P62">
        <v>1</v>
      </c>
      <c r="Q62">
        <v>0</v>
      </c>
      <c r="R62" s="2">
        <v>1579.1</v>
      </c>
      <c r="S62" s="2">
        <v>51.45</v>
      </c>
      <c r="T62" s="2">
        <v>107.96666666666667</v>
      </c>
      <c r="U62" s="2">
        <v>110.33333333333334</v>
      </c>
      <c r="V62" s="2">
        <v>6.6000000000000005</v>
      </c>
      <c r="W62" s="2">
        <v>11.649999999999999</v>
      </c>
      <c r="X62" s="2">
        <v>14</v>
      </c>
      <c r="Y62" s="2">
        <v>2.5</v>
      </c>
      <c r="Z62" s="2">
        <v>971.7</v>
      </c>
    </row>
    <row r="63" spans="1:26" x14ac:dyDescent="0.25">
      <c r="A63" s="1">
        <v>45378</v>
      </c>
      <c r="B63" s="2">
        <v>247.6</v>
      </c>
      <c r="C63" s="2">
        <v>43.5</v>
      </c>
      <c r="D63" s="2">
        <v>16.5</v>
      </c>
      <c r="E63" s="2">
        <v>96</v>
      </c>
      <c r="F63" s="2">
        <v>147</v>
      </c>
      <c r="G63" s="2">
        <v>78</v>
      </c>
      <c r="H63" s="2">
        <v>62</v>
      </c>
      <c r="I63" s="2">
        <v>97.1</v>
      </c>
      <c r="J63" s="2">
        <v>143</v>
      </c>
      <c r="K63" s="2">
        <v>79</v>
      </c>
      <c r="L63" s="2">
        <v>71</v>
      </c>
      <c r="M63" s="2">
        <v>5.5</v>
      </c>
      <c r="N63" s="2">
        <v>35.523020408163262</v>
      </c>
      <c r="O63" s="2">
        <v>30.639085534675949</v>
      </c>
      <c r="P63">
        <v>1</v>
      </c>
      <c r="Q63">
        <v>0</v>
      </c>
      <c r="R63" s="2">
        <v>1396.8452380952381</v>
      </c>
      <c r="S63" s="2">
        <v>103.9720238095238</v>
      </c>
      <c r="T63" s="2">
        <v>76.5107142857143</v>
      </c>
      <c r="U63" s="2">
        <v>72.280952380952385</v>
      </c>
      <c r="V63" s="2">
        <v>2.4666666666666663</v>
      </c>
      <c r="W63" s="2">
        <v>88.201785714285705</v>
      </c>
      <c r="X63" s="2">
        <v>10</v>
      </c>
      <c r="Y63" s="2">
        <v>2.5</v>
      </c>
      <c r="Z63" s="2">
        <v>688.59642857142865</v>
      </c>
    </row>
    <row r="64" spans="1:26" x14ac:dyDescent="0.25">
      <c r="A64" s="1">
        <v>45379</v>
      </c>
      <c r="B64" s="2">
        <v>246.6</v>
      </c>
      <c r="C64" s="2">
        <v>43.5</v>
      </c>
      <c r="D64" s="2">
        <v>16</v>
      </c>
      <c r="E64" s="2">
        <v>95.2</v>
      </c>
      <c r="F64" s="2">
        <v>140</v>
      </c>
      <c r="G64" s="2">
        <v>76</v>
      </c>
      <c r="H64" s="2">
        <v>64</v>
      </c>
      <c r="I64" s="2">
        <v>96.7</v>
      </c>
      <c r="J64" s="2">
        <v>136</v>
      </c>
      <c r="K64" s="2">
        <v>69</v>
      </c>
      <c r="L64" s="2">
        <v>75</v>
      </c>
      <c r="M64" s="2">
        <v>9</v>
      </c>
      <c r="N64" s="2">
        <v>35.379551020408158</v>
      </c>
      <c r="O64" s="2">
        <v>31.324493175702337</v>
      </c>
      <c r="P64">
        <v>1</v>
      </c>
      <c r="Q64">
        <v>0</v>
      </c>
      <c r="R64" s="2">
        <v>1535.945238095238</v>
      </c>
      <c r="S64" s="2">
        <v>50.922023809523814</v>
      </c>
      <c r="T64" s="2">
        <v>93.977380952380969</v>
      </c>
      <c r="U64" s="2">
        <v>124.61428571428573</v>
      </c>
      <c r="V64" s="2">
        <v>7.0666666666666664</v>
      </c>
      <c r="W64" s="2">
        <v>23.851785714285711</v>
      </c>
      <c r="X64" s="2">
        <v>14</v>
      </c>
      <c r="Y64" s="2">
        <v>3.5</v>
      </c>
      <c r="Z64" s="2">
        <v>845.79642857142858</v>
      </c>
    </row>
    <row r="65" spans="1:26" x14ac:dyDescent="0.25">
      <c r="A65" s="1">
        <v>45380</v>
      </c>
      <c r="B65" s="2">
        <v>246.6</v>
      </c>
      <c r="C65" s="2">
        <v>43</v>
      </c>
      <c r="D65" s="2">
        <v>16</v>
      </c>
      <c r="E65" s="2">
        <v>96.3</v>
      </c>
      <c r="F65" s="2">
        <v>134</v>
      </c>
      <c r="G65" s="2">
        <v>71</v>
      </c>
      <c r="H65" s="2">
        <v>66</v>
      </c>
      <c r="I65" s="2">
        <v>96.3</v>
      </c>
      <c r="J65" s="2">
        <v>144</v>
      </c>
      <c r="K65" s="2">
        <v>76</v>
      </c>
      <c r="L65" s="2">
        <v>70</v>
      </c>
      <c r="M65" s="2">
        <v>11</v>
      </c>
      <c r="N65" s="2">
        <v>35.379551020408158</v>
      </c>
      <c r="O65" s="2">
        <v>30.639085534675949</v>
      </c>
      <c r="P65">
        <v>1</v>
      </c>
      <c r="Q65">
        <v>0</v>
      </c>
      <c r="R65" s="2">
        <v>917.09999999999991</v>
      </c>
      <c r="S65" s="2">
        <v>86.149999999999991</v>
      </c>
      <c r="T65" s="2">
        <v>38.466666666666669</v>
      </c>
      <c r="U65" s="2">
        <v>62.333333333333336</v>
      </c>
      <c r="V65" s="2">
        <v>8.6</v>
      </c>
      <c r="W65" s="2">
        <v>37.449999999999996</v>
      </c>
      <c r="X65" s="2">
        <v>9</v>
      </c>
      <c r="Y65" s="2">
        <v>2.5</v>
      </c>
      <c r="Z65" s="2">
        <v>346.20000000000005</v>
      </c>
    </row>
    <row r="66" spans="1:26" x14ac:dyDescent="0.25">
      <c r="A66" s="1">
        <v>45381</v>
      </c>
      <c r="B66" s="2">
        <v>247</v>
      </c>
      <c r="C66" s="2">
        <v>43</v>
      </c>
      <c r="D66" s="2">
        <v>16</v>
      </c>
      <c r="E66" s="2">
        <v>96.1</v>
      </c>
      <c r="F66" s="2">
        <v>128</v>
      </c>
      <c r="G66" s="2">
        <v>75</v>
      </c>
      <c r="H66" s="2">
        <v>65</v>
      </c>
      <c r="I66" s="2">
        <v>98.6</v>
      </c>
      <c r="J66" s="2">
        <v>137</v>
      </c>
      <c r="K66" s="2">
        <v>76</v>
      </c>
      <c r="L66" s="2">
        <v>99</v>
      </c>
      <c r="M66" s="2">
        <v>9</v>
      </c>
      <c r="N66" s="2">
        <v>35.436938775510207</v>
      </c>
      <c r="O66" s="2">
        <v>30.639085534675949</v>
      </c>
      <c r="P66">
        <v>0</v>
      </c>
      <c r="Q66">
        <v>0</v>
      </c>
      <c r="R66" s="2">
        <v>5571</v>
      </c>
      <c r="S66" s="2">
        <v>731.84999999999991</v>
      </c>
      <c r="T66" s="2">
        <v>251.6</v>
      </c>
      <c r="U66" s="2">
        <v>95.1</v>
      </c>
      <c r="V66" s="2">
        <v>32.075000000000003</v>
      </c>
      <c r="W66" s="2">
        <v>489.79999999999995</v>
      </c>
      <c r="X66" s="2">
        <v>55.1</v>
      </c>
      <c r="Y66" s="2">
        <v>0.5</v>
      </c>
      <c r="Z66" s="2">
        <v>2264.4</v>
      </c>
    </row>
    <row r="67" spans="1:26" x14ac:dyDescent="0.25">
      <c r="A67" s="1">
        <v>45382</v>
      </c>
      <c r="B67" s="2">
        <v>250.8</v>
      </c>
      <c r="C67" s="2">
        <v>43.5</v>
      </c>
      <c r="D67" s="2">
        <v>16.5</v>
      </c>
      <c r="E67" s="2">
        <v>95.7</v>
      </c>
      <c r="F67" s="2">
        <v>146</v>
      </c>
      <c r="G67" s="2">
        <v>78</v>
      </c>
      <c r="H67" s="2">
        <v>80</v>
      </c>
      <c r="I67" s="2">
        <v>97</v>
      </c>
      <c r="J67" s="2">
        <v>149</v>
      </c>
      <c r="K67" s="2">
        <v>84</v>
      </c>
      <c r="L67" s="2">
        <v>73</v>
      </c>
      <c r="M67" s="2">
        <v>11</v>
      </c>
      <c r="N67" s="2">
        <v>35.982122448979595</v>
      </c>
      <c r="O67" s="2">
        <v>30.639085534675949</v>
      </c>
      <c r="P67">
        <v>1</v>
      </c>
      <c r="Q67">
        <v>1</v>
      </c>
      <c r="R67" s="2">
        <v>563</v>
      </c>
      <c r="S67" s="2">
        <v>80.800000000000011</v>
      </c>
      <c r="T67" s="2">
        <v>19.900000000000002</v>
      </c>
      <c r="U67" s="2">
        <v>14.4</v>
      </c>
      <c r="V67" s="2">
        <v>6.3</v>
      </c>
      <c r="W67" s="2">
        <v>14.2</v>
      </c>
      <c r="X67" s="2">
        <v>4.9000000000000004</v>
      </c>
      <c r="Y67" s="2">
        <v>1.5</v>
      </c>
      <c r="Z67" s="2">
        <v>179.10000000000002</v>
      </c>
    </row>
    <row r="68" spans="1:26" x14ac:dyDescent="0.25">
      <c r="A68" s="1">
        <v>45383</v>
      </c>
      <c r="B68" s="2">
        <v>249</v>
      </c>
      <c r="C68" s="2">
        <v>43.5</v>
      </c>
      <c r="D68" s="2">
        <v>16.5</v>
      </c>
      <c r="E68" s="2">
        <v>95.7</v>
      </c>
      <c r="F68" s="2">
        <v>124</v>
      </c>
      <c r="G68" s="2">
        <v>67</v>
      </c>
      <c r="H68" s="2">
        <v>79</v>
      </c>
      <c r="I68" s="2">
        <v>97.6</v>
      </c>
      <c r="J68" s="2">
        <v>135</v>
      </c>
      <c r="K68" s="2">
        <v>77</v>
      </c>
      <c r="L68" s="2">
        <v>70</v>
      </c>
      <c r="M68" s="2">
        <v>1</v>
      </c>
      <c r="N68" s="2">
        <v>35.723877551020408</v>
      </c>
      <c r="O68" s="2">
        <v>30.639085534675949</v>
      </c>
      <c r="P68">
        <v>1</v>
      </c>
      <c r="Q68">
        <v>1</v>
      </c>
      <c r="R68" s="2">
        <v>1751.8452380952381</v>
      </c>
      <c r="S68" s="2">
        <v>236.07202380952378</v>
      </c>
      <c r="T68" s="2">
        <v>61.510714285714293</v>
      </c>
      <c r="U68" s="2">
        <v>65.180952380952391</v>
      </c>
      <c r="V68" s="2">
        <v>7.666666666666667</v>
      </c>
      <c r="W68" s="2">
        <v>189.20178571428573</v>
      </c>
      <c r="X68" s="2">
        <v>21</v>
      </c>
      <c r="Y68" s="2">
        <v>1.25</v>
      </c>
      <c r="Z68" s="2">
        <v>553.59642857142865</v>
      </c>
    </row>
    <row r="69" spans="1:26" x14ac:dyDescent="0.25">
      <c r="A69" s="1">
        <v>45384</v>
      </c>
      <c r="B69" s="2">
        <v>248.8</v>
      </c>
      <c r="C69" s="2">
        <v>43.5</v>
      </c>
      <c r="D69" s="2">
        <v>16.5</v>
      </c>
      <c r="E69" s="2">
        <v>94.9</v>
      </c>
      <c r="F69" s="2">
        <v>128</v>
      </c>
      <c r="G69" s="2">
        <v>73</v>
      </c>
      <c r="H69" s="2">
        <v>61</v>
      </c>
      <c r="I69" s="2">
        <v>97</v>
      </c>
      <c r="J69" s="2">
        <v>129</v>
      </c>
      <c r="K69" s="2">
        <v>82</v>
      </c>
      <c r="L69" s="2">
        <v>70</v>
      </c>
      <c r="M69" s="2">
        <v>8</v>
      </c>
      <c r="N69" s="2">
        <v>35.695183673469387</v>
      </c>
      <c r="O69" s="2">
        <v>30.639085534675949</v>
      </c>
      <c r="P69">
        <v>1</v>
      </c>
      <c r="Q69">
        <v>1</v>
      </c>
      <c r="R69" s="2">
        <v>6805.1</v>
      </c>
      <c r="S69" s="2">
        <v>837.35000000000014</v>
      </c>
      <c r="T69" s="2">
        <v>310.46666666666664</v>
      </c>
      <c r="U69" s="2">
        <v>226.33333333333334</v>
      </c>
      <c r="V69" s="2">
        <v>37.1</v>
      </c>
      <c r="W69" s="2">
        <v>425.65</v>
      </c>
      <c r="X69" s="2">
        <v>81</v>
      </c>
      <c r="Y69" s="2">
        <v>1.5</v>
      </c>
      <c r="Z69" s="2">
        <v>2794.2000000000003</v>
      </c>
    </row>
    <row r="70" spans="1:26" x14ac:dyDescent="0.25">
      <c r="A70" s="1">
        <v>45385</v>
      </c>
      <c r="B70" s="2">
        <v>252.4</v>
      </c>
      <c r="C70" s="2">
        <v>44</v>
      </c>
      <c r="D70" s="2">
        <v>16.5</v>
      </c>
      <c r="E70" s="2">
        <v>96.1</v>
      </c>
      <c r="F70" s="2">
        <v>123</v>
      </c>
      <c r="G70" s="2">
        <v>79</v>
      </c>
      <c r="H70" s="2">
        <v>70</v>
      </c>
      <c r="I70" s="2">
        <v>96.4</v>
      </c>
      <c r="J70" s="2">
        <v>144</v>
      </c>
      <c r="K70" s="2">
        <v>77</v>
      </c>
      <c r="L70" s="2">
        <v>62</v>
      </c>
      <c r="M70" s="2">
        <v>11</v>
      </c>
      <c r="N70" s="2">
        <v>36.211673469387755</v>
      </c>
      <c r="O70" s="2">
        <v>31.324493175702337</v>
      </c>
      <c r="P70">
        <v>1</v>
      </c>
      <c r="Q70">
        <v>0</v>
      </c>
      <c r="R70" s="2">
        <v>1611.3416666666667</v>
      </c>
      <c r="S70" s="2">
        <v>114.51944444444445</v>
      </c>
      <c r="T70" s="2">
        <v>84.974999999999994</v>
      </c>
      <c r="U70" s="2">
        <v>80.822222222222223</v>
      </c>
      <c r="V70" s="2">
        <v>6.4027777777777768</v>
      </c>
      <c r="W70" s="2">
        <v>29.545833333333334</v>
      </c>
      <c r="X70" s="2">
        <v>15.5</v>
      </c>
      <c r="Y70" s="2">
        <v>2</v>
      </c>
      <c r="Z70" s="2">
        <v>764.77500000000009</v>
      </c>
    </row>
    <row r="71" spans="1:26" x14ac:dyDescent="0.25">
      <c r="A71" s="1">
        <v>45386</v>
      </c>
      <c r="B71" s="2">
        <v>249.6</v>
      </c>
      <c r="C71" s="2">
        <v>43.5</v>
      </c>
      <c r="D71" s="2">
        <v>16.5</v>
      </c>
      <c r="E71" s="2">
        <v>96.4</v>
      </c>
      <c r="F71" s="2">
        <v>141</v>
      </c>
      <c r="G71" s="2">
        <v>80</v>
      </c>
      <c r="H71" s="2">
        <v>71</v>
      </c>
      <c r="I71" s="2">
        <v>97</v>
      </c>
      <c r="J71" s="2">
        <v>132</v>
      </c>
      <c r="K71" s="2">
        <v>72</v>
      </c>
      <c r="L71" s="2">
        <v>62</v>
      </c>
      <c r="M71" s="2">
        <v>8</v>
      </c>
      <c r="N71" s="2">
        <v>35.80995918367347</v>
      </c>
      <c r="O71" s="2">
        <v>30.639085534675949</v>
      </c>
      <c r="P71">
        <v>1</v>
      </c>
      <c r="Q71">
        <v>0</v>
      </c>
      <c r="R71" s="2">
        <v>1531.4642857142858</v>
      </c>
      <c r="S71" s="2">
        <v>61.185317460317457</v>
      </c>
      <c r="T71" s="2">
        <v>88.759523809523827</v>
      </c>
      <c r="U71" s="2">
        <v>138.28492063492064</v>
      </c>
      <c r="V71" s="2">
        <v>10.27222222222222</v>
      </c>
      <c r="W71" s="2">
        <v>29.107142857142858</v>
      </c>
      <c r="X71" s="2">
        <v>14</v>
      </c>
      <c r="Y71" s="2">
        <v>3.5</v>
      </c>
      <c r="Z71" s="2">
        <v>798.83571428571429</v>
      </c>
    </row>
    <row r="72" spans="1:26" x14ac:dyDescent="0.25">
      <c r="A72" s="1">
        <v>45387</v>
      </c>
      <c r="B72" s="2">
        <v>247.4</v>
      </c>
      <c r="C72" s="2">
        <v>43.5</v>
      </c>
      <c r="D72" s="2">
        <v>16.5</v>
      </c>
      <c r="E72" s="2">
        <v>96.8</v>
      </c>
      <c r="F72" s="2">
        <v>143</v>
      </c>
      <c r="G72" s="2">
        <v>72</v>
      </c>
      <c r="H72" s="2">
        <v>69</v>
      </c>
      <c r="I72" s="2">
        <v>96.9</v>
      </c>
      <c r="J72" s="2">
        <v>137</v>
      </c>
      <c r="K72" s="2">
        <v>75</v>
      </c>
      <c r="L72" s="2">
        <v>63</v>
      </c>
      <c r="M72" s="2">
        <v>9</v>
      </c>
      <c r="N72" s="2">
        <v>35.494326530612248</v>
      </c>
      <c r="O72" s="2">
        <v>30.639085534675949</v>
      </c>
      <c r="P72">
        <v>1</v>
      </c>
      <c r="Q72">
        <v>0</v>
      </c>
      <c r="R72" s="2">
        <v>1168.6833333333334</v>
      </c>
      <c r="S72" s="2">
        <v>116.63888888888889</v>
      </c>
      <c r="T72" s="2">
        <v>48.45</v>
      </c>
      <c r="U72" s="2">
        <v>80.64444444444446</v>
      </c>
      <c r="V72" s="2">
        <v>21.005555555555553</v>
      </c>
      <c r="W72" s="2">
        <v>60.691666666666663</v>
      </c>
      <c r="X72" s="2">
        <v>18</v>
      </c>
      <c r="Y72" s="2">
        <v>2.5</v>
      </c>
      <c r="Z72" s="2">
        <v>436.05000000000007</v>
      </c>
    </row>
    <row r="73" spans="1:26" x14ac:dyDescent="0.25">
      <c r="A73" s="1">
        <v>45388</v>
      </c>
      <c r="B73" s="2">
        <v>245.8</v>
      </c>
      <c r="C73" s="2">
        <v>43</v>
      </c>
      <c r="D73" s="2">
        <v>16.5</v>
      </c>
      <c r="E73" s="2">
        <v>96.2</v>
      </c>
      <c r="F73" s="2">
        <v>128</v>
      </c>
      <c r="G73" s="2">
        <v>77</v>
      </c>
      <c r="H73" s="2">
        <v>63</v>
      </c>
      <c r="I73" s="2">
        <v>98.3</v>
      </c>
      <c r="J73" s="2">
        <v>160</v>
      </c>
      <c r="K73" s="2">
        <v>76</v>
      </c>
      <c r="L73" s="2">
        <v>94</v>
      </c>
      <c r="M73" s="2">
        <v>7</v>
      </c>
      <c r="N73" s="2">
        <v>35.264775510204082</v>
      </c>
      <c r="O73" s="2">
        <v>29.940865796666294</v>
      </c>
      <c r="P73">
        <v>0</v>
      </c>
      <c r="Q73">
        <v>0</v>
      </c>
      <c r="R73" s="2">
        <v>5765.9809523809527</v>
      </c>
      <c r="S73" s="2">
        <v>818.50642857142861</v>
      </c>
      <c r="T73" s="2">
        <v>242.8095238095238</v>
      </c>
      <c r="U73" s="2">
        <v>182.32047619047617</v>
      </c>
      <c r="V73" s="2">
        <v>30.466666666666665</v>
      </c>
      <c r="W73" s="2">
        <v>529.81547619047615</v>
      </c>
      <c r="X73" s="2">
        <v>103.4</v>
      </c>
      <c r="Y73" s="2">
        <v>1.5</v>
      </c>
      <c r="Z73" s="2">
        <v>2185.2857142857147</v>
      </c>
    </row>
    <row r="74" spans="1:26" x14ac:dyDescent="0.25">
      <c r="A74" s="1">
        <v>45389</v>
      </c>
      <c r="B74" s="2">
        <v>252</v>
      </c>
      <c r="C74" s="2">
        <v>43</v>
      </c>
      <c r="D74" s="2">
        <v>16.5</v>
      </c>
      <c r="E74" s="2">
        <v>96.5</v>
      </c>
      <c r="F74" s="2">
        <v>131</v>
      </c>
      <c r="G74" s="2">
        <v>76</v>
      </c>
      <c r="H74" s="2">
        <v>68</v>
      </c>
      <c r="I74" s="2">
        <v>97.2</v>
      </c>
      <c r="J74" s="2">
        <v>135</v>
      </c>
      <c r="K74" s="2">
        <v>76</v>
      </c>
      <c r="L74" s="2">
        <v>72</v>
      </c>
      <c r="M74" s="2">
        <v>4</v>
      </c>
      <c r="N74" s="2">
        <v>36.154285714285713</v>
      </c>
      <c r="O74" s="2">
        <v>29.940865796666294</v>
      </c>
      <c r="P74">
        <v>0</v>
      </c>
      <c r="Q74">
        <v>0</v>
      </c>
      <c r="R74" s="2">
        <v>1465</v>
      </c>
      <c r="S74" s="2">
        <v>148.1</v>
      </c>
      <c r="T74" s="2">
        <v>71.2</v>
      </c>
      <c r="U74" s="2">
        <v>62.4</v>
      </c>
      <c r="V74" s="2">
        <v>13.7</v>
      </c>
      <c r="W74" s="2">
        <v>23</v>
      </c>
      <c r="X74" s="2">
        <v>7</v>
      </c>
      <c r="Y74" s="2">
        <v>0.5</v>
      </c>
      <c r="Z74" s="2">
        <v>640.79999999999995</v>
      </c>
    </row>
    <row r="75" spans="1:26" x14ac:dyDescent="0.25">
      <c r="A75" s="1">
        <v>45390</v>
      </c>
      <c r="B75" s="2">
        <v>252</v>
      </c>
      <c r="C75" s="2">
        <v>43</v>
      </c>
      <c r="D75" s="2">
        <v>16.5</v>
      </c>
      <c r="E75" s="2">
        <v>96.5</v>
      </c>
      <c r="F75" s="2">
        <v>132</v>
      </c>
      <c r="G75" s="2">
        <v>77</v>
      </c>
      <c r="H75" s="2">
        <v>69</v>
      </c>
      <c r="I75" s="2">
        <v>97.3</v>
      </c>
      <c r="J75" s="2">
        <v>136</v>
      </c>
      <c r="K75" s="2">
        <v>77</v>
      </c>
      <c r="L75" s="2">
        <v>73</v>
      </c>
      <c r="M75" s="2">
        <v>4</v>
      </c>
      <c r="N75" s="2">
        <v>36.154285714285713</v>
      </c>
      <c r="O75" s="2">
        <v>29.940865796666294</v>
      </c>
      <c r="P75">
        <v>0</v>
      </c>
      <c r="Q75">
        <v>0</v>
      </c>
      <c r="R75" s="2">
        <v>5250</v>
      </c>
      <c r="S75" s="2">
        <v>756</v>
      </c>
      <c r="T75" s="2">
        <v>209</v>
      </c>
      <c r="U75" s="2">
        <v>123</v>
      </c>
      <c r="V75" s="2">
        <v>43.5</v>
      </c>
      <c r="W75" s="2">
        <v>443</v>
      </c>
      <c r="X75" s="2">
        <v>114</v>
      </c>
      <c r="Y75" s="2">
        <v>0.5</v>
      </c>
      <c r="Z75" s="2">
        <v>1881</v>
      </c>
    </row>
    <row r="76" spans="1:26" x14ac:dyDescent="0.25">
      <c r="A76" s="1">
        <v>45391</v>
      </c>
      <c r="B76" s="2">
        <v>253.4</v>
      </c>
      <c r="C76" s="2">
        <v>44</v>
      </c>
      <c r="D76" s="2">
        <v>16.5</v>
      </c>
      <c r="E76" s="2">
        <v>96.9</v>
      </c>
      <c r="F76" s="2">
        <v>137</v>
      </c>
      <c r="G76" s="2">
        <v>75</v>
      </c>
      <c r="H76" s="2">
        <v>63</v>
      </c>
      <c r="I76" s="2">
        <v>96.7</v>
      </c>
      <c r="J76" s="2">
        <v>132</v>
      </c>
      <c r="K76" s="2">
        <v>83</v>
      </c>
      <c r="L76" s="2">
        <v>66</v>
      </c>
      <c r="M76" s="2">
        <v>11</v>
      </c>
      <c r="N76" s="2">
        <v>36.355142857142859</v>
      </c>
      <c r="O76" s="2">
        <v>31.324493175702337</v>
      </c>
      <c r="P76">
        <v>1</v>
      </c>
      <c r="Q76">
        <v>1</v>
      </c>
      <c r="R76" s="2">
        <v>1052.6833333333334</v>
      </c>
      <c r="S76" s="2">
        <v>92.538888888888891</v>
      </c>
      <c r="T76" s="2">
        <v>47.050000000000004</v>
      </c>
      <c r="U76" s="2">
        <v>74.544444444444451</v>
      </c>
      <c r="V76" s="2">
        <v>15.005555555555553</v>
      </c>
      <c r="W76" s="2">
        <v>45.991666666666667</v>
      </c>
      <c r="X76" s="2">
        <v>12</v>
      </c>
      <c r="Y76" s="2">
        <v>1.5</v>
      </c>
      <c r="Z76" s="2">
        <v>423.4500000000001</v>
      </c>
    </row>
    <row r="77" spans="1:26" x14ac:dyDescent="0.25">
      <c r="A77" s="1">
        <v>45392</v>
      </c>
      <c r="B77" s="2">
        <v>249.6</v>
      </c>
      <c r="C77" s="2">
        <v>43.5</v>
      </c>
      <c r="D77" s="2">
        <v>16.5</v>
      </c>
      <c r="E77" s="2">
        <v>96.4</v>
      </c>
      <c r="F77" s="2">
        <v>133</v>
      </c>
      <c r="G77" s="2">
        <v>78</v>
      </c>
      <c r="H77" s="2">
        <v>68</v>
      </c>
      <c r="I77" s="2">
        <v>96.8</v>
      </c>
      <c r="J77" s="2">
        <v>132</v>
      </c>
      <c r="K77" s="2">
        <v>74</v>
      </c>
      <c r="L77" s="2">
        <v>67</v>
      </c>
      <c r="M77" s="2">
        <v>9.5</v>
      </c>
      <c r="N77" s="2">
        <v>35.80995918367347</v>
      </c>
      <c r="O77" s="2">
        <v>30.639085534675949</v>
      </c>
      <c r="P77">
        <v>1</v>
      </c>
      <c r="Q77">
        <v>1</v>
      </c>
      <c r="R77" s="2">
        <v>1256.7809523809524</v>
      </c>
      <c r="S77" s="2">
        <v>66.046428571428578</v>
      </c>
      <c r="T77" s="2">
        <v>67.80952380952381</v>
      </c>
      <c r="U77" s="2">
        <v>102.74047619047619</v>
      </c>
      <c r="V77" s="2">
        <v>6.4666666666666659</v>
      </c>
      <c r="W77" s="2">
        <v>31.115476190476191</v>
      </c>
      <c r="X77" s="2">
        <v>16</v>
      </c>
      <c r="Y77" s="2">
        <v>2.5</v>
      </c>
      <c r="Z77" s="2">
        <v>610.28571428571422</v>
      </c>
    </row>
    <row r="78" spans="1:26" x14ac:dyDescent="0.25">
      <c r="A78" s="1">
        <v>45393</v>
      </c>
      <c r="B78" s="2">
        <v>248.8</v>
      </c>
      <c r="C78" s="2">
        <v>43</v>
      </c>
      <c r="D78" s="2">
        <v>16.5</v>
      </c>
      <c r="E78" s="2">
        <v>95.7</v>
      </c>
      <c r="F78" s="2">
        <v>133</v>
      </c>
      <c r="G78" s="2">
        <v>74</v>
      </c>
      <c r="H78" s="2">
        <v>61</v>
      </c>
      <c r="I78" s="2">
        <v>97.4</v>
      </c>
      <c r="J78" s="2">
        <v>126</v>
      </c>
      <c r="K78" s="2">
        <v>75</v>
      </c>
      <c r="L78" s="2">
        <v>67</v>
      </c>
      <c r="M78" s="2">
        <v>3</v>
      </c>
      <c r="N78" s="2">
        <v>35.695183673469387</v>
      </c>
      <c r="O78" s="2">
        <v>29.940865796666294</v>
      </c>
      <c r="P78">
        <v>1</v>
      </c>
      <c r="Q78">
        <v>0</v>
      </c>
      <c r="R78" s="2">
        <v>1981.3666666666666</v>
      </c>
      <c r="S78" s="2">
        <v>122.57777777777777</v>
      </c>
      <c r="T78" s="2">
        <v>102.10000000000001</v>
      </c>
      <c r="U78" s="2">
        <v>155.48888888888891</v>
      </c>
      <c r="V78" s="2">
        <v>16.81111111111111</v>
      </c>
      <c r="W78" s="2">
        <v>53.783333333333331</v>
      </c>
      <c r="X78" s="2">
        <v>18</v>
      </c>
      <c r="Y78" s="2">
        <v>2</v>
      </c>
      <c r="Z78" s="2">
        <v>918.90000000000009</v>
      </c>
    </row>
    <row r="79" spans="1:26" x14ac:dyDescent="0.25">
      <c r="A79" s="1">
        <v>45394</v>
      </c>
      <c r="B79" s="2">
        <v>248</v>
      </c>
      <c r="C79" s="2">
        <v>43.5</v>
      </c>
      <c r="D79" s="2">
        <v>16.5</v>
      </c>
      <c r="E79" s="2">
        <v>95.5</v>
      </c>
      <c r="F79" s="2">
        <v>128</v>
      </c>
      <c r="G79" s="2">
        <v>72</v>
      </c>
      <c r="H79" s="2">
        <v>61</v>
      </c>
      <c r="I79" s="2">
        <v>97.5</v>
      </c>
      <c r="J79" s="2">
        <v>133</v>
      </c>
      <c r="K79" s="2">
        <v>75</v>
      </c>
      <c r="L79" s="2">
        <v>69</v>
      </c>
      <c r="M79" s="2">
        <v>2</v>
      </c>
      <c r="N79" s="2">
        <v>35.580408163265311</v>
      </c>
      <c r="O79" s="2">
        <v>30.639085534675949</v>
      </c>
      <c r="P79">
        <v>1</v>
      </c>
      <c r="Q79">
        <v>1</v>
      </c>
      <c r="R79" s="2">
        <v>1446.7809523809524</v>
      </c>
      <c r="S79" s="2">
        <v>140.54642857142855</v>
      </c>
      <c r="T79" s="2">
        <v>62.80952380952381</v>
      </c>
      <c r="U79" s="2">
        <v>77.740476190476187</v>
      </c>
      <c r="V79" s="2">
        <v>8.466666666666665</v>
      </c>
      <c r="W79" s="2">
        <v>90.615476190476187</v>
      </c>
      <c r="X79" s="2">
        <v>15</v>
      </c>
      <c r="Y79" s="2">
        <v>1.5</v>
      </c>
      <c r="Z79" s="2">
        <v>565.28571428571422</v>
      </c>
    </row>
    <row r="80" spans="1:26" x14ac:dyDescent="0.25">
      <c r="A80" s="1">
        <v>45395</v>
      </c>
      <c r="B80" s="2">
        <v>246.6</v>
      </c>
      <c r="C80" s="2">
        <v>43.5</v>
      </c>
      <c r="D80" s="2">
        <v>16.5</v>
      </c>
      <c r="E80" s="2">
        <v>96.7</v>
      </c>
      <c r="F80" s="2">
        <v>142</v>
      </c>
      <c r="G80" s="2">
        <v>71</v>
      </c>
      <c r="H80" s="2">
        <v>70</v>
      </c>
      <c r="I80" s="2">
        <v>97.2</v>
      </c>
      <c r="J80" s="2">
        <v>133</v>
      </c>
      <c r="K80" s="2">
        <v>73</v>
      </c>
      <c r="L80" s="2">
        <v>62</v>
      </c>
      <c r="M80" s="2">
        <v>0.5</v>
      </c>
      <c r="N80" s="2">
        <v>35.379551020408158</v>
      </c>
      <c r="O80" s="2">
        <v>30.639085534675949</v>
      </c>
      <c r="P80">
        <v>1</v>
      </c>
      <c r="Q80">
        <v>0</v>
      </c>
      <c r="R80" s="2">
        <v>6761.2809523809519</v>
      </c>
      <c r="S80" s="2">
        <v>936.84642857142853</v>
      </c>
      <c r="T80" s="2">
        <v>240.2095238095238</v>
      </c>
      <c r="U80" s="2">
        <v>210.04047619047617</v>
      </c>
      <c r="V80" s="2">
        <v>15.866666666666665</v>
      </c>
      <c r="W80" s="2">
        <v>591.21547619047624</v>
      </c>
      <c r="X80" s="2">
        <v>138.5</v>
      </c>
      <c r="Y80" s="2">
        <v>0.5</v>
      </c>
      <c r="Z80" s="2">
        <v>2161.8857142857146</v>
      </c>
    </row>
    <row r="81" spans="1:26" x14ac:dyDescent="0.25">
      <c r="A81" s="1">
        <v>45396</v>
      </c>
      <c r="B81" s="2">
        <v>250.8</v>
      </c>
      <c r="C81" s="2">
        <v>43.5</v>
      </c>
      <c r="D81" s="2">
        <v>16.5</v>
      </c>
      <c r="E81" s="2">
        <v>96</v>
      </c>
      <c r="F81" s="2">
        <v>112</v>
      </c>
      <c r="G81" s="2">
        <v>76</v>
      </c>
      <c r="H81" s="2">
        <v>60</v>
      </c>
      <c r="I81" s="2">
        <v>97.2</v>
      </c>
      <c r="J81" s="2">
        <v>135</v>
      </c>
      <c r="K81" s="2">
        <v>76</v>
      </c>
      <c r="L81" s="2">
        <v>72</v>
      </c>
      <c r="M81" s="2">
        <v>3</v>
      </c>
      <c r="N81" s="2">
        <v>35.982122448979595</v>
      </c>
      <c r="O81" s="2">
        <v>30.639085534675949</v>
      </c>
      <c r="P81">
        <v>0</v>
      </c>
      <c r="Q81">
        <v>0</v>
      </c>
      <c r="R81" s="2">
        <v>3475</v>
      </c>
      <c r="S81" s="2">
        <v>342.6</v>
      </c>
      <c r="T81" s="2">
        <v>127.5</v>
      </c>
      <c r="U81" s="2">
        <v>92.100000000000009</v>
      </c>
      <c r="V81" s="2">
        <v>10.3</v>
      </c>
      <c r="W81" s="2">
        <v>155.6</v>
      </c>
      <c r="X81" s="2">
        <v>20.5</v>
      </c>
      <c r="Y81" s="2">
        <v>0.5</v>
      </c>
      <c r="Z81" s="2">
        <v>1147.5</v>
      </c>
    </row>
    <row r="82" spans="1:26" x14ac:dyDescent="0.25">
      <c r="A82" s="1">
        <v>45397</v>
      </c>
      <c r="B82" s="2">
        <v>251.8</v>
      </c>
      <c r="C82" s="2">
        <v>43.5</v>
      </c>
      <c r="D82" s="2">
        <v>16.5</v>
      </c>
      <c r="E82" s="2">
        <v>97.5</v>
      </c>
      <c r="F82" s="2">
        <v>127</v>
      </c>
      <c r="G82" s="2">
        <v>70</v>
      </c>
      <c r="H82" s="2">
        <v>86</v>
      </c>
      <c r="I82" s="2">
        <v>97.5</v>
      </c>
      <c r="J82" s="2">
        <v>134</v>
      </c>
      <c r="K82" s="2">
        <v>74</v>
      </c>
      <c r="L82" s="2">
        <v>70</v>
      </c>
      <c r="M82" s="2">
        <v>7</v>
      </c>
      <c r="N82" s="2">
        <v>36.125591836734699</v>
      </c>
      <c r="O82" s="2">
        <v>30.639085534675949</v>
      </c>
      <c r="P82">
        <v>1</v>
      </c>
      <c r="Q82">
        <v>0</v>
      </c>
      <c r="R82" s="2">
        <v>1697.6833333333334</v>
      </c>
      <c r="S82" s="2">
        <v>241.83888888888887</v>
      </c>
      <c r="T82" s="2">
        <v>54.45</v>
      </c>
      <c r="U82" s="2">
        <v>74.044444444444451</v>
      </c>
      <c r="V82" s="2">
        <v>7.8055555555555545</v>
      </c>
      <c r="W82" s="2">
        <v>201.79166666666669</v>
      </c>
      <c r="X82" s="2">
        <v>65</v>
      </c>
      <c r="Y82" s="2">
        <v>0.5</v>
      </c>
      <c r="Z82" s="2">
        <v>490.05000000000007</v>
      </c>
    </row>
    <row r="83" spans="1:26" x14ac:dyDescent="0.25">
      <c r="A83" s="1">
        <v>45398</v>
      </c>
      <c r="B83" s="2">
        <v>252.6</v>
      </c>
      <c r="C83" s="2">
        <v>43</v>
      </c>
      <c r="D83" s="2">
        <v>16.5</v>
      </c>
      <c r="E83" s="2">
        <v>96.2</v>
      </c>
      <c r="F83" s="2">
        <v>141</v>
      </c>
      <c r="G83" s="2">
        <v>80</v>
      </c>
      <c r="H83" s="2">
        <v>66</v>
      </c>
      <c r="I83" s="2">
        <v>97.3</v>
      </c>
      <c r="J83" s="2">
        <v>138</v>
      </c>
      <c r="K83" s="2">
        <v>81</v>
      </c>
      <c r="L83" s="2">
        <v>78</v>
      </c>
      <c r="M83" s="2">
        <v>7</v>
      </c>
      <c r="N83" s="2">
        <v>36.240367346938775</v>
      </c>
      <c r="O83" s="2">
        <v>29.940865796666294</v>
      </c>
      <c r="P83">
        <v>1</v>
      </c>
      <c r="Q83">
        <v>0</v>
      </c>
      <c r="R83" s="2">
        <v>2614.1476190476192</v>
      </c>
      <c r="S83" s="2">
        <v>412.20642857142855</v>
      </c>
      <c r="T83" s="2">
        <v>73.624523809523808</v>
      </c>
      <c r="U83" s="2">
        <v>102.20380952380953</v>
      </c>
      <c r="V83" s="2">
        <v>5.8299999999999992</v>
      </c>
      <c r="W83" s="2">
        <v>386.47047619047618</v>
      </c>
      <c r="X83" s="2">
        <v>60.45</v>
      </c>
      <c r="Y83" s="2">
        <v>0.5</v>
      </c>
      <c r="Z83" s="2">
        <v>662.62071428571426</v>
      </c>
    </row>
    <row r="84" spans="1:26" x14ac:dyDescent="0.25">
      <c r="A84" s="1">
        <v>45399</v>
      </c>
      <c r="B84" s="2">
        <v>249.2</v>
      </c>
      <c r="C84" s="2">
        <v>43.5</v>
      </c>
      <c r="D84" s="2">
        <v>16.5</v>
      </c>
      <c r="E84" s="2">
        <v>96.3</v>
      </c>
      <c r="F84" s="2">
        <v>124</v>
      </c>
      <c r="G84" s="2">
        <v>67</v>
      </c>
      <c r="H84" s="2">
        <v>65</v>
      </c>
      <c r="I84" s="2">
        <v>97.1</v>
      </c>
      <c r="J84" s="2">
        <v>132</v>
      </c>
      <c r="K84" s="2">
        <v>82</v>
      </c>
      <c r="L84" s="2">
        <v>69</v>
      </c>
      <c r="M84" s="2">
        <v>8</v>
      </c>
      <c r="N84" s="2">
        <v>35.752571428571429</v>
      </c>
      <c r="O84" s="2">
        <v>30.639085534675949</v>
      </c>
      <c r="P84">
        <v>1</v>
      </c>
      <c r="Q84">
        <v>0</v>
      </c>
      <c r="R84" s="2">
        <v>2384.9333333333334</v>
      </c>
      <c r="S84" s="2">
        <v>390.66500000000002</v>
      </c>
      <c r="T84" s="2">
        <v>63.115000000000002</v>
      </c>
      <c r="U84" s="2">
        <v>73.701666666666682</v>
      </c>
      <c r="V84" s="2">
        <v>42.146666666666668</v>
      </c>
      <c r="W84" s="2">
        <v>265.63499999999999</v>
      </c>
      <c r="X84" s="2">
        <v>65.55</v>
      </c>
      <c r="Y84" s="2">
        <v>0.5</v>
      </c>
      <c r="Z84" s="2">
        <v>568.03499999999997</v>
      </c>
    </row>
    <row r="85" spans="1:26" x14ac:dyDescent="0.25">
      <c r="A85" s="1">
        <v>45400</v>
      </c>
      <c r="B85" s="2">
        <v>248.6</v>
      </c>
      <c r="C85" s="2">
        <v>43.5</v>
      </c>
      <c r="D85" s="2">
        <v>16.5</v>
      </c>
      <c r="E85" s="2">
        <v>96.8</v>
      </c>
      <c r="F85" s="2">
        <v>136</v>
      </c>
      <c r="G85" s="2">
        <v>76</v>
      </c>
      <c r="H85" s="2">
        <v>75</v>
      </c>
      <c r="I85" s="2">
        <v>97.2</v>
      </c>
      <c r="J85" s="2">
        <v>135</v>
      </c>
      <c r="K85" s="2">
        <v>76</v>
      </c>
      <c r="L85" s="2">
        <v>72</v>
      </c>
      <c r="M85" s="2">
        <v>2</v>
      </c>
      <c r="N85" s="2">
        <v>35.666489795918366</v>
      </c>
      <c r="O85" s="2">
        <v>30.639085534675949</v>
      </c>
      <c r="P85">
        <v>0</v>
      </c>
      <c r="Q85">
        <v>0</v>
      </c>
      <c r="R85" s="2">
        <v>1826.8833333333332</v>
      </c>
      <c r="S85" s="2">
        <v>321.42</v>
      </c>
      <c r="T85" s="2">
        <v>38.720000000000006</v>
      </c>
      <c r="U85" s="2">
        <v>74.12166666666667</v>
      </c>
      <c r="V85" s="2">
        <v>49.881666666666668</v>
      </c>
      <c r="W85" s="2">
        <v>231.05500000000001</v>
      </c>
      <c r="X85" s="2">
        <v>73.900000000000006</v>
      </c>
      <c r="Y85" s="2">
        <v>0.5</v>
      </c>
      <c r="Z85" s="2">
        <v>348.48</v>
      </c>
    </row>
    <row r="86" spans="1:26" x14ac:dyDescent="0.25">
      <c r="A86" s="1">
        <v>45401</v>
      </c>
      <c r="B86" s="2">
        <v>250</v>
      </c>
      <c r="C86" s="2">
        <v>43.5</v>
      </c>
      <c r="D86" s="2">
        <v>16.5</v>
      </c>
      <c r="E86" s="2">
        <v>96.9</v>
      </c>
      <c r="F86" s="2">
        <v>131</v>
      </c>
      <c r="G86" s="2">
        <v>74</v>
      </c>
      <c r="H86" s="2">
        <v>66</v>
      </c>
      <c r="I86" s="2">
        <v>97.3</v>
      </c>
      <c r="J86" s="2">
        <v>136</v>
      </c>
      <c r="K86" s="2">
        <v>77</v>
      </c>
      <c r="L86" s="2">
        <v>73</v>
      </c>
      <c r="M86" s="2">
        <v>9</v>
      </c>
      <c r="N86" s="2">
        <v>35.867346938775512</v>
      </c>
      <c r="O86" s="2">
        <v>30.639085534675949</v>
      </c>
      <c r="P86">
        <v>1</v>
      </c>
      <c r="Q86">
        <v>1</v>
      </c>
      <c r="R86" s="2">
        <v>3227.333333333333</v>
      </c>
      <c r="S86" s="2">
        <v>466.72500000000002</v>
      </c>
      <c r="T86" s="2">
        <v>73.174999999999997</v>
      </c>
      <c r="U86" s="2">
        <v>90.541666666666671</v>
      </c>
      <c r="V86" s="2">
        <v>47.56666666666667</v>
      </c>
      <c r="W86" s="2">
        <v>326.67500000000001</v>
      </c>
      <c r="X86" s="2">
        <v>78.75</v>
      </c>
      <c r="Y86" s="2">
        <v>0</v>
      </c>
      <c r="Z86" s="2">
        <v>658.57500000000005</v>
      </c>
    </row>
    <row r="87" spans="1:26" x14ac:dyDescent="0.25">
      <c r="A87" s="1">
        <v>45402</v>
      </c>
      <c r="B87" s="2">
        <v>251</v>
      </c>
      <c r="C87" s="2">
        <v>43.5</v>
      </c>
      <c r="D87" s="2">
        <v>16.5</v>
      </c>
      <c r="E87" s="2">
        <v>96.8</v>
      </c>
      <c r="F87" s="2">
        <v>136</v>
      </c>
      <c r="G87" s="2">
        <v>77</v>
      </c>
      <c r="H87" s="2">
        <v>76</v>
      </c>
      <c r="I87" s="2">
        <v>97.3</v>
      </c>
      <c r="J87" s="2">
        <v>135</v>
      </c>
      <c r="K87" s="2">
        <v>76</v>
      </c>
      <c r="L87" s="2">
        <v>72</v>
      </c>
      <c r="M87" s="2">
        <v>10</v>
      </c>
      <c r="N87" s="2">
        <v>36.010816326530609</v>
      </c>
      <c r="O87" s="2">
        <v>30.639085534675949</v>
      </c>
      <c r="P87">
        <v>0</v>
      </c>
      <c r="Q87">
        <v>0</v>
      </c>
      <c r="R87" s="2">
        <v>5149.2775000000001</v>
      </c>
      <c r="S87" s="2">
        <v>797.06784722222221</v>
      </c>
      <c r="T87" s="2">
        <v>134.22624999999999</v>
      </c>
      <c r="U87" s="2">
        <v>136.32965277777777</v>
      </c>
      <c r="V87" s="2">
        <v>17.288888888888888</v>
      </c>
      <c r="W87" s="2">
        <v>638.91187500000001</v>
      </c>
      <c r="X87" s="2">
        <v>103</v>
      </c>
      <c r="Y87" s="2">
        <v>0.5</v>
      </c>
      <c r="Z87" s="2">
        <v>1208.0362500000001</v>
      </c>
    </row>
    <row r="88" spans="1:26" x14ac:dyDescent="0.25">
      <c r="A88" s="1">
        <v>45403</v>
      </c>
      <c r="B88" s="2">
        <v>254.8</v>
      </c>
      <c r="C88" s="2">
        <v>43.5</v>
      </c>
      <c r="D88" s="2">
        <v>16.5</v>
      </c>
      <c r="E88" s="2">
        <v>96.5</v>
      </c>
      <c r="F88" s="2">
        <v>131</v>
      </c>
      <c r="G88" s="2">
        <v>76</v>
      </c>
      <c r="H88" s="2">
        <v>68</v>
      </c>
      <c r="I88" s="2">
        <v>97.2</v>
      </c>
      <c r="J88" s="2">
        <v>136</v>
      </c>
      <c r="K88" s="2">
        <v>77</v>
      </c>
      <c r="L88" s="2">
        <v>73</v>
      </c>
      <c r="M88" s="2">
        <v>10</v>
      </c>
      <c r="N88" s="2">
        <v>36.556000000000004</v>
      </c>
      <c r="O88" s="2">
        <v>30.639085534675949</v>
      </c>
      <c r="P88">
        <v>0</v>
      </c>
      <c r="Q88">
        <v>0</v>
      </c>
      <c r="R88" s="2">
        <v>6937.7775000000001</v>
      </c>
      <c r="S88" s="2">
        <v>989.93312500000002</v>
      </c>
      <c r="T88" s="2">
        <v>266.45125000000002</v>
      </c>
      <c r="U88" s="2">
        <v>192.764375</v>
      </c>
      <c r="V88" s="2">
        <v>34.024999999999999</v>
      </c>
      <c r="W88" s="2">
        <v>522.52437499999996</v>
      </c>
      <c r="X88" s="2">
        <v>154</v>
      </c>
      <c r="Y88" s="2">
        <v>0</v>
      </c>
      <c r="Z88" s="2">
        <v>2398.0612499999997</v>
      </c>
    </row>
    <row r="89" spans="1:26" x14ac:dyDescent="0.25">
      <c r="A89" s="1">
        <v>45404</v>
      </c>
      <c r="B89" s="2">
        <v>258</v>
      </c>
      <c r="C89" s="2">
        <v>43.5</v>
      </c>
      <c r="D89" s="2">
        <v>16.5</v>
      </c>
      <c r="E89" s="2">
        <v>96.2</v>
      </c>
      <c r="F89" s="2">
        <v>130</v>
      </c>
      <c r="G89" s="2">
        <v>78</v>
      </c>
      <c r="H89" s="2">
        <v>72</v>
      </c>
      <c r="I89" s="2">
        <v>97.6</v>
      </c>
      <c r="J89" s="2">
        <v>130</v>
      </c>
      <c r="K89" s="2">
        <v>72</v>
      </c>
      <c r="L89" s="2">
        <v>69</v>
      </c>
      <c r="M89" s="2">
        <v>8</v>
      </c>
      <c r="N89" s="2">
        <v>37.015102040816323</v>
      </c>
      <c r="O89" s="2">
        <v>30.639085534675949</v>
      </c>
      <c r="P89">
        <v>0</v>
      </c>
      <c r="Q89">
        <v>0</v>
      </c>
      <c r="R89" s="2">
        <v>1985.5549999999998</v>
      </c>
      <c r="S89" s="2">
        <v>303.86625000000004</v>
      </c>
      <c r="T89" s="2">
        <v>64.902500000000003</v>
      </c>
      <c r="U89" s="2">
        <v>49.528750000000002</v>
      </c>
      <c r="V89" s="2">
        <v>6.05</v>
      </c>
      <c r="W89" s="2">
        <v>208.04874999999998</v>
      </c>
      <c r="X89" s="2">
        <v>63</v>
      </c>
      <c r="Y89" s="2">
        <v>0</v>
      </c>
      <c r="Z89" s="2">
        <v>584.12249999999995</v>
      </c>
    </row>
    <row r="90" spans="1:26" x14ac:dyDescent="0.25">
      <c r="A90" s="1">
        <v>45405</v>
      </c>
      <c r="B90" s="2">
        <v>254.4</v>
      </c>
      <c r="C90" s="2">
        <v>43.5</v>
      </c>
      <c r="D90" s="2">
        <v>16.5</v>
      </c>
      <c r="E90" s="2">
        <v>96.8</v>
      </c>
      <c r="F90" s="2">
        <v>132</v>
      </c>
      <c r="G90" s="2">
        <v>72</v>
      </c>
      <c r="H90" s="2">
        <v>64</v>
      </c>
      <c r="I90" s="2">
        <v>96.2</v>
      </c>
      <c r="J90" s="2">
        <v>119</v>
      </c>
      <c r="K90" s="2">
        <v>73</v>
      </c>
      <c r="L90" s="2">
        <v>63</v>
      </c>
      <c r="M90" s="2">
        <v>10</v>
      </c>
      <c r="N90" s="2">
        <v>36.498612244897963</v>
      </c>
      <c r="O90" s="2">
        <v>30.639085534675949</v>
      </c>
      <c r="P90">
        <v>1</v>
      </c>
      <c r="Q90">
        <v>1</v>
      </c>
      <c r="R90" s="2">
        <v>2473.7108333333331</v>
      </c>
      <c r="S90" s="2">
        <v>310.198125</v>
      </c>
      <c r="T90" s="2">
        <v>86.866250000000008</v>
      </c>
      <c r="U90" s="2">
        <v>96.066041666666663</v>
      </c>
      <c r="V90" s="2">
        <v>29.471666666666664</v>
      </c>
      <c r="W90" s="2">
        <v>154.55937500000002</v>
      </c>
      <c r="X90" s="2">
        <v>25.55</v>
      </c>
      <c r="Y90" s="2">
        <v>2</v>
      </c>
      <c r="Z90" s="2">
        <v>781.7962500000001</v>
      </c>
    </row>
    <row r="91" spans="1:26" x14ac:dyDescent="0.25">
      <c r="A91" s="1">
        <v>45406</v>
      </c>
      <c r="B91" s="2">
        <v>253</v>
      </c>
      <c r="C91" s="2">
        <v>44</v>
      </c>
      <c r="D91" s="2">
        <v>16.5</v>
      </c>
      <c r="E91" s="2">
        <v>95.8</v>
      </c>
      <c r="F91" s="2">
        <v>141</v>
      </c>
      <c r="G91" s="2">
        <v>77</v>
      </c>
      <c r="H91" s="2">
        <v>68</v>
      </c>
      <c r="I91" s="2">
        <v>97.3</v>
      </c>
      <c r="J91" s="2">
        <v>128</v>
      </c>
      <c r="K91" s="2">
        <v>74</v>
      </c>
      <c r="L91" s="2">
        <v>77</v>
      </c>
      <c r="M91" s="2">
        <v>5</v>
      </c>
      <c r="N91" s="2">
        <v>36.297755102040817</v>
      </c>
      <c r="O91" s="2">
        <v>31.324493175702337</v>
      </c>
      <c r="P91">
        <v>1</v>
      </c>
      <c r="Q91">
        <v>1</v>
      </c>
      <c r="R91" s="2">
        <v>3155.1333333333332</v>
      </c>
      <c r="S91" s="2">
        <v>326.05972222222221</v>
      </c>
      <c r="T91" s="2">
        <v>128.44999999999999</v>
      </c>
      <c r="U91" s="2">
        <v>157.00694444444446</v>
      </c>
      <c r="V91" s="2">
        <v>24.130555555555553</v>
      </c>
      <c r="W91" s="2">
        <v>197.26250000000002</v>
      </c>
      <c r="X91" s="2">
        <v>29.75</v>
      </c>
      <c r="Y91" s="2">
        <v>1</v>
      </c>
      <c r="Z91" s="2">
        <v>1156.05</v>
      </c>
    </row>
    <row r="92" spans="1:26" x14ac:dyDescent="0.25">
      <c r="A92" s="1">
        <v>45407</v>
      </c>
      <c r="B92" s="2">
        <v>254.4</v>
      </c>
      <c r="C92" s="2">
        <v>43.5</v>
      </c>
      <c r="D92" s="2">
        <v>16.5</v>
      </c>
      <c r="E92" s="2">
        <v>95.9</v>
      </c>
      <c r="F92" s="2">
        <v>140</v>
      </c>
      <c r="G92" s="2">
        <v>74</v>
      </c>
      <c r="H92" s="2">
        <v>72</v>
      </c>
      <c r="I92" s="2">
        <v>97.2</v>
      </c>
      <c r="J92" s="2">
        <v>120</v>
      </c>
      <c r="K92" s="2">
        <v>78</v>
      </c>
      <c r="L92" s="2">
        <v>72</v>
      </c>
      <c r="M92" s="2">
        <v>7</v>
      </c>
      <c r="N92" s="2">
        <v>36.498612244897963</v>
      </c>
      <c r="O92" s="2">
        <v>30.639085534675949</v>
      </c>
      <c r="P92">
        <v>1</v>
      </c>
      <c r="Q92">
        <v>0</v>
      </c>
      <c r="R92" s="2">
        <v>2717.6</v>
      </c>
      <c r="S92" s="2">
        <v>268.66944444444448</v>
      </c>
      <c r="T92" s="2">
        <v>125.25000000000001</v>
      </c>
      <c r="U92" s="2">
        <v>165.53055555555559</v>
      </c>
      <c r="V92" s="2">
        <v>10.327777777777776</v>
      </c>
      <c r="W92" s="2">
        <v>234.97500000000002</v>
      </c>
      <c r="X92" s="2">
        <v>75</v>
      </c>
      <c r="Y92" s="2">
        <v>0</v>
      </c>
      <c r="Z92" s="2">
        <v>1127.25</v>
      </c>
    </row>
    <row r="93" spans="1:26" x14ac:dyDescent="0.25">
      <c r="A93" s="1">
        <v>45408</v>
      </c>
      <c r="B93" s="2">
        <v>252.4</v>
      </c>
      <c r="C93" s="2">
        <v>43.5</v>
      </c>
      <c r="D93" s="2">
        <v>16.5</v>
      </c>
      <c r="E93" s="2">
        <v>95.9</v>
      </c>
      <c r="F93" s="2">
        <v>135</v>
      </c>
      <c r="G93" s="2">
        <v>76</v>
      </c>
      <c r="H93" s="2">
        <v>74</v>
      </c>
      <c r="I93" s="2">
        <v>96.2</v>
      </c>
      <c r="J93" s="2">
        <v>148</v>
      </c>
      <c r="K93" s="2">
        <v>80</v>
      </c>
      <c r="L93" s="2">
        <v>77</v>
      </c>
      <c r="M93" s="2">
        <v>5</v>
      </c>
      <c r="N93" s="2">
        <v>36.211673469387755</v>
      </c>
      <c r="O93" s="2">
        <v>30.639085534675949</v>
      </c>
      <c r="P93">
        <v>0</v>
      </c>
      <c r="Q93">
        <v>0</v>
      </c>
      <c r="R93" s="2">
        <v>7706.8</v>
      </c>
      <c r="S93" s="2">
        <v>934.53472222222229</v>
      </c>
      <c r="T93" s="2">
        <v>327.47499999999997</v>
      </c>
      <c r="U93" s="2">
        <v>276.46527777777777</v>
      </c>
      <c r="V93" s="2">
        <v>28.763888888888889</v>
      </c>
      <c r="W93" s="2">
        <v>523.58749999999998</v>
      </c>
      <c r="X93" s="2">
        <v>98.666666666666671</v>
      </c>
      <c r="Y93" s="2">
        <v>0</v>
      </c>
      <c r="Z93" s="2">
        <v>2947.2750000000001</v>
      </c>
    </row>
    <row r="94" spans="1:26" x14ac:dyDescent="0.25">
      <c r="A94" s="1">
        <v>45409</v>
      </c>
      <c r="B94" s="2">
        <v>255.8</v>
      </c>
      <c r="C94" s="2">
        <v>44</v>
      </c>
      <c r="D94" s="2">
        <v>16.5</v>
      </c>
      <c r="E94" s="2">
        <v>98</v>
      </c>
      <c r="F94" s="2">
        <v>159</v>
      </c>
      <c r="G94" s="2">
        <v>83</v>
      </c>
      <c r="H94" s="2">
        <v>87</v>
      </c>
      <c r="I94" s="2">
        <v>96.9</v>
      </c>
      <c r="J94" s="2">
        <v>148</v>
      </c>
      <c r="K94" s="2">
        <v>81</v>
      </c>
      <c r="L94" s="2">
        <v>82</v>
      </c>
      <c r="M94" s="2">
        <v>8</v>
      </c>
      <c r="N94" s="2">
        <v>36.699469387755101</v>
      </c>
      <c r="O94" s="2">
        <v>31.324493175702337</v>
      </c>
      <c r="P94">
        <v>0</v>
      </c>
      <c r="Q94">
        <v>0</v>
      </c>
      <c r="R94" s="2">
        <v>6005.7866666666669</v>
      </c>
      <c r="S94" s="2">
        <v>970.16666666666674</v>
      </c>
      <c r="T94" s="2">
        <v>195.5</v>
      </c>
      <c r="U94" s="2">
        <v>95.833333333333343</v>
      </c>
      <c r="V94" s="2">
        <v>36.256666666666668</v>
      </c>
      <c r="W94" s="2">
        <v>653.99</v>
      </c>
      <c r="X94" s="2">
        <v>126.7</v>
      </c>
      <c r="Y94" s="2">
        <v>0</v>
      </c>
      <c r="Z94" s="2">
        <v>1759.5</v>
      </c>
    </row>
    <row r="95" spans="1:26" x14ac:dyDescent="0.25">
      <c r="A95" s="1">
        <v>45410</v>
      </c>
      <c r="B95" s="2">
        <v>255.6</v>
      </c>
      <c r="C95" s="2">
        <v>44.5</v>
      </c>
      <c r="D95" s="2">
        <v>16.5</v>
      </c>
      <c r="E95" s="2">
        <v>96.4</v>
      </c>
      <c r="F95" s="2">
        <v>132</v>
      </c>
      <c r="G95" s="2">
        <v>81</v>
      </c>
      <c r="H95" s="2">
        <v>62</v>
      </c>
      <c r="I95" s="2">
        <v>96.9</v>
      </c>
      <c r="J95" s="2">
        <v>120</v>
      </c>
      <c r="K95" s="2">
        <v>66</v>
      </c>
      <c r="L95" s="2">
        <v>67</v>
      </c>
      <c r="M95" s="2">
        <v>7</v>
      </c>
      <c r="N95" s="2">
        <v>36.670775510204081</v>
      </c>
      <c r="O95" s="2">
        <v>31.997550455105717</v>
      </c>
      <c r="P95">
        <v>1</v>
      </c>
      <c r="Q95">
        <v>1</v>
      </c>
      <c r="R95" s="2">
        <v>1501.3583333333331</v>
      </c>
      <c r="S95" s="2">
        <v>99.205555555555549</v>
      </c>
      <c r="T95" s="2">
        <v>76.7</v>
      </c>
      <c r="U95" s="2">
        <v>110.48611111111113</v>
      </c>
      <c r="V95" s="2">
        <v>12.234722222222221</v>
      </c>
      <c r="W95" s="2">
        <v>28.254166666666666</v>
      </c>
      <c r="X95" s="2">
        <v>15</v>
      </c>
      <c r="Y95" s="2">
        <v>2.5</v>
      </c>
      <c r="Z95" s="2">
        <v>690.3</v>
      </c>
    </row>
    <row r="96" spans="1:26" x14ac:dyDescent="0.25">
      <c r="A96" s="1">
        <v>45411</v>
      </c>
      <c r="B96" s="2">
        <v>253.4</v>
      </c>
      <c r="C96" s="2">
        <v>44.5</v>
      </c>
      <c r="D96" s="2">
        <v>16.5</v>
      </c>
      <c r="E96" s="2">
        <v>96.8</v>
      </c>
      <c r="F96" s="2">
        <v>114</v>
      </c>
      <c r="G96" s="2">
        <v>67</v>
      </c>
      <c r="H96" s="2">
        <v>62</v>
      </c>
      <c r="I96" s="2">
        <v>96.3</v>
      </c>
      <c r="J96" s="2">
        <v>139</v>
      </c>
      <c r="K96" s="2">
        <v>74</v>
      </c>
      <c r="L96" s="2">
        <v>62</v>
      </c>
      <c r="M96" s="2">
        <v>6.5</v>
      </c>
      <c r="N96" s="2">
        <v>36.355142857142859</v>
      </c>
      <c r="O96" s="2">
        <v>31.997550455105717</v>
      </c>
      <c r="P96">
        <v>1</v>
      </c>
      <c r="Q96">
        <v>1</v>
      </c>
      <c r="R96" s="2">
        <v>1293.1566666666668</v>
      </c>
      <c r="S96" s="2">
        <v>101.54700000000001</v>
      </c>
      <c r="T96" s="2">
        <v>63.729333333333336</v>
      </c>
      <c r="U96" s="2">
        <v>79.132000000000005</v>
      </c>
      <c r="V96" s="2">
        <v>37.317666666666668</v>
      </c>
      <c r="W96" s="2">
        <v>25.539666666666665</v>
      </c>
      <c r="X96" s="2">
        <v>20.73</v>
      </c>
      <c r="Y96" s="2">
        <v>3</v>
      </c>
      <c r="Z96" s="2">
        <v>573.56399999999996</v>
      </c>
    </row>
    <row r="97" spans="1:26" x14ac:dyDescent="0.25">
      <c r="A97" s="1">
        <v>45412</v>
      </c>
      <c r="B97" s="2">
        <v>253.4</v>
      </c>
      <c r="C97" s="2">
        <v>44</v>
      </c>
      <c r="D97" s="2">
        <v>16.5</v>
      </c>
      <c r="E97" s="2">
        <v>95.7</v>
      </c>
      <c r="F97" s="2">
        <v>128</v>
      </c>
      <c r="G97" s="2">
        <v>61</v>
      </c>
      <c r="H97" s="2">
        <v>69</v>
      </c>
      <c r="I97" s="2">
        <v>96.8</v>
      </c>
      <c r="J97" s="2">
        <v>120</v>
      </c>
      <c r="K97" s="2">
        <v>79</v>
      </c>
      <c r="L97" s="2">
        <v>66</v>
      </c>
      <c r="M97" s="2">
        <v>5</v>
      </c>
      <c r="N97" s="2">
        <v>36.355142857142859</v>
      </c>
      <c r="O97" s="2">
        <v>31.324493175702337</v>
      </c>
      <c r="P97">
        <v>1</v>
      </c>
      <c r="Q97">
        <v>1</v>
      </c>
      <c r="R97" s="2">
        <v>2740.1949999999997</v>
      </c>
      <c r="S97" s="2">
        <v>193.24499999999998</v>
      </c>
      <c r="T97" s="2">
        <v>153.24</v>
      </c>
      <c r="U97" s="2">
        <v>148.85499999999999</v>
      </c>
      <c r="V97" s="2">
        <v>13.184999999999999</v>
      </c>
      <c r="W97" s="2">
        <v>40.587499999999999</v>
      </c>
      <c r="X97" s="2">
        <v>25</v>
      </c>
      <c r="Y97" s="2">
        <v>4</v>
      </c>
      <c r="Z97" s="2">
        <v>1379.16</v>
      </c>
    </row>
    <row r="98" spans="1:26" x14ac:dyDescent="0.25">
      <c r="A98" s="1">
        <v>45413</v>
      </c>
      <c r="B98" s="2">
        <v>253.4</v>
      </c>
      <c r="C98" s="2">
        <v>44</v>
      </c>
      <c r="D98" s="2">
        <v>16.5</v>
      </c>
      <c r="E98" s="2">
        <v>97</v>
      </c>
      <c r="F98" s="2">
        <v>128</v>
      </c>
      <c r="G98" s="2">
        <v>82</v>
      </c>
      <c r="H98" s="2">
        <v>76</v>
      </c>
      <c r="I98" s="2">
        <v>96.4</v>
      </c>
      <c r="J98" s="2">
        <v>122</v>
      </c>
      <c r="K98" s="2">
        <v>73</v>
      </c>
      <c r="L98" s="2">
        <v>61</v>
      </c>
      <c r="M98" s="2">
        <v>2</v>
      </c>
      <c r="N98" s="2">
        <v>36.355142857142859</v>
      </c>
      <c r="O98" s="2">
        <v>31.324493175702337</v>
      </c>
      <c r="P98">
        <v>1</v>
      </c>
      <c r="Q98">
        <v>1</v>
      </c>
      <c r="R98" s="2">
        <v>1731.3566666666666</v>
      </c>
      <c r="S98" s="2">
        <v>208.52799999999999</v>
      </c>
      <c r="T98" s="2">
        <v>59.829333333333338</v>
      </c>
      <c r="U98" s="2">
        <v>86.525000000000006</v>
      </c>
      <c r="V98" s="2">
        <v>41.031666666666666</v>
      </c>
      <c r="W98" s="2">
        <v>106.81366666666666</v>
      </c>
      <c r="X98" s="2">
        <v>23.54</v>
      </c>
      <c r="Y98" s="2">
        <v>2.5</v>
      </c>
      <c r="Z98" s="2">
        <v>538.46399999999994</v>
      </c>
    </row>
    <row r="99" spans="1:26" x14ac:dyDescent="0.25">
      <c r="A99" s="1">
        <v>45414</v>
      </c>
      <c r="B99" s="2">
        <v>250.4</v>
      </c>
      <c r="C99" s="2">
        <v>44</v>
      </c>
      <c r="D99" s="2">
        <v>16.5</v>
      </c>
      <c r="E99" s="2">
        <v>96.7</v>
      </c>
      <c r="F99" s="2">
        <v>127</v>
      </c>
      <c r="G99" s="2">
        <v>73</v>
      </c>
      <c r="H99" s="2">
        <v>58</v>
      </c>
      <c r="I99" s="2">
        <v>96.3</v>
      </c>
      <c r="J99" s="2">
        <v>126</v>
      </c>
      <c r="K99" s="2">
        <v>77</v>
      </c>
      <c r="L99" s="2">
        <v>62</v>
      </c>
      <c r="M99" s="2">
        <v>10</v>
      </c>
      <c r="N99" s="2">
        <v>35.924734693877546</v>
      </c>
      <c r="O99" s="2">
        <v>31.324493175702337</v>
      </c>
      <c r="P99">
        <v>1</v>
      </c>
      <c r="Q99">
        <v>1</v>
      </c>
      <c r="R99" s="2">
        <v>2851.8975</v>
      </c>
      <c r="S99" s="2">
        <v>267.30999999999995</v>
      </c>
      <c r="T99" s="2">
        <v>141.79500000000002</v>
      </c>
      <c r="U99" s="2">
        <v>125.465</v>
      </c>
      <c r="V99" s="2">
        <v>19.27375</v>
      </c>
      <c r="W99" s="2">
        <v>104.0125</v>
      </c>
      <c r="X99" s="2">
        <v>21</v>
      </c>
      <c r="Y99" s="2">
        <v>2</v>
      </c>
      <c r="Z99" s="2">
        <v>1276.155</v>
      </c>
    </row>
    <row r="100" spans="1:26" x14ac:dyDescent="0.25">
      <c r="A100" s="1">
        <v>45415</v>
      </c>
      <c r="B100" s="2">
        <v>250</v>
      </c>
      <c r="C100" s="2">
        <v>43.5</v>
      </c>
      <c r="D100" s="2">
        <v>16.5</v>
      </c>
      <c r="E100" s="2">
        <v>96</v>
      </c>
      <c r="F100" s="2">
        <v>141</v>
      </c>
      <c r="G100" s="2">
        <v>77</v>
      </c>
      <c r="H100" s="2">
        <v>61</v>
      </c>
      <c r="I100" s="2">
        <v>96.6</v>
      </c>
      <c r="J100" s="2">
        <v>123</v>
      </c>
      <c r="K100" s="2">
        <v>84</v>
      </c>
      <c r="L100" s="2">
        <v>66</v>
      </c>
      <c r="M100" s="2">
        <v>8</v>
      </c>
      <c r="N100" s="2">
        <v>35.867346938775512</v>
      </c>
      <c r="O100" s="2">
        <v>30.639085534675949</v>
      </c>
      <c r="P100">
        <v>0</v>
      </c>
      <c r="Q100">
        <v>0</v>
      </c>
      <c r="R100" s="2">
        <v>3982.0666666666666</v>
      </c>
      <c r="S100" s="2">
        <v>648.2940000000001</v>
      </c>
      <c r="T100" s="2">
        <v>113.22833333333335</v>
      </c>
      <c r="U100" s="2">
        <v>120.35200000000002</v>
      </c>
      <c r="V100" s="2">
        <v>48.450166666666668</v>
      </c>
      <c r="W100" s="2">
        <v>475.33016666666663</v>
      </c>
      <c r="X100" s="2">
        <v>124.39</v>
      </c>
      <c r="Y100" s="2">
        <v>1</v>
      </c>
      <c r="Z100" s="2">
        <v>1019.0550000000001</v>
      </c>
    </row>
    <row r="101" spans="1:26" x14ac:dyDescent="0.25">
      <c r="A101" s="1">
        <v>45416</v>
      </c>
      <c r="B101" s="2">
        <v>251.4</v>
      </c>
      <c r="C101" s="2">
        <v>43</v>
      </c>
      <c r="D101" s="2">
        <v>16.5</v>
      </c>
      <c r="E101" s="2">
        <v>96.4</v>
      </c>
      <c r="F101" s="2">
        <v>145</v>
      </c>
      <c r="G101" s="2">
        <v>77</v>
      </c>
      <c r="H101" s="2">
        <v>72</v>
      </c>
      <c r="I101" s="2">
        <v>97.6</v>
      </c>
      <c r="J101" s="2">
        <v>136</v>
      </c>
      <c r="K101" s="2">
        <v>72</v>
      </c>
      <c r="L101" s="2">
        <v>73</v>
      </c>
      <c r="M101" s="2">
        <v>7.5</v>
      </c>
      <c r="N101" s="2">
        <v>36.068204081632651</v>
      </c>
      <c r="O101" s="2">
        <v>29.940865796666294</v>
      </c>
      <c r="P101">
        <v>0</v>
      </c>
      <c r="Q101">
        <v>0</v>
      </c>
      <c r="R101" s="2">
        <v>4340.2266666666665</v>
      </c>
      <c r="S101" s="2">
        <v>671.29300000000012</v>
      </c>
      <c r="T101" s="2">
        <v>139.17233333333334</v>
      </c>
      <c r="U101" s="2">
        <v>134.52300000000002</v>
      </c>
      <c r="V101" s="2">
        <v>60.768166666666666</v>
      </c>
      <c r="W101" s="2">
        <v>472.61616666666669</v>
      </c>
      <c r="X101" s="2">
        <v>128.52000000000001</v>
      </c>
      <c r="Y101" s="2">
        <v>0.5</v>
      </c>
      <c r="Z101" s="2">
        <v>1252.5509999999999</v>
      </c>
    </row>
    <row r="102" spans="1:26" x14ac:dyDescent="0.25">
      <c r="A102" s="1">
        <v>45417</v>
      </c>
      <c r="B102" s="2">
        <v>250.8</v>
      </c>
      <c r="C102" s="2">
        <v>43.5</v>
      </c>
      <c r="D102" s="2">
        <v>16.5</v>
      </c>
      <c r="E102" s="2">
        <v>96.3</v>
      </c>
      <c r="F102" s="2">
        <v>111</v>
      </c>
      <c r="G102" s="2">
        <v>80</v>
      </c>
      <c r="H102" s="2">
        <v>65</v>
      </c>
      <c r="I102" s="2">
        <v>97.1</v>
      </c>
      <c r="J102" s="2">
        <v>135</v>
      </c>
      <c r="K102" s="2">
        <v>76</v>
      </c>
      <c r="L102" s="2">
        <v>71</v>
      </c>
      <c r="M102" s="2">
        <v>10</v>
      </c>
      <c r="N102" s="2">
        <v>35.982122448979595</v>
      </c>
      <c r="O102" s="2">
        <v>30.639085534675949</v>
      </c>
      <c r="P102">
        <v>0</v>
      </c>
      <c r="Q102">
        <v>0</v>
      </c>
      <c r="R102" s="2">
        <v>6197.8975</v>
      </c>
      <c r="S102" s="2">
        <v>850.51</v>
      </c>
      <c r="T102" s="2">
        <v>259.79499999999996</v>
      </c>
      <c r="U102" s="2">
        <v>149.46500000000003</v>
      </c>
      <c r="V102" s="2">
        <v>26.27375</v>
      </c>
      <c r="W102" s="2">
        <v>620.61249999999995</v>
      </c>
      <c r="X102" s="2">
        <v>115</v>
      </c>
      <c r="Y102" s="2">
        <v>0.5</v>
      </c>
      <c r="Z102" s="2">
        <v>2338.1550000000002</v>
      </c>
    </row>
    <row r="103" spans="1:26" x14ac:dyDescent="0.25">
      <c r="A103" s="1">
        <v>45418</v>
      </c>
      <c r="B103" s="2">
        <v>252.2</v>
      </c>
      <c r="C103" s="2">
        <v>43</v>
      </c>
      <c r="D103" s="2">
        <v>16.5</v>
      </c>
      <c r="E103" s="2">
        <v>96.2</v>
      </c>
      <c r="F103" s="2">
        <v>128</v>
      </c>
      <c r="G103" s="2">
        <v>90</v>
      </c>
      <c r="H103" s="2">
        <v>75</v>
      </c>
      <c r="I103" s="2">
        <v>97.2</v>
      </c>
      <c r="J103" s="2">
        <v>134</v>
      </c>
      <c r="K103" s="2">
        <v>77</v>
      </c>
      <c r="L103" s="2">
        <v>72</v>
      </c>
      <c r="M103" s="2">
        <v>12</v>
      </c>
      <c r="N103" s="2">
        <v>36.182979591836734</v>
      </c>
      <c r="O103" s="2">
        <v>29.940865796666294</v>
      </c>
      <c r="P103">
        <v>0</v>
      </c>
      <c r="Q103">
        <v>0</v>
      </c>
      <c r="R103" s="2">
        <v>7687</v>
      </c>
      <c r="S103" s="2">
        <v>1192.5999999999999</v>
      </c>
      <c r="T103" s="2">
        <v>255.2</v>
      </c>
      <c r="U103" s="2">
        <v>206.4</v>
      </c>
      <c r="V103" s="2">
        <v>44.2</v>
      </c>
      <c r="W103" s="2">
        <v>808</v>
      </c>
      <c r="X103" s="2">
        <v>155</v>
      </c>
      <c r="Y103" s="2">
        <v>0.5</v>
      </c>
      <c r="Z103" s="2">
        <v>2296.8000000000002</v>
      </c>
    </row>
    <row r="104" spans="1:26" x14ac:dyDescent="0.25">
      <c r="A104" s="1">
        <v>45419</v>
      </c>
      <c r="B104" s="2">
        <v>257.8</v>
      </c>
      <c r="C104" s="2">
        <v>44</v>
      </c>
      <c r="D104" s="2">
        <v>16.5</v>
      </c>
      <c r="E104" s="2">
        <v>96.5</v>
      </c>
      <c r="F104" s="2">
        <v>132</v>
      </c>
      <c r="G104" s="2">
        <v>76</v>
      </c>
      <c r="H104" s="2">
        <v>68</v>
      </c>
      <c r="I104" s="2">
        <v>97.9</v>
      </c>
      <c r="J104" s="2">
        <v>145</v>
      </c>
      <c r="K104" s="2">
        <v>109</v>
      </c>
      <c r="L104" s="2">
        <v>76</v>
      </c>
      <c r="M104" s="2">
        <v>9</v>
      </c>
      <c r="N104" s="2">
        <v>36.98640816326531</v>
      </c>
      <c r="O104" s="2">
        <v>31.324493175702337</v>
      </c>
      <c r="P104">
        <v>1</v>
      </c>
      <c r="Q104">
        <v>1</v>
      </c>
      <c r="R104" s="2">
        <v>1855.9666666666667</v>
      </c>
      <c r="S104" s="2">
        <v>290.07400000000001</v>
      </c>
      <c r="T104" s="2">
        <v>42.768333333333331</v>
      </c>
      <c r="U104" s="2">
        <v>64.282000000000011</v>
      </c>
      <c r="V104" s="2">
        <v>16.602666666666664</v>
      </c>
      <c r="W104" s="2">
        <v>192.78766666666667</v>
      </c>
      <c r="X104" s="2">
        <v>63.34</v>
      </c>
      <c r="Y104" s="2">
        <v>0.5</v>
      </c>
      <c r="Z104" s="2">
        <v>384.91500000000002</v>
      </c>
    </row>
    <row r="105" spans="1:26" x14ac:dyDescent="0.25">
      <c r="A105" s="1">
        <v>45420</v>
      </c>
      <c r="B105" s="2">
        <v>258.2</v>
      </c>
      <c r="C105" s="2">
        <v>44.5</v>
      </c>
      <c r="D105" s="2">
        <v>16.5</v>
      </c>
      <c r="E105" s="2">
        <v>97.8</v>
      </c>
      <c r="F105" s="2">
        <v>140</v>
      </c>
      <c r="G105" s="2">
        <v>75</v>
      </c>
      <c r="H105" s="2">
        <v>76</v>
      </c>
      <c r="I105" s="2">
        <v>97.8</v>
      </c>
      <c r="J105" s="2">
        <v>111</v>
      </c>
      <c r="K105" s="2">
        <v>73</v>
      </c>
      <c r="L105" s="2">
        <v>79</v>
      </c>
      <c r="M105" s="2">
        <v>8</v>
      </c>
      <c r="N105" s="2">
        <v>37.043795918367344</v>
      </c>
      <c r="O105" s="2">
        <v>31.997550455105717</v>
      </c>
      <c r="P105">
        <v>0</v>
      </c>
      <c r="Q105">
        <v>0</v>
      </c>
      <c r="R105" s="2">
        <v>1957.58</v>
      </c>
      <c r="S105" s="2">
        <v>233.24</v>
      </c>
      <c r="T105" s="2">
        <v>77.650000000000006</v>
      </c>
      <c r="U105" s="2">
        <v>78.52</v>
      </c>
      <c r="V105" s="2">
        <v>18.47</v>
      </c>
      <c r="W105" s="2">
        <v>126.67</v>
      </c>
      <c r="X105" s="2">
        <v>31.23</v>
      </c>
      <c r="Y105" s="2">
        <v>0.5</v>
      </c>
      <c r="Z105" s="2">
        <v>687.54</v>
      </c>
    </row>
    <row r="106" spans="1:26" x14ac:dyDescent="0.25">
      <c r="A106" s="1">
        <v>45421</v>
      </c>
      <c r="B106" s="2">
        <v>256.60000000000002</v>
      </c>
      <c r="C106" s="2">
        <v>44.5</v>
      </c>
      <c r="D106" s="2">
        <v>16.5</v>
      </c>
      <c r="E106" s="2">
        <v>96.5</v>
      </c>
      <c r="F106" s="2">
        <v>132</v>
      </c>
      <c r="G106" s="2">
        <v>76</v>
      </c>
      <c r="H106" s="2">
        <v>68</v>
      </c>
      <c r="I106" s="2">
        <v>97.1</v>
      </c>
      <c r="J106" s="2">
        <v>134</v>
      </c>
      <c r="K106" s="2">
        <v>76</v>
      </c>
      <c r="L106" s="2">
        <v>72</v>
      </c>
      <c r="M106" s="2">
        <v>8</v>
      </c>
      <c r="N106" s="2">
        <v>36.814244897959192</v>
      </c>
      <c r="O106" s="2">
        <v>31.997550455105717</v>
      </c>
      <c r="P106">
        <v>1</v>
      </c>
      <c r="Q106">
        <v>1</v>
      </c>
      <c r="R106" s="2">
        <v>1957.58</v>
      </c>
      <c r="S106" s="2">
        <v>233.24</v>
      </c>
      <c r="T106" s="2">
        <v>77.650000000000006</v>
      </c>
      <c r="U106" s="2">
        <v>78.52</v>
      </c>
      <c r="V106" s="2">
        <v>18.47</v>
      </c>
      <c r="W106" s="2">
        <v>126.67</v>
      </c>
      <c r="X106" s="2">
        <v>31.23</v>
      </c>
      <c r="Y106" s="2">
        <v>0.5</v>
      </c>
      <c r="Z106" s="2">
        <v>687.54</v>
      </c>
    </row>
    <row r="107" spans="1:26" x14ac:dyDescent="0.25">
      <c r="A107" s="1">
        <v>45422</v>
      </c>
      <c r="B107" s="2">
        <v>255.6</v>
      </c>
      <c r="C107" s="2">
        <v>44.5</v>
      </c>
      <c r="D107" s="2">
        <v>16.5</v>
      </c>
      <c r="E107" s="2">
        <v>96.9</v>
      </c>
      <c r="F107" s="2">
        <v>136</v>
      </c>
      <c r="G107" s="2">
        <v>84</v>
      </c>
      <c r="H107" s="2">
        <v>77</v>
      </c>
      <c r="I107" s="2">
        <v>96.1</v>
      </c>
      <c r="J107" s="2">
        <v>127</v>
      </c>
      <c r="K107" s="2">
        <v>78</v>
      </c>
      <c r="L107" s="2">
        <v>74</v>
      </c>
      <c r="M107" s="2">
        <v>4.5</v>
      </c>
      <c r="N107" s="2">
        <v>36.670775510204081</v>
      </c>
      <c r="O107" s="2">
        <v>31.997550455105717</v>
      </c>
      <c r="P107">
        <v>0</v>
      </c>
      <c r="Q107">
        <v>1</v>
      </c>
      <c r="R107" s="2">
        <v>2466.2033333333334</v>
      </c>
      <c r="S107" s="2">
        <v>299.18766666666664</v>
      </c>
      <c r="T107" s="2">
        <v>90.930500000000009</v>
      </c>
      <c r="U107" s="2">
        <v>123.55766666666668</v>
      </c>
      <c r="V107" s="2">
        <v>52.454666666666661</v>
      </c>
      <c r="W107" s="2">
        <v>138.76400000000001</v>
      </c>
      <c r="X107" s="2">
        <v>25.540000000000003</v>
      </c>
      <c r="Y107" s="2">
        <v>1</v>
      </c>
      <c r="Z107" s="2">
        <v>818.37450000000013</v>
      </c>
    </row>
    <row r="108" spans="1:26" x14ac:dyDescent="0.25">
      <c r="A108" s="1">
        <v>45423</v>
      </c>
      <c r="B108" s="2">
        <v>255.4</v>
      </c>
      <c r="C108" s="2">
        <v>44</v>
      </c>
      <c r="D108" s="2">
        <v>16.5</v>
      </c>
      <c r="E108" s="2">
        <v>96</v>
      </c>
      <c r="F108" s="2">
        <v>121</v>
      </c>
      <c r="G108" s="2">
        <v>91</v>
      </c>
      <c r="H108" s="2">
        <v>69</v>
      </c>
      <c r="I108" s="2">
        <v>95.7</v>
      </c>
      <c r="J108" s="2">
        <v>130</v>
      </c>
      <c r="K108" s="2">
        <v>74</v>
      </c>
      <c r="L108" s="2">
        <v>59</v>
      </c>
      <c r="M108" s="2">
        <v>6</v>
      </c>
      <c r="N108" s="2">
        <v>36.642081632653067</v>
      </c>
      <c r="O108" s="2">
        <v>31.324493175702337</v>
      </c>
      <c r="P108">
        <v>1</v>
      </c>
      <c r="Q108">
        <v>1</v>
      </c>
      <c r="R108" s="2">
        <v>2987.55</v>
      </c>
      <c r="S108" s="2">
        <v>461.82499999999999</v>
      </c>
      <c r="T108" s="2">
        <v>98.037500000000009</v>
      </c>
      <c r="U108" s="2">
        <v>81.975000000000009</v>
      </c>
      <c r="V108" s="2">
        <v>16.8</v>
      </c>
      <c r="W108" s="2">
        <v>325.47500000000002</v>
      </c>
      <c r="X108" s="2">
        <v>19</v>
      </c>
      <c r="Y108" s="2">
        <v>1</v>
      </c>
      <c r="Z108" s="2">
        <v>882.33749999999998</v>
      </c>
    </row>
    <row r="109" spans="1:26" x14ac:dyDescent="0.25">
      <c r="A109" s="1">
        <v>45424</v>
      </c>
      <c r="B109" s="2">
        <v>251.4</v>
      </c>
      <c r="C109" s="2">
        <v>44</v>
      </c>
      <c r="D109" s="2">
        <v>16.5</v>
      </c>
      <c r="E109" s="2">
        <v>97.8</v>
      </c>
      <c r="F109" s="2">
        <v>135</v>
      </c>
      <c r="G109" s="2">
        <v>74</v>
      </c>
      <c r="H109" s="2">
        <v>68</v>
      </c>
      <c r="I109" s="2">
        <v>96.9</v>
      </c>
      <c r="J109" s="2">
        <v>141</v>
      </c>
      <c r="K109" s="2">
        <v>82</v>
      </c>
      <c r="L109" s="2">
        <v>67</v>
      </c>
      <c r="M109" s="2">
        <v>12</v>
      </c>
      <c r="N109" s="2">
        <v>36.068204081632651</v>
      </c>
      <c r="O109" s="2">
        <v>31.324493175702337</v>
      </c>
      <c r="P109">
        <v>1</v>
      </c>
      <c r="Q109">
        <v>0</v>
      </c>
      <c r="R109" s="2">
        <v>1735.0233333333333</v>
      </c>
      <c r="S109" s="2">
        <v>171.67666666666665</v>
      </c>
      <c r="T109" s="2">
        <v>65.988500000000002</v>
      </c>
      <c r="U109" s="2">
        <v>118.19266666666668</v>
      </c>
      <c r="V109" s="2">
        <v>51.05466666666667</v>
      </c>
      <c r="W109" s="2">
        <v>39.65</v>
      </c>
      <c r="X109" s="2">
        <v>26.41</v>
      </c>
      <c r="Y109" s="2">
        <v>3</v>
      </c>
      <c r="Z109" s="2">
        <v>593.89650000000006</v>
      </c>
    </row>
    <row r="110" spans="1:26" x14ac:dyDescent="0.25">
      <c r="A110" s="1">
        <v>45425</v>
      </c>
      <c r="B110" s="2">
        <v>250.4</v>
      </c>
      <c r="C110" s="2">
        <v>43.5</v>
      </c>
      <c r="D110" s="2">
        <v>16.5</v>
      </c>
      <c r="E110" s="2">
        <v>96.7</v>
      </c>
      <c r="F110" s="2">
        <v>135</v>
      </c>
      <c r="G110" s="2">
        <v>76</v>
      </c>
      <c r="H110" s="2">
        <v>67</v>
      </c>
      <c r="I110" s="2">
        <v>96.6</v>
      </c>
      <c r="J110" s="2">
        <v>145</v>
      </c>
      <c r="K110" s="2">
        <v>77</v>
      </c>
      <c r="L110" s="2">
        <v>68</v>
      </c>
      <c r="M110" s="2">
        <v>6</v>
      </c>
      <c r="N110" s="2">
        <v>35.924734693877546</v>
      </c>
      <c r="O110" s="2">
        <v>30.639085534675949</v>
      </c>
      <c r="P110">
        <v>1</v>
      </c>
      <c r="Q110">
        <v>0</v>
      </c>
      <c r="R110" s="2">
        <v>1204.9933333333333</v>
      </c>
      <c r="S110" s="2">
        <v>131.89766666666668</v>
      </c>
      <c r="T110" s="2">
        <v>41.879000000000005</v>
      </c>
      <c r="U110" s="2">
        <v>71.543666666666681</v>
      </c>
      <c r="V110" s="2">
        <v>38.522666666666666</v>
      </c>
      <c r="W110" s="2">
        <v>28.138999999999999</v>
      </c>
      <c r="X110" s="2">
        <v>21.549999999999997</v>
      </c>
      <c r="Y110" s="2">
        <v>2</v>
      </c>
      <c r="Z110" s="2">
        <v>376.911</v>
      </c>
    </row>
    <row r="111" spans="1:26" x14ac:dyDescent="0.25">
      <c r="A111" s="1">
        <v>45426</v>
      </c>
      <c r="B111" s="2">
        <v>250.8</v>
      </c>
      <c r="C111" s="2">
        <v>43.5</v>
      </c>
      <c r="D111" s="2">
        <v>16.5</v>
      </c>
      <c r="E111" s="2">
        <v>95.7</v>
      </c>
      <c r="F111" s="2">
        <v>138</v>
      </c>
      <c r="G111" s="2">
        <v>88</v>
      </c>
      <c r="H111" s="2">
        <v>72</v>
      </c>
      <c r="I111" s="2">
        <v>96.4</v>
      </c>
      <c r="J111" s="2">
        <v>133</v>
      </c>
      <c r="K111" s="2">
        <v>87</v>
      </c>
      <c r="L111" s="2">
        <v>88</v>
      </c>
      <c r="M111" s="2">
        <v>4</v>
      </c>
      <c r="N111" s="2">
        <v>35.982122448979595</v>
      </c>
      <c r="O111" s="2">
        <v>30.639085534675949</v>
      </c>
      <c r="P111">
        <v>0</v>
      </c>
      <c r="Q111">
        <v>1</v>
      </c>
      <c r="R111" s="2">
        <v>2981.1</v>
      </c>
      <c r="S111" s="2">
        <v>485.65000000000003</v>
      </c>
      <c r="T111" s="2">
        <v>76.875000000000014</v>
      </c>
      <c r="U111" s="2">
        <v>104.85000000000001</v>
      </c>
      <c r="V111" s="2">
        <v>29.4</v>
      </c>
      <c r="W111" s="2">
        <v>317.35000000000002</v>
      </c>
      <c r="X111" s="2">
        <v>54</v>
      </c>
      <c r="Y111" s="2">
        <v>1</v>
      </c>
      <c r="Z111" s="2">
        <v>691.875</v>
      </c>
    </row>
    <row r="112" spans="1:26" x14ac:dyDescent="0.25">
      <c r="A112" s="1">
        <v>45427</v>
      </c>
      <c r="B112" s="2">
        <v>249.2</v>
      </c>
      <c r="C112" s="2">
        <v>43.5</v>
      </c>
      <c r="D112" s="2">
        <v>16.5</v>
      </c>
      <c r="E112" s="2">
        <v>96.4</v>
      </c>
      <c r="F112" s="2">
        <v>142</v>
      </c>
      <c r="G112" s="2">
        <v>85</v>
      </c>
      <c r="H112" s="2">
        <v>78</v>
      </c>
      <c r="I112" s="2">
        <v>97</v>
      </c>
      <c r="J112" s="2">
        <v>139</v>
      </c>
      <c r="K112" s="2">
        <v>68</v>
      </c>
      <c r="L112" s="2">
        <v>74</v>
      </c>
      <c r="M112" s="2">
        <v>12</v>
      </c>
      <c r="N112" s="2">
        <v>35.752571428571429</v>
      </c>
      <c r="O112" s="2">
        <v>30.639085534675949</v>
      </c>
      <c r="P112">
        <v>1</v>
      </c>
      <c r="Q112">
        <v>0</v>
      </c>
      <c r="R112" s="2">
        <v>2506.7633333333333</v>
      </c>
      <c r="S112" s="2">
        <v>408.57266666666663</v>
      </c>
      <c r="T112" s="2">
        <v>65.162000000000006</v>
      </c>
      <c r="U112" s="2">
        <v>88.26166666666667</v>
      </c>
      <c r="V112" s="2">
        <v>39.831666666666663</v>
      </c>
      <c r="W112" s="2">
        <v>307.71899999999999</v>
      </c>
      <c r="X112" s="2">
        <v>72.78</v>
      </c>
      <c r="Y112" s="2">
        <v>0.5</v>
      </c>
      <c r="Z112" s="2">
        <v>586.45799999999997</v>
      </c>
    </row>
    <row r="113" spans="1:26" x14ac:dyDescent="0.25">
      <c r="A113" s="1">
        <v>45428</v>
      </c>
      <c r="B113" s="2">
        <v>250.4</v>
      </c>
      <c r="C113" s="2">
        <v>44</v>
      </c>
      <c r="D113" s="2">
        <v>16.5</v>
      </c>
      <c r="E113" s="2">
        <v>96.4</v>
      </c>
      <c r="F113" s="2">
        <v>116</v>
      </c>
      <c r="G113" s="2">
        <v>71</v>
      </c>
      <c r="H113" s="2">
        <v>66</v>
      </c>
      <c r="I113" s="2">
        <v>97.1</v>
      </c>
      <c r="J113" s="2">
        <v>143</v>
      </c>
      <c r="K113" s="2">
        <v>105</v>
      </c>
      <c r="L113" s="2">
        <v>70</v>
      </c>
      <c r="M113" s="2">
        <v>4</v>
      </c>
      <c r="N113" s="2">
        <v>35.924734693877546</v>
      </c>
      <c r="O113" s="2">
        <v>31.324493175702337</v>
      </c>
      <c r="P113">
        <v>0</v>
      </c>
      <c r="Q113">
        <v>0</v>
      </c>
      <c r="R113" s="2">
        <v>3673.7</v>
      </c>
      <c r="S113" s="2">
        <v>676.7</v>
      </c>
      <c r="T113" s="2">
        <v>87.5</v>
      </c>
      <c r="U113" s="2">
        <v>81</v>
      </c>
      <c r="V113" s="2">
        <v>21.7</v>
      </c>
      <c r="W113" s="2">
        <v>475.8</v>
      </c>
      <c r="X113" s="2">
        <v>69</v>
      </c>
      <c r="Y113" s="2">
        <v>0</v>
      </c>
      <c r="Z113" s="2">
        <v>787.5</v>
      </c>
    </row>
    <row r="114" spans="1:26" x14ac:dyDescent="0.25">
      <c r="A114" s="1">
        <v>45429</v>
      </c>
      <c r="B114" s="2">
        <v>251.8</v>
      </c>
      <c r="C114" s="2">
        <v>43.5</v>
      </c>
      <c r="D114" s="2">
        <v>16.5</v>
      </c>
      <c r="E114" s="2">
        <v>96.1</v>
      </c>
      <c r="F114" s="2">
        <v>128</v>
      </c>
      <c r="G114" s="2">
        <v>74</v>
      </c>
      <c r="H114" s="2">
        <v>76</v>
      </c>
      <c r="I114" s="2">
        <v>96.7</v>
      </c>
      <c r="J114" s="2">
        <v>123</v>
      </c>
      <c r="K114" s="2">
        <v>74</v>
      </c>
      <c r="L114" s="2">
        <v>59</v>
      </c>
      <c r="M114" s="2">
        <v>4</v>
      </c>
      <c r="N114" s="2">
        <v>36.125591836734699</v>
      </c>
      <c r="O114" s="2">
        <v>30.639085534675949</v>
      </c>
      <c r="P114">
        <v>1</v>
      </c>
      <c r="Q114">
        <v>1</v>
      </c>
      <c r="R114" s="2">
        <v>2366.0533333333333</v>
      </c>
      <c r="S114" s="2">
        <v>410.00766666666669</v>
      </c>
      <c r="T114" s="2">
        <v>58.052999999999997</v>
      </c>
      <c r="U114" s="2">
        <v>67.227666666666678</v>
      </c>
      <c r="V114" s="2">
        <v>39.26466666666667</v>
      </c>
      <c r="W114" s="2">
        <v>306.01900000000001</v>
      </c>
      <c r="X114" s="2">
        <v>62.09</v>
      </c>
      <c r="Y114" s="2">
        <v>0.25</v>
      </c>
      <c r="Z114" s="2">
        <v>522.47699999999998</v>
      </c>
    </row>
    <row r="115" spans="1:26" x14ac:dyDescent="0.25">
      <c r="A115" s="1">
        <v>45430</v>
      </c>
      <c r="B115" s="2">
        <v>248</v>
      </c>
      <c r="C115" s="2">
        <v>43.5</v>
      </c>
      <c r="D115" s="2">
        <v>16.5</v>
      </c>
      <c r="E115" s="2">
        <v>96.6</v>
      </c>
      <c r="F115" s="2">
        <v>140</v>
      </c>
      <c r="G115" s="2">
        <v>74</v>
      </c>
      <c r="H115" s="2">
        <v>71</v>
      </c>
      <c r="I115" s="2">
        <v>96.5</v>
      </c>
      <c r="J115" s="2">
        <v>132</v>
      </c>
      <c r="K115" s="2">
        <v>76</v>
      </c>
      <c r="L115" s="2">
        <v>55</v>
      </c>
      <c r="M115" s="2">
        <v>13.5</v>
      </c>
      <c r="N115" s="2">
        <v>35.580408163265311</v>
      </c>
      <c r="O115" s="2">
        <v>30.639085534675949</v>
      </c>
      <c r="P115">
        <v>1</v>
      </c>
      <c r="Q115">
        <v>0</v>
      </c>
      <c r="R115" s="2">
        <v>1635.9233333333332</v>
      </c>
      <c r="S115" s="2">
        <v>268.26966666666664</v>
      </c>
      <c r="T115" s="2">
        <v>37.066000000000003</v>
      </c>
      <c r="U115" s="2">
        <v>70.88666666666667</v>
      </c>
      <c r="V115" s="2">
        <v>39.141666666666666</v>
      </c>
      <c r="W115" s="2">
        <v>188.39699999999999</v>
      </c>
      <c r="X115" s="2">
        <v>65.490000000000009</v>
      </c>
      <c r="Y115" s="2">
        <v>3</v>
      </c>
      <c r="Z115" s="2">
        <v>333.59400000000005</v>
      </c>
    </row>
    <row r="116" spans="1:26" x14ac:dyDescent="0.25">
      <c r="A116" s="1">
        <v>45431</v>
      </c>
      <c r="B116" s="2">
        <v>248.4</v>
      </c>
      <c r="C116" s="2">
        <v>43.5</v>
      </c>
      <c r="D116" s="2">
        <v>16.5</v>
      </c>
      <c r="E116" s="2">
        <v>96.4</v>
      </c>
      <c r="F116" s="2">
        <v>133</v>
      </c>
      <c r="G116" s="2">
        <v>74</v>
      </c>
      <c r="H116" s="2">
        <v>66</v>
      </c>
      <c r="I116" s="2">
        <v>96.1</v>
      </c>
      <c r="J116" s="2">
        <v>145</v>
      </c>
      <c r="K116" s="2">
        <v>75</v>
      </c>
      <c r="L116" s="2">
        <v>58</v>
      </c>
      <c r="M116" s="2">
        <v>7.5</v>
      </c>
      <c r="N116" s="2">
        <v>35.637795918367345</v>
      </c>
      <c r="O116" s="2">
        <v>30.639085534675949</v>
      </c>
      <c r="P116">
        <v>1</v>
      </c>
      <c r="Q116">
        <v>0</v>
      </c>
      <c r="R116" s="2">
        <v>1498.1</v>
      </c>
      <c r="S116" s="2">
        <v>139.85</v>
      </c>
      <c r="T116" s="2">
        <v>64.875000000000014</v>
      </c>
      <c r="U116" s="2">
        <v>99.550000000000011</v>
      </c>
      <c r="V116" s="2">
        <v>23.4</v>
      </c>
      <c r="W116" s="2">
        <v>30.150000000000002</v>
      </c>
      <c r="X116" s="2">
        <v>15</v>
      </c>
      <c r="Y116" s="2">
        <v>2.5</v>
      </c>
      <c r="Z116" s="2">
        <v>583.875</v>
      </c>
    </row>
    <row r="117" spans="1:26" x14ac:dyDescent="0.25">
      <c r="A117" s="1">
        <v>45432</v>
      </c>
      <c r="B117" s="2">
        <v>247</v>
      </c>
      <c r="C117" s="2">
        <v>43.5</v>
      </c>
      <c r="D117" s="2">
        <v>16.5</v>
      </c>
      <c r="E117" s="2">
        <v>96.8</v>
      </c>
      <c r="F117" s="2">
        <v>116</v>
      </c>
      <c r="G117" s="2">
        <v>68</v>
      </c>
      <c r="H117" s="2">
        <v>63</v>
      </c>
      <c r="I117" s="2">
        <v>96.3</v>
      </c>
      <c r="J117" s="2">
        <v>129</v>
      </c>
      <c r="K117" s="2">
        <v>72</v>
      </c>
      <c r="L117" s="2">
        <v>53</v>
      </c>
      <c r="M117" s="2">
        <v>10</v>
      </c>
      <c r="N117" s="2">
        <v>35.436938775510207</v>
      </c>
      <c r="O117" s="2">
        <v>30.639085534675949</v>
      </c>
      <c r="P117">
        <v>1</v>
      </c>
      <c r="Q117">
        <v>0</v>
      </c>
      <c r="R117" s="2">
        <v>1605.0633333333333</v>
      </c>
      <c r="S117" s="2">
        <v>267.9496666666667</v>
      </c>
      <c r="T117" s="2">
        <v>36.171999999999997</v>
      </c>
      <c r="U117" s="2">
        <v>67.75266666666667</v>
      </c>
      <c r="V117" s="2">
        <v>39.99966666666667</v>
      </c>
      <c r="W117" s="2">
        <v>191.17699999999999</v>
      </c>
      <c r="X117" s="2">
        <v>63.65</v>
      </c>
      <c r="Y117" s="2">
        <v>2</v>
      </c>
      <c r="Z117" s="2">
        <v>325.548</v>
      </c>
    </row>
    <row r="118" spans="1:26" x14ac:dyDescent="0.25">
      <c r="A118" s="1">
        <v>45433</v>
      </c>
      <c r="B118" s="2">
        <v>246.8</v>
      </c>
      <c r="C118" s="2">
        <v>43.5</v>
      </c>
      <c r="D118" s="2">
        <v>16.5</v>
      </c>
      <c r="E118" s="2">
        <v>95.7</v>
      </c>
      <c r="F118" s="2">
        <v>128</v>
      </c>
      <c r="G118" s="2">
        <v>85</v>
      </c>
      <c r="H118" s="2">
        <v>68</v>
      </c>
      <c r="I118" s="2">
        <v>95.4</v>
      </c>
      <c r="J118" s="2">
        <v>132</v>
      </c>
      <c r="K118" s="2">
        <v>80</v>
      </c>
      <c r="L118" s="2">
        <v>64</v>
      </c>
      <c r="M118" s="2">
        <v>8</v>
      </c>
      <c r="N118" s="2">
        <v>35.408244897959186</v>
      </c>
      <c r="O118" s="2">
        <v>30.639085534675949</v>
      </c>
      <c r="P118">
        <v>1</v>
      </c>
      <c r="Q118">
        <v>1</v>
      </c>
      <c r="R118" s="2">
        <v>1748.55</v>
      </c>
      <c r="S118" s="2">
        <v>287.77500000000003</v>
      </c>
      <c r="T118" s="2">
        <v>52.537500000000009</v>
      </c>
      <c r="U118" s="2">
        <v>54.975000000000001</v>
      </c>
      <c r="V118" s="2">
        <v>12.299999999999999</v>
      </c>
      <c r="W118" s="2">
        <v>214.67500000000001</v>
      </c>
      <c r="X118" s="2">
        <v>55.5</v>
      </c>
      <c r="Y118" s="2">
        <v>3.2</v>
      </c>
      <c r="Z118" s="2">
        <v>472.83750000000003</v>
      </c>
    </row>
    <row r="119" spans="1:26" x14ac:dyDescent="0.25">
      <c r="A119" s="1">
        <v>45434</v>
      </c>
      <c r="B119" s="2">
        <v>244.8</v>
      </c>
      <c r="C119" s="2">
        <v>43</v>
      </c>
      <c r="D119" s="2">
        <v>16.5</v>
      </c>
      <c r="E119" s="2">
        <v>96.1</v>
      </c>
      <c r="F119" s="2">
        <v>128</v>
      </c>
      <c r="G119" s="2">
        <v>75</v>
      </c>
      <c r="H119" s="2">
        <v>66</v>
      </c>
      <c r="I119" s="2">
        <v>96.7</v>
      </c>
      <c r="J119" s="2">
        <v>137</v>
      </c>
      <c r="K119" s="2">
        <v>73</v>
      </c>
      <c r="L119" s="2">
        <v>65</v>
      </c>
      <c r="M119" s="2">
        <v>6</v>
      </c>
      <c r="N119" s="2">
        <v>35.121306122448978</v>
      </c>
      <c r="O119" s="2">
        <v>29.940865796666294</v>
      </c>
      <c r="P119">
        <v>1</v>
      </c>
      <c r="Q119">
        <v>1</v>
      </c>
      <c r="R119" s="2">
        <v>1548.4</v>
      </c>
      <c r="S119" s="2">
        <v>284.02999999999997</v>
      </c>
      <c r="T119" s="2">
        <v>25.599999999999998</v>
      </c>
      <c r="U119" s="2">
        <v>73.13</v>
      </c>
      <c r="V119" s="2">
        <v>9.92</v>
      </c>
      <c r="W119" s="2">
        <v>215.36</v>
      </c>
      <c r="X119" s="2">
        <v>57.2</v>
      </c>
      <c r="Y119" s="2">
        <v>1.5</v>
      </c>
      <c r="Z119" s="2">
        <v>230.4</v>
      </c>
    </row>
    <row r="120" spans="1:26" x14ac:dyDescent="0.25">
      <c r="A120" s="1">
        <v>45435</v>
      </c>
      <c r="B120" s="2">
        <v>244.4</v>
      </c>
      <c r="C120" s="2">
        <v>43</v>
      </c>
      <c r="D120" s="2">
        <v>16.5</v>
      </c>
      <c r="E120" s="2">
        <v>95.7</v>
      </c>
      <c r="F120" s="2">
        <v>121</v>
      </c>
      <c r="G120" s="2">
        <v>75</v>
      </c>
      <c r="H120" s="2">
        <v>65</v>
      </c>
      <c r="I120" s="2">
        <v>95.9</v>
      </c>
      <c r="J120" s="2">
        <v>127</v>
      </c>
      <c r="K120" s="2">
        <v>89</v>
      </c>
      <c r="L120" s="2">
        <v>89</v>
      </c>
      <c r="M120" s="2">
        <v>8</v>
      </c>
      <c r="N120" s="2">
        <v>35.063918367346943</v>
      </c>
      <c r="O120" s="2">
        <v>29.940865796666294</v>
      </c>
      <c r="P120">
        <v>1</v>
      </c>
      <c r="Q120">
        <v>0</v>
      </c>
      <c r="R120" s="2">
        <v>1562</v>
      </c>
      <c r="S120" s="2">
        <v>304.09999999999997</v>
      </c>
      <c r="T120" s="2">
        <v>20.8</v>
      </c>
      <c r="U120" s="2">
        <v>59.1</v>
      </c>
      <c r="V120" s="2">
        <v>3.8</v>
      </c>
      <c r="W120" s="2">
        <v>225.1</v>
      </c>
      <c r="X120" s="2">
        <v>58.25</v>
      </c>
      <c r="Y120" s="2">
        <v>0.5</v>
      </c>
      <c r="Z120" s="2">
        <v>187.2</v>
      </c>
    </row>
    <row r="121" spans="1:26" x14ac:dyDescent="0.25">
      <c r="A121" s="1">
        <v>45436</v>
      </c>
      <c r="B121" s="2">
        <v>244.2</v>
      </c>
      <c r="C121" s="2">
        <v>43</v>
      </c>
      <c r="D121" s="2">
        <v>16.5</v>
      </c>
      <c r="E121" s="2">
        <v>96.6</v>
      </c>
      <c r="F121" s="2">
        <v>131</v>
      </c>
      <c r="G121" s="2">
        <v>79</v>
      </c>
      <c r="H121" s="2">
        <v>73</v>
      </c>
      <c r="I121" s="2">
        <v>97</v>
      </c>
      <c r="J121" s="2">
        <v>140</v>
      </c>
      <c r="K121" s="2">
        <v>65</v>
      </c>
      <c r="L121" s="2">
        <v>64</v>
      </c>
      <c r="M121" s="2">
        <v>9</v>
      </c>
      <c r="N121" s="2">
        <v>35.035224489795915</v>
      </c>
      <c r="O121" s="2">
        <v>29.940865796666294</v>
      </c>
      <c r="P121">
        <v>1</v>
      </c>
      <c r="Q121">
        <v>0</v>
      </c>
      <c r="R121" s="2">
        <v>1366</v>
      </c>
      <c r="S121" s="2">
        <v>278.7</v>
      </c>
      <c r="T121" s="2">
        <v>9.5</v>
      </c>
      <c r="U121" s="2">
        <v>61.5</v>
      </c>
      <c r="V121" s="2">
        <v>5</v>
      </c>
      <c r="W121" s="2">
        <v>206.1</v>
      </c>
      <c r="X121" s="2">
        <v>59.25</v>
      </c>
      <c r="Y121" s="2">
        <v>2</v>
      </c>
      <c r="Z121" s="2">
        <v>85.5</v>
      </c>
    </row>
    <row r="122" spans="1:26" x14ac:dyDescent="0.25">
      <c r="A122" s="1">
        <v>45437</v>
      </c>
      <c r="B122" s="2">
        <v>245</v>
      </c>
      <c r="C122" s="2">
        <v>43</v>
      </c>
      <c r="D122" s="2">
        <v>16.5</v>
      </c>
      <c r="E122" s="2">
        <v>95.8</v>
      </c>
      <c r="F122" s="2">
        <v>116</v>
      </c>
      <c r="G122" s="2">
        <v>71</v>
      </c>
      <c r="H122" s="2">
        <v>71</v>
      </c>
      <c r="I122" s="2">
        <v>95.7</v>
      </c>
      <c r="J122" s="2">
        <v>123</v>
      </c>
      <c r="K122" s="2">
        <v>71</v>
      </c>
      <c r="L122" s="2">
        <v>88</v>
      </c>
      <c r="M122" s="2">
        <v>7</v>
      </c>
      <c r="N122" s="2">
        <v>35.15</v>
      </c>
      <c r="O122" s="2">
        <v>29.940865796666294</v>
      </c>
      <c r="P122">
        <v>0</v>
      </c>
      <c r="Q122">
        <v>0</v>
      </c>
      <c r="R122" s="2">
        <v>1257.0999999999999</v>
      </c>
      <c r="S122" s="2">
        <v>281.8</v>
      </c>
      <c r="T122" s="2">
        <v>11</v>
      </c>
      <c r="U122" s="2">
        <v>17.174999999999997</v>
      </c>
      <c r="V122" s="2">
        <v>6.0000000000000009</v>
      </c>
      <c r="W122" s="2">
        <v>196.04999999999998</v>
      </c>
      <c r="X122" s="2">
        <v>46.75</v>
      </c>
      <c r="Y122" s="2">
        <v>0</v>
      </c>
      <c r="Z122" s="2">
        <v>99</v>
      </c>
    </row>
    <row r="123" spans="1:26" x14ac:dyDescent="0.25">
      <c r="A123" s="1">
        <v>45438</v>
      </c>
      <c r="B123" s="2">
        <v>247</v>
      </c>
      <c r="C123" s="2">
        <v>43.5</v>
      </c>
      <c r="D123" s="2">
        <v>16.5</v>
      </c>
      <c r="E123" s="2">
        <v>97</v>
      </c>
      <c r="F123" s="2">
        <v>136</v>
      </c>
      <c r="G123" s="2">
        <v>73</v>
      </c>
      <c r="H123" s="2">
        <v>64</v>
      </c>
      <c r="I123" s="2">
        <v>97</v>
      </c>
      <c r="J123" s="2">
        <v>134</v>
      </c>
      <c r="K123" s="2">
        <v>77</v>
      </c>
      <c r="L123" s="2">
        <v>71</v>
      </c>
      <c r="M123" s="2">
        <v>2</v>
      </c>
      <c r="N123" s="2">
        <v>35.436938775510207</v>
      </c>
      <c r="O123" s="2">
        <v>30.639085534675949</v>
      </c>
      <c r="P123">
        <v>0</v>
      </c>
      <c r="Q123">
        <v>1</v>
      </c>
      <c r="R123" s="2">
        <v>8222</v>
      </c>
      <c r="S123" s="2">
        <v>1273.9000000000001</v>
      </c>
      <c r="T123" s="2">
        <v>288</v>
      </c>
      <c r="U123" s="2">
        <v>172</v>
      </c>
      <c r="V123" s="2">
        <v>35.5</v>
      </c>
      <c r="W123" s="2">
        <v>821.9</v>
      </c>
      <c r="X123" s="2">
        <v>168.5</v>
      </c>
      <c r="Y123" s="2">
        <v>0</v>
      </c>
      <c r="Z123" s="2">
        <v>2592</v>
      </c>
    </row>
    <row r="124" spans="1:26" x14ac:dyDescent="0.25">
      <c r="A124" s="1">
        <v>45439</v>
      </c>
      <c r="B124" s="2">
        <v>249.6</v>
      </c>
      <c r="C124" s="2">
        <v>43.5</v>
      </c>
      <c r="D124" s="2">
        <v>16.5</v>
      </c>
      <c r="E124" s="2">
        <v>97.3</v>
      </c>
      <c r="F124" s="2">
        <v>145</v>
      </c>
      <c r="G124" s="2">
        <v>87</v>
      </c>
      <c r="H124" s="2">
        <v>96</v>
      </c>
      <c r="I124" s="2">
        <v>96.4</v>
      </c>
      <c r="J124" s="2">
        <v>132</v>
      </c>
      <c r="K124" s="2">
        <v>76</v>
      </c>
      <c r="L124" s="2">
        <v>71</v>
      </c>
      <c r="M124" s="2">
        <v>19</v>
      </c>
      <c r="N124" s="2">
        <v>35.80995918367347</v>
      </c>
      <c r="O124" s="2">
        <v>30.639085534675949</v>
      </c>
      <c r="P124">
        <v>0</v>
      </c>
      <c r="Q124">
        <v>1</v>
      </c>
      <c r="R124" s="2">
        <v>4515.8237499999996</v>
      </c>
      <c r="S124" s="2">
        <v>873.69037500000002</v>
      </c>
      <c r="T124" s="2">
        <v>94.364999999999995</v>
      </c>
      <c r="U124" s="2">
        <v>95.332875000000001</v>
      </c>
      <c r="V124" s="2">
        <v>31.140249999999998</v>
      </c>
      <c r="W124" s="2">
        <v>687.84012500000006</v>
      </c>
      <c r="X124" s="2">
        <v>141.6</v>
      </c>
      <c r="Y124" s="2">
        <v>0.25</v>
      </c>
      <c r="Z124" s="2">
        <v>849.28499999999997</v>
      </c>
    </row>
    <row r="125" spans="1:26" x14ac:dyDescent="0.25">
      <c r="A125" s="1">
        <v>45440</v>
      </c>
      <c r="B125" s="2">
        <v>250.4</v>
      </c>
      <c r="C125" s="2">
        <v>43.5</v>
      </c>
      <c r="D125" s="2">
        <v>16.5</v>
      </c>
      <c r="E125" s="2">
        <v>96.9</v>
      </c>
      <c r="F125" s="2">
        <v>112</v>
      </c>
      <c r="G125" s="2">
        <v>73</v>
      </c>
      <c r="H125" s="2">
        <v>70</v>
      </c>
      <c r="I125" s="2">
        <v>97.5</v>
      </c>
      <c r="J125" s="2">
        <v>115</v>
      </c>
      <c r="K125" s="2">
        <v>73</v>
      </c>
      <c r="L125" s="2">
        <v>63</v>
      </c>
      <c r="M125" s="2">
        <v>8</v>
      </c>
      <c r="N125" s="2">
        <v>35.924734693877546</v>
      </c>
      <c r="O125" s="2">
        <v>30.639085534675949</v>
      </c>
      <c r="P125">
        <v>0</v>
      </c>
      <c r="Q125">
        <v>1</v>
      </c>
      <c r="R125" s="2">
        <v>5192.6812499999996</v>
      </c>
      <c r="S125" s="2">
        <v>717.67062499999997</v>
      </c>
      <c r="T125" s="2">
        <v>203.45</v>
      </c>
      <c r="U125" s="2">
        <v>111.640625</v>
      </c>
      <c r="V125" s="2">
        <v>45.212500000000006</v>
      </c>
      <c r="W125" s="2">
        <v>362.08937499999996</v>
      </c>
      <c r="X125" s="2">
        <v>23.63</v>
      </c>
      <c r="Y125" s="2">
        <v>0.25</v>
      </c>
      <c r="Z125" s="2">
        <v>1831.05</v>
      </c>
    </row>
    <row r="126" spans="1:26" x14ac:dyDescent="0.25">
      <c r="A126" s="1">
        <v>45441</v>
      </c>
      <c r="B126" s="2">
        <v>252.4</v>
      </c>
      <c r="C126" s="2">
        <v>43.5</v>
      </c>
      <c r="D126" s="2">
        <v>16.5</v>
      </c>
      <c r="E126" s="2">
        <v>96.8</v>
      </c>
      <c r="F126" s="2">
        <v>134</v>
      </c>
      <c r="G126" s="2">
        <v>75</v>
      </c>
      <c r="H126" s="2">
        <v>76</v>
      </c>
      <c r="I126" s="2">
        <v>98.6</v>
      </c>
      <c r="J126" s="2">
        <v>136</v>
      </c>
      <c r="K126" s="2">
        <v>78</v>
      </c>
      <c r="L126" s="2">
        <v>94</v>
      </c>
      <c r="M126" s="2">
        <v>2</v>
      </c>
      <c r="N126" s="2">
        <v>36.211673469387755</v>
      </c>
      <c r="O126" s="2">
        <v>30.639085534675949</v>
      </c>
      <c r="P126">
        <v>0</v>
      </c>
      <c r="Q126">
        <v>0</v>
      </c>
      <c r="R126" s="2">
        <v>560</v>
      </c>
      <c r="S126" s="2">
        <v>152</v>
      </c>
      <c r="T126" s="2">
        <v>0</v>
      </c>
      <c r="U126" s="2">
        <v>0</v>
      </c>
      <c r="V126" s="2">
        <v>0</v>
      </c>
      <c r="W126" s="2">
        <v>152</v>
      </c>
      <c r="X126" s="2">
        <v>40</v>
      </c>
      <c r="Y126" s="2">
        <v>0</v>
      </c>
      <c r="Z126" s="2">
        <v>0</v>
      </c>
    </row>
    <row r="127" spans="1:26" x14ac:dyDescent="0.25">
      <c r="A127" s="1">
        <v>45442</v>
      </c>
      <c r="B127" s="2">
        <v>250.6</v>
      </c>
      <c r="C127" s="2">
        <v>43.5</v>
      </c>
      <c r="D127" s="2">
        <v>16.5</v>
      </c>
      <c r="E127" s="2">
        <v>96.7</v>
      </c>
      <c r="F127" s="2">
        <v>142</v>
      </c>
      <c r="G127" s="2">
        <v>76</v>
      </c>
      <c r="H127" s="2">
        <v>75</v>
      </c>
      <c r="I127" s="2">
        <v>98.6</v>
      </c>
      <c r="J127" s="2">
        <v>146</v>
      </c>
      <c r="K127" s="2">
        <v>79</v>
      </c>
      <c r="L127" s="2">
        <v>94</v>
      </c>
      <c r="M127" s="2">
        <v>8</v>
      </c>
      <c r="N127" s="2">
        <v>35.953428571428574</v>
      </c>
      <c r="O127" s="2">
        <v>30.639085534675949</v>
      </c>
      <c r="P127">
        <v>0</v>
      </c>
      <c r="Q127">
        <v>0</v>
      </c>
      <c r="R127" s="2">
        <v>4345.1558333333342</v>
      </c>
      <c r="S127" s="2">
        <v>606.38508333333334</v>
      </c>
      <c r="T127" s="2">
        <v>138.87399999999997</v>
      </c>
      <c r="U127" s="2">
        <v>206.44258333333335</v>
      </c>
      <c r="V127" s="2">
        <v>73.660250000000005</v>
      </c>
      <c r="W127" s="2">
        <v>349.9449166666667</v>
      </c>
      <c r="X127" s="2">
        <v>79.77</v>
      </c>
      <c r="Y127" s="2">
        <v>0</v>
      </c>
      <c r="Z127" s="2">
        <v>1249.866</v>
      </c>
    </row>
    <row r="128" spans="1:26" x14ac:dyDescent="0.25">
      <c r="A128" s="1">
        <v>45443</v>
      </c>
      <c r="B128" s="2">
        <v>252.6</v>
      </c>
      <c r="C128" s="2">
        <v>43.5</v>
      </c>
      <c r="D128" s="2">
        <v>16.5</v>
      </c>
      <c r="E128" s="2">
        <v>98.1</v>
      </c>
      <c r="F128" s="2">
        <v>133</v>
      </c>
      <c r="G128" s="2">
        <v>76</v>
      </c>
      <c r="H128" s="2">
        <v>63</v>
      </c>
      <c r="I128" s="2">
        <v>98.8</v>
      </c>
      <c r="J128" s="2">
        <v>135</v>
      </c>
      <c r="K128" s="2">
        <v>78</v>
      </c>
      <c r="L128" s="2">
        <v>87</v>
      </c>
      <c r="M128" s="2">
        <v>9</v>
      </c>
      <c r="N128" s="2">
        <v>36.240367346938775</v>
      </c>
      <c r="O128" s="2">
        <v>30.639085534675949</v>
      </c>
      <c r="P128">
        <v>0</v>
      </c>
      <c r="Q128">
        <v>0</v>
      </c>
      <c r="R128" s="2">
        <v>5061.466071428571</v>
      </c>
      <c r="S128" s="2">
        <v>708.60833333333335</v>
      </c>
      <c r="T128" s="2">
        <v>179.23839285714286</v>
      </c>
      <c r="U128" s="2">
        <v>192.45416666666668</v>
      </c>
      <c r="V128" s="2">
        <v>38.377083333333339</v>
      </c>
      <c r="W128" s="2">
        <v>516.88958333333335</v>
      </c>
      <c r="X128" s="2">
        <v>107</v>
      </c>
      <c r="Y128" s="2">
        <v>0</v>
      </c>
      <c r="Z128" s="2">
        <v>1613.1455357142856</v>
      </c>
    </row>
    <row r="129" spans="1:26" x14ac:dyDescent="0.25">
      <c r="A129" s="1">
        <v>45444</v>
      </c>
      <c r="B129" s="2">
        <v>253.6</v>
      </c>
      <c r="C129" s="2">
        <v>43.5</v>
      </c>
      <c r="D129" s="2">
        <v>16.5</v>
      </c>
      <c r="E129" s="2">
        <v>98.3</v>
      </c>
      <c r="F129" s="2">
        <v>160</v>
      </c>
      <c r="G129" s="2">
        <v>85</v>
      </c>
      <c r="H129" s="2">
        <v>99</v>
      </c>
      <c r="I129" s="2">
        <v>97.4</v>
      </c>
      <c r="J129" s="2">
        <v>140</v>
      </c>
      <c r="K129" s="2">
        <v>74</v>
      </c>
      <c r="L129" s="2">
        <v>88</v>
      </c>
      <c r="M129" s="2">
        <v>10</v>
      </c>
      <c r="N129" s="2">
        <v>36.38383673469388</v>
      </c>
      <c r="O129" s="2">
        <v>30.639085534675949</v>
      </c>
      <c r="P129">
        <v>0</v>
      </c>
      <c r="Q129">
        <v>1</v>
      </c>
      <c r="R129" s="2">
        <v>7330.8238095238103</v>
      </c>
      <c r="S129" s="2">
        <v>1146.0858333333333</v>
      </c>
      <c r="T129" s="2">
        <v>246.7717857142857</v>
      </c>
      <c r="U129" s="2">
        <v>150.10249999999999</v>
      </c>
      <c r="V129" s="2">
        <v>41.461666666666673</v>
      </c>
      <c r="W129" s="2">
        <v>1012.2850000000001</v>
      </c>
      <c r="X129" s="2">
        <v>140.6</v>
      </c>
      <c r="Y129" s="2">
        <v>0</v>
      </c>
      <c r="Z129" s="2">
        <v>2220.9460714285715</v>
      </c>
    </row>
    <row r="130" spans="1:26" x14ac:dyDescent="0.25">
      <c r="A130" s="1">
        <v>45445</v>
      </c>
      <c r="B130" s="2">
        <v>253</v>
      </c>
      <c r="C130" s="2">
        <v>43.5</v>
      </c>
      <c r="D130" s="2">
        <v>16.5</v>
      </c>
      <c r="E130" s="2">
        <v>96.3</v>
      </c>
      <c r="F130" s="2">
        <v>123</v>
      </c>
      <c r="G130" s="2">
        <v>84</v>
      </c>
      <c r="H130" s="2">
        <v>67</v>
      </c>
      <c r="I130" s="2">
        <v>97.4</v>
      </c>
      <c r="J130" s="2">
        <v>133</v>
      </c>
      <c r="K130" s="2">
        <v>74</v>
      </c>
      <c r="L130" s="2">
        <v>72</v>
      </c>
      <c r="M130" s="2">
        <v>14</v>
      </c>
      <c r="N130" s="2">
        <v>36.297755102040817</v>
      </c>
      <c r="O130" s="2">
        <v>30.639085534675949</v>
      </c>
      <c r="P130">
        <v>0</v>
      </c>
      <c r="Q130">
        <v>1</v>
      </c>
      <c r="R130" s="2">
        <v>6810.4339285714286</v>
      </c>
      <c r="S130" s="2">
        <v>947.95781250000005</v>
      </c>
      <c r="T130" s="2">
        <v>253.04129464285711</v>
      </c>
      <c r="U130" s="2">
        <v>209.50156250000001</v>
      </c>
      <c r="V130" s="2">
        <v>71.796875</v>
      </c>
      <c r="W130" s="2">
        <v>540.84687499999995</v>
      </c>
      <c r="X130" s="2">
        <v>90</v>
      </c>
      <c r="Y130" s="2">
        <v>1.25</v>
      </c>
      <c r="Z130" s="2">
        <v>2277.3716517857147</v>
      </c>
    </row>
    <row r="131" spans="1:26" x14ac:dyDescent="0.25">
      <c r="A131" s="1">
        <v>45446</v>
      </c>
      <c r="B131" s="2">
        <v>257.2</v>
      </c>
      <c r="C131" s="2">
        <v>44</v>
      </c>
      <c r="D131" s="2">
        <v>16.5</v>
      </c>
      <c r="E131" s="2">
        <v>96.3</v>
      </c>
      <c r="F131" s="2">
        <v>130</v>
      </c>
      <c r="G131" s="2">
        <v>75</v>
      </c>
      <c r="H131" s="2">
        <v>77</v>
      </c>
      <c r="I131" s="2">
        <v>96.9</v>
      </c>
      <c r="J131" s="2">
        <v>146</v>
      </c>
      <c r="K131" s="2">
        <v>77</v>
      </c>
      <c r="L131" s="2">
        <v>76</v>
      </c>
      <c r="M131" s="2">
        <v>10</v>
      </c>
      <c r="N131" s="2">
        <v>36.900326530612247</v>
      </c>
      <c r="O131" s="2">
        <v>31.324493175702337</v>
      </c>
      <c r="P131">
        <v>0</v>
      </c>
      <c r="Q131">
        <v>1</v>
      </c>
      <c r="R131" s="2">
        <v>5391.7351190476193</v>
      </c>
      <c r="S131" s="2">
        <v>746.953125</v>
      </c>
      <c r="T131" s="2">
        <v>223.14419642857143</v>
      </c>
      <c r="U131" s="2">
        <v>129.65729166666665</v>
      </c>
      <c r="V131" s="2">
        <v>30.235416666666666</v>
      </c>
      <c r="W131" s="2">
        <v>427.88333333333333</v>
      </c>
      <c r="X131" s="2">
        <v>67</v>
      </c>
      <c r="Y131" s="2">
        <v>0.25</v>
      </c>
      <c r="Z131" s="2">
        <v>2008.2977678571428</v>
      </c>
    </row>
    <row r="132" spans="1:26" x14ac:dyDescent="0.25">
      <c r="A132" s="1">
        <v>45447</v>
      </c>
      <c r="B132" s="2">
        <v>254.6</v>
      </c>
      <c r="C132" s="2">
        <v>44</v>
      </c>
      <c r="D132" s="2">
        <v>16.5</v>
      </c>
      <c r="E132" s="2">
        <v>96.8</v>
      </c>
      <c r="F132" s="2">
        <v>137</v>
      </c>
      <c r="G132" s="2">
        <v>81</v>
      </c>
      <c r="H132" s="2">
        <v>73</v>
      </c>
      <c r="I132" s="2">
        <v>97.4</v>
      </c>
      <c r="J132" s="2">
        <v>143</v>
      </c>
      <c r="K132" s="2">
        <v>77</v>
      </c>
      <c r="L132" s="2">
        <v>77</v>
      </c>
      <c r="M132" s="2">
        <v>1</v>
      </c>
      <c r="N132" s="2">
        <v>36.527306122448977</v>
      </c>
      <c r="O132" s="2">
        <v>31.324493175702337</v>
      </c>
      <c r="P132">
        <v>0</v>
      </c>
      <c r="Q132">
        <v>1</v>
      </c>
      <c r="R132" s="2">
        <v>4849.4448214285712</v>
      </c>
      <c r="S132" s="2">
        <v>581.27920833333326</v>
      </c>
      <c r="T132" s="2">
        <v>204.39239285714285</v>
      </c>
      <c r="U132" s="2">
        <v>168.54454166666667</v>
      </c>
      <c r="V132" s="2">
        <v>56.406333333333336</v>
      </c>
      <c r="W132" s="2">
        <v>334.10370833333332</v>
      </c>
      <c r="X132" s="2">
        <v>78.22999999999999</v>
      </c>
      <c r="Y132" s="2">
        <v>0.25</v>
      </c>
      <c r="Z132" s="2">
        <v>1839.5315357142856</v>
      </c>
    </row>
    <row r="133" spans="1:26" x14ac:dyDescent="0.25">
      <c r="A133" s="1">
        <v>45448</v>
      </c>
      <c r="B133" s="2">
        <v>255.2</v>
      </c>
      <c r="C133" s="2">
        <v>44</v>
      </c>
      <c r="D133" s="2">
        <v>16.5</v>
      </c>
      <c r="E133" s="2">
        <v>96.4</v>
      </c>
      <c r="F133" s="2">
        <v>136</v>
      </c>
      <c r="G133" s="2">
        <v>74</v>
      </c>
      <c r="H133" s="2">
        <v>74</v>
      </c>
      <c r="I133" s="2">
        <v>97.2</v>
      </c>
      <c r="J133" s="2">
        <v>127</v>
      </c>
      <c r="K133" s="2">
        <v>75</v>
      </c>
      <c r="L133" s="2">
        <v>73</v>
      </c>
      <c r="M133" s="2">
        <v>5</v>
      </c>
      <c r="N133" s="2">
        <v>36.613387755102039</v>
      </c>
      <c r="O133" s="2">
        <v>31.324493175702337</v>
      </c>
      <c r="P133">
        <v>0</v>
      </c>
      <c r="Q133">
        <v>0</v>
      </c>
      <c r="R133" s="2">
        <v>500</v>
      </c>
      <c r="S133" s="2">
        <v>130</v>
      </c>
      <c r="T133" s="2">
        <v>0</v>
      </c>
      <c r="U133" s="2">
        <v>0</v>
      </c>
      <c r="V133" s="2">
        <v>0</v>
      </c>
      <c r="W133" s="2">
        <v>129</v>
      </c>
      <c r="X133" s="2">
        <v>3</v>
      </c>
      <c r="Y133" s="2">
        <v>0.25</v>
      </c>
      <c r="Z133" s="2">
        <v>0</v>
      </c>
    </row>
    <row r="134" spans="1:26" x14ac:dyDescent="0.25">
      <c r="A134" s="1">
        <v>45449</v>
      </c>
      <c r="B134" s="2">
        <v>254.8</v>
      </c>
      <c r="C134" s="2">
        <v>44</v>
      </c>
      <c r="D134" s="2">
        <v>16.5</v>
      </c>
      <c r="E134" s="2">
        <v>97.4</v>
      </c>
      <c r="F134" s="2">
        <v>124</v>
      </c>
      <c r="G134" s="2">
        <v>78</v>
      </c>
      <c r="H134" s="2">
        <v>86</v>
      </c>
      <c r="I134" s="2">
        <v>96.6</v>
      </c>
      <c r="J134" s="2">
        <v>141</v>
      </c>
      <c r="K134" s="2">
        <v>74</v>
      </c>
      <c r="L134" s="2">
        <v>80</v>
      </c>
      <c r="M134" s="2">
        <v>10</v>
      </c>
      <c r="N134" s="2">
        <v>36.556000000000004</v>
      </c>
      <c r="O134" s="2">
        <v>31.324493175702337</v>
      </c>
      <c r="P134">
        <v>0</v>
      </c>
      <c r="Q134">
        <v>1</v>
      </c>
      <c r="R134" s="2">
        <v>5525</v>
      </c>
      <c r="S134" s="2">
        <v>761.80000000000007</v>
      </c>
      <c r="T134" s="2">
        <v>214.7</v>
      </c>
      <c r="U134" s="2">
        <v>136.4</v>
      </c>
      <c r="V134" s="2">
        <v>38.700000000000003</v>
      </c>
      <c r="W134" s="2">
        <v>378.2</v>
      </c>
      <c r="X134" s="2">
        <v>129</v>
      </c>
      <c r="Y134" s="2">
        <v>0.5</v>
      </c>
      <c r="Z134" s="2">
        <v>1932.3</v>
      </c>
    </row>
    <row r="135" spans="1:26" x14ac:dyDescent="0.25">
      <c r="A135" s="1">
        <v>45450</v>
      </c>
      <c r="B135" s="2">
        <v>255.8</v>
      </c>
      <c r="C135" s="2">
        <v>44</v>
      </c>
      <c r="D135" s="2">
        <v>16.5</v>
      </c>
      <c r="E135" s="2">
        <v>95.7</v>
      </c>
      <c r="F135" s="2">
        <v>122</v>
      </c>
      <c r="G135" s="2">
        <v>73</v>
      </c>
      <c r="H135" s="2">
        <v>69</v>
      </c>
      <c r="I135" s="2">
        <v>97.8</v>
      </c>
      <c r="J135" s="2">
        <v>162</v>
      </c>
      <c r="K135" s="2">
        <v>79</v>
      </c>
      <c r="L135" s="2">
        <v>77</v>
      </c>
      <c r="M135" s="2">
        <v>10</v>
      </c>
      <c r="N135" s="2">
        <v>36.699469387755101</v>
      </c>
      <c r="O135" s="2">
        <v>31.324493175702337</v>
      </c>
      <c r="P135">
        <v>0</v>
      </c>
      <c r="Q135">
        <v>0</v>
      </c>
      <c r="R135" s="2">
        <v>4857.2833333333328</v>
      </c>
      <c r="S135" s="2">
        <v>656.09333333333336</v>
      </c>
      <c r="T135" s="2">
        <v>183.95499999999998</v>
      </c>
      <c r="U135" s="2">
        <v>140.09333333333336</v>
      </c>
      <c r="V135" s="2">
        <v>44.68</v>
      </c>
      <c r="W135" s="2">
        <v>390.73166666666668</v>
      </c>
      <c r="X135" s="2">
        <v>98.4</v>
      </c>
      <c r="Y135" s="2">
        <v>0.5</v>
      </c>
      <c r="Z135" s="2">
        <v>1655.595</v>
      </c>
    </row>
    <row r="136" spans="1:26" x14ac:dyDescent="0.25">
      <c r="A136" s="1">
        <v>45451</v>
      </c>
      <c r="B136" s="2">
        <v>257.2</v>
      </c>
      <c r="C136" s="2">
        <v>44.5</v>
      </c>
      <c r="D136" s="2">
        <v>16.5</v>
      </c>
      <c r="E136" s="2">
        <v>96.8</v>
      </c>
      <c r="F136" s="2">
        <v>124</v>
      </c>
      <c r="G136" s="2">
        <v>88</v>
      </c>
      <c r="H136" s="2">
        <v>74</v>
      </c>
      <c r="I136" s="2">
        <v>97.2</v>
      </c>
      <c r="J136" s="2">
        <v>127</v>
      </c>
      <c r="K136" s="2">
        <v>74</v>
      </c>
      <c r="L136" s="2">
        <v>77</v>
      </c>
      <c r="M136" s="2">
        <v>6</v>
      </c>
      <c r="N136" s="2">
        <v>36.900326530612247</v>
      </c>
      <c r="O136" s="2">
        <v>31.997550455105717</v>
      </c>
      <c r="P136">
        <v>0</v>
      </c>
      <c r="Q136">
        <v>0</v>
      </c>
      <c r="R136" s="2">
        <v>4762.6833333333334</v>
      </c>
      <c r="S136" s="2">
        <v>648.98333333333335</v>
      </c>
      <c r="T136" s="2">
        <v>250.35499999999999</v>
      </c>
      <c r="U136" s="2">
        <v>136.54333333333335</v>
      </c>
      <c r="V136" s="2">
        <v>73.160000000000011</v>
      </c>
      <c r="W136" s="2">
        <v>316.12166666666667</v>
      </c>
      <c r="X136" s="2">
        <v>70.400000000000006</v>
      </c>
      <c r="Y136" s="2">
        <v>1</v>
      </c>
      <c r="Z136" s="2">
        <v>2253.1950000000002</v>
      </c>
    </row>
    <row r="137" spans="1:26" x14ac:dyDescent="0.25">
      <c r="A137" s="1">
        <v>45452</v>
      </c>
      <c r="B137" s="2">
        <v>258</v>
      </c>
      <c r="C137" s="2">
        <v>44.5</v>
      </c>
      <c r="D137" s="2">
        <v>16.5</v>
      </c>
      <c r="E137" s="2">
        <v>96.6</v>
      </c>
      <c r="F137" s="2">
        <v>139</v>
      </c>
      <c r="G137" s="2">
        <v>77</v>
      </c>
      <c r="H137" s="2">
        <v>66</v>
      </c>
      <c r="I137" s="2">
        <v>98</v>
      </c>
      <c r="J137" s="2">
        <v>131</v>
      </c>
      <c r="K137" s="2">
        <v>78</v>
      </c>
      <c r="L137" s="2">
        <v>85</v>
      </c>
      <c r="M137" s="2">
        <v>9</v>
      </c>
      <c r="N137" s="2">
        <v>37.015102040816323</v>
      </c>
      <c r="O137" s="2">
        <v>31.997550455105717</v>
      </c>
      <c r="P137">
        <v>1</v>
      </c>
      <c r="Q137">
        <v>1</v>
      </c>
      <c r="R137" s="2">
        <v>4631.3</v>
      </c>
      <c r="S137" s="2">
        <v>742.88333333333333</v>
      </c>
      <c r="T137" s="2">
        <v>151.15875</v>
      </c>
      <c r="U137" s="2">
        <v>119.62541666666667</v>
      </c>
      <c r="V137" s="2">
        <v>9.6883333333333326</v>
      </c>
      <c r="W137" s="2">
        <v>554.69124999999997</v>
      </c>
      <c r="X137" s="2">
        <v>115.8</v>
      </c>
      <c r="Y137" s="2">
        <v>1</v>
      </c>
      <c r="Z137" s="2">
        <v>1360.42875</v>
      </c>
    </row>
    <row r="138" spans="1:26" x14ac:dyDescent="0.25">
      <c r="A138" s="1">
        <v>45453</v>
      </c>
      <c r="B138" s="2">
        <v>251.8</v>
      </c>
      <c r="C138" s="2">
        <v>44.5</v>
      </c>
      <c r="D138" s="2">
        <v>16.5</v>
      </c>
      <c r="E138" s="2">
        <v>95.3</v>
      </c>
      <c r="F138" s="2">
        <v>123</v>
      </c>
      <c r="G138" s="2">
        <v>77</v>
      </c>
      <c r="H138" s="2">
        <v>69</v>
      </c>
      <c r="I138" s="2">
        <v>97.1</v>
      </c>
      <c r="J138" s="2">
        <v>142</v>
      </c>
      <c r="K138" s="2">
        <v>84</v>
      </c>
      <c r="L138" s="2">
        <v>80</v>
      </c>
      <c r="M138" s="2">
        <v>5</v>
      </c>
      <c r="N138" s="2">
        <v>36.125591836734699</v>
      </c>
      <c r="O138" s="2">
        <v>31.997550455105717</v>
      </c>
      <c r="P138">
        <v>0</v>
      </c>
      <c r="Q138">
        <v>1</v>
      </c>
      <c r="R138" s="2">
        <v>3025.2295833333337</v>
      </c>
      <c r="S138" s="2">
        <v>520.81616666666662</v>
      </c>
      <c r="T138" s="2">
        <v>74.574875000000006</v>
      </c>
      <c r="U138" s="2">
        <v>90.387125000000012</v>
      </c>
      <c r="V138" s="2">
        <v>40.594583333333333</v>
      </c>
      <c r="W138" s="2">
        <v>373.47787499999998</v>
      </c>
      <c r="X138" s="2">
        <v>66.430000000000007</v>
      </c>
      <c r="Y138" s="2">
        <v>0.5</v>
      </c>
      <c r="Z138" s="2">
        <v>671.17387499999995</v>
      </c>
    </row>
    <row r="139" spans="1:26" x14ac:dyDescent="0.25">
      <c r="A139" s="1">
        <v>45454</v>
      </c>
      <c r="B139" s="2">
        <v>250.4</v>
      </c>
      <c r="C139" s="2">
        <v>44.5</v>
      </c>
      <c r="D139" s="2">
        <v>16.5</v>
      </c>
      <c r="E139" s="2">
        <v>95.2</v>
      </c>
      <c r="F139" s="2">
        <v>127</v>
      </c>
      <c r="G139" s="2">
        <v>80</v>
      </c>
      <c r="H139" s="2">
        <v>74</v>
      </c>
      <c r="I139" s="2">
        <v>97.4</v>
      </c>
      <c r="J139" s="2">
        <v>137</v>
      </c>
      <c r="K139" s="2">
        <v>83</v>
      </c>
      <c r="L139" s="2">
        <v>81</v>
      </c>
      <c r="M139" s="2">
        <v>4</v>
      </c>
      <c r="N139" s="2">
        <v>35.924734693877546</v>
      </c>
      <c r="O139" s="2">
        <v>31.997550455105717</v>
      </c>
      <c r="P139">
        <v>0</v>
      </c>
      <c r="Q139">
        <v>1</v>
      </c>
      <c r="R139" s="2">
        <v>3309.7843750000002</v>
      </c>
      <c r="S139" s="2">
        <v>587.67520833333333</v>
      </c>
      <c r="T139" s="2">
        <v>82.926937499999994</v>
      </c>
      <c r="U139" s="2">
        <v>85.182979166666684</v>
      </c>
      <c r="V139" s="2">
        <v>8.9678333333333331</v>
      </c>
      <c r="W139" s="2">
        <v>498.64431249999996</v>
      </c>
      <c r="X139" s="2">
        <v>97</v>
      </c>
      <c r="Y139" s="2">
        <v>0.5</v>
      </c>
      <c r="Z139" s="2">
        <v>746.34243749999996</v>
      </c>
    </row>
    <row r="140" spans="1:26" x14ac:dyDescent="0.25">
      <c r="A140" s="1">
        <v>45455</v>
      </c>
      <c r="B140" s="2">
        <v>251</v>
      </c>
      <c r="C140" s="2">
        <v>44.5</v>
      </c>
      <c r="D140" s="2">
        <v>16.5</v>
      </c>
      <c r="E140" s="2">
        <v>95.3</v>
      </c>
      <c r="F140" s="2">
        <v>132</v>
      </c>
      <c r="G140" s="2">
        <v>75</v>
      </c>
      <c r="H140" s="2">
        <v>71</v>
      </c>
      <c r="I140" s="2">
        <v>98.3</v>
      </c>
      <c r="J140" s="2">
        <v>144</v>
      </c>
      <c r="K140" s="2">
        <v>82</v>
      </c>
      <c r="L140" s="2">
        <v>83</v>
      </c>
      <c r="M140" s="2">
        <v>4</v>
      </c>
      <c r="N140" s="2">
        <v>36.010816326530609</v>
      </c>
      <c r="O140" s="2">
        <v>31.997550455105717</v>
      </c>
      <c r="P140">
        <v>0</v>
      </c>
      <c r="Q140">
        <v>1</v>
      </c>
      <c r="R140" s="2">
        <v>692</v>
      </c>
      <c r="S140" s="2">
        <v>138.4</v>
      </c>
      <c r="T140" s="2">
        <v>17</v>
      </c>
      <c r="U140" s="2">
        <v>2</v>
      </c>
      <c r="V140" s="2">
        <v>0</v>
      </c>
      <c r="W140" s="2">
        <v>119.4</v>
      </c>
      <c r="X140" s="2">
        <v>6</v>
      </c>
      <c r="Y140" s="2">
        <v>0</v>
      </c>
      <c r="Z140" s="2">
        <v>153</v>
      </c>
    </row>
    <row r="141" spans="1:26" x14ac:dyDescent="0.25">
      <c r="A141" s="1">
        <v>45456</v>
      </c>
      <c r="B141" s="2">
        <v>249.2</v>
      </c>
      <c r="C141" s="2">
        <v>44</v>
      </c>
      <c r="D141" s="2">
        <v>16.5</v>
      </c>
      <c r="E141" s="2">
        <v>96.9</v>
      </c>
      <c r="F141" s="2">
        <v>140</v>
      </c>
      <c r="G141" s="2">
        <v>85</v>
      </c>
      <c r="H141" s="2">
        <v>86</v>
      </c>
      <c r="I141" s="2">
        <v>98.2</v>
      </c>
      <c r="J141" s="2">
        <v>134</v>
      </c>
      <c r="K141" s="2">
        <v>75</v>
      </c>
      <c r="L141" s="2">
        <v>88</v>
      </c>
      <c r="M141" s="2">
        <v>9</v>
      </c>
      <c r="N141" s="2">
        <v>35.752571428571429</v>
      </c>
      <c r="O141" s="2">
        <v>31.324493175702337</v>
      </c>
      <c r="P141">
        <v>0</v>
      </c>
      <c r="Q141">
        <v>0</v>
      </c>
      <c r="R141" s="2">
        <v>3776.5233333333335</v>
      </c>
      <c r="S141" s="2">
        <v>640.2836666666667</v>
      </c>
      <c r="T141" s="2">
        <v>99.191000000000003</v>
      </c>
      <c r="U141" s="2">
        <v>93.937000000000012</v>
      </c>
      <c r="V141" s="2">
        <v>44.299333333333337</v>
      </c>
      <c r="W141" s="2">
        <v>459.10299999999995</v>
      </c>
      <c r="X141" s="2">
        <v>123.63</v>
      </c>
      <c r="Y141" s="2">
        <v>0.25</v>
      </c>
      <c r="Z141" s="2">
        <v>892.71899999999994</v>
      </c>
    </row>
    <row r="142" spans="1:26" x14ac:dyDescent="0.25">
      <c r="A142" s="1">
        <v>45457</v>
      </c>
      <c r="B142" s="2">
        <v>248</v>
      </c>
      <c r="C142" s="2">
        <v>44</v>
      </c>
      <c r="D142" s="2">
        <v>16.5</v>
      </c>
      <c r="E142" s="2">
        <v>97.1</v>
      </c>
      <c r="F142" s="2">
        <v>123</v>
      </c>
      <c r="G142" s="2">
        <v>70</v>
      </c>
      <c r="H142" s="2">
        <v>74</v>
      </c>
      <c r="I142" s="2">
        <v>97</v>
      </c>
      <c r="J142" s="2">
        <v>147</v>
      </c>
      <c r="K142" s="2">
        <v>85</v>
      </c>
      <c r="L142" s="2">
        <v>78</v>
      </c>
      <c r="M142" s="2">
        <v>16</v>
      </c>
      <c r="N142" s="2">
        <v>35.580408163265311</v>
      </c>
      <c r="O142" s="2">
        <v>31.324493175702337</v>
      </c>
      <c r="P142">
        <v>1</v>
      </c>
      <c r="Q142">
        <v>0</v>
      </c>
      <c r="R142" s="2">
        <v>4886.0414583333331</v>
      </c>
      <c r="S142" s="2">
        <v>730.48337500000002</v>
      </c>
      <c r="T142" s="2">
        <v>148.85006249999998</v>
      </c>
      <c r="U142" s="2">
        <v>154.92685416666669</v>
      </c>
      <c r="V142" s="2">
        <v>48.697916666666664</v>
      </c>
      <c r="W142" s="2">
        <v>541.51043749999997</v>
      </c>
      <c r="X142" s="2">
        <v>163.86</v>
      </c>
      <c r="Y142" s="2">
        <v>0</v>
      </c>
      <c r="Z142" s="2">
        <v>1339.6505625</v>
      </c>
    </row>
    <row r="143" spans="1:26" x14ac:dyDescent="0.25">
      <c r="A143" s="1">
        <v>45458</v>
      </c>
      <c r="B143" s="2">
        <v>250.2</v>
      </c>
      <c r="C143" s="2">
        <v>44</v>
      </c>
      <c r="D143" s="2">
        <v>16.5</v>
      </c>
      <c r="E143" s="2">
        <v>96.4</v>
      </c>
      <c r="F143" s="2">
        <v>129</v>
      </c>
      <c r="G143" s="2">
        <v>72</v>
      </c>
      <c r="H143" s="2">
        <v>68</v>
      </c>
      <c r="I143" s="2">
        <v>97</v>
      </c>
      <c r="J143" s="2">
        <v>147</v>
      </c>
      <c r="K143" s="2">
        <v>85</v>
      </c>
      <c r="L143" s="2">
        <v>74</v>
      </c>
      <c r="M143" s="2">
        <v>7</v>
      </c>
      <c r="N143" s="2">
        <v>35.896040816326526</v>
      </c>
      <c r="O143" s="2">
        <v>31.324493175702337</v>
      </c>
      <c r="P143">
        <v>0</v>
      </c>
      <c r="Q143">
        <v>0</v>
      </c>
      <c r="R143" s="2">
        <v>3312.8814583333333</v>
      </c>
      <c r="S143" s="2">
        <v>511.657375</v>
      </c>
      <c r="T143" s="2">
        <v>93.966062500000007</v>
      </c>
      <c r="U143" s="2">
        <v>123.98485416666668</v>
      </c>
      <c r="V143" s="2">
        <v>45.321916666666667</v>
      </c>
      <c r="W143" s="2">
        <v>391.66643750000003</v>
      </c>
      <c r="X143" s="2">
        <v>108.56</v>
      </c>
      <c r="Y143" s="2">
        <v>0</v>
      </c>
      <c r="Z143" s="2">
        <v>845.69456249999996</v>
      </c>
    </row>
    <row r="144" spans="1:26" x14ac:dyDescent="0.25">
      <c r="A144" s="1">
        <v>45459</v>
      </c>
      <c r="B144" s="2">
        <v>253</v>
      </c>
      <c r="C144" s="2">
        <v>44</v>
      </c>
      <c r="D144" s="2">
        <v>16.5</v>
      </c>
      <c r="E144" s="2">
        <v>96.6</v>
      </c>
      <c r="F144" s="2">
        <v>133</v>
      </c>
      <c r="G144" s="2">
        <v>73</v>
      </c>
      <c r="H144" s="2">
        <v>72</v>
      </c>
      <c r="I144" s="2">
        <v>96.8</v>
      </c>
      <c r="J144" s="2">
        <v>140</v>
      </c>
      <c r="K144" s="2">
        <v>91</v>
      </c>
      <c r="L144" s="2">
        <v>81</v>
      </c>
      <c r="M144" s="2">
        <v>8</v>
      </c>
      <c r="N144" s="2">
        <v>36.297755102040817</v>
      </c>
      <c r="O144" s="2">
        <v>31.324493175702337</v>
      </c>
      <c r="P144">
        <v>1</v>
      </c>
      <c r="Q144">
        <v>0</v>
      </c>
      <c r="R144" s="2">
        <v>3113.3677083333332</v>
      </c>
      <c r="S144" s="2">
        <v>361.111875</v>
      </c>
      <c r="T144" s="2">
        <v>111.4519375</v>
      </c>
      <c r="U144" s="2">
        <v>135.84297916666665</v>
      </c>
      <c r="V144" s="2">
        <v>27.331166666666668</v>
      </c>
      <c r="W144" s="2">
        <v>193.44931249999999</v>
      </c>
      <c r="X144" s="2">
        <v>73.7</v>
      </c>
      <c r="Y144" s="2">
        <v>0</v>
      </c>
      <c r="Z144" s="2">
        <v>1003.0674375</v>
      </c>
    </row>
    <row r="145" spans="1:26" x14ac:dyDescent="0.25">
      <c r="A145" s="1">
        <v>45460</v>
      </c>
      <c r="B145" s="2">
        <v>250.8</v>
      </c>
      <c r="C145" s="2">
        <v>44</v>
      </c>
      <c r="D145" s="2">
        <v>16.5</v>
      </c>
      <c r="E145" s="2">
        <v>97</v>
      </c>
      <c r="F145" s="2">
        <v>116</v>
      </c>
      <c r="G145" s="2">
        <v>71</v>
      </c>
      <c r="H145" s="2">
        <v>78</v>
      </c>
      <c r="I145" s="2">
        <v>96.8</v>
      </c>
      <c r="J145" s="2">
        <v>124</v>
      </c>
      <c r="K145" s="2">
        <v>67</v>
      </c>
      <c r="L145" s="2">
        <v>64</v>
      </c>
      <c r="M145" s="2">
        <v>8</v>
      </c>
      <c r="N145" s="2">
        <v>35.982122448979595</v>
      </c>
      <c r="O145" s="2">
        <v>31.324493175702337</v>
      </c>
      <c r="P145">
        <v>1</v>
      </c>
      <c r="Q145">
        <v>0</v>
      </c>
      <c r="R145" s="2">
        <v>4050.583333333333</v>
      </c>
      <c r="S145" s="2">
        <v>644.8366666666667</v>
      </c>
      <c r="T145" s="2">
        <v>105.22500000000001</v>
      </c>
      <c r="U145" s="2">
        <v>89.060000000000016</v>
      </c>
      <c r="V145" s="2">
        <v>28.563333333333333</v>
      </c>
      <c r="W145" s="2">
        <v>436.60500000000002</v>
      </c>
      <c r="X145" s="2">
        <v>133.69999999999999</v>
      </c>
      <c r="Y145" s="2">
        <v>1.5</v>
      </c>
      <c r="Z145" s="2">
        <v>947.02499999999998</v>
      </c>
    </row>
    <row r="146" spans="1:26" x14ac:dyDescent="0.25">
      <c r="A146" s="1">
        <v>45461</v>
      </c>
      <c r="B146" s="2">
        <v>252.8</v>
      </c>
      <c r="C146" s="2">
        <v>44</v>
      </c>
      <c r="D146" s="2">
        <v>16.5</v>
      </c>
      <c r="E146" s="2">
        <v>96.2</v>
      </c>
      <c r="F146" s="2">
        <v>128</v>
      </c>
      <c r="G146" s="2">
        <v>70</v>
      </c>
      <c r="H146" s="2">
        <v>63</v>
      </c>
      <c r="I146" s="2">
        <v>96.4</v>
      </c>
      <c r="J146" s="2">
        <v>121</v>
      </c>
      <c r="K146" s="2">
        <v>75</v>
      </c>
      <c r="L146" s="2">
        <v>66</v>
      </c>
      <c r="M146" s="2">
        <v>6</v>
      </c>
      <c r="N146" s="2">
        <v>36.269061224489796</v>
      </c>
      <c r="O146" s="2">
        <v>31.324493175702337</v>
      </c>
      <c r="P146">
        <v>1</v>
      </c>
      <c r="Q146">
        <v>0</v>
      </c>
      <c r="R146" s="2">
        <v>2263.6781249999999</v>
      </c>
      <c r="S146" s="2">
        <v>391.88270833333331</v>
      </c>
      <c r="T146" s="2">
        <v>52.483062500000003</v>
      </c>
      <c r="U146" s="2">
        <v>66.492854166666675</v>
      </c>
      <c r="V146" s="2">
        <v>7.2525833333333329</v>
      </c>
      <c r="W146" s="2">
        <v>349.62943749999999</v>
      </c>
      <c r="X146" s="2">
        <v>114</v>
      </c>
      <c r="Y146" s="2">
        <v>0.5</v>
      </c>
      <c r="Z146" s="2">
        <v>472.34756250000004</v>
      </c>
    </row>
    <row r="147" spans="1:26" x14ac:dyDescent="0.25">
      <c r="A147" s="1">
        <v>45462</v>
      </c>
      <c r="B147" s="2">
        <v>251</v>
      </c>
      <c r="C147" s="2">
        <v>44</v>
      </c>
      <c r="D147" s="2">
        <v>16.5</v>
      </c>
      <c r="E147" s="2">
        <v>96.4</v>
      </c>
      <c r="F147" s="2">
        <v>140</v>
      </c>
      <c r="G147" s="2">
        <v>77</v>
      </c>
      <c r="H147" s="2">
        <v>74</v>
      </c>
      <c r="I147" s="2">
        <v>98.2</v>
      </c>
      <c r="J147" s="2">
        <v>139</v>
      </c>
      <c r="K147" s="2">
        <v>72</v>
      </c>
      <c r="L147" s="2">
        <v>89</v>
      </c>
      <c r="M147" s="2">
        <v>4</v>
      </c>
      <c r="N147" s="2">
        <v>36.010816326530609</v>
      </c>
      <c r="O147" s="2">
        <v>31.324493175702337</v>
      </c>
      <c r="P147">
        <v>0</v>
      </c>
      <c r="Q147">
        <v>0</v>
      </c>
      <c r="R147" s="2">
        <v>10</v>
      </c>
      <c r="S147" s="2">
        <v>3</v>
      </c>
      <c r="T147" s="2">
        <v>0</v>
      </c>
      <c r="U147" s="2">
        <v>0</v>
      </c>
      <c r="V147" s="2">
        <v>0</v>
      </c>
      <c r="W147" s="2">
        <v>2</v>
      </c>
      <c r="X147" s="2">
        <v>1</v>
      </c>
      <c r="Y147" s="2">
        <v>0.25</v>
      </c>
      <c r="Z147" s="2">
        <v>0</v>
      </c>
    </row>
    <row r="148" spans="1:26" x14ac:dyDescent="0.25">
      <c r="A148" s="1">
        <v>45463</v>
      </c>
      <c r="B148" s="2">
        <v>249.4</v>
      </c>
      <c r="C148" s="2">
        <v>44</v>
      </c>
      <c r="D148" s="2">
        <v>16.5</v>
      </c>
      <c r="E148" s="2">
        <v>96.9</v>
      </c>
      <c r="F148" s="2">
        <v>138</v>
      </c>
      <c r="G148" s="2">
        <v>78</v>
      </c>
      <c r="H148" s="2">
        <v>75</v>
      </c>
      <c r="I148" s="2">
        <v>98.4</v>
      </c>
      <c r="J148" s="2">
        <v>125</v>
      </c>
      <c r="K148" s="2">
        <v>75</v>
      </c>
      <c r="L148" s="2">
        <v>90</v>
      </c>
      <c r="M148" s="2">
        <v>5</v>
      </c>
      <c r="N148" s="2">
        <v>35.781265306122449</v>
      </c>
      <c r="O148" s="2">
        <v>31.324493175702337</v>
      </c>
      <c r="P148">
        <v>1</v>
      </c>
      <c r="Q148">
        <v>0</v>
      </c>
      <c r="R148" s="2">
        <v>2235.6781249999999</v>
      </c>
      <c r="S148" s="2">
        <v>412.28270833333335</v>
      </c>
      <c r="T148" s="2">
        <v>47.483062500000003</v>
      </c>
      <c r="U148" s="2">
        <v>63.492854166666667</v>
      </c>
      <c r="V148" s="2">
        <v>15.252583333333332</v>
      </c>
      <c r="W148" s="2">
        <v>372.02943750000003</v>
      </c>
      <c r="X148" s="2">
        <v>102</v>
      </c>
      <c r="Y148" s="2">
        <v>0</v>
      </c>
      <c r="Z148" s="2">
        <v>427.34756250000004</v>
      </c>
    </row>
    <row r="149" spans="1:26" x14ac:dyDescent="0.25">
      <c r="A149" s="1">
        <v>45464</v>
      </c>
      <c r="B149" s="2">
        <v>253.6</v>
      </c>
      <c r="C149" s="2">
        <v>44</v>
      </c>
      <c r="D149" s="2">
        <v>16.5</v>
      </c>
      <c r="E149" s="2">
        <v>96.5</v>
      </c>
      <c r="F149" s="2">
        <v>126</v>
      </c>
      <c r="G149" s="2">
        <v>69</v>
      </c>
      <c r="H149" s="2">
        <v>68</v>
      </c>
      <c r="I149" s="2">
        <v>98.6</v>
      </c>
      <c r="J149" s="2">
        <v>129</v>
      </c>
      <c r="K149" s="2">
        <v>77</v>
      </c>
      <c r="L149" s="2">
        <v>91</v>
      </c>
      <c r="M149" s="2">
        <v>6</v>
      </c>
      <c r="N149" s="2">
        <v>36.38383673469388</v>
      </c>
      <c r="O149" s="2">
        <v>31.324493175702337</v>
      </c>
      <c r="P149">
        <v>0</v>
      </c>
      <c r="Q149">
        <v>0</v>
      </c>
      <c r="R149" s="2">
        <v>6047</v>
      </c>
      <c r="S149" s="2">
        <v>759.4</v>
      </c>
      <c r="T149" s="2">
        <v>264.5</v>
      </c>
      <c r="U149" s="2">
        <v>123.5</v>
      </c>
      <c r="V149" s="2">
        <v>45.5</v>
      </c>
      <c r="W149" s="2">
        <v>330.4</v>
      </c>
      <c r="X149" s="2">
        <v>70</v>
      </c>
      <c r="Y149" s="2">
        <v>0</v>
      </c>
      <c r="Z149" s="2">
        <v>2380.5</v>
      </c>
    </row>
    <row r="150" spans="1:26" x14ac:dyDescent="0.25">
      <c r="A150" s="1">
        <v>45465</v>
      </c>
      <c r="B150" s="2">
        <v>254.6</v>
      </c>
      <c r="C150" s="2">
        <v>44</v>
      </c>
      <c r="D150" s="2">
        <v>16.5</v>
      </c>
      <c r="E150" s="2">
        <v>96</v>
      </c>
      <c r="F150" s="2">
        <v>119</v>
      </c>
      <c r="G150" s="2">
        <v>79</v>
      </c>
      <c r="H150" s="2">
        <v>75</v>
      </c>
      <c r="I150" s="2">
        <v>98.2</v>
      </c>
      <c r="J150" s="2">
        <v>141</v>
      </c>
      <c r="K150" s="2">
        <v>86</v>
      </c>
      <c r="L150" s="2">
        <v>91</v>
      </c>
      <c r="M150" s="2">
        <v>3</v>
      </c>
      <c r="N150" s="2">
        <v>36.527306122448977</v>
      </c>
      <c r="O150" s="2">
        <v>31.324493175702337</v>
      </c>
      <c r="P150">
        <v>0</v>
      </c>
      <c r="Q150">
        <v>0</v>
      </c>
      <c r="R150" s="2">
        <v>2667</v>
      </c>
      <c r="S150" s="2">
        <v>441.4</v>
      </c>
      <c r="T150" s="2">
        <v>82.5</v>
      </c>
      <c r="U150" s="2">
        <v>41</v>
      </c>
      <c r="V150" s="2">
        <v>12.5</v>
      </c>
      <c r="W150" s="2">
        <v>296.39999999999998</v>
      </c>
      <c r="X150" s="2">
        <v>56</v>
      </c>
      <c r="Y150" s="2">
        <v>0</v>
      </c>
      <c r="Z150" s="2">
        <v>742.5</v>
      </c>
    </row>
    <row r="151" spans="1:26" x14ac:dyDescent="0.25">
      <c r="A151" s="1">
        <v>45466</v>
      </c>
      <c r="B151" s="2">
        <v>253</v>
      </c>
      <c r="C151" s="2">
        <v>44</v>
      </c>
      <c r="D151" s="2">
        <v>16.5</v>
      </c>
      <c r="E151" s="2">
        <v>96.9</v>
      </c>
      <c r="F151" s="2">
        <v>132</v>
      </c>
      <c r="G151" s="2">
        <v>81</v>
      </c>
      <c r="H151" s="2">
        <v>65</v>
      </c>
      <c r="I151" s="2">
        <v>98.3</v>
      </c>
      <c r="J151" s="2">
        <v>136</v>
      </c>
      <c r="K151" s="2">
        <v>82</v>
      </c>
      <c r="L151" s="2">
        <v>89</v>
      </c>
      <c r="M151" s="2">
        <v>9</v>
      </c>
      <c r="N151" s="2">
        <v>36.297755102040817</v>
      </c>
      <c r="O151" s="2">
        <v>31.324493175702337</v>
      </c>
      <c r="P151">
        <v>1</v>
      </c>
      <c r="Q151">
        <v>0</v>
      </c>
      <c r="R151" s="2">
        <v>2940</v>
      </c>
      <c r="S151" s="2">
        <v>420.5</v>
      </c>
      <c r="T151" s="2">
        <v>99.2</v>
      </c>
      <c r="U151" s="2">
        <v>98.4</v>
      </c>
      <c r="V151" s="2">
        <v>8.1999999999999993</v>
      </c>
      <c r="W151" s="2">
        <v>295.10000000000002</v>
      </c>
      <c r="X151" s="2">
        <v>69</v>
      </c>
      <c r="Y151" s="2">
        <v>0</v>
      </c>
      <c r="Z151" s="2">
        <v>892.8</v>
      </c>
    </row>
    <row r="152" spans="1:26" x14ac:dyDescent="0.25">
      <c r="A152" s="1">
        <v>45467</v>
      </c>
      <c r="B152" s="2">
        <v>254</v>
      </c>
      <c r="C152" s="2">
        <v>44</v>
      </c>
      <c r="D152" s="2">
        <v>16.5</v>
      </c>
      <c r="E152" s="2">
        <v>96.5</v>
      </c>
      <c r="F152" s="2">
        <v>138</v>
      </c>
      <c r="G152" s="2">
        <v>80</v>
      </c>
      <c r="H152" s="2">
        <v>76</v>
      </c>
      <c r="I152" s="2">
        <v>98.5</v>
      </c>
      <c r="J152" s="2">
        <v>136</v>
      </c>
      <c r="K152" s="2">
        <v>80</v>
      </c>
      <c r="L152" s="2">
        <v>90</v>
      </c>
      <c r="M152" s="2">
        <v>12</v>
      </c>
      <c r="N152" s="2">
        <v>36.441224489795914</v>
      </c>
      <c r="O152" s="2">
        <v>31.324493175702337</v>
      </c>
      <c r="P152">
        <v>0</v>
      </c>
      <c r="Q152">
        <v>0</v>
      </c>
      <c r="R152" s="2">
        <v>1592</v>
      </c>
      <c r="S152" s="2">
        <v>244.8</v>
      </c>
      <c r="T152" s="2">
        <v>47</v>
      </c>
      <c r="U152" s="2">
        <v>46</v>
      </c>
      <c r="V152" s="2">
        <v>2</v>
      </c>
      <c r="W152" s="2">
        <v>140.80000000000001</v>
      </c>
      <c r="X152" s="2">
        <v>56</v>
      </c>
      <c r="Y152" s="2">
        <v>0</v>
      </c>
      <c r="Z152" s="2">
        <v>423</v>
      </c>
    </row>
    <row r="153" spans="1:26" x14ac:dyDescent="0.25">
      <c r="A153" s="1">
        <v>45468</v>
      </c>
      <c r="B153" s="2">
        <v>253</v>
      </c>
      <c r="C153" s="2">
        <v>44</v>
      </c>
      <c r="D153" s="2">
        <v>16.5</v>
      </c>
      <c r="E153" s="2">
        <v>94.2</v>
      </c>
      <c r="F153" s="2">
        <v>124</v>
      </c>
      <c r="G153" s="2">
        <v>75</v>
      </c>
      <c r="H153" s="2">
        <v>82</v>
      </c>
      <c r="I153" s="2">
        <v>98.1</v>
      </c>
      <c r="J153" s="2">
        <v>131</v>
      </c>
      <c r="K153" s="2">
        <v>77</v>
      </c>
      <c r="L153" s="2">
        <v>87</v>
      </c>
      <c r="M153" s="2">
        <v>8</v>
      </c>
      <c r="N153" s="2">
        <v>36.297755102040817</v>
      </c>
      <c r="O153" s="2">
        <v>31.324493175702337</v>
      </c>
      <c r="P153">
        <v>0</v>
      </c>
      <c r="Q153">
        <v>0</v>
      </c>
      <c r="R153" s="2">
        <v>5802.7849999999999</v>
      </c>
      <c r="S153" s="2">
        <v>833.42620370370378</v>
      </c>
      <c r="T153" s="2">
        <v>216.76972222222221</v>
      </c>
      <c r="U153" s="2">
        <v>143.81657407407408</v>
      </c>
      <c r="V153" s="2">
        <v>10.941203703703703</v>
      </c>
      <c r="W153" s="2">
        <v>525.43208333333337</v>
      </c>
      <c r="X153" s="2">
        <v>129.17000000000002</v>
      </c>
      <c r="Y153" s="2">
        <v>0</v>
      </c>
      <c r="Z153" s="2">
        <v>1950.9275</v>
      </c>
    </row>
    <row r="154" spans="1:26" x14ac:dyDescent="0.25">
      <c r="A154" s="1">
        <v>45469</v>
      </c>
      <c r="B154" s="2">
        <v>251.8</v>
      </c>
      <c r="C154" s="2">
        <v>44</v>
      </c>
      <c r="D154" s="2">
        <v>16.5</v>
      </c>
      <c r="E154" s="2">
        <v>96.7</v>
      </c>
      <c r="F154" s="2">
        <v>124</v>
      </c>
      <c r="G154" s="2">
        <v>74</v>
      </c>
      <c r="H154" s="2">
        <v>75</v>
      </c>
      <c r="I154" s="2">
        <v>98</v>
      </c>
      <c r="J154" s="2">
        <v>135</v>
      </c>
      <c r="K154" s="2">
        <v>79</v>
      </c>
      <c r="L154" s="2">
        <v>90</v>
      </c>
      <c r="M154" s="2">
        <v>6</v>
      </c>
      <c r="N154" s="2">
        <v>36.125591836734699</v>
      </c>
      <c r="O154" s="2">
        <v>31.324493175702337</v>
      </c>
      <c r="P154">
        <v>0</v>
      </c>
      <c r="Q154">
        <v>0</v>
      </c>
      <c r="R154" s="2">
        <v>1316.9749999999999</v>
      </c>
      <c r="S154" s="2">
        <v>186.535</v>
      </c>
      <c r="T154" s="2">
        <v>56.275000000000006</v>
      </c>
      <c r="U154" s="2">
        <v>27.375</v>
      </c>
      <c r="V154" s="2">
        <v>27.005000000000003</v>
      </c>
      <c r="W154" s="2">
        <v>82.004999999999995</v>
      </c>
      <c r="X154" s="2">
        <v>15.33</v>
      </c>
      <c r="Y154" s="2">
        <v>0</v>
      </c>
      <c r="Z154" s="2">
        <v>506.47499999999997</v>
      </c>
    </row>
    <row r="155" spans="1:26" x14ac:dyDescent="0.25">
      <c r="A155" s="1">
        <v>45470</v>
      </c>
      <c r="B155" s="2">
        <v>251.4</v>
      </c>
      <c r="C155" s="2">
        <v>44</v>
      </c>
      <c r="D155" s="2">
        <v>16.5</v>
      </c>
      <c r="E155" s="2">
        <v>95.3</v>
      </c>
      <c r="F155" s="2">
        <v>122</v>
      </c>
      <c r="G155" s="2">
        <v>72</v>
      </c>
      <c r="H155" s="2">
        <v>66</v>
      </c>
      <c r="I155" s="2">
        <v>97.6</v>
      </c>
      <c r="J155" s="2">
        <v>133</v>
      </c>
      <c r="K155" s="2">
        <v>77</v>
      </c>
      <c r="L155" s="2">
        <v>86</v>
      </c>
      <c r="M155" s="2">
        <v>12</v>
      </c>
      <c r="N155" s="2">
        <v>36.068204081632651</v>
      </c>
      <c r="O155" s="2">
        <v>31.324493175702337</v>
      </c>
      <c r="P155">
        <v>0</v>
      </c>
      <c r="Q155">
        <v>0</v>
      </c>
      <c r="R155" s="2">
        <v>1219.3699999999999</v>
      </c>
      <c r="S155" s="2">
        <v>127.9124074074074</v>
      </c>
      <c r="T155" s="2">
        <v>54.449444444444445</v>
      </c>
      <c r="U155" s="2">
        <v>60.013148148148147</v>
      </c>
      <c r="V155" s="2">
        <v>6.4824074074074067</v>
      </c>
      <c r="W155" s="2">
        <v>67.68416666666667</v>
      </c>
      <c r="X155" s="2">
        <v>5</v>
      </c>
      <c r="Y155" s="2">
        <v>0.5</v>
      </c>
      <c r="Z155" s="2">
        <v>490.04500000000002</v>
      </c>
    </row>
    <row r="156" spans="1:26" x14ac:dyDescent="0.25">
      <c r="A156" s="1">
        <v>45471</v>
      </c>
      <c r="B156" s="2">
        <v>249.2</v>
      </c>
      <c r="C156" s="2">
        <v>44</v>
      </c>
      <c r="D156" s="2">
        <v>16.5</v>
      </c>
      <c r="E156" s="2">
        <v>95.8</v>
      </c>
      <c r="F156" s="2">
        <v>123</v>
      </c>
      <c r="G156" s="2">
        <v>77</v>
      </c>
      <c r="H156" s="2">
        <v>85</v>
      </c>
      <c r="I156" s="2">
        <v>97.1</v>
      </c>
      <c r="J156" s="2">
        <v>117</v>
      </c>
      <c r="K156" s="2">
        <v>68</v>
      </c>
      <c r="L156" s="2">
        <v>66</v>
      </c>
      <c r="M156" s="2">
        <v>14</v>
      </c>
      <c r="N156" s="2">
        <v>35.752571428571429</v>
      </c>
      <c r="O156" s="2">
        <v>31.324493175702337</v>
      </c>
      <c r="P156">
        <v>0</v>
      </c>
      <c r="Q156">
        <v>0</v>
      </c>
      <c r="R156" s="2">
        <v>2270.0566666666668</v>
      </c>
      <c r="S156" s="2">
        <v>329.8830740740741</v>
      </c>
      <c r="T156" s="2">
        <v>57.797444444444444</v>
      </c>
      <c r="U156" s="2">
        <v>108.97481481481483</v>
      </c>
      <c r="V156" s="2">
        <v>44.937407407407406</v>
      </c>
      <c r="W156" s="2">
        <v>207.9385</v>
      </c>
      <c r="X156" s="2">
        <v>73.42</v>
      </c>
      <c r="Y156" s="2">
        <v>0.5</v>
      </c>
      <c r="Z156" s="2">
        <v>520.17699999999991</v>
      </c>
    </row>
    <row r="157" spans="1:26" x14ac:dyDescent="0.25">
      <c r="A157" s="1">
        <v>45472</v>
      </c>
      <c r="B157" s="2">
        <v>252.8</v>
      </c>
      <c r="C157" s="2">
        <v>44</v>
      </c>
      <c r="D157" s="2">
        <v>16.5</v>
      </c>
      <c r="E157" s="2">
        <v>96.9</v>
      </c>
      <c r="F157" s="2">
        <v>124</v>
      </c>
      <c r="G157" s="2">
        <v>78</v>
      </c>
      <c r="H157" s="2">
        <v>77</v>
      </c>
      <c r="I157" s="2">
        <v>96.9</v>
      </c>
      <c r="J157" s="2">
        <v>116</v>
      </c>
      <c r="K157" s="2">
        <v>68</v>
      </c>
      <c r="L157" s="2">
        <v>66</v>
      </c>
      <c r="M157" s="2">
        <v>8</v>
      </c>
      <c r="N157" s="2">
        <v>36.269061224489796</v>
      </c>
      <c r="O157" s="2">
        <v>31.324493175702337</v>
      </c>
      <c r="P157">
        <v>0</v>
      </c>
      <c r="Q157">
        <v>0</v>
      </c>
      <c r="R157" s="2">
        <v>2812.5150000000003</v>
      </c>
      <c r="S157" s="2">
        <v>441.84981481481475</v>
      </c>
      <c r="T157" s="2">
        <v>74.048888888888882</v>
      </c>
      <c r="U157" s="2">
        <v>109.3012962962963</v>
      </c>
      <c r="V157" s="2">
        <v>14.939814814814813</v>
      </c>
      <c r="W157" s="2">
        <v>345.24333333333334</v>
      </c>
      <c r="X157" s="2">
        <v>106</v>
      </c>
      <c r="Y157" s="2">
        <v>0</v>
      </c>
      <c r="Z157" s="2">
        <v>666.44</v>
      </c>
    </row>
    <row r="158" spans="1:26" x14ac:dyDescent="0.25">
      <c r="A158" s="1">
        <v>45473</v>
      </c>
      <c r="B158" s="2">
        <v>253</v>
      </c>
      <c r="C158" s="2">
        <v>44</v>
      </c>
      <c r="D158" s="2">
        <v>16.5</v>
      </c>
      <c r="E158" s="2">
        <v>97</v>
      </c>
      <c r="F158" s="2">
        <v>140</v>
      </c>
      <c r="G158" s="2">
        <v>87</v>
      </c>
      <c r="H158" s="2">
        <v>78</v>
      </c>
      <c r="I158" s="2">
        <v>97.1</v>
      </c>
      <c r="J158" s="2">
        <v>118</v>
      </c>
      <c r="K158" s="2">
        <v>67</v>
      </c>
      <c r="L158" s="2">
        <v>67</v>
      </c>
      <c r="M158" s="2">
        <v>6</v>
      </c>
      <c r="N158" s="2">
        <v>36.297755102040817</v>
      </c>
      <c r="O158" s="2">
        <v>31.324493175702337</v>
      </c>
      <c r="P158">
        <v>0</v>
      </c>
      <c r="Q158">
        <v>0</v>
      </c>
      <c r="R158" s="2">
        <v>7104.37</v>
      </c>
      <c r="S158" s="2">
        <v>816.91240740740739</v>
      </c>
      <c r="T158" s="2">
        <v>277.44944444444445</v>
      </c>
      <c r="U158" s="2">
        <v>221.01314814814816</v>
      </c>
      <c r="V158" s="2">
        <v>51.982407407407408</v>
      </c>
      <c r="W158" s="2">
        <v>292.68416666666667</v>
      </c>
      <c r="X158" s="2">
        <v>101</v>
      </c>
      <c r="Y158" s="2">
        <v>0</v>
      </c>
      <c r="Z158" s="2">
        <v>2497.0450000000001</v>
      </c>
    </row>
    <row r="159" spans="1:26" x14ac:dyDescent="0.25">
      <c r="A159" s="1">
        <v>45474</v>
      </c>
      <c r="B159" s="2">
        <v>259</v>
      </c>
      <c r="C159" s="2">
        <v>44.5</v>
      </c>
      <c r="D159" s="2">
        <v>16.5</v>
      </c>
      <c r="E159" s="2">
        <v>97.2</v>
      </c>
      <c r="F159" s="2">
        <v>140</v>
      </c>
      <c r="G159" s="2">
        <v>80</v>
      </c>
      <c r="H159" s="2">
        <v>86</v>
      </c>
      <c r="I159" s="2">
        <v>97</v>
      </c>
      <c r="J159" s="2">
        <v>137</v>
      </c>
      <c r="K159" s="2">
        <v>67</v>
      </c>
      <c r="L159" s="2">
        <v>65</v>
      </c>
      <c r="M159" s="2">
        <v>6</v>
      </c>
      <c r="N159" s="2">
        <v>37.158571428571427</v>
      </c>
      <c r="O159" s="2">
        <v>31.997550455105717</v>
      </c>
      <c r="P159">
        <v>0</v>
      </c>
      <c r="Q159">
        <v>0</v>
      </c>
      <c r="R159" s="2">
        <v>1995.5166666666667</v>
      </c>
      <c r="S159" s="2">
        <v>299.86666666666667</v>
      </c>
      <c r="T159" s="2">
        <v>55.525000000000006</v>
      </c>
      <c r="U159" s="2">
        <v>83.666666666666686</v>
      </c>
      <c r="V159" s="2">
        <v>57.7</v>
      </c>
      <c r="W159" s="2">
        <v>185.90833333333333</v>
      </c>
      <c r="X159" s="2">
        <v>44</v>
      </c>
      <c r="Y159" s="2">
        <v>0</v>
      </c>
      <c r="Z159" s="2">
        <v>499.72500000000002</v>
      </c>
    </row>
    <row r="160" spans="1:26" x14ac:dyDescent="0.25">
      <c r="A160" s="1">
        <v>45475</v>
      </c>
      <c r="B160" s="2">
        <v>254.8</v>
      </c>
      <c r="C160" s="2">
        <v>44.5</v>
      </c>
      <c r="D160" s="2">
        <v>16.5</v>
      </c>
      <c r="E160" s="2">
        <v>96.8</v>
      </c>
      <c r="F160" s="2">
        <v>129</v>
      </c>
      <c r="G160" s="2">
        <v>87</v>
      </c>
      <c r="H160" s="2">
        <v>70</v>
      </c>
      <c r="I160" s="2">
        <v>97.6</v>
      </c>
      <c r="J160" s="2">
        <v>135</v>
      </c>
      <c r="K160" s="2">
        <v>69</v>
      </c>
      <c r="L160" s="2">
        <v>67</v>
      </c>
      <c r="M160" s="2">
        <v>12</v>
      </c>
      <c r="N160" s="2">
        <v>36.556000000000004</v>
      </c>
      <c r="O160" s="2">
        <v>31.997550455105717</v>
      </c>
      <c r="P160">
        <v>0</v>
      </c>
      <c r="Q160">
        <v>0</v>
      </c>
      <c r="R160" s="2">
        <v>2392.7399999999998</v>
      </c>
      <c r="S160" s="2">
        <v>133.42481481481479</v>
      </c>
      <c r="T160" s="2">
        <v>135.09888888888889</v>
      </c>
      <c r="U160" s="2">
        <v>182.4262962962963</v>
      </c>
      <c r="V160" s="2">
        <v>14.164814814814813</v>
      </c>
      <c r="W160" s="2">
        <v>31.368333333333336</v>
      </c>
      <c r="X160" s="2">
        <v>21</v>
      </c>
      <c r="Y160" s="2">
        <v>1</v>
      </c>
      <c r="Z160" s="2">
        <v>1215.8900000000001</v>
      </c>
    </row>
    <row r="161" spans="1:26" x14ac:dyDescent="0.25">
      <c r="A161" s="1">
        <v>45476</v>
      </c>
      <c r="B161" s="2">
        <v>252.8</v>
      </c>
      <c r="C161" s="2">
        <v>44.5</v>
      </c>
      <c r="D161" s="2">
        <v>16.5</v>
      </c>
      <c r="E161" s="2">
        <v>96.7</v>
      </c>
      <c r="F161" s="2">
        <v>124</v>
      </c>
      <c r="G161" s="2">
        <v>69</v>
      </c>
      <c r="H161" s="2">
        <v>66</v>
      </c>
      <c r="I161" s="2">
        <v>96.9</v>
      </c>
      <c r="J161" s="2">
        <v>134</v>
      </c>
      <c r="K161" s="2">
        <v>75</v>
      </c>
      <c r="L161" s="2">
        <v>72</v>
      </c>
      <c r="M161" s="2">
        <v>8</v>
      </c>
      <c r="N161" s="2">
        <v>36.269061224489796</v>
      </c>
      <c r="O161" s="2">
        <v>31.997550455105717</v>
      </c>
      <c r="P161">
        <v>1</v>
      </c>
      <c r="Q161">
        <v>1</v>
      </c>
      <c r="R161" s="2">
        <v>1908.2166666666665</v>
      </c>
      <c r="S161" s="2">
        <v>213.73666666666668</v>
      </c>
      <c r="T161" s="2">
        <v>173.85499999999999</v>
      </c>
      <c r="U161" s="2">
        <v>97.006666666666675</v>
      </c>
      <c r="V161" s="2">
        <v>59.470000000000006</v>
      </c>
      <c r="W161" s="2">
        <v>50.18833333333334</v>
      </c>
      <c r="X161" s="2">
        <v>38.5</v>
      </c>
      <c r="Y161" s="2">
        <v>2</v>
      </c>
      <c r="Z161" s="2">
        <v>1564.6949999999999</v>
      </c>
    </row>
    <row r="162" spans="1:26" x14ac:dyDescent="0.25">
      <c r="A162" s="1">
        <v>45477</v>
      </c>
      <c r="B162" s="2">
        <v>251.8</v>
      </c>
      <c r="C162" s="2">
        <v>44.5</v>
      </c>
      <c r="D162" s="2">
        <v>16.5</v>
      </c>
      <c r="E162" s="2">
        <v>96.4</v>
      </c>
      <c r="F162" s="2">
        <v>123</v>
      </c>
      <c r="G162" s="2">
        <v>74</v>
      </c>
      <c r="H162" s="2">
        <v>69</v>
      </c>
      <c r="I162" s="2">
        <v>96.9</v>
      </c>
      <c r="J162" s="2">
        <v>135</v>
      </c>
      <c r="K162" s="2">
        <v>69</v>
      </c>
      <c r="L162" s="2">
        <v>71</v>
      </c>
      <c r="M162" s="2">
        <v>8</v>
      </c>
      <c r="N162" s="2">
        <v>36.125591836734699</v>
      </c>
      <c r="O162" s="2">
        <v>31.997550455105717</v>
      </c>
      <c r="P162">
        <v>0</v>
      </c>
      <c r="Q162">
        <v>0</v>
      </c>
      <c r="R162" s="2">
        <v>4115.6466666666665</v>
      </c>
      <c r="S162" s="2">
        <v>463.25366666666667</v>
      </c>
      <c r="T162" s="2">
        <v>172.392</v>
      </c>
      <c r="U162" s="2">
        <v>144.58466666666666</v>
      </c>
      <c r="V162" s="2">
        <v>28.869</v>
      </c>
      <c r="W162" s="2">
        <v>218.47633333333334</v>
      </c>
      <c r="X162" s="2">
        <v>64.39</v>
      </c>
      <c r="Y162" s="2">
        <v>1</v>
      </c>
      <c r="Z162" s="2">
        <v>1551.528</v>
      </c>
    </row>
    <row r="163" spans="1:26" x14ac:dyDescent="0.25">
      <c r="A163" s="1">
        <v>45478</v>
      </c>
      <c r="B163" s="2">
        <v>254.8</v>
      </c>
      <c r="C163" s="2">
        <v>44.5</v>
      </c>
      <c r="D163" s="2">
        <v>16.5</v>
      </c>
      <c r="E163" s="2">
        <v>97.2</v>
      </c>
      <c r="F163" s="2">
        <v>144</v>
      </c>
      <c r="G163" s="2">
        <v>83</v>
      </c>
      <c r="H163" s="2">
        <v>99</v>
      </c>
      <c r="I163" s="2">
        <v>96.8</v>
      </c>
      <c r="J163" s="2">
        <v>124</v>
      </c>
      <c r="K163" s="2">
        <v>72</v>
      </c>
      <c r="L163" s="2">
        <v>74</v>
      </c>
      <c r="M163" s="2">
        <v>6</v>
      </c>
      <c r="N163" s="2">
        <v>36.556000000000004</v>
      </c>
      <c r="O163" s="2">
        <v>31.997550455105717</v>
      </c>
      <c r="P163">
        <v>0</v>
      </c>
      <c r="Q163">
        <v>0</v>
      </c>
      <c r="R163" s="2">
        <v>2253.5166666666664</v>
      </c>
      <c r="S163" s="2">
        <v>285.66666666666663</v>
      </c>
      <c r="T163" s="2">
        <v>74.325000000000003</v>
      </c>
      <c r="U163" s="2">
        <v>94.26666666666668</v>
      </c>
      <c r="V163" s="2">
        <v>18</v>
      </c>
      <c r="W163" s="2">
        <v>168.30833333333334</v>
      </c>
      <c r="X163" s="2">
        <v>65</v>
      </c>
      <c r="Y163" s="2">
        <v>1</v>
      </c>
      <c r="Z163" s="2">
        <v>668.92499999999995</v>
      </c>
    </row>
    <row r="164" spans="1:26" x14ac:dyDescent="0.25">
      <c r="A164" s="1">
        <v>45479</v>
      </c>
      <c r="B164" s="2">
        <v>255</v>
      </c>
      <c r="C164" s="2">
        <v>44.5</v>
      </c>
      <c r="D164" s="2">
        <v>16.5</v>
      </c>
      <c r="E164" s="2">
        <v>97.3</v>
      </c>
      <c r="F164" s="2">
        <v>133</v>
      </c>
      <c r="G164" s="2">
        <v>83</v>
      </c>
      <c r="H164" s="2">
        <v>76</v>
      </c>
      <c r="I164" s="2">
        <v>97.8</v>
      </c>
      <c r="J164" s="2">
        <v>134</v>
      </c>
      <c r="K164" s="2">
        <v>77</v>
      </c>
      <c r="L164" s="2">
        <v>77</v>
      </c>
      <c r="M164" s="2">
        <v>6</v>
      </c>
      <c r="N164" s="2">
        <v>36.584693877551018</v>
      </c>
      <c r="O164" s="2">
        <v>31.997550455105717</v>
      </c>
      <c r="P164">
        <v>0</v>
      </c>
      <c r="Q164">
        <v>0</v>
      </c>
      <c r="R164" s="2">
        <v>4339.55</v>
      </c>
      <c r="S164" s="2">
        <v>871.2</v>
      </c>
      <c r="T164" s="2">
        <v>39.975000000000001</v>
      </c>
      <c r="U164" s="2">
        <v>122.00000000000001</v>
      </c>
      <c r="V164" s="2">
        <v>39.6</v>
      </c>
      <c r="W164" s="2">
        <v>751.32500000000005</v>
      </c>
      <c r="X164" s="2">
        <v>147</v>
      </c>
      <c r="Y164" s="2">
        <v>0</v>
      </c>
      <c r="Z164" s="2">
        <v>359.77499999999998</v>
      </c>
    </row>
    <row r="165" spans="1:26" x14ac:dyDescent="0.25">
      <c r="A165" s="1">
        <v>45480</v>
      </c>
      <c r="B165" s="2">
        <v>254.8</v>
      </c>
      <c r="C165" s="2">
        <v>44.5</v>
      </c>
      <c r="D165" s="2">
        <v>16.5</v>
      </c>
      <c r="E165" s="2">
        <v>95.9</v>
      </c>
      <c r="F165" s="2">
        <v>127</v>
      </c>
      <c r="G165" s="2">
        <v>65</v>
      </c>
      <c r="H165" s="2">
        <v>85</v>
      </c>
      <c r="I165" s="2">
        <v>97.3</v>
      </c>
      <c r="J165" s="2">
        <v>129</v>
      </c>
      <c r="K165" s="2">
        <v>76</v>
      </c>
      <c r="L165" s="2">
        <v>74</v>
      </c>
      <c r="M165" s="2">
        <v>19</v>
      </c>
      <c r="N165" s="2">
        <v>36.556000000000004</v>
      </c>
      <c r="O165" s="2">
        <v>31.997550455105717</v>
      </c>
      <c r="P165">
        <v>1</v>
      </c>
      <c r="Q165">
        <v>1</v>
      </c>
      <c r="R165" s="2">
        <v>2963.74</v>
      </c>
      <c r="S165" s="2">
        <v>434.82481481481477</v>
      </c>
      <c r="T165" s="2">
        <v>88.898888888888891</v>
      </c>
      <c r="U165" s="2">
        <v>107.02629629629629</v>
      </c>
      <c r="V165" s="2">
        <v>14.964814814814813</v>
      </c>
      <c r="W165" s="2">
        <v>305.36833333333334</v>
      </c>
      <c r="X165" s="2">
        <v>68</v>
      </c>
      <c r="Y165" s="2">
        <v>1</v>
      </c>
      <c r="Z165" s="2">
        <v>800.09</v>
      </c>
    </row>
    <row r="166" spans="1:26" x14ac:dyDescent="0.25">
      <c r="A166" s="1">
        <v>45481</v>
      </c>
      <c r="B166" s="2">
        <v>251.8</v>
      </c>
      <c r="C166" s="2">
        <v>44.5</v>
      </c>
      <c r="D166" s="2">
        <v>16.5</v>
      </c>
      <c r="E166" s="2">
        <v>97.3</v>
      </c>
      <c r="F166" s="2">
        <v>134</v>
      </c>
      <c r="G166" s="2">
        <v>79</v>
      </c>
      <c r="H166" s="2">
        <v>74</v>
      </c>
      <c r="I166" s="2">
        <v>97.7</v>
      </c>
      <c r="J166" s="2">
        <v>139</v>
      </c>
      <c r="K166" s="2">
        <v>75</v>
      </c>
      <c r="L166" s="2">
        <v>77</v>
      </c>
      <c r="M166" s="2">
        <v>6</v>
      </c>
      <c r="N166" s="2">
        <v>36.125591836734699</v>
      </c>
      <c r="O166" s="2">
        <v>31.997550455105717</v>
      </c>
      <c r="P166">
        <v>0</v>
      </c>
      <c r="Q166">
        <v>0</v>
      </c>
      <c r="R166" s="2">
        <v>5194.74</v>
      </c>
      <c r="S166" s="2">
        <v>666.82481481481477</v>
      </c>
      <c r="T166" s="2">
        <v>211.09888888888889</v>
      </c>
      <c r="U166" s="2">
        <v>157.4262962962963</v>
      </c>
      <c r="V166" s="2">
        <v>39.664814814814818</v>
      </c>
      <c r="W166" s="2">
        <v>342.76833333333332</v>
      </c>
      <c r="X166" s="2">
        <v>59</v>
      </c>
      <c r="Y166" s="2">
        <v>0</v>
      </c>
      <c r="Z166" s="2">
        <v>1899.89</v>
      </c>
    </row>
    <row r="167" spans="1:26" x14ac:dyDescent="0.25">
      <c r="A167" s="1">
        <v>45482</v>
      </c>
      <c r="B167" s="2">
        <v>257.39999999999998</v>
      </c>
      <c r="C167" s="2">
        <v>45</v>
      </c>
      <c r="D167" s="2">
        <v>16.5</v>
      </c>
      <c r="E167" s="2">
        <v>97.6</v>
      </c>
      <c r="F167" s="2">
        <v>124</v>
      </c>
      <c r="G167" s="2">
        <v>70</v>
      </c>
      <c r="H167" s="2">
        <v>68</v>
      </c>
      <c r="I167" s="2">
        <v>96.9</v>
      </c>
      <c r="J167" s="2">
        <v>112</v>
      </c>
      <c r="K167" s="2">
        <v>66</v>
      </c>
      <c r="L167" s="2">
        <v>70</v>
      </c>
      <c r="M167" s="2">
        <v>8</v>
      </c>
      <c r="N167" s="2">
        <v>36.929020408163261</v>
      </c>
      <c r="O167" s="2">
        <v>32.6586945886934</v>
      </c>
      <c r="P167">
        <v>0</v>
      </c>
      <c r="Q167">
        <v>0</v>
      </c>
      <c r="R167" s="2">
        <v>2174</v>
      </c>
      <c r="S167" s="2">
        <v>437.6</v>
      </c>
      <c r="T167" s="2">
        <v>142.5</v>
      </c>
      <c r="U167" s="2">
        <v>47</v>
      </c>
      <c r="V167" s="2">
        <v>42</v>
      </c>
      <c r="W167" s="2">
        <v>321.39999999999998</v>
      </c>
      <c r="X167" s="2">
        <v>75</v>
      </c>
      <c r="Y167" s="2">
        <v>0.75</v>
      </c>
      <c r="Z167" s="2">
        <v>1282.5</v>
      </c>
    </row>
    <row r="168" spans="1:26" x14ac:dyDescent="0.25">
      <c r="A168" s="1">
        <v>45483</v>
      </c>
      <c r="B168" s="2">
        <v>255.8</v>
      </c>
      <c r="C168" s="2">
        <v>45</v>
      </c>
      <c r="D168" s="2">
        <v>16.5</v>
      </c>
      <c r="E168" s="2">
        <v>96.5</v>
      </c>
      <c r="F168" s="2">
        <v>131</v>
      </c>
      <c r="G168" s="2">
        <v>76</v>
      </c>
      <c r="H168" s="2">
        <v>56</v>
      </c>
      <c r="I168" s="2">
        <v>98.6</v>
      </c>
      <c r="J168" s="2">
        <v>144</v>
      </c>
      <c r="K168" s="2">
        <v>80</v>
      </c>
      <c r="L168" s="2">
        <v>77</v>
      </c>
      <c r="M168" s="2">
        <v>8.5</v>
      </c>
      <c r="N168" s="2">
        <v>36.699469387755101</v>
      </c>
      <c r="O168" s="2">
        <v>32.6586945886934</v>
      </c>
      <c r="P168">
        <v>0</v>
      </c>
      <c r="Q168">
        <v>0</v>
      </c>
      <c r="R168" s="2">
        <v>2046.3866666666668</v>
      </c>
      <c r="S168" s="2">
        <v>419.45266666666669</v>
      </c>
      <c r="T168" s="2">
        <v>27.042999999999999</v>
      </c>
      <c r="U168" s="2">
        <v>61.13600000000001</v>
      </c>
      <c r="V168" s="2">
        <v>36.448</v>
      </c>
      <c r="W168" s="2">
        <v>349.86566666666664</v>
      </c>
      <c r="X168" s="2">
        <v>102.94</v>
      </c>
      <c r="Y168" s="2">
        <v>1</v>
      </c>
      <c r="Z168" s="2">
        <v>243.387</v>
      </c>
    </row>
    <row r="169" spans="1:26" x14ac:dyDescent="0.25">
      <c r="A169" s="1">
        <v>45484</v>
      </c>
      <c r="B169" s="2">
        <v>251.8</v>
      </c>
      <c r="C169" s="2">
        <v>44.5</v>
      </c>
      <c r="D169" s="2">
        <v>16.5</v>
      </c>
      <c r="E169" s="2">
        <v>96</v>
      </c>
      <c r="F169" s="2">
        <v>140</v>
      </c>
      <c r="G169" s="2">
        <v>83</v>
      </c>
      <c r="H169" s="2">
        <v>98</v>
      </c>
      <c r="I169" s="2">
        <v>97.1</v>
      </c>
      <c r="J169" s="2">
        <v>148</v>
      </c>
      <c r="K169" s="2">
        <v>74</v>
      </c>
      <c r="L169" s="2">
        <v>71</v>
      </c>
      <c r="M169" s="2">
        <v>0</v>
      </c>
      <c r="N169" s="2">
        <v>36.125591836734699</v>
      </c>
      <c r="O169" s="2">
        <v>31.997550455105717</v>
      </c>
      <c r="P169">
        <v>0</v>
      </c>
      <c r="Q169">
        <v>0</v>
      </c>
      <c r="R169" s="2">
        <v>1417.494375</v>
      </c>
      <c r="S169" s="2">
        <v>267.525125</v>
      </c>
      <c r="T169" s="2">
        <v>26.328375000000001</v>
      </c>
      <c r="U169" s="2">
        <v>33.312062499999996</v>
      </c>
      <c r="V169" s="2">
        <v>4.6653124999999998</v>
      </c>
      <c r="W169" s="2">
        <v>158.741625</v>
      </c>
      <c r="X169" s="2">
        <v>17</v>
      </c>
      <c r="Y169" s="2">
        <v>1</v>
      </c>
      <c r="Z169" s="2">
        <v>236.955375</v>
      </c>
    </row>
    <row r="170" spans="1:26" x14ac:dyDescent="0.25">
      <c r="A170" s="1">
        <v>45485</v>
      </c>
      <c r="B170" s="2">
        <v>247.6</v>
      </c>
      <c r="C170" s="2">
        <v>44.5</v>
      </c>
      <c r="D170" s="2">
        <v>16.5</v>
      </c>
      <c r="E170" s="2">
        <v>100.1</v>
      </c>
      <c r="F170" s="2">
        <v>142</v>
      </c>
      <c r="G170" s="2">
        <v>82</v>
      </c>
      <c r="H170" s="2">
        <v>99</v>
      </c>
      <c r="I170" s="2">
        <v>98.1</v>
      </c>
      <c r="J170" s="2">
        <v>148</v>
      </c>
      <c r="K170" s="2">
        <v>79</v>
      </c>
      <c r="L170" s="2">
        <v>74</v>
      </c>
      <c r="M170" s="2">
        <v>16</v>
      </c>
      <c r="N170" s="2">
        <v>35.523020408163262</v>
      </c>
      <c r="O170" s="2">
        <v>31.997550455105717</v>
      </c>
      <c r="P170">
        <v>0</v>
      </c>
      <c r="Q170">
        <v>0</v>
      </c>
      <c r="R170" s="2">
        <v>2175.2666666666664</v>
      </c>
      <c r="S170" s="2">
        <v>376.66666666666669</v>
      </c>
      <c r="T170" s="2">
        <v>45.075000000000003</v>
      </c>
      <c r="U170" s="2">
        <v>74.750000000000014</v>
      </c>
      <c r="V170" s="2">
        <v>50.2</v>
      </c>
      <c r="W170" s="2">
        <v>273.8416666666667</v>
      </c>
      <c r="X170" s="2">
        <v>76.5</v>
      </c>
      <c r="Y170" s="2">
        <v>0</v>
      </c>
      <c r="Z170" s="2">
        <v>405.67500000000001</v>
      </c>
    </row>
    <row r="171" spans="1:26" x14ac:dyDescent="0.25">
      <c r="A171" s="1">
        <v>45486</v>
      </c>
      <c r="B171" s="2">
        <v>248.8</v>
      </c>
      <c r="C171" s="2">
        <v>44.5</v>
      </c>
      <c r="D171" s="2">
        <v>16.5</v>
      </c>
      <c r="E171" s="2">
        <v>97.1</v>
      </c>
      <c r="F171" s="2">
        <v>127</v>
      </c>
      <c r="G171" s="2">
        <v>71</v>
      </c>
      <c r="H171" s="2">
        <v>75</v>
      </c>
      <c r="I171" s="2">
        <v>97.1</v>
      </c>
      <c r="J171" s="2">
        <v>134</v>
      </c>
      <c r="K171" s="2">
        <v>73</v>
      </c>
      <c r="L171" s="2">
        <v>73</v>
      </c>
      <c r="M171" s="2">
        <v>10</v>
      </c>
      <c r="N171" s="2">
        <v>35.695183673469387</v>
      </c>
      <c r="O171" s="2">
        <v>31.997550455105717</v>
      </c>
      <c r="P171">
        <v>0</v>
      </c>
      <c r="Q171">
        <v>0</v>
      </c>
      <c r="R171" s="2">
        <v>2027.547619047619</v>
      </c>
      <c r="S171" s="2">
        <v>304.3630952380953</v>
      </c>
      <c r="T171" s="2">
        <v>60.359523809523822</v>
      </c>
      <c r="U171" s="2">
        <v>76.157142857142873</v>
      </c>
      <c r="V171" s="2">
        <v>17.166666666666668</v>
      </c>
      <c r="W171" s="2">
        <v>264.0654761904762</v>
      </c>
      <c r="X171" s="2">
        <v>66.5</v>
      </c>
      <c r="Y171" s="2">
        <v>0</v>
      </c>
      <c r="Z171" s="2">
        <v>543.23571428571427</v>
      </c>
    </row>
    <row r="172" spans="1:26" x14ac:dyDescent="0.25">
      <c r="A172" s="1">
        <v>45487</v>
      </c>
      <c r="B172" s="2">
        <v>249.8</v>
      </c>
      <c r="C172" s="2">
        <v>44.5</v>
      </c>
      <c r="D172" s="2">
        <v>16.5</v>
      </c>
      <c r="E172" s="2">
        <v>96.8</v>
      </c>
      <c r="F172" s="2">
        <v>140</v>
      </c>
      <c r="G172" s="2">
        <v>86</v>
      </c>
      <c r="H172" s="2">
        <v>83</v>
      </c>
      <c r="I172" s="2">
        <v>97.2</v>
      </c>
      <c r="J172" s="2">
        <v>135</v>
      </c>
      <c r="K172" s="2">
        <v>79</v>
      </c>
      <c r="L172" s="2">
        <v>75</v>
      </c>
      <c r="M172" s="2">
        <v>8</v>
      </c>
      <c r="N172" s="2">
        <v>35.838653061224491</v>
      </c>
      <c r="O172" s="2">
        <v>31.997550455105717</v>
      </c>
      <c r="P172">
        <v>0</v>
      </c>
      <c r="Q172">
        <v>0</v>
      </c>
      <c r="R172" s="2">
        <v>3443.7610416666666</v>
      </c>
      <c r="S172" s="2">
        <v>644.09179166666672</v>
      </c>
      <c r="T172" s="2">
        <v>66.703374999999994</v>
      </c>
      <c r="U172" s="2">
        <v>93.162062500000019</v>
      </c>
      <c r="V172" s="2">
        <v>55.165312499999999</v>
      </c>
      <c r="W172" s="2">
        <v>506.0832916666667</v>
      </c>
      <c r="X172" s="2">
        <v>126</v>
      </c>
      <c r="Y172" s="2">
        <v>0</v>
      </c>
      <c r="Z172" s="2">
        <v>600.330375</v>
      </c>
    </row>
    <row r="173" spans="1:26" x14ac:dyDescent="0.25">
      <c r="A173" s="1">
        <v>45488</v>
      </c>
      <c r="B173" s="2">
        <v>250.6</v>
      </c>
      <c r="C173" s="2">
        <v>44.5</v>
      </c>
      <c r="D173" s="2">
        <v>16.5</v>
      </c>
      <c r="E173" s="2">
        <v>97.3</v>
      </c>
      <c r="F173" s="2">
        <v>136</v>
      </c>
      <c r="G173" s="2">
        <v>82</v>
      </c>
      <c r="H173" s="2">
        <v>73</v>
      </c>
      <c r="I173" s="2">
        <v>96.9</v>
      </c>
      <c r="J173" s="2">
        <v>129</v>
      </c>
      <c r="K173" s="2">
        <v>71</v>
      </c>
      <c r="L173" s="2">
        <v>71</v>
      </c>
      <c r="M173" s="2">
        <v>10</v>
      </c>
      <c r="N173" s="2">
        <v>35.953428571428574</v>
      </c>
      <c r="O173" s="2">
        <v>31.997550455105717</v>
      </c>
      <c r="P173">
        <v>0</v>
      </c>
      <c r="Q173">
        <v>0</v>
      </c>
      <c r="R173" s="2">
        <v>3056.2666666666664</v>
      </c>
      <c r="S173" s="2">
        <v>601.56666666666661</v>
      </c>
      <c r="T173" s="2">
        <v>50.875</v>
      </c>
      <c r="U173" s="2">
        <v>76.850000000000009</v>
      </c>
      <c r="V173" s="2">
        <v>53.5</v>
      </c>
      <c r="W173" s="2">
        <v>500.3416666666667</v>
      </c>
      <c r="X173" s="2">
        <v>125</v>
      </c>
      <c r="Y173" s="2">
        <v>0</v>
      </c>
      <c r="Z173" s="2">
        <v>457.875</v>
      </c>
    </row>
    <row r="174" spans="1:26" x14ac:dyDescent="0.25">
      <c r="A174" s="1">
        <v>45489</v>
      </c>
      <c r="B174" s="2">
        <v>252</v>
      </c>
      <c r="C174" s="2">
        <v>44.5</v>
      </c>
      <c r="D174" s="2">
        <v>16.5</v>
      </c>
      <c r="E174" s="2">
        <v>96.6</v>
      </c>
      <c r="F174" s="2">
        <v>128</v>
      </c>
      <c r="G174" s="2">
        <v>74</v>
      </c>
      <c r="H174" s="2">
        <v>73</v>
      </c>
      <c r="I174" s="2">
        <v>97.7</v>
      </c>
      <c r="J174" s="2">
        <v>140</v>
      </c>
      <c r="K174" s="2">
        <v>78</v>
      </c>
      <c r="L174" s="2">
        <v>68</v>
      </c>
      <c r="M174" s="2">
        <v>8</v>
      </c>
      <c r="N174" s="2">
        <v>36.154285714285713</v>
      </c>
      <c r="O174" s="2">
        <v>31.997550455105717</v>
      </c>
      <c r="P174">
        <v>0</v>
      </c>
      <c r="Q174">
        <v>0</v>
      </c>
      <c r="R174" s="2">
        <v>6201.5</v>
      </c>
      <c r="S174" s="2">
        <v>872.35</v>
      </c>
      <c r="T174" s="2">
        <v>224.2</v>
      </c>
      <c r="U174" s="2">
        <v>190.4</v>
      </c>
      <c r="V174" s="2">
        <v>37.200000000000003</v>
      </c>
      <c r="W174" s="2">
        <v>508</v>
      </c>
      <c r="X174" s="2">
        <v>84.75</v>
      </c>
      <c r="Y174" s="2">
        <v>1</v>
      </c>
      <c r="Z174" s="2">
        <v>2017.8</v>
      </c>
    </row>
    <row r="175" spans="1:26" x14ac:dyDescent="0.25">
      <c r="A175" s="1">
        <v>45490</v>
      </c>
      <c r="B175" s="2">
        <v>255.6</v>
      </c>
      <c r="C175" s="2">
        <v>44.5</v>
      </c>
      <c r="D175" s="2">
        <v>16.5</v>
      </c>
      <c r="E175" s="2">
        <v>97.1</v>
      </c>
      <c r="F175" s="2">
        <v>133</v>
      </c>
      <c r="G175" s="2">
        <v>78</v>
      </c>
      <c r="H175" s="2">
        <v>78</v>
      </c>
      <c r="I175" s="2">
        <v>96.9</v>
      </c>
      <c r="J175" s="2">
        <v>124</v>
      </c>
      <c r="K175" s="2">
        <v>74</v>
      </c>
      <c r="L175" s="2">
        <v>73</v>
      </c>
      <c r="M175" s="2">
        <v>4</v>
      </c>
      <c r="N175" s="2">
        <v>36.670775510204081</v>
      </c>
      <c r="O175" s="2">
        <v>31.997550455105717</v>
      </c>
      <c r="P175">
        <v>0</v>
      </c>
      <c r="Q175">
        <v>0</v>
      </c>
      <c r="R175" s="2">
        <v>3067.041994047619</v>
      </c>
      <c r="S175" s="2">
        <v>431.28822023809528</v>
      </c>
      <c r="T175" s="2">
        <v>109.68789880952382</v>
      </c>
      <c r="U175" s="2">
        <v>97.969205357142869</v>
      </c>
      <c r="V175" s="2">
        <v>7.3319791666666667</v>
      </c>
      <c r="W175" s="2">
        <v>312.70710119047618</v>
      </c>
      <c r="X175" s="2">
        <v>55</v>
      </c>
      <c r="Y175" s="2">
        <v>0</v>
      </c>
      <c r="Z175" s="2">
        <v>987.19108928571427</v>
      </c>
    </row>
    <row r="176" spans="1:26" x14ac:dyDescent="0.25">
      <c r="A176" s="1">
        <v>45491</v>
      </c>
      <c r="B176" s="2">
        <v>252.6</v>
      </c>
      <c r="C176" s="2">
        <v>44.5</v>
      </c>
      <c r="D176" s="2">
        <v>16.5</v>
      </c>
      <c r="E176" s="2">
        <v>96.5</v>
      </c>
      <c r="F176" s="2">
        <v>132</v>
      </c>
      <c r="G176" s="2">
        <v>80</v>
      </c>
      <c r="H176" s="2">
        <v>64</v>
      </c>
      <c r="I176" s="2">
        <v>97.8</v>
      </c>
      <c r="J176" s="2">
        <v>153</v>
      </c>
      <c r="K176" s="2">
        <v>85</v>
      </c>
      <c r="L176" s="2">
        <v>76</v>
      </c>
      <c r="M176" s="2">
        <v>12</v>
      </c>
      <c r="N176" s="2">
        <v>36.240367346938775</v>
      </c>
      <c r="O176" s="2">
        <v>31.997550455105717</v>
      </c>
      <c r="P176">
        <v>0</v>
      </c>
      <c r="Q176">
        <v>0</v>
      </c>
      <c r="R176" s="2">
        <v>2795.8586607142856</v>
      </c>
      <c r="S176" s="2">
        <v>317.82588690476189</v>
      </c>
      <c r="T176" s="2">
        <v>104.82789880952382</v>
      </c>
      <c r="U176" s="2">
        <v>149.84720535714285</v>
      </c>
      <c r="V176" s="2">
        <v>39.250979166666667</v>
      </c>
      <c r="W176" s="2">
        <v>199.63276785714285</v>
      </c>
      <c r="X176" s="2">
        <v>77.11</v>
      </c>
      <c r="Y176" s="2">
        <v>0.5</v>
      </c>
      <c r="Z176" s="2">
        <v>943.45108928571426</v>
      </c>
    </row>
    <row r="177" spans="1:26" x14ac:dyDescent="0.25">
      <c r="A177" s="1">
        <v>45492</v>
      </c>
      <c r="B177" s="2">
        <v>252.4</v>
      </c>
      <c r="C177" s="2">
        <v>44.5</v>
      </c>
      <c r="D177" s="2">
        <v>16.5</v>
      </c>
      <c r="E177" s="2">
        <v>97.6</v>
      </c>
      <c r="F177" s="2">
        <v>148</v>
      </c>
      <c r="G177" s="2">
        <v>83</v>
      </c>
      <c r="H177" s="2">
        <v>72</v>
      </c>
      <c r="I177" s="2">
        <v>96.2</v>
      </c>
      <c r="J177" s="2">
        <v>123</v>
      </c>
      <c r="K177" s="2">
        <v>69</v>
      </c>
      <c r="L177" s="2">
        <v>67</v>
      </c>
      <c r="M177" s="2">
        <v>8</v>
      </c>
      <c r="N177" s="2">
        <v>36.211673469387755</v>
      </c>
      <c r="O177" s="2">
        <v>31.997550455105717</v>
      </c>
      <c r="P177">
        <v>1</v>
      </c>
      <c r="Q177">
        <v>0</v>
      </c>
      <c r="R177" s="2">
        <v>2490.5476190476193</v>
      </c>
      <c r="S177" s="2">
        <v>300.51309523809522</v>
      </c>
      <c r="T177" s="2">
        <v>97.509523809523827</v>
      </c>
      <c r="U177" s="2">
        <v>109.70714285714286</v>
      </c>
      <c r="V177" s="2">
        <v>8.6666666666666661</v>
      </c>
      <c r="W177" s="2">
        <v>236.3154761904762</v>
      </c>
      <c r="X177" s="2">
        <v>77</v>
      </c>
      <c r="Y177" s="2">
        <v>1</v>
      </c>
      <c r="Z177" s="2">
        <v>877.58571428571429</v>
      </c>
    </row>
    <row r="178" spans="1:26" x14ac:dyDescent="0.25">
      <c r="A178" s="1">
        <v>45493</v>
      </c>
      <c r="B178" s="2">
        <v>251</v>
      </c>
      <c r="C178" s="2">
        <v>44</v>
      </c>
      <c r="D178" s="2">
        <v>16.5</v>
      </c>
      <c r="E178" s="2">
        <v>96.9</v>
      </c>
      <c r="F178" s="2">
        <v>136</v>
      </c>
      <c r="G178" s="2">
        <v>74</v>
      </c>
      <c r="H178" s="2">
        <v>69</v>
      </c>
      <c r="I178" s="2">
        <v>97</v>
      </c>
      <c r="J178" s="2">
        <v>124</v>
      </c>
      <c r="K178" s="2">
        <v>66</v>
      </c>
      <c r="L178" s="2">
        <v>67</v>
      </c>
      <c r="M178" s="2">
        <v>8</v>
      </c>
      <c r="N178" s="2">
        <v>36.010816326530609</v>
      </c>
      <c r="O178" s="2">
        <v>31.324493175702337</v>
      </c>
      <c r="P178">
        <v>1</v>
      </c>
      <c r="Q178">
        <v>0</v>
      </c>
      <c r="R178" s="2">
        <v>2392.6666666666665</v>
      </c>
      <c r="S178" s="2">
        <v>267.20166666666665</v>
      </c>
      <c r="T178" s="2">
        <v>97.130000000000024</v>
      </c>
      <c r="U178" s="2">
        <v>125.02500000000002</v>
      </c>
      <c r="V178" s="2">
        <v>43.9</v>
      </c>
      <c r="W178" s="2">
        <v>112.82166666666666</v>
      </c>
      <c r="X178" s="2">
        <v>37.299999999999997</v>
      </c>
      <c r="Y178" s="2">
        <v>1</v>
      </c>
      <c r="Z178" s="2">
        <v>874.17</v>
      </c>
    </row>
    <row r="179" spans="1:26" x14ac:dyDescent="0.25">
      <c r="A179" s="1">
        <v>45494</v>
      </c>
      <c r="B179" s="2">
        <v>251.2</v>
      </c>
      <c r="C179" s="2">
        <v>44</v>
      </c>
      <c r="D179" s="2">
        <v>16.5</v>
      </c>
      <c r="E179" s="2">
        <v>96.4</v>
      </c>
      <c r="F179" s="2">
        <v>117</v>
      </c>
      <c r="G179" s="2">
        <v>68</v>
      </c>
      <c r="H179" s="2">
        <v>67</v>
      </c>
      <c r="I179" s="2">
        <v>96.9</v>
      </c>
      <c r="J179" s="2">
        <v>116</v>
      </c>
      <c r="K179" s="2">
        <v>75</v>
      </c>
      <c r="L179" s="2">
        <v>67</v>
      </c>
      <c r="M179" s="2">
        <v>6.5</v>
      </c>
      <c r="N179" s="2">
        <v>36.03951020408163</v>
      </c>
      <c r="O179" s="2">
        <v>31.324493175702337</v>
      </c>
      <c r="P179">
        <v>1</v>
      </c>
      <c r="Q179">
        <v>1</v>
      </c>
      <c r="R179" s="2">
        <v>1220.4000000000001</v>
      </c>
      <c r="S179" s="2">
        <v>224.97499999999999</v>
      </c>
      <c r="T179" s="2">
        <v>30.3</v>
      </c>
      <c r="U179" s="2">
        <v>27.274999999999999</v>
      </c>
      <c r="V179" s="2">
        <v>28.349999999999998</v>
      </c>
      <c r="W179" s="2">
        <v>169.50000000000003</v>
      </c>
      <c r="X179" s="2">
        <v>65</v>
      </c>
      <c r="Y179" s="2">
        <v>1</v>
      </c>
      <c r="Z179" s="2">
        <v>272.7</v>
      </c>
    </row>
    <row r="180" spans="1:26" x14ac:dyDescent="0.25">
      <c r="A180" s="1">
        <v>45495</v>
      </c>
      <c r="B180" s="2">
        <v>252.4</v>
      </c>
      <c r="C180" s="2">
        <v>44</v>
      </c>
      <c r="D180" s="2">
        <v>16.5</v>
      </c>
      <c r="E180" s="2">
        <v>96.9</v>
      </c>
      <c r="F180" s="2">
        <v>141</v>
      </c>
      <c r="G180" s="2">
        <v>80</v>
      </c>
      <c r="H180" s="2">
        <v>68</v>
      </c>
      <c r="I180" s="2">
        <v>98.3</v>
      </c>
      <c r="J180" s="2">
        <v>138</v>
      </c>
      <c r="K180" s="2">
        <v>75</v>
      </c>
      <c r="L180" s="2">
        <v>84</v>
      </c>
      <c r="M180" s="2">
        <v>9</v>
      </c>
      <c r="N180" s="2">
        <v>36.211673469387755</v>
      </c>
      <c r="O180" s="2">
        <v>31.324493175702337</v>
      </c>
      <c r="P180">
        <v>0</v>
      </c>
      <c r="Q180">
        <v>0</v>
      </c>
      <c r="R180" s="2">
        <v>4894.0476190476193</v>
      </c>
      <c r="S180" s="2">
        <v>812.71309523809532</v>
      </c>
      <c r="T180" s="2">
        <v>145.65952380952382</v>
      </c>
      <c r="U180" s="2">
        <v>118.25714285714287</v>
      </c>
      <c r="V180" s="2">
        <v>13.466666666666667</v>
      </c>
      <c r="W180" s="2">
        <v>607.8654761904761</v>
      </c>
      <c r="X180" s="2">
        <v>82.75</v>
      </c>
      <c r="Y180" s="2">
        <v>1</v>
      </c>
      <c r="Z180" s="2">
        <v>1310.9357142857143</v>
      </c>
    </row>
    <row r="181" spans="1:26" x14ac:dyDescent="0.25">
      <c r="A181" s="1">
        <v>45496</v>
      </c>
      <c r="B181" s="2">
        <v>254</v>
      </c>
      <c r="C181" s="2">
        <v>44.5</v>
      </c>
      <c r="D181" s="2">
        <v>16.5</v>
      </c>
      <c r="E181" s="2">
        <v>96.5</v>
      </c>
      <c r="F181" s="2">
        <v>142</v>
      </c>
      <c r="G181" s="2">
        <v>81</v>
      </c>
      <c r="H181" s="2">
        <v>69</v>
      </c>
      <c r="I181" s="2">
        <v>97.3</v>
      </c>
      <c r="J181" s="2">
        <v>135</v>
      </c>
      <c r="K181" s="2">
        <v>83</v>
      </c>
      <c r="L181" s="2">
        <v>76</v>
      </c>
      <c r="M181" s="2">
        <v>7.5</v>
      </c>
      <c r="N181" s="2">
        <v>36.441224489795914</v>
      </c>
      <c r="O181" s="2">
        <v>31.997550455105717</v>
      </c>
      <c r="P181">
        <v>1</v>
      </c>
      <c r="Q181">
        <v>0</v>
      </c>
      <c r="R181" s="2">
        <v>2821.5142857142855</v>
      </c>
      <c r="S181" s="2">
        <v>486.04285714285714</v>
      </c>
      <c r="T181" s="2">
        <v>65.01428571428572</v>
      </c>
      <c r="U181" s="2">
        <v>95.200000000000017</v>
      </c>
      <c r="V181" s="2">
        <v>10.97142857142857</v>
      </c>
      <c r="W181" s="2">
        <v>293.90000000000003</v>
      </c>
      <c r="X181" s="2">
        <v>83</v>
      </c>
      <c r="Y181" s="2">
        <v>1</v>
      </c>
      <c r="Z181" s="2">
        <v>585.12857142857138</v>
      </c>
    </row>
    <row r="182" spans="1:26" x14ac:dyDescent="0.25">
      <c r="A182" s="1">
        <v>45497</v>
      </c>
      <c r="B182" s="2">
        <v>253.8</v>
      </c>
      <c r="C182" s="2">
        <v>44.5</v>
      </c>
      <c r="D182" s="2">
        <v>16.5</v>
      </c>
      <c r="E182" s="2">
        <v>97</v>
      </c>
      <c r="F182" s="2">
        <v>129</v>
      </c>
      <c r="G182" s="2">
        <v>76</v>
      </c>
      <c r="H182" s="2">
        <v>64</v>
      </c>
      <c r="I182" s="2">
        <v>97.9</v>
      </c>
      <c r="J182" s="2">
        <v>123</v>
      </c>
      <c r="K182" s="2">
        <v>73</v>
      </c>
      <c r="L182" s="2">
        <v>78</v>
      </c>
      <c r="M182" s="2">
        <v>10</v>
      </c>
      <c r="N182" s="2">
        <v>36.4125306122449</v>
      </c>
      <c r="O182" s="2">
        <v>31.997550455105717</v>
      </c>
      <c r="P182">
        <v>0</v>
      </c>
      <c r="Q182">
        <v>0</v>
      </c>
      <c r="R182" s="2">
        <v>2853.2666666666664</v>
      </c>
      <c r="S182" s="2">
        <v>408.86666666666667</v>
      </c>
      <c r="T182" s="2">
        <v>105.075</v>
      </c>
      <c r="U182" s="2">
        <v>106.25000000000001</v>
      </c>
      <c r="V182" s="2">
        <v>47.7</v>
      </c>
      <c r="W182" s="2">
        <v>241.64166666666668</v>
      </c>
      <c r="X182" s="2">
        <v>79</v>
      </c>
      <c r="Y182" s="2">
        <v>2</v>
      </c>
      <c r="Z182" s="2">
        <v>945.67499999999995</v>
      </c>
    </row>
    <row r="183" spans="1:26" x14ac:dyDescent="0.25">
      <c r="A183" s="1">
        <v>45498</v>
      </c>
      <c r="B183" s="2">
        <v>254.8</v>
      </c>
      <c r="C183" s="2">
        <v>45</v>
      </c>
      <c r="D183" s="2">
        <v>16.5</v>
      </c>
      <c r="E183" s="2">
        <v>98</v>
      </c>
      <c r="F183" s="2">
        <v>125</v>
      </c>
      <c r="G183" s="2">
        <v>79</v>
      </c>
      <c r="H183" s="2">
        <v>76</v>
      </c>
      <c r="I183" s="2">
        <v>97.6</v>
      </c>
      <c r="J183" s="2">
        <v>129</v>
      </c>
      <c r="K183" s="2">
        <v>71</v>
      </c>
      <c r="L183" s="2">
        <v>72</v>
      </c>
      <c r="M183" s="2">
        <v>11</v>
      </c>
      <c r="N183" s="2">
        <v>36.556000000000004</v>
      </c>
      <c r="O183" s="2">
        <v>32.6586945886934</v>
      </c>
      <c r="P183">
        <v>1</v>
      </c>
      <c r="Q183">
        <v>0</v>
      </c>
      <c r="R183" s="2">
        <v>1625.2666666666667</v>
      </c>
      <c r="S183" s="2">
        <v>146.31666666666666</v>
      </c>
      <c r="T183" s="2">
        <v>87.275000000000006</v>
      </c>
      <c r="U183" s="2">
        <v>87.6</v>
      </c>
      <c r="V183" s="2">
        <v>44.599999999999994</v>
      </c>
      <c r="W183" s="2">
        <v>34.091666666666669</v>
      </c>
      <c r="X183" s="2">
        <v>25</v>
      </c>
      <c r="Y183" s="2">
        <v>2</v>
      </c>
      <c r="Z183" s="2">
        <v>785.47500000000002</v>
      </c>
    </row>
    <row r="184" spans="1:26" x14ac:dyDescent="0.25">
      <c r="A184" s="1">
        <v>45499</v>
      </c>
      <c r="B184" s="2">
        <v>253.8</v>
      </c>
      <c r="C184" s="2">
        <v>45</v>
      </c>
      <c r="D184" s="2">
        <v>16.5</v>
      </c>
      <c r="E184" s="2">
        <v>98.5</v>
      </c>
      <c r="F184" s="2">
        <v>134</v>
      </c>
      <c r="G184" s="2">
        <v>81</v>
      </c>
      <c r="H184" s="2">
        <v>83</v>
      </c>
      <c r="I184" s="2">
        <v>97.4</v>
      </c>
      <c r="J184" s="2">
        <v>120</v>
      </c>
      <c r="K184" s="2">
        <v>65</v>
      </c>
      <c r="L184" s="2">
        <v>72</v>
      </c>
      <c r="M184" s="2">
        <v>7</v>
      </c>
      <c r="N184" s="2">
        <v>36.4125306122449</v>
      </c>
      <c r="O184" s="2">
        <v>32.6586945886934</v>
      </c>
      <c r="P184">
        <v>1</v>
      </c>
      <c r="Q184">
        <v>0</v>
      </c>
      <c r="R184" s="2">
        <v>3921.0125595238096</v>
      </c>
      <c r="S184" s="2">
        <v>470.13834523809527</v>
      </c>
      <c r="T184" s="2">
        <v>163.58889285714284</v>
      </c>
      <c r="U184" s="2">
        <v>169.024125</v>
      </c>
      <c r="V184" s="2">
        <v>55.516339285714288</v>
      </c>
      <c r="W184" s="2">
        <v>241.87491666666668</v>
      </c>
      <c r="X184" s="2">
        <v>81</v>
      </c>
      <c r="Y184" s="2">
        <v>2</v>
      </c>
      <c r="Z184" s="2">
        <v>1472.3000357142857</v>
      </c>
    </row>
    <row r="185" spans="1:26" x14ac:dyDescent="0.25">
      <c r="A185" s="1">
        <v>45500</v>
      </c>
      <c r="B185" s="2">
        <v>253</v>
      </c>
      <c r="C185" s="2">
        <v>45</v>
      </c>
      <c r="D185" s="2">
        <v>16.5</v>
      </c>
      <c r="E185" s="2">
        <v>98</v>
      </c>
      <c r="F185" s="2">
        <v>119</v>
      </c>
      <c r="G185" s="2">
        <v>74</v>
      </c>
      <c r="H185" s="2">
        <v>75</v>
      </c>
      <c r="I185" s="2">
        <v>97.6</v>
      </c>
      <c r="J185" s="2">
        <v>125</v>
      </c>
      <c r="K185" s="2">
        <v>73</v>
      </c>
      <c r="L185" s="2">
        <v>71</v>
      </c>
      <c r="M185" s="2">
        <v>9</v>
      </c>
      <c r="N185" s="2">
        <v>36.297755102040817</v>
      </c>
      <c r="O185" s="2">
        <v>32.6586945886934</v>
      </c>
      <c r="P185">
        <v>1</v>
      </c>
      <c r="Q185">
        <v>0</v>
      </c>
      <c r="R185" s="2">
        <v>2820.7610416666666</v>
      </c>
      <c r="S185" s="2">
        <v>399.39179166666668</v>
      </c>
      <c r="T185" s="2">
        <v>103.903375</v>
      </c>
      <c r="U185" s="2">
        <v>108.56206250000002</v>
      </c>
      <c r="V185" s="2">
        <v>42.365312500000002</v>
      </c>
      <c r="W185" s="2">
        <v>245.88329166666668</v>
      </c>
      <c r="X185" s="2">
        <v>82</v>
      </c>
      <c r="Y185" s="2">
        <v>1.5</v>
      </c>
      <c r="Z185" s="2">
        <v>935.13037499999996</v>
      </c>
    </row>
    <row r="186" spans="1:26" x14ac:dyDescent="0.25">
      <c r="A186" s="1">
        <v>45501</v>
      </c>
      <c r="B186" s="2">
        <v>252.4</v>
      </c>
      <c r="C186" s="2">
        <v>45</v>
      </c>
      <c r="D186" s="2">
        <v>16.5</v>
      </c>
      <c r="E186" s="2">
        <v>97.1</v>
      </c>
      <c r="F186" s="2">
        <v>135</v>
      </c>
      <c r="G186" s="2">
        <v>78</v>
      </c>
      <c r="H186" s="2">
        <v>69</v>
      </c>
      <c r="I186" s="2">
        <v>96.6</v>
      </c>
      <c r="J186" s="2">
        <v>114</v>
      </c>
      <c r="K186" s="2">
        <v>70</v>
      </c>
      <c r="L186" s="2">
        <v>59</v>
      </c>
      <c r="M186" s="2">
        <v>7.5</v>
      </c>
      <c r="N186" s="2">
        <v>36.211673469387755</v>
      </c>
      <c r="O186" s="2">
        <v>32.6586945886934</v>
      </c>
      <c r="P186">
        <v>1</v>
      </c>
      <c r="Q186">
        <v>0</v>
      </c>
      <c r="R186" s="2">
        <v>1694.2666666666667</v>
      </c>
      <c r="S186" s="2">
        <v>165.76666666666668</v>
      </c>
      <c r="T186" s="2">
        <v>91.875000000000014</v>
      </c>
      <c r="U186" s="2">
        <v>75.450000000000017</v>
      </c>
      <c r="V186" s="2">
        <v>43.8</v>
      </c>
      <c r="W186" s="2">
        <v>27.741666666666667</v>
      </c>
      <c r="X186" s="2">
        <v>26</v>
      </c>
      <c r="Y186" s="2">
        <v>2.5</v>
      </c>
      <c r="Z186" s="2">
        <v>826.875</v>
      </c>
    </row>
    <row r="187" spans="1:26" x14ac:dyDescent="0.25">
      <c r="A187" s="1">
        <v>45502</v>
      </c>
      <c r="B187" s="2">
        <v>254</v>
      </c>
      <c r="C187" s="2">
        <v>44.5</v>
      </c>
      <c r="D187" s="2">
        <v>16.5</v>
      </c>
      <c r="E187" s="2">
        <v>96.6</v>
      </c>
      <c r="F187" s="2">
        <v>144</v>
      </c>
      <c r="G187" s="2">
        <v>79</v>
      </c>
      <c r="H187" s="2">
        <v>73</v>
      </c>
      <c r="I187" s="2">
        <v>97.6</v>
      </c>
      <c r="J187" s="2">
        <v>146</v>
      </c>
      <c r="K187" s="2">
        <v>78</v>
      </c>
      <c r="L187" s="2">
        <v>73</v>
      </c>
      <c r="M187" s="2">
        <v>8</v>
      </c>
      <c r="N187" s="2">
        <v>36.441224489795914</v>
      </c>
      <c r="O187" s="2">
        <v>31.997550455105717</v>
      </c>
      <c r="P187">
        <v>1</v>
      </c>
      <c r="Q187">
        <v>0</v>
      </c>
      <c r="R187" s="2">
        <v>963.26666666666665</v>
      </c>
      <c r="S187" s="2">
        <v>112.86666666666666</v>
      </c>
      <c r="T187" s="2">
        <v>35.075000000000003</v>
      </c>
      <c r="U187" s="2">
        <v>66.250000000000014</v>
      </c>
      <c r="V187" s="2">
        <v>36.700000000000003</v>
      </c>
      <c r="W187" s="2">
        <v>22.141666666666666</v>
      </c>
      <c r="X187" s="2">
        <v>19</v>
      </c>
      <c r="Y187" s="2">
        <v>1.5</v>
      </c>
      <c r="Z187" s="2">
        <v>315.67500000000001</v>
      </c>
    </row>
    <row r="188" spans="1:26" x14ac:dyDescent="0.25">
      <c r="A188" s="1">
        <v>45503</v>
      </c>
      <c r="B188" s="2">
        <v>252.4</v>
      </c>
      <c r="C188" s="2">
        <v>44.5</v>
      </c>
      <c r="D188" s="2">
        <v>16.5</v>
      </c>
      <c r="E188" s="2">
        <v>96.9</v>
      </c>
      <c r="F188" s="2">
        <v>140</v>
      </c>
      <c r="G188" s="2">
        <v>81</v>
      </c>
      <c r="H188" s="2">
        <v>74</v>
      </c>
      <c r="I188" s="2">
        <v>97.6</v>
      </c>
      <c r="J188" s="2">
        <v>129</v>
      </c>
      <c r="K188" s="2">
        <v>72</v>
      </c>
      <c r="L188" s="2">
        <v>74</v>
      </c>
      <c r="M188" s="2">
        <v>0</v>
      </c>
      <c r="N188" s="2">
        <v>36.211673469387755</v>
      </c>
      <c r="O188" s="2">
        <v>31.997550455105717</v>
      </c>
      <c r="P188">
        <v>0</v>
      </c>
      <c r="Q188">
        <v>1</v>
      </c>
      <c r="R188" s="2">
        <v>2564.7571428571428</v>
      </c>
      <c r="S188" s="2">
        <v>445.17142857142858</v>
      </c>
      <c r="T188" s="2">
        <v>71.357142857142861</v>
      </c>
      <c r="U188" s="2">
        <v>51.800000000000004</v>
      </c>
      <c r="V188" s="2">
        <v>6.0857142857142854</v>
      </c>
      <c r="W188" s="2">
        <v>314.5</v>
      </c>
      <c r="X188" s="2">
        <v>51</v>
      </c>
      <c r="Y188" s="2">
        <v>1</v>
      </c>
      <c r="Z188" s="2">
        <v>642.21428571428567</v>
      </c>
    </row>
    <row r="189" spans="1:26" x14ac:dyDescent="0.25">
      <c r="A189" s="1">
        <v>45504</v>
      </c>
      <c r="B189" s="2">
        <v>252</v>
      </c>
      <c r="C189" s="2">
        <v>44.5</v>
      </c>
      <c r="D189" s="2">
        <v>16.5</v>
      </c>
      <c r="E189" s="2">
        <v>97.3</v>
      </c>
      <c r="F189" s="2">
        <v>132</v>
      </c>
      <c r="G189" s="2">
        <v>78</v>
      </c>
      <c r="H189" s="2">
        <v>73</v>
      </c>
      <c r="I189" s="2">
        <v>97.2</v>
      </c>
      <c r="J189" s="2">
        <v>145</v>
      </c>
      <c r="K189" s="2">
        <v>73</v>
      </c>
      <c r="L189" s="2">
        <v>76</v>
      </c>
      <c r="M189" s="2">
        <v>7.5</v>
      </c>
      <c r="N189" s="2">
        <v>36.154285714285713</v>
      </c>
      <c r="O189" s="2">
        <v>31.997550455105717</v>
      </c>
      <c r="P189">
        <v>0</v>
      </c>
      <c r="Q189">
        <v>1</v>
      </c>
      <c r="R189" s="2">
        <v>3749.5142857142855</v>
      </c>
      <c r="S189" s="2">
        <v>587.79285714285709</v>
      </c>
      <c r="T189" s="2">
        <v>122.51428571428572</v>
      </c>
      <c r="U189" s="2">
        <v>103.75000000000001</v>
      </c>
      <c r="V189" s="2">
        <v>13.87142857142857</v>
      </c>
      <c r="W189" s="2">
        <v>399.6</v>
      </c>
      <c r="X189" s="2">
        <v>117</v>
      </c>
      <c r="Y189" s="2">
        <v>1</v>
      </c>
      <c r="Z189" s="2">
        <v>1102.6285714285714</v>
      </c>
    </row>
    <row r="190" spans="1:26" x14ac:dyDescent="0.25">
      <c r="A190" s="1">
        <v>45505</v>
      </c>
      <c r="B190" s="2">
        <v>253</v>
      </c>
      <c r="C190" s="2">
        <v>44.5</v>
      </c>
      <c r="D190" s="2">
        <v>16.5</v>
      </c>
      <c r="E190" s="2">
        <v>96</v>
      </c>
      <c r="F190" s="2">
        <v>117</v>
      </c>
      <c r="G190" s="2">
        <v>78</v>
      </c>
      <c r="H190" s="2">
        <v>78</v>
      </c>
      <c r="I190" s="2">
        <v>97.1</v>
      </c>
      <c r="J190" s="2">
        <v>140</v>
      </c>
      <c r="K190" s="2">
        <v>63</v>
      </c>
      <c r="L190" s="2">
        <v>68</v>
      </c>
      <c r="M190" s="2">
        <v>7</v>
      </c>
      <c r="N190" s="2">
        <v>36.297755102040817</v>
      </c>
      <c r="O190" s="2">
        <v>31.997550455105717</v>
      </c>
      <c r="P190">
        <v>0</v>
      </c>
      <c r="Q190">
        <v>1</v>
      </c>
      <c r="R190" s="2">
        <v>2080.6566666666668</v>
      </c>
      <c r="S190" s="2">
        <v>303.20566666666673</v>
      </c>
      <c r="T190" s="2">
        <v>72.089333333333329</v>
      </c>
      <c r="U190" s="2">
        <v>78.419666666666686</v>
      </c>
      <c r="V190" s="2">
        <v>38.975666666666669</v>
      </c>
      <c r="W190" s="2">
        <v>174.92933333333335</v>
      </c>
      <c r="X190" s="2">
        <v>61.230000000000004</v>
      </c>
      <c r="Y190" s="2">
        <v>1</v>
      </c>
      <c r="Z190" s="2">
        <v>648.80399999999997</v>
      </c>
    </row>
    <row r="191" spans="1:26" x14ac:dyDescent="0.25">
      <c r="A191" s="1">
        <v>45506</v>
      </c>
      <c r="B191" s="2">
        <v>252.4</v>
      </c>
      <c r="C191" s="2">
        <v>44.5</v>
      </c>
      <c r="D191" s="2">
        <v>16.5</v>
      </c>
      <c r="E191" s="2">
        <v>96.3</v>
      </c>
      <c r="F191" s="2">
        <v>117</v>
      </c>
      <c r="G191" s="2">
        <v>81</v>
      </c>
      <c r="H191" s="2">
        <v>70</v>
      </c>
      <c r="I191" s="2">
        <v>96.7</v>
      </c>
      <c r="J191" s="2">
        <v>132</v>
      </c>
      <c r="K191" s="2">
        <v>78</v>
      </c>
      <c r="L191" s="2">
        <v>64</v>
      </c>
      <c r="M191" s="2">
        <v>8</v>
      </c>
      <c r="N191" s="2">
        <v>36.211673469387755</v>
      </c>
      <c r="O191" s="2">
        <v>31.997550455105717</v>
      </c>
      <c r="P191">
        <v>0</v>
      </c>
      <c r="Q191">
        <v>1</v>
      </c>
      <c r="R191" s="2">
        <v>6100.4210416666665</v>
      </c>
      <c r="S191" s="2">
        <v>816.2897916666667</v>
      </c>
      <c r="T191" s="2">
        <v>235.14070833333332</v>
      </c>
      <c r="U191" s="2">
        <v>205.10672916666667</v>
      </c>
      <c r="V191" s="2">
        <v>48.135979166666672</v>
      </c>
      <c r="W191" s="2">
        <v>460.83195833333332</v>
      </c>
      <c r="X191" s="2">
        <v>129.47</v>
      </c>
      <c r="Y191" s="2">
        <v>1.5</v>
      </c>
      <c r="Z191" s="2">
        <v>2116.2663750000002</v>
      </c>
    </row>
    <row r="192" spans="1:26" x14ac:dyDescent="0.25">
      <c r="A192" s="1">
        <v>45507</v>
      </c>
      <c r="B192" s="2">
        <v>252.2</v>
      </c>
      <c r="C192" s="2">
        <v>45</v>
      </c>
      <c r="D192" s="2">
        <v>16.5</v>
      </c>
      <c r="E192" s="2">
        <v>97.2</v>
      </c>
      <c r="F192" s="2">
        <v>136</v>
      </c>
      <c r="G192" s="2">
        <v>72</v>
      </c>
      <c r="H192" s="2">
        <v>57</v>
      </c>
      <c r="I192" s="2">
        <v>96.5</v>
      </c>
      <c r="J192" s="2">
        <v>128</v>
      </c>
      <c r="K192" s="2">
        <v>70</v>
      </c>
      <c r="L192" s="2">
        <v>60</v>
      </c>
      <c r="M192" s="2">
        <v>13</v>
      </c>
      <c r="N192" s="2">
        <v>36.182979591836734</v>
      </c>
      <c r="O192" s="2">
        <v>32.6586945886934</v>
      </c>
      <c r="P192">
        <v>0</v>
      </c>
      <c r="Q192">
        <v>1</v>
      </c>
      <c r="R192" s="2">
        <v>4590.5896130952387</v>
      </c>
      <c r="S192" s="2">
        <v>709.21607738095236</v>
      </c>
      <c r="T192" s="2">
        <v>143.6438511904762</v>
      </c>
      <c r="U192" s="2">
        <v>140.28872916666668</v>
      </c>
      <c r="V192" s="2">
        <v>47.939122023809524</v>
      </c>
      <c r="W192" s="2">
        <v>444.06567261904763</v>
      </c>
      <c r="X192" s="2">
        <v>81.849999999999994</v>
      </c>
      <c r="Y192" s="2">
        <v>1.5</v>
      </c>
      <c r="Z192" s="2">
        <v>1292.7946607142858</v>
      </c>
    </row>
    <row r="193" spans="1:26" x14ac:dyDescent="0.25">
      <c r="A193" s="1">
        <v>45508</v>
      </c>
      <c r="B193" s="2">
        <v>252.6</v>
      </c>
      <c r="C193" s="2">
        <v>45</v>
      </c>
      <c r="D193" s="2">
        <v>16.5</v>
      </c>
      <c r="E193" s="2">
        <v>97.1</v>
      </c>
      <c r="F193" s="2">
        <v>122</v>
      </c>
      <c r="G193" s="2">
        <v>71</v>
      </c>
      <c r="H193" s="2">
        <v>70</v>
      </c>
      <c r="I193" s="2">
        <v>96.2</v>
      </c>
      <c r="J193" s="2">
        <v>118</v>
      </c>
      <c r="K193" s="2">
        <v>68</v>
      </c>
      <c r="L193" s="2">
        <v>63</v>
      </c>
      <c r="M193" s="2">
        <v>7.5</v>
      </c>
      <c r="N193" s="2">
        <v>36.240367346938775</v>
      </c>
      <c r="O193" s="2">
        <v>32.6586945886934</v>
      </c>
      <c r="P193">
        <v>0</v>
      </c>
      <c r="Q193">
        <v>1</v>
      </c>
      <c r="R193" s="2">
        <v>4289.8196130952383</v>
      </c>
      <c r="S193" s="2">
        <v>730.96207738095245</v>
      </c>
      <c r="T193" s="2">
        <v>108.5808511904762</v>
      </c>
      <c r="U193" s="2">
        <v>135.00372916666669</v>
      </c>
      <c r="V193" s="2">
        <v>43.564122023809524</v>
      </c>
      <c r="W193" s="2">
        <v>520.71967261904763</v>
      </c>
      <c r="X193" s="2">
        <v>134.33000000000001</v>
      </c>
      <c r="Y193" s="2">
        <v>0.5</v>
      </c>
      <c r="Z193" s="2">
        <v>977.22766071428578</v>
      </c>
    </row>
    <row r="194" spans="1:26" x14ac:dyDescent="0.25">
      <c r="A194" s="1">
        <v>45509</v>
      </c>
      <c r="B194" s="2">
        <v>254</v>
      </c>
      <c r="C194" s="2">
        <v>44.5</v>
      </c>
      <c r="D194" s="2">
        <v>16.5</v>
      </c>
      <c r="E194" s="2">
        <v>95.8</v>
      </c>
      <c r="F194" s="2">
        <v>133</v>
      </c>
      <c r="G194" s="2">
        <v>80</v>
      </c>
      <c r="H194" s="2">
        <v>82</v>
      </c>
      <c r="I194" s="2">
        <v>98.3</v>
      </c>
      <c r="J194" s="2">
        <v>153</v>
      </c>
      <c r="K194" s="2">
        <v>84</v>
      </c>
      <c r="L194" s="2">
        <v>73</v>
      </c>
      <c r="M194" s="2">
        <v>6.5</v>
      </c>
      <c r="N194" s="2">
        <v>36.441224489795914</v>
      </c>
      <c r="O194" s="2">
        <v>31.997550455105717</v>
      </c>
      <c r="P194">
        <v>0</v>
      </c>
      <c r="Q194">
        <v>1</v>
      </c>
      <c r="R194" s="2">
        <v>5915</v>
      </c>
      <c r="S194" s="2">
        <v>935</v>
      </c>
      <c r="T194" s="2">
        <v>249</v>
      </c>
      <c r="U194" s="2">
        <v>85</v>
      </c>
      <c r="V194" s="2">
        <v>41.5</v>
      </c>
      <c r="W194" s="2">
        <v>530.5</v>
      </c>
      <c r="X194" s="2">
        <v>65.8</v>
      </c>
      <c r="Y194" s="2">
        <v>0</v>
      </c>
      <c r="Z194" s="2">
        <v>2241</v>
      </c>
    </row>
    <row r="195" spans="1:26" x14ac:dyDescent="0.25">
      <c r="A195" s="1">
        <v>45510</v>
      </c>
      <c r="B195" s="2">
        <v>255</v>
      </c>
      <c r="C195" s="2">
        <v>44.5</v>
      </c>
      <c r="D195" s="2">
        <v>16.5</v>
      </c>
      <c r="E195" s="2">
        <v>96.7</v>
      </c>
      <c r="F195" s="2">
        <v>106</v>
      </c>
      <c r="G195" s="2">
        <v>42</v>
      </c>
      <c r="H195" s="2">
        <v>79</v>
      </c>
      <c r="I195" s="2">
        <v>97.7</v>
      </c>
      <c r="J195" s="2">
        <v>124</v>
      </c>
      <c r="K195" s="2">
        <v>77</v>
      </c>
      <c r="L195" s="2">
        <v>75</v>
      </c>
      <c r="M195" s="2">
        <v>14.5</v>
      </c>
      <c r="N195" s="2">
        <v>36.584693877551018</v>
      </c>
      <c r="O195" s="2">
        <v>31.997550455105717</v>
      </c>
      <c r="P195">
        <v>0</v>
      </c>
      <c r="Q195">
        <v>0</v>
      </c>
      <c r="R195" s="2">
        <v>5619.666666666667</v>
      </c>
      <c r="S195" s="2">
        <v>794.51666666666665</v>
      </c>
      <c r="T195" s="2">
        <v>200.4083333333333</v>
      </c>
      <c r="U195" s="2">
        <v>178.76666666666668</v>
      </c>
      <c r="V195" s="2">
        <v>68.766666666666666</v>
      </c>
      <c r="W195" s="2">
        <v>368.85833333333335</v>
      </c>
      <c r="X195" s="2">
        <v>139.5</v>
      </c>
      <c r="Y195" s="2">
        <v>0.5</v>
      </c>
      <c r="Z195" s="2">
        <v>1803.675</v>
      </c>
    </row>
    <row r="196" spans="1:26" x14ac:dyDescent="0.25">
      <c r="A196" s="1">
        <v>45511</v>
      </c>
      <c r="B196" s="2">
        <v>258.2</v>
      </c>
      <c r="C196" s="2">
        <v>44.5</v>
      </c>
      <c r="D196" s="2">
        <v>16.5</v>
      </c>
      <c r="E196" s="2">
        <v>96.6</v>
      </c>
      <c r="F196" s="2">
        <v>141</v>
      </c>
      <c r="G196" s="2">
        <v>83</v>
      </c>
      <c r="H196" s="2">
        <v>75</v>
      </c>
      <c r="I196" s="2">
        <v>98</v>
      </c>
      <c r="J196" s="2">
        <v>156</v>
      </c>
      <c r="K196" s="2">
        <v>89</v>
      </c>
      <c r="L196" s="2">
        <v>76</v>
      </c>
      <c r="M196" s="2">
        <v>8</v>
      </c>
      <c r="N196" s="2">
        <v>37.043795918367344</v>
      </c>
      <c r="O196" s="2">
        <v>31.997550455105717</v>
      </c>
      <c r="P196">
        <v>0</v>
      </c>
      <c r="Q196">
        <v>0</v>
      </c>
      <c r="R196" s="2">
        <v>2403.3229464285714</v>
      </c>
      <c r="S196" s="2">
        <v>256.10441071428568</v>
      </c>
      <c r="T196" s="2">
        <v>102.29551785714285</v>
      </c>
      <c r="U196" s="2">
        <v>118.74706250000001</v>
      </c>
      <c r="V196" s="2">
        <v>12.622455357142856</v>
      </c>
      <c r="W196" s="2">
        <v>43.677339285714282</v>
      </c>
      <c r="X196" s="2">
        <v>19.5</v>
      </c>
      <c r="Y196" s="2">
        <v>1.5</v>
      </c>
      <c r="Z196" s="2">
        <v>920.65966071428568</v>
      </c>
    </row>
    <row r="197" spans="1:26" x14ac:dyDescent="0.25">
      <c r="A197" s="1">
        <v>45512</v>
      </c>
      <c r="B197" s="2">
        <v>255.4</v>
      </c>
      <c r="C197" s="2">
        <v>44.5</v>
      </c>
      <c r="D197" s="2">
        <v>16.5</v>
      </c>
      <c r="E197" s="2">
        <v>96.3</v>
      </c>
      <c r="F197" s="2">
        <v>130</v>
      </c>
      <c r="G197" s="2">
        <v>78</v>
      </c>
      <c r="H197" s="2">
        <v>64</v>
      </c>
      <c r="I197" s="2">
        <v>97.5</v>
      </c>
      <c r="J197" s="2">
        <v>148</v>
      </c>
      <c r="K197" s="2">
        <v>72</v>
      </c>
      <c r="L197" s="2">
        <v>68</v>
      </c>
      <c r="M197" s="2">
        <v>13</v>
      </c>
      <c r="N197" s="2">
        <v>36.642081632653067</v>
      </c>
      <c r="O197" s="2">
        <v>31.997550455105717</v>
      </c>
      <c r="P197">
        <v>1</v>
      </c>
      <c r="Q197">
        <v>0</v>
      </c>
      <c r="R197" s="2">
        <v>2964.7252380952382</v>
      </c>
      <c r="S197" s="2">
        <v>386.71695238095236</v>
      </c>
      <c r="T197" s="2">
        <v>100.37247619047619</v>
      </c>
      <c r="U197" s="2">
        <v>144.55166666666668</v>
      </c>
      <c r="V197" s="2">
        <v>39.778809523809521</v>
      </c>
      <c r="W197" s="2">
        <v>206.99804761904761</v>
      </c>
      <c r="X197" s="2">
        <v>81.28</v>
      </c>
      <c r="Y197" s="2">
        <v>1</v>
      </c>
      <c r="Z197" s="2">
        <v>903.3522857142857</v>
      </c>
    </row>
    <row r="198" spans="1:26" x14ac:dyDescent="0.25">
      <c r="A198" s="1">
        <v>45513</v>
      </c>
      <c r="B198" s="2">
        <v>252</v>
      </c>
      <c r="C198" s="2">
        <v>44.5</v>
      </c>
      <c r="D198" s="2">
        <v>16.5</v>
      </c>
      <c r="E198" s="2">
        <v>96.3</v>
      </c>
      <c r="F198" s="2">
        <v>128</v>
      </c>
      <c r="G198" s="2">
        <v>74</v>
      </c>
      <c r="H198" s="2">
        <v>83</v>
      </c>
      <c r="I198" s="2">
        <v>97.7</v>
      </c>
      <c r="J198" s="2">
        <v>156</v>
      </c>
      <c r="K198" s="2">
        <v>82</v>
      </c>
      <c r="L198" s="2">
        <v>80</v>
      </c>
      <c r="M198" s="2">
        <v>0.5</v>
      </c>
      <c r="N198" s="2">
        <v>36.154285714285713</v>
      </c>
      <c r="O198" s="2">
        <v>31.997550455105717</v>
      </c>
      <c r="P198">
        <v>0</v>
      </c>
      <c r="Q198">
        <v>0</v>
      </c>
      <c r="R198" s="2">
        <v>3016.4285714285716</v>
      </c>
      <c r="S198" s="2">
        <v>546.00428571428574</v>
      </c>
      <c r="T198" s="2">
        <v>80.817142857142869</v>
      </c>
      <c r="U198" s="2">
        <v>44.81</v>
      </c>
      <c r="V198" s="2">
        <v>7.2571428571428571</v>
      </c>
      <c r="W198" s="2">
        <v>421.48571428571432</v>
      </c>
      <c r="X198" s="2">
        <v>105.5</v>
      </c>
      <c r="Y198" s="2">
        <v>2</v>
      </c>
      <c r="Z198" s="2">
        <v>727.35428571428565</v>
      </c>
    </row>
    <row r="199" spans="1:26" x14ac:dyDescent="0.25">
      <c r="A199" s="1">
        <v>45514</v>
      </c>
      <c r="B199" s="2">
        <v>254</v>
      </c>
      <c r="C199" s="2">
        <v>44.5</v>
      </c>
      <c r="D199" s="2">
        <v>16.5</v>
      </c>
      <c r="E199" s="2">
        <v>95.4</v>
      </c>
      <c r="F199" s="2">
        <v>128</v>
      </c>
      <c r="G199" s="2">
        <v>79</v>
      </c>
      <c r="H199" s="2">
        <v>64</v>
      </c>
      <c r="I199" s="2">
        <v>97.8</v>
      </c>
      <c r="J199" s="2">
        <v>150</v>
      </c>
      <c r="K199" s="2">
        <v>82</v>
      </c>
      <c r="L199" s="2">
        <v>86</v>
      </c>
      <c r="M199" s="2">
        <v>8</v>
      </c>
      <c r="N199" s="2">
        <v>36.441224489795914</v>
      </c>
      <c r="O199" s="2">
        <v>31.997550455105717</v>
      </c>
      <c r="P199">
        <v>0</v>
      </c>
      <c r="Q199">
        <v>1</v>
      </c>
      <c r="R199" s="2">
        <v>2835.166666666667</v>
      </c>
      <c r="S199" s="2">
        <v>456.7166666666667</v>
      </c>
      <c r="T199" s="2">
        <v>89.608333333333334</v>
      </c>
      <c r="U199" s="2">
        <v>72.866666666666674</v>
      </c>
      <c r="V199" s="2">
        <v>40.066666666666663</v>
      </c>
      <c r="W199" s="2">
        <v>291.75833333333333</v>
      </c>
      <c r="X199" s="2">
        <v>62</v>
      </c>
      <c r="Y199" s="2">
        <v>1</v>
      </c>
      <c r="Z199" s="2">
        <v>806.47500000000002</v>
      </c>
    </row>
    <row r="200" spans="1:26" x14ac:dyDescent="0.25">
      <c r="A200" s="1">
        <v>45515</v>
      </c>
      <c r="B200" s="2">
        <v>255</v>
      </c>
      <c r="C200" s="2">
        <v>45</v>
      </c>
      <c r="D200" s="2">
        <v>16.5</v>
      </c>
      <c r="E200" s="2">
        <v>98.1</v>
      </c>
      <c r="F200" s="2">
        <v>139</v>
      </c>
      <c r="G200" s="2">
        <v>66</v>
      </c>
      <c r="H200" s="2">
        <v>91</v>
      </c>
      <c r="I200" s="2">
        <v>97.5</v>
      </c>
      <c r="J200" s="2">
        <v>132</v>
      </c>
      <c r="K200" s="2">
        <v>78</v>
      </c>
      <c r="L200" s="2">
        <v>70</v>
      </c>
      <c r="M200" s="2">
        <v>6</v>
      </c>
      <c r="N200" s="2">
        <v>36.584693877551018</v>
      </c>
      <c r="O200" s="2">
        <v>32.6586945886934</v>
      </c>
      <c r="P200">
        <v>0</v>
      </c>
      <c r="Q200">
        <v>1</v>
      </c>
      <c r="R200" s="2">
        <v>3105.8571428571431</v>
      </c>
      <c r="S200" s="2">
        <v>472.20857142857142</v>
      </c>
      <c r="T200" s="2">
        <v>82.934285714285721</v>
      </c>
      <c r="U200" s="2">
        <v>132.82</v>
      </c>
      <c r="V200" s="2">
        <v>8.1142857142857139</v>
      </c>
      <c r="W200" s="2">
        <v>285.67142857142858</v>
      </c>
      <c r="X200" s="2">
        <v>72</v>
      </c>
      <c r="Y200" s="2">
        <v>1</v>
      </c>
      <c r="Z200" s="2">
        <v>746.40857142857135</v>
      </c>
    </row>
    <row r="201" spans="1:26" x14ac:dyDescent="0.25">
      <c r="A201" s="1">
        <v>45516</v>
      </c>
      <c r="B201" s="2">
        <v>254</v>
      </c>
      <c r="C201" s="2">
        <v>45</v>
      </c>
      <c r="D201" s="2">
        <v>16.5</v>
      </c>
      <c r="E201" s="2">
        <v>99.3</v>
      </c>
      <c r="F201" s="2">
        <v>140</v>
      </c>
      <c r="G201" s="2">
        <v>87</v>
      </c>
      <c r="H201" s="2">
        <v>90</v>
      </c>
      <c r="I201" s="2">
        <v>97.9</v>
      </c>
      <c r="J201" s="2">
        <v>139</v>
      </c>
      <c r="K201" s="2">
        <v>75</v>
      </c>
      <c r="L201" s="2">
        <v>71</v>
      </c>
      <c r="M201" s="2">
        <v>8</v>
      </c>
      <c r="N201" s="2">
        <v>36.441224489795914</v>
      </c>
      <c r="O201" s="2">
        <v>32.6586945886934</v>
      </c>
      <c r="P201">
        <v>0</v>
      </c>
      <c r="Q201">
        <v>1</v>
      </c>
      <c r="R201" s="2">
        <v>4711.3943749999999</v>
      </c>
      <c r="S201" s="2">
        <v>600.400125</v>
      </c>
      <c r="T201" s="2">
        <v>204.87837500000001</v>
      </c>
      <c r="U201" s="2">
        <v>122.4370625</v>
      </c>
      <c r="V201" s="2">
        <v>34.365312500000002</v>
      </c>
      <c r="W201" s="2">
        <v>269.09162500000002</v>
      </c>
      <c r="X201" s="2">
        <v>76</v>
      </c>
      <c r="Y201" s="2">
        <v>1</v>
      </c>
      <c r="Z201" s="2">
        <v>1843.905375</v>
      </c>
    </row>
    <row r="202" spans="1:26" x14ac:dyDescent="0.25">
      <c r="A202" s="1">
        <v>45517</v>
      </c>
      <c r="B202" s="2">
        <v>257.8</v>
      </c>
      <c r="C202" s="2">
        <v>45</v>
      </c>
      <c r="D202" s="2">
        <v>16.5</v>
      </c>
      <c r="E202" s="2">
        <v>96</v>
      </c>
      <c r="F202" s="2">
        <v>127</v>
      </c>
      <c r="G202" s="2">
        <v>76</v>
      </c>
      <c r="H202" s="2">
        <v>80</v>
      </c>
      <c r="I202" s="2">
        <v>97.5</v>
      </c>
      <c r="J202" s="2">
        <v>147</v>
      </c>
      <c r="K202" s="2">
        <v>83</v>
      </c>
      <c r="L202" s="2">
        <v>73</v>
      </c>
      <c r="M202" s="2">
        <v>4</v>
      </c>
      <c r="N202" s="2">
        <v>36.98640816326531</v>
      </c>
      <c r="O202" s="2">
        <v>32.6586945886934</v>
      </c>
      <c r="P202">
        <v>0</v>
      </c>
      <c r="Q202">
        <v>0</v>
      </c>
      <c r="R202" s="2">
        <v>5535.3943749999999</v>
      </c>
      <c r="S202" s="2">
        <v>785.00012500000003</v>
      </c>
      <c r="T202" s="2">
        <v>228.07837499999999</v>
      </c>
      <c r="U202" s="2">
        <v>85.837062500000002</v>
      </c>
      <c r="V202" s="2">
        <v>43.565312500000005</v>
      </c>
      <c r="W202" s="2">
        <v>381.09162500000002</v>
      </c>
      <c r="X202" s="2">
        <v>69</v>
      </c>
      <c r="Y202" s="2">
        <v>1</v>
      </c>
      <c r="Z202" s="2">
        <v>2052.7053750000005</v>
      </c>
    </row>
    <row r="203" spans="1:26" x14ac:dyDescent="0.25">
      <c r="A203" s="1">
        <v>45518</v>
      </c>
      <c r="B203" s="2">
        <v>256.2</v>
      </c>
      <c r="C203" s="2">
        <v>45</v>
      </c>
      <c r="D203" s="2">
        <v>16.5</v>
      </c>
      <c r="E203" s="2">
        <v>96.3</v>
      </c>
      <c r="F203" s="2">
        <v>141</v>
      </c>
      <c r="G203" s="2">
        <v>99</v>
      </c>
      <c r="H203" s="2">
        <v>70</v>
      </c>
      <c r="I203" s="2">
        <v>97.2</v>
      </c>
      <c r="J203" s="2">
        <v>133</v>
      </c>
      <c r="K203" s="2">
        <v>75</v>
      </c>
      <c r="L203" s="2">
        <v>69</v>
      </c>
      <c r="M203" s="2">
        <v>14</v>
      </c>
      <c r="N203" s="2">
        <v>36.756857142857143</v>
      </c>
      <c r="O203" s="2">
        <v>32.6586945886934</v>
      </c>
      <c r="P203">
        <v>0</v>
      </c>
      <c r="Q203">
        <v>1</v>
      </c>
      <c r="R203" s="2">
        <v>6639</v>
      </c>
      <c r="S203" s="2">
        <v>808.33285714285716</v>
      </c>
      <c r="T203" s="2">
        <v>171.74571428571429</v>
      </c>
      <c r="U203" s="2">
        <v>172.75285714285712</v>
      </c>
      <c r="V203" s="2">
        <v>32.142857142857139</v>
      </c>
      <c r="W203" s="2">
        <v>615.0428571428572</v>
      </c>
      <c r="X203" s="2">
        <v>42</v>
      </c>
      <c r="Y203" s="2">
        <v>0.5</v>
      </c>
      <c r="Z203" s="2">
        <v>1545.7114285714285</v>
      </c>
    </row>
    <row r="204" spans="1:26" x14ac:dyDescent="0.25">
      <c r="A204" s="1">
        <v>45519</v>
      </c>
      <c r="B204" s="2">
        <v>260</v>
      </c>
      <c r="C204" s="2">
        <v>45</v>
      </c>
      <c r="D204" s="2">
        <v>16.5</v>
      </c>
      <c r="E204" s="2">
        <v>97.9</v>
      </c>
      <c r="F204" s="2">
        <v>134</v>
      </c>
      <c r="G204" s="2">
        <v>78</v>
      </c>
      <c r="H204" s="2">
        <v>79</v>
      </c>
      <c r="I204" s="2">
        <v>97.8</v>
      </c>
      <c r="J204" s="2">
        <v>138</v>
      </c>
      <c r="K204" s="2">
        <v>82</v>
      </c>
      <c r="L204" s="2">
        <v>79</v>
      </c>
      <c r="M204" s="2">
        <v>7</v>
      </c>
      <c r="N204" s="2">
        <v>37.302040816326532</v>
      </c>
      <c r="O204" s="2">
        <v>32.6586945886934</v>
      </c>
      <c r="P204">
        <v>0</v>
      </c>
      <c r="Q204">
        <v>1</v>
      </c>
      <c r="R204" s="2">
        <v>4938.1818750000002</v>
      </c>
      <c r="S204" s="2">
        <v>646.775125</v>
      </c>
      <c r="T204" s="2">
        <v>200.34087500000001</v>
      </c>
      <c r="U204" s="2">
        <v>143.41206249999999</v>
      </c>
      <c r="V204" s="2">
        <v>24.802812500000002</v>
      </c>
      <c r="W204" s="2">
        <v>319.56662499999999</v>
      </c>
      <c r="X204" s="2">
        <v>75</v>
      </c>
      <c r="Y204" s="2">
        <v>1.5</v>
      </c>
      <c r="Z204" s="2">
        <v>1803.067875</v>
      </c>
    </row>
    <row r="205" spans="1:26" x14ac:dyDescent="0.25">
      <c r="A205" s="1">
        <v>45520</v>
      </c>
      <c r="B205" s="2">
        <v>261.8</v>
      </c>
      <c r="C205" s="2">
        <v>45.5</v>
      </c>
      <c r="D205" s="2">
        <v>16.5</v>
      </c>
      <c r="E205" s="2">
        <v>96.7</v>
      </c>
      <c r="F205" s="2">
        <v>133</v>
      </c>
      <c r="G205" s="2">
        <v>82</v>
      </c>
      <c r="H205" s="2">
        <v>70</v>
      </c>
      <c r="I205" s="2">
        <v>98.2</v>
      </c>
      <c r="J205" s="2">
        <v>152</v>
      </c>
      <c r="K205" s="2">
        <v>88</v>
      </c>
      <c r="L205" s="2">
        <v>75</v>
      </c>
      <c r="M205" s="2">
        <v>8</v>
      </c>
      <c r="N205" s="2">
        <v>37.560285714285712</v>
      </c>
      <c r="O205" s="2">
        <v>33.308339978650658</v>
      </c>
      <c r="P205">
        <v>0</v>
      </c>
      <c r="Q205">
        <v>0</v>
      </c>
      <c r="R205" s="2">
        <v>6715.1818750000002</v>
      </c>
      <c r="S205" s="2">
        <v>871.47512499999993</v>
      </c>
      <c r="T205" s="2">
        <v>238.79087499999997</v>
      </c>
      <c r="U205" s="2">
        <v>165.51206250000001</v>
      </c>
      <c r="V205" s="2">
        <v>36.702812500000007</v>
      </c>
      <c r="W205" s="2">
        <v>512.46662500000002</v>
      </c>
      <c r="X205" s="2">
        <v>97.3</v>
      </c>
      <c r="Y205" s="2">
        <v>1</v>
      </c>
      <c r="Z205" s="2">
        <v>2149.1178749999999</v>
      </c>
    </row>
    <row r="206" spans="1:26" x14ac:dyDescent="0.25">
      <c r="A206" s="1">
        <v>45521</v>
      </c>
      <c r="B206" s="2">
        <v>260</v>
      </c>
      <c r="C206" s="2">
        <v>45</v>
      </c>
      <c r="D206" s="2">
        <v>16.5</v>
      </c>
      <c r="E206" s="2">
        <v>97.4</v>
      </c>
      <c r="F206" s="2">
        <v>127</v>
      </c>
      <c r="G206" s="2">
        <v>84</v>
      </c>
      <c r="H206" s="2">
        <v>76</v>
      </c>
      <c r="I206" s="2">
        <v>98.3</v>
      </c>
      <c r="J206" s="2">
        <v>151</v>
      </c>
      <c r="K206" s="2">
        <v>87</v>
      </c>
      <c r="L206" s="2">
        <v>68</v>
      </c>
      <c r="M206" s="2">
        <v>8</v>
      </c>
      <c r="N206" s="2">
        <v>37.302040816326532</v>
      </c>
      <c r="O206" s="2">
        <v>32.6586945886934</v>
      </c>
      <c r="P206">
        <v>1</v>
      </c>
      <c r="Q206">
        <v>0</v>
      </c>
      <c r="R206" s="2">
        <v>6197</v>
      </c>
      <c r="S206" s="2">
        <v>882.4</v>
      </c>
      <c r="T206" s="2">
        <v>200.2</v>
      </c>
      <c r="U206" s="2">
        <v>86.600000000000009</v>
      </c>
      <c r="V206" s="2">
        <v>30.9</v>
      </c>
      <c r="W206" s="2">
        <v>573.4</v>
      </c>
      <c r="X206" s="2">
        <v>54</v>
      </c>
      <c r="Y206" s="2">
        <v>0</v>
      </c>
      <c r="Z206" s="2">
        <v>1801.8</v>
      </c>
    </row>
    <row r="207" spans="1:26" x14ac:dyDescent="0.25">
      <c r="A207" s="1">
        <v>45522</v>
      </c>
      <c r="B207" s="2">
        <v>262.39999999999998</v>
      </c>
      <c r="C207" s="2">
        <v>45.5</v>
      </c>
      <c r="D207" s="2">
        <v>16.5</v>
      </c>
      <c r="E207" s="2">
        <v>97.6</v>
      </c>
      <c r="F207" s="2">
        <v>131</v>
      </c>
      <c r="G207" s="2">
        <v>91</v>
      </c>
      <c r="H207" s="2">
        <v>81</v>
      </c>
      <c r="I207" s="2">
        <v>97.8</v>
      </c>
      <c r="J207" s="2">
        <v>140</v>
      </c>
      <c r="K207" s="2">
        <v>84</v>
      </c>
      <c r="L207" s="2">
        <v>80</v>
      </c>
      <c r="M207" s="2">
        <v>7</v>
      </c>
      <c r="N207" s="2">
        <v>37.646367346938767</v>
      </c>
      <c r="O207" s="2">
        <v>33.308339978650658</v>
      </c>
      <c r="P207">
        <v>0</v>
      </c>
      <c r="Q207">
        <v>0</v>
      </c>
      <c r="R207" s="2">
        <v>5768.4333333333334</v>
      </c>
      <c r="S207" s="2">
        <v>865</v>
      </c>
      <c r="T207" s="2">
        <v>215.96666666666667</v>
      </c>
      <c r="U207" s="2">
        <v>110.83333333333334</v>
      </c>
      <c r="V207" s="2">
        <v>15.033333333333333</v>
      </c>
      <c r="W207" s="2">
        <v>615.70000000000005</v>
      </c>
      <c r="X207" s="2">
        <v>140</v>
      </c>
      <c r="Y207" s="2">
        <v>0</v>
      </c>
      <c r="Z207" s="2">
        <v>1943.6999999999998</v>
      </c>
    </row>
    <row r="208" spans="1:26" x14ac:dyDescent="0.25">
      <c r="A208" s="1">
        <v>45523</v>
      </c>
      <c r="B208" s="2">
        <v>265.2</v>
      </c>
      <c r="C208" s="2">
        <v>46</v>
      </c>
      <c r="D208" s="2">
        <v>16.5</v>
      </c>
      <c r="E208" s="2">
        <v>96.8</v>
      </c>
      <c r="F208" s="2">
        <v>153</v>
      </c>
      <c r="G208" s="2">
        <v>84</v>
      </c>
      <c r="H208" s="2">
        <v>80</v>
      </c>
      <c r="I208" s="2">
        <v>98.1</v>
      </c>
      <c r="J208" s="2">
        <v>136</v>
      </c>
      <c r="K208" s="2">
        <v>80</v>
      </c>
      <c r="L208" s="2">
        <v>72</v>
      </c>
      <c r="M208" s="2">
        <v>9</v>
      </c>
      <c r="N208" s="2">
        <v>38.048081632653059</v>
      </c>
      <c r="O208" s="2">
        <v>33.946879773643239</v>
      </c>
      <c r="P208">
        <v>0</v>
      </c>
      <c r="Q208">
        <v>0</v>
      </c>
      <c r="R208" s="2">
        <v>1053.2833333333333</v>
      </c>
      <c r="S208" s="2">
        <v>99.310333333333318</v>
      </c>
      <c r="T208" s="2">
        <v>48.72</v>
      </c>
      <c r="U208" s="2">
        <v>70.575999999999993</v>
      </c>
      <c r="V208" s="2">
        <v>36.656333333333329</v>
      </c>
      <c r="W208" s="2">
        <v>18.666333333333334</v>
      </c>
      <c r="X208" s="2">
        <v>15.469999999999999</v>
      </c>
      <c r="Y208" s="2">
        <v>0</v>
      </c>
      <c r="Z208" s="2">
        <v>438.48</v>
      </c>
    </row>
    <row r="209" spans="1:26" x14ac:dyDescent="0.25">
      <c r="A209" s="1">
        <v>45524</v>
      </c>
      <c r="B209" s="2">
        <v>261.60000000000002</v>
      </c>
      <c r="C209" s="2">
        <v>45.5</v>
      </c>
      <c r="D209" s="2">
        <v>16.5</v>
      </c>
      <c r="E209" s="2">
        <v>96.9</v>
      </c>
      <c r="F209" s="2">
        <v>140</v>
      </c>
      <c r="G209" s="2">
        <v>82</v>
      </c>
      <c r="H209" s="2">
        <v>67</v>
      </c>
      <c r="I209" s="2">
        <v>97.2</v>
      </c>
      <c r="J209" s="2">
        <v>152</v>
      </c>
      <c r="K209" s="2">
        <v>82</v>
      </c>
      <c r="L209" s="2">
        <v>75</v>
      </c>
      <c r="M209" s="2">
        <v>3</v>
      </c>
      <c r="N209" s="2">
        <v>37.531591836734698</v>
      </c>
      <c r="O209" s="2">
        <v>33.308339978650658</v>
      </c>
      <c r="P209">
        <v>1</v>
      </c>
      <c r="Q209">
        <v>1</v>
      </c>
      <c r="R209" s="2">
        <v>3000.2233333333334</v>
      </c>
      <c r="S209" s="2">
        <v>477.03699999999998</v>
      </c>
      <c r="T209" s="2">
        <v>82.99766666666666</v>
      </c>
      <c r="U209" s="2">
        <v>113.22366666666667</v>
      </c>
      <c r="V209" s="2">
        <v>40.406000000000006</v>
      </c>
      <c r="W209" s="2">
        <v>295.52633333333335</v>
      </c>
      <c r="X209" s="2">
        <v>23.729999999999997</v>
      </c>
      <c r="Y209" s="2">
        <v>1</v>
      </c>
      <c r="Z209" s="2">
        <v>746.97899999999981</v>
      </c>
    </row>
    <row r="210" spans="1:26" x14ac:dyDescent="0.25">
      <c r="A210" s="1">
        <v>45525</v>
      </c>
      <c r="B210" s="2">
        <v>257.2</v>
      </c>
      <c r="C210" s="2">
        <v>45</v>
      </c>
      <c r="D210" s="2">
        <v>16.5</v>
      </c>
      <c r="E210" s="2">
        <v>95.9</v>
      </c>
      <c r="F210" s="2">
        <v>136</v>
      </c>
      <c r="G210" s="2">
        <v>77</v>
      </c>
      <c r="H210" s="2">
        <v>74</v>
      </c>
      <c r="I210" s="2">
        <v>97.7</v>
      </c>
      <c r="J210" s="2">
        <v>142</v>
      </c>
      <c r="K210" s="2">
        <v>69</v>
      </c>
      <c r="L210" s="2">
        <v>74</v>
      </c>
      <c r="M210" s="2">
        <v>13.5</v>
      </c>
      <c r="N210" s="2">
        <v>36.900326530612247</v>
      </c>
      <c r="O210" s="2">
        <v>32.6586945886934</v>
      </c>
      <c r="P210">
        <v>1</v>
      </c>
      <c r="Q210">
        <v>1</v>
      </c>
      <c r="R210" s="2">
        <v>3526.6766666666667</v>
      </c>
      <c r="S210" s="2">
        <v>522.94133333333332</v>
      </c>
      <c r="T210" s="2">
        <v>117.39066666666668</v>
      </c>
      <c r="U210" s="2">
        <v>134.73633333333336</v>
      </c>
      <c r="V210" s="2">
        <v>39.995666666666672</v>
      </c>
      <c r="W210" s="2">
        <v>352.98033333333336</v>
      </c>
      <c r="X210" s="2">
        <v>82.686666666666667</v>
      </c>
      <c r="Y210" s="2">
        <v>1.5</v>
      </c>
      <c r="Z210" s="2">
        <v>1056.5159999999998</v>
      </c>
    </row>
    <row r="211" spans="1:26" x14ac:dyDescent="0.25">
      <c r="A211" s="1">
        <v>45526</v>
      </c>
      <c r="B211" s="2">
        <v>257.60000000000002</v>
      </c>
      <c r="C211" s="2">
        <v>45.5</v>
      </c>
      <c r="D211" s="2">
        <v>16.5</v>
      </c>
      <c r="E211" s="2">
        <v>96</v>
      </c>
      <c r="F211" s="2">
        <v>136</v>
      </c>
      <c r="G211" s="2">
        <v>85</v>
      </c>
      <c r="H211" s="2">
        <v>75</v>
      </c>
      <c r="I211" s="2">
        <v>98.2</v>
      </c>
      <c r="J211" s="2">
        <v>118</v>
      </c>
      <c r="K211" s="2">
        <v>72</v>
      </c>
      <c r="L211" s="2">
        <v>70</v>
      </c>
      <c r="M211" s="2">
        <v>6</v>
      </c>
      <c r="N211" s="2">
        <v>36.957714285714289</v>
      </c>
      <c r="O211" s="2">
        <v>33.308339978650658</v>
      </c>
      <c r="P211">
        <v>0</v>
      </c>
      <c r="Q211">
        <v>1</v>
      </c>
      <c r="R211" s="2">
        <v>4550.4666666666662</v>
      </c>
      <c r="S211" s="2">
        <v>650.78666666666675</v>
      </c>
      <c r="T211" s="2">
        <v>151.51999999999998</v>
      </c>
      <c r="U211" s="2">
        <v>197.28</v>
      </c>
      <c r="V211" s="2">
        <v>80.406666666666666</v>
      </c>
      <c r="W211" s="2">
        <v>326.79666666666668</v>
      </c>
      <c r="X211" s="2">
        <v>94.9</v>
      </c>
      <c r="Y211" s="2">
        <v>2</v>
      </c>
      <c r="Z211" s="2">
        <v>1363.68</v>
      </c>
    </row>
    <row r="212" spans="1:26" x14ac:dyDescent="0.25">
      <c r="A212" s="1">
        <v>45527</v>
      </c>
      <c r="B212" s="2">
        <v>260.8</v>
      </c>
      <c r="C212" s="2">
        <v>45</v>
      </c>
      <c r="D212" s="2">
        <v>16.5</v>
      </c>
      <c r="E212" s="2">
        <v>96</v>
      </c>
      <c r="F212" s="2">
        <v>131</v>
      </c>
      <c r="G212" s="2">
        <v>83</v>
      </c>
      <c r="H212" s="2">
        <v>75</v>
      </c>
      <c r="I212" s="2">
        <v>97.9</v>
      </c>
      <c r="J212" s="2">
        <v>128</v>
      </c>
      <c r="K212" s="2">
        <v>74</v>
      </c>
      <c r="L212" s="2">
        <v>67</v>
      </c>
      <c r="M212" s="2">
        <v>11</v>
      </c>
      <c r="N212" s="2">
        <v>37.416816326530615</v>
      </c>
      <c r="O212" s="2">
        <v>32.6586945886934</v>
      </c>
      <c r="P212">
        <v>0</v>
      </c>
      <c r="Q212">
        <v>1</v>
      </c>
      <c r="R212" s="2">
        <v>1650.7433333333333</v>
      </c>
      <c r="S212" s="2">
        <v>302.88833333333332</v>
      </c>
      <c r="T212" s="2">
        <v>33.814</v>
      </c>
      <c r="U212" s="2">
        <v>63.984000000000002</v>
      </c>
      <c r="V212" s="2">
        <v>35.25033333333333</v>
      </c>
      <c r="W212" s="2">
        <v>224.61833333333334</v>
      </c>
      <c r="X212" s="2">
        <v>65.89</v>
      </c>
      <c r="Y212" s="2">
        <v>2</v>
      </c>
      <c r="Z212" s="2">
        <v>304.32599999999996</v>
      </c>
    </row>
    <row r="213" spans="1:26" x14ac:dyDescent="0.25">
      <c r="A213" s="1">
        <v>45528</v>
      </c>
      <c r="B213" s="2">
        <v>261.2</v>
      </c>
      <c r="C213" s="2">
        <v>45.5</v>
      </c>
      <c r="D213" s="2">
        <v>16.5</v>
      </c>
      <c r="E213" s="2">
        <v>96.2</v>
      </c>
      <c r="F213" s="2">
        <v>144</v>
      </c>
      <c r="G213" s="2">
        <v>82</v>
      </c>
      <c r="H213" s="2">
        <v>78</v>
      </c>
      <c r="I213" s="2">
        <v>98.2</v>
      </c>
      <c r="J213" s="2">
        <v>126</v>
      </c>
      <c r="K213" s="2">
        <v>85</v>
      </c>
      <c r="L213" s="2">
        <v>66</v>
      </c>
      <c r="M213" s="2">
        <v>8</v>
      </c>
      <c r="N213" s="2">
        <v>37.474204081632649</v>
      </c>
      <c r="O213" s="2">
        <v>33.308339978650658</v>
      </c>
      <c r="P213">
        <v>0</v>
      </c>
      <c r="Q213">
        <v>1</v>
      </c>
      <c r="R213" s="2">
        <v>2914.3553395667836</v>
      </c>
      <c r="S213" s="2">
        <v>397.84503909680592</v>
      </c>
      <c r="T213" s="2">
        <v>105.42853820488766</v>
      </c>
      <c r="U213" s="2">
        <v>101.34424305957444</v>
      </c>
      <c r="V213" s="2">
        <v>27.785301097178991</v>
      </c>
      <c r="W213" s="2">
        <v>239.28876055938798</v>
      </c>
      <c r="X213" s="2">
        <v>56.434764079147634</v>
      </c>
      <c r="Y213" s="2">
        <v>1.1025114155251141</v>
      </c>
      <c r="Z213" s="2">
        <v>942.01611325038107</v>
      </c>
    </row>
    <row r="214" spans="1:26" x14ac:dyDescent="0.25">
      <c r="A214" s="1">
        <v>45529</v>
      </c>
      <c r="B214" s="2">
        <v>261.60000000000002</v>
      </c>
      <c r="C214" s="2">
        <v>45.5</v>
      </c>
      <c r="D214" s="2">
        <v>16.5</v>
      </c>
      <c r="E214" s="2">
        <v>97.8</v>
      </c>
      <c r="F214" s="2">
        <v>129</v>
      </c>
      <c r="G214" s="2">
        <v>82</v>
      </c>
      <c r="H214" s="2">
        <v>71</v>
      </c>
      <c r="I214" s="2">
        <v>97.9</v>
      </c>
      <c r="J214" s="2">
        <v>130</v>
      </c>
      <c r="K214" s="2">
        <v>80</v>
      </c>
      <c r="L214" s="2">
        <v>68</v>
      </c>
      <c r="M214" s="2">
        <v>7</v>
      </c>
      <c r="N214" s="2">
        <v>37.531591836734698</v>
      </c>
      <c r="O214" s="2">
        <v>33.308339978650658</v>
      </c>
      <c r="P214">
        <v>0</v>
      </c>
      <c r="Q214">
        <v>0</v>
      </c>
      <c r="R214" s="2">
        <v>2914.3553395667836</v>
      </c>
      <c r="S214" s="2">
        <v>397.84503909680592</v>
      </c>
      <c r="T214" s="2">
        <v>105.42853820488766</v>
      </c>
      <c r="U214" s="2">
        <v>101.34424305957444</v>
      </c>
      <c r="V214" s="2">
        <v>27.785301097178991</v>
      </c>
      <c r="W214" s="2">
        <v>239.28876055938798</v>
      </c>
      <c r="X214" s="2">
        <v>56.434764079147634</v>
      </c>
      <c r="Y214" s="2">
        <v>1.1025114155251141</v>
      </c>
      <c r="Z214" s="2">
        <v>942.01611325038107</v>
      </c>
    </row>
    <row r="215" spans="1:26" x14ac:dyDescent="0.25">
      <c r="A215" s="1">
        <v>45530</v>
      </c>
      <c r="B215" s="2">
        <v>263.39999999999998</v>
      </c>
      <c r="C215" s="2">
        <v>45</v>
      </c>
      <c r="D215" s="2">
        <v>16.5</v>
      </c>
      <c r="E215" s="2">
        <v>97</v>
      </c>
      <c r="F215" s="2">
        <v>136</v>
      </c>
      <c r="G215" s="2">
        <v>81</v>
      </c>
      <c r="H215" s="2">
        <v>77</v>
      </c>
      <c r="I215" s="2">
        <v>97</v>
      </c>
      <c r="J215" s="2">
        <v>130</v>
      </c>
      <c r="K215" s="2">
        <v>79</v>
      </c>
      <c r="L215" s="2">
        <v>68</v>
      </c>
      <c r="M215" s="2">
        <v>12</v>
      </c>
      <c r="N215" s="2">
        <v>37.789836734693871</v>
      </c>
      <c r="O215" s="2">
        <v>32.6586945886934</v>
      </c>
      <c r="P215">
        <v>1</v>
      </c>
      <c r="Q215">
        <v>1</v>
      </c>
      <c r="R215" s="2">
        <v>2914.3553395667836</v>
      </c>
      <c r="S215" s="2">
        <v>397.84503909680592</v>
      </c>
      <c r="T215" s="2">
        <v>105.42853820488766</v>
      </c>
      <c r="U215" s="2">
        <v>101.34424305957444</v>
      </c>
      <c r="V215" s="2">
        <v>27.785301097178991</v>
      </c>
      <c r="W215" s="2">
        <v>239.28876055938798</v>
      </c>
      <c r="X215" s="2">
        <v>56.434764079147634</v>
      </c>
      <c r="Y215" s="2">
        <v>1.1025114155251141</v>
      </c>
      <c r="Z215" s="2">
        <v>942.01611325038107</v>
      </c>
    </row>
    <row r="216" spans="1:26" x14ac:dyDescent="0.25">
      <c r="A216" s="1">
        <v>45531</v>
      </c>
      <c r="B216" s="2">
        <v>256.2</v>
      </c>
      <c r="C216" s="2">
        <v>44.5</v>
      </c>
      <c r="D216" s="2">
        <v>16.5</v>
      </c>
      <c r="E216" s="2">
        <v>96.4</v>
      </c>
      <c r="F216" s="2">
        <v>146</v>
      </c>
      <c r="G216" s="2">
        <v>80</v>
      </c>
      <c r="H216" s="2">
        <v>82</v>
      </c>
      <c r="I216" s="2">
        <v>97.1</v>
      </c>
      <c r="J216" s="2">
        <v>124</v>
      </c>
      <c r="K216" s="2">
        <v>81</v>
      </c>
      <c r="L216" s="2">
        <v>63</v>
      </c>
      <c r="M216" s="2">
        <v>17</v>
      </c>
      <c r="N216" s="2">
        <v>36.756857142857143</v>
      </c>
      <c r="O216" s="2">
        <v>31.997550455105717</v>
      </c>
      <c r="P216">
        <v>0</v>
      </c>
      <c r="Q216">
        <v>1</v>
      </c>
      <c r="R216" s="2">
        <v>2914.3553395667836</v>
      </c>
      <c r="S216" s="2">
        <v>397.84503909680592</v>
      </c>
      <c r="T216" s="2">
        <v>105.42853820488766</v>
      </c>
      <c r="U216" s="2">
        <v>101.34424305957444</v>
      </c>
      <c r="V216" s="2">
        <v>27.785301097178991</v>
      </c>
      <c r="W216" s="2">
        <v>239.28876055938798</v>
      </c>
      <c r="X216" s="2">
        <v>56.434764079147634</v>
      </c>
      <c r="Y216" s="2">
        <v>1.1025114155251141</v>
      </c>
      <c r="Z216" s="2">
        <v>942.01611325038107</v>
      </c>
    </row>
    <row r="217" spans="1:26" x14ac:dyDescent="0.25">
      <c r="A217" s="1">
        <v>45532</v>
      </c>
      <c r="B217" s="2">
        <v>256.8</v>
      </c>
      <c r="C217" s="2">
        <v>44.5</v>
      </c>
      <c r="D217" s="2">
        <v>16.5</v>
      </c>
      <c r="E217" s="2">
        <v>96.2</v>
      </c>
      <c r="F217" s="2">
        <v>119</v>
      </c>
      <c r="G217" s="2">
        <v>80</v>
      </c>
      <c r="H217" s="2">
        <v>61</v>
      </c>
      <c r="I217" s="2">
        <v>96.8</v>
      </c>
      <c r="J217" s="2">
        <v>144</v>
      </c>
      <c r="K217" s="2">
        <v>83</v>
      </c>
      <c r="L217" s="2">
        <v>62</v>
      </c>
      <c r="M217" s="2">
        <v>1</v>
      </c>
      <c r="N217" s="2">
        <v>36.842938775510206</v>
      </c>
      <c r="O217" s="2">
        <v>31.997550455105717</v>
      </c>
      <c r="P217">
        <v>1</v>
      </c>
      <c r="Q217">
        <v>1</v>
      </c>
      <c r="R217" s="2">
        <v>2914.3553395667836</v>
      </c>
      <c r="S217" s="2">
        <v>397.84503909680592</v>
      </c>
      <c r="T217" s="2">
        <v>105.42853820488766</v>
      </c>
      <c r="U217" s="2">
        <v>101.34424305957444</v>
      </c>
      <c r="V217" s="2">
        <v>27.785301097178991</v>
      </c>
      <c r="W217" s="2">
        <v>239.28876055938798</v>
      </c>
      <c r="X217" s="2">
        <v>56.434764079147634</v>
      </c>
      <c r="Y217" s="2">
        <v>1.1025114155251141</v>
      </c>
      <c r="Z217" s="2">
        <v>942.01611325038107</v>
      </c>
    </row>
    <row r="218" spans="1:26" x14ac:dyDescent="0.25">
      <c r="A218" s="1">
        <v>45533</v>
      </c>
      <c r="B218" s="2">
        <v>258</v>
      </c>
      <c r="C218" s="2">
        <v>45</v>
      </c>
      <c r="D218" s="2">
        <v>16.5</v>
      </c>
      <c r="E218" s="2">
        <v>96.6</v>
      </c>
      <c r="F218" s="2">
        <v>134</v>
      </c>
      <c r="G218" s="2">
        <v>73</v>
      </c>
      <c r="H218" s="2">
        <v>79</v>
      </c>
      <c r="I218" s="2">
        <v>97.2</v>
      </c>
      <c r="J218" s="2">
        <v>135</v>
      </c>
      <c r="K218" s="2">
        <v>81</v>
      </c>
      <c r="L218" s="2">
        <v>67</v>
      </c>
      <c r="M218" s="2">
        <v>3</v>
      </c>
      <c r="N218" s="2">
        <v>37.015102040816323</v>
      </c>
      <c r="O218" s="2">
        <v>32.6586945886934</v>
      </c>
      <c r="P218">
        <v>1</v>
      </c>
      <c r="Q218">
        <v>1</v>
      </c>
      <c r="R218" s="2">
        <v>2914.3553395667836</v>
      </c>
      <c r="S218" s="2">
        <v>397.84503909680592</v>
      </c>
      <c r="T218" s="2">
        <v>105.42853820488766</v>
      </c>
      <c r="U218" s="2">
        <v>101.34424305957444</v>
      </c>
      <c r="V218" s="2">
        <v>27.785301097178991</v>
      </c>
      <c r="W218" s="2">
        <v>239.28876055938798</v>
      </c>
      <c r="X218" s="2">
        <v>56.434764079147634</v>
      </c>
      <c r="Y218" s="2">
        <v>1.1025114155251141</v>
      </c>
      <c r="Z218" s="2">
        <v>942.01611325038107</v>
      </c>
    </row>
    <row r="219" spans="1:26" x14ac:dyDescent="0.25">
      <c r="A219" s="1">
        <v>45534</v>
      </c>
      <c r="B219" s="2">
        <v>258.8</v>
      </c>
      <c r="C219" s="2">
        <v>44.5</v>
      </c>
      <c r="D219" s="2">
        <v>16.5</v>
      </c>
      <c r="E219" s="2">
        <v>96.6</v>
      </c>
      <c r="F219" s="2">
        <v>132</v>
      </c>
      <c r="G219" s="2">
        <v>83</v>
      </c>
      <c r="H219" s="2">
        <v>66</v>
      </c>
      <c r="I219" s="2">
        <v>98.3</v>
      </c>
      <c r="J219" s="2">
        <v>125</v>
      </c>
      <c r="K219" s="2">
        <v>69</v>
      </c>
      <c r="L219" s="2">
        <v>88</v>
      </c>
      <c r="M219" s="2">
        <v>9</v>
      </c>
      <c r="N219" s="2">
        <v>37.129877551020407</v>
      </c>
      <c r="O219" s="2">
        <v>31.997550455105717</v>
      </c>
      <c r="P219">
        <v>0</v>
      </c>
      <c r="Q219">
        <v>0</v>
      </c>
      <c r="R219" s="2">
        <v>2914.3553395667836</v>
      </c>
      <c r="S219" s="2">
        <v>397.84503909680592</v>
      </c>
      <c r="T219" s="2">
        <v>105.42853820488766</v>
      </c>
      <c r="U219" s="2">
        <v>101.34424305957444</v>
      </c>
      <c r="V219" s="2">
        <v>27.785301097178991</v>
      </c>
      <c r="W219" s="2">
        <v>239.28876055938798</v>
      </c>
      <c r="X219" s="2">
        <v>56.434764079147634</v>
      </c>
      <c r="Y219" s="2">
        <v>1.1025114155251141</v>
      </c>
      <c r="Z219" s="2">
        <v>942.01611325038107</v>
      </c>
    </row>
    <row r="220" spans="1:26" x14ac:dyDescent="0.25">
      <c r="A220" s="1">
        <v>45535</v>
      </c>
      <c r="B220" s="2">
        <v>258.8</v>
      </c>
      <c r="C220" s="2">
        <v>44.5</v>
      </c>
      <c r="D220" s="2">
        <v>16.5</v>
      </c>
      <c r="E220" s="2">
        <v>96.6</v>
      </c>
      <c r="F220" s="2">
        <v>137</v>
      </c>
      <c r="G220" s="2">
        <v>81</v>
      </c>
      <c r="H220" s="2">
        <v>83</v>
      </c>
      <c r="I220" s="2">
        <v>97.4</v>
      </c>
      <c r="J220" s="2">
        <v>151</v>
      </c>
      <c r="K220" s="2">
        <v>79</v>
      </c>
      <c r="L220" s="2">
        <v>71</v>
      </c>
      <c r="M220" s="2">
        <v>5</v>
      </c>
      <c r="N220" s="2">
        <v>37.129877551020407</v>
      </c>
      <c r="O220" s="2">
        <v>31.997550455105717</v>
      </c>
      <c r="P220">
        <v>0</v>
      </c>
      <c r="Q220">
        <v>0</v>
      </c>
      <c r="R220" s="2">
        <v>3404.6666666666665</v>
      </c>
      <c r="S220" s="2">
        <v>638.76666666666665</v>
      </c>
      <c r="T220" s="2">
        <v>62.25</v>
      </c>
      <c r="U220" s="2">
        <v>109.2</v>
      </c>
      <c r="V220" s="2">
        <v>29.866666666666664</v>
      </c>
      <c r="W220" s="2">
        <v>407.61666666666667</v>
      </c>
      <c r="X220" s="2">
        <v>80</v>
      </c>
      <c r="Y220" s="2">
        <v>0.5</v>
      </c>
      <c r="Z220" s="2">
        <v>560.25</v>
      </c>
    </row>
    <row r="221" spans="1:26" x14ac:dyDescent="0.25">
      <c r="A221" s="1">
        <v>45536</v>
      </c>
      <c r="B221" s="2">
        <v>261</v>
      </c>
      <c r="C221" s="2">
        <v>45</v>
      </c>
      <c r="D221" s="2">
        <v>16.5</v>
      </c>
      <c r="E221" s="2">
        <v>95.6</v>
      </c>
      <c r="F221" s="2">
        <v>134</v>
      </c>
      <c r="G221" s="2">
        <v>76</v>
      </c>
      <c r="H221" s="2">
        <v>66</v>
      </c>
      <c r="I221" s="2">
        <v>98.3</v>
      </c>
      <c r="J221" s="2">
        <v>114</v>
      </c>
      <c r="K221" s="2">
        <v>71</v>
      </c>
      <c r="L221" s="2">
        <v>95</v>
      </c>
      <c r="M221" s="2">
        <v>5</v>
      </c>
      <c r="N221" s="2">
        <v>37.445510204081636</v>
      </c>
      <c r="O221" s="2">
        <v>32.6586945886934</v>
      </c>
      <c r="P221">
        <v>0</v>
      </c>
      <c r="Q221">
        <v>1</v>
      </c>
      <c r="R221" s="2">
        <v>3011</v>
      </c>
      <c r="S221" s="2">
        <v>478.1</v>
      </c>
      <c r="T221" s="2">
        <v>91.25</v>
      </c>
      <c r="U221" s="2">
        <v>78.900000000000006</v>
      </c>
      <c r="V221" s="2">
        <v>23.9</v>
      </c>
      <c r="W221" s="2">
        <v>297.3</v>
      </c>
      <c r="X221" s="2">
        <v>82.7</v>
      </c>
      <c r="Y221" s="2">
        <v>0.5</v>
      </c>
      <c r="Z221" s="2">
        <v>821.25</v>
      </c>
    </row>
    <row r="222" spans="1:26" x14ac:dyDescent="0.25">
      <c r="A222" s="1">
        <v>45537</v>
      </c>
      <c r="B222" s="2">
        <v>261.2</v>
      </c>
      <c r="C222" s="2">
        <v>45</v>
      </c>
      <c r="D222" s="2">
        <v>16.5</v>
      </c>
      <c r="E222" s="2">
        <v>97.01</v>
      </c>
      <c r="F222" s="2">
        <v>124</v>
      </c>
      <c r="G222" s="2">
        <v>73</v>
      </c>
      <c r="H222" s="2">
        <v>67</v>
      </c>
      <c r="I222" s="2">
        <v>97.9</v>
      </c>
      <c r="J222" s="2">
        <v>117</v>
      </c>
      <c r="K222" s="2">
        <v>72</v>
      </c>
      <c r="L222" s="2">
        <v>87</v>
      </c>
      <c r="M222" s="2">
        <v>8</v>
      </c>
      <c r="N222" s="2">
        <v>37.474204081632649</v>
      </c>
      <c r="O222" s="2">
        <v>32.6586945886934</v>
      </c>
      <c r="P222">
        <v>0</v>
      </c>
      <c r="Q222">
        <v>1</v>
      </c>
      <c r="R222" s="2">
        <v>1508</v>
      </c>
      <c r="S222" s="2">
        <v>238.3</v>
      </c>
      <c r="T222" s="2">
        <v>52</v>
      </c>
      <c r="U222" s="2">
        <v>28.2</v>
      </c>
      <c r="V222" s="2">
        <v>5.2</v>
      </c>
      <c r="W222" s="2">
        <v>150.4</v>
      </c>
      <c r="X222" s="2">
        <v>52</v>
      </c>
      <c r="Y222" s="2">
        <v>0.5</v>
      </c>
      <c r="Z222" s="2">
        <v>468</v>
      </c>
    </row>
    <row r="223" spans="1:26" x14ac:dyDescent="0.25">
      <c r="A223" s="1">
        <v>45538</v>
      </c>
      <c r="B223" s="2">
        <v>261</v>
      </c>
      <c r="C223" s="2">
        <v>44.5</v>
      </c>
      <c r="D223" s="2">
        <v>16.5</v>
      </c>
      <c r="E223" s="2">
        <v>96.4</v>
      </c>
      <c r="F223" s="2">
        <v>137</v>
      </c>
      <c r="G223" s="2">
        <v>84</v>
      </c>
      <c r="H223" s="2">
        <v>68</v>
      </c>
      <c r="I223" s="2">
        <v>98.3</v>
      </c>
      <c r="J223" s="2">
        <v>109</v>
      </c>
      <c r="K223" s="2">
        <v>69</v>
      </c>
      <c r="L223" s="2">
        <v>86</v>
      </c>
      <c r="M223" s="2">
        <v>12</v>
      </c>
      <c r="N223" s="2">
        <v>37.445510204081636</v>
      </c>
      <c r="O223" s="2">
        <v>31.997550455105717</v>
      </c>
      <c r="P223">
        <v>0</v>
      </c>
      <c r="Q223">
        <v>1</v>
      </c>
      <c r="R223" s="2">
        <v>4368</v>
      </c>
      <c r="S223" s="2">
        <v>526.29999999999995</v>
      </c>
      <c r="T223" s="2">
        <v>200.5</v>
      </c>
      <c r="U223" s="2">
        <v>92.7</v>
      </c>
      <c r="V223" s="2">
        <v>37.200000000000003</v>
      </c>
      <c r="W223" s="2">
        <v>208.4</v>
      </c>
      <c r="X223" s="2">
        <v>22.5</v>
      </c>
      <c r="Y223" s="2">
        <v>2</v>
      </c>
      <c r="Z223" s="2">
        <v>1804.5</v>
      </c>
    </row>
    <row r="224" spans="1:26" x14ac:dyDescent="0.25">
      <c r="A224" s="1">
        <v>45539</v>
      </c>
      <c r="B224" s="2">
        <v>259</v>
      </c>
      <c r="C224" s="2">
        <v>45.5</v>
      </c>
      <c r="D224" s="2">
        <v>16.5</v>
      </c>
      <c r="E224" s="2">
        <v>97.5</v>
      </c>
      <c r="F224" s="2">
        <v>140</v>
      </c>
      <c r="G224" s="2">
        <v>86</v>
      </c>
      <c r="H224" s="2">
        <v>78</v>
      </c>
      <c r="I224" s="2">
        <v>97.7</v>
      </c>
      <c r="J224" s="2">
        <v>148</v>
      </c>
      <c r="K224" s="2">
        <v>72</v>
      </c>
      <c r="L224" s="2">
        <v>68</v>
      </c>
      <c r="M224" s="2">
        <v>12</v>
      </c>
      <c r="N224" s="2">
        <v>37.158571428571427</v>
      </c>
      <c r="O224" s="2">
        <v>33.308339978650658</v>
      </c>
      <c r="P224">
        <v>1</v>
      </c>
      <c r="Q224">
        <v>0</v>
      </c>
      <c r="R224" s="2">
        <v>1983.9</v>
      </c>
      <c r="S224" s="2">
        <v>341.87333333333328</v>
      </c>
      <c r="T224" s="2">
        <v>49.655000000000001</v>
      </c>
      <c r="U224" s="2">
        <v>66.016666666666666</v>
      </c>
      <c r="V224" s="2">
        <v>37.633333333333333</v>
      </c>
      <c r="W224" s="2">
        <v>228.15166666666667</v>
      </c>
      <c r="X224" s="2">
        <v>66.2</v>
      </c>
      <c r="Y224" s="2">
        <v>1.5</v>
      </c>
      <c r="Z224" s="2">
        <v>446.89499999999998</v>
      </c>
    </row>
    <row r="225" spans="1:26" x14ac:dyDescent="0.25">
      <c r="A225" s="1">
        <v>45540</v>
      </c>
      <c r="B225" s="2">
        <v>258.60000000000002</v>
      </c>
      <c r="C225" s="2">
        <v>45</v>
      </c>
      <c r="D225" s="2">
        <v>16.5</v>
      </c>
      <c r="E225" s="2">
        <v>96.1</v>
      </c>
      <c r="F225" s="2">
        <v>130</v>
      </c>
      <c r="G225" s="2">
        <v>80</v>
      </c>
      <c r="H225" s="2">
        <v>60</v>
      </c>
      <c r="I225" s="2">
        <v>96.8</v>
      </c>
      <c r="J225" s="2">
        <v>132</v>
      </c>
      <c r="K225" s="2">
        <v>79</v>
      </c>
      <c r="L225" s="2">
        <v>65</v>
      </c>
      <c r="M225" s="2">
        <v>3.5</v>
      </c>
      <c r="N225" s="2">
        <v>37.101183673469393</v>
      </c>
      <c r="O225" s="2">
        <v>32.6586945886934</v>
      </c>
      <c r="P225">
        <v>1</v>
      </c>
      <c r="Q225">
        <v>1</v>
      </c>
      <c r="R225" s="2">
        <v>1723.8200000000002</v>
      </c>
      <c r="S225" s="2">
        <v>269.86933333333332</v>
      </c>
      <c r="T225" s="2">
        <v>44.442999999999998</v>
      </c>
      <c r="U225" s="2">
        <v>67.25266666666667</v>
      </c>
      <c r="V225" s="2">
        <v>44.481333333333332</v>
      </c>
      <c r="W225" s="2">
        <v>128.01566666666668</v>
      </c>
      <c r="X225" s="2">
        <v>32.44</v>
      </c>
      <c r="Y225" s="2">
        <v>2</v>
      </c>
      <c r="Z225" s="2">
        <v>399.98700000000002</v>
      </c>
    </row>
    <row r="226" spans="1:26" x14ac:dyDescent="0.25">
      <c r="A226" s="1">
        <v>45541</v>
      </c>
      <c r="B226" s="2">
        <v>255.8</v>
      </c>
      <c r="C226" s="2">
        <v>45</v>
      </c>
      <c r="D226" s="2">
        <v>16.5</v>
      </c>
      <c r="E226" s="2">
        <v>95.8</v>
      </c>
      <c r="F226" s="2">
        <v>136</v>
      </c>
      <c r="G226" s="2">
        <v>75</v>
      </c>
      <c r="H226" s="2">
        <v>60</v>
      </c>
      <c r="I226" s="2">
        <v>98.1</v>
      </c>
      <c r="J226" s="2">
        <v>132</v>
      </c>
      <c r="K226" s="2">
        <v>76</v>
      </c>
      <c r="L226" s="2">
        <v>91</v>
      </c>
      <c r="M226" s="2">
        <v>4.5</v>
      </c>
      <c r="N226" s="2">
        <v>36.699469387755101</v>
      </c>
      <c r="O226" s="2">
        <v>32.6586945886934</v>
      </c>
      <c r="P226">
        <v>1</v>
      </c>
      <c r="Q226">
        <v>1</v>
      </c>
      <c r="R226" s="2">
        <v>2553.94</v>
      </c>
      <c r="S226" s="2">
        <v>452.02033333333333</v>
      </c>
      <c r="T226" s="2">
        <v>58.711000000000006</v>
      </c>
      <c r="U226" s="2">
        <v>82.283666666666676</v>
      </c>
      <c r="V226" s="2">
        <v>38.439333333333337</v>
      </c>
      <c r="W226" s="2">
        <v>302.9496666666667</v>
      </c>
      <c r="X226" s="2">
        <v>84.53</v>
      </c>
      <c r="Y226" s="2">
        <v>1.5</v>
      </c>
      <c r="Z226" s="2">
        <v>528.399</v>
      </c>
    </row>
    <row r="227" spans="1:26" x14ac:dyDescent="0.25">
      <c r="A227" s="1">
        <v>45542</v>
      </c>
      <c r="B227" s="2">
        <v>255</v>
      </c>
      <c r="C227" s="2">
        <v>45</v>
      </c>
      <c r="D227" s="2">
        <v>16.5</v>
      </c>
      <c r="E227" s="2">
        <v>95.1</v>
      </c>
      <c r="F227" s="2">
        <v>127</v>
      </c>
      <c r="G227" s="2">
        <v>70</v>
      </c>
      <c r="H227" s="2">
        <v>63</v>
      </c>
      <c r="I227" s="2">
        <v>97.1</v>
      </c>
      <c r="J227" s="2">
        <v>124</v>
      </c>
      <c r="K227" s="2">
        <v>71</v>
      </c>
      <c r="L227" s="2">
        <v>95</v>
      </c>
      <c r="M227" s="2">
        <v>4.5</v>
      </c>
      <c r="N227" s="2">
        <v>36.584693877551018</v>
      </c>
      <c r="O227" s="2">
        <v>32.6586945886934</v>
      </c>
      <c r="P227">
        <v>1</v>
      </c>
      <c r="Q227">
        <v>1</v>
      </c>
      <c r="R227" s="2">
        <v>8019</v>
      </c>
      <c r="S227" s="2">
        <v>976.6</v>
      </c>
      <c r="T227" s="2">
        <v>282.3</v>
      </c>
      <c r="U227" s="2">
        <v>196.6</v>
      </c>
      <c r="V227" s="2">
        <v>44.3</v>
      </c>
      <c r="W227" s="2">
        <v>481.8</v>
      </c>
      <c r="X227" s="2">
        <v>64.5</v>
      </c>
      <c r="Y227" s="2">
        <v>1</v>
      </c>
      <c r="Z227" s="2">
        <v>2540.6999999999998</v>
      </c>
    </row>
  </sheetData>
  <dataValidations count="1">
    <dataValidation type="list" allowBlank="1" showInputMessage="1" showErrorMessage="1" sqref="A2:A227" xr:uid="{4039834D-5D3A-412B-9477-166150E202E5}">
      <formula1>"Yes, No"</formula1>
    </dataValidation>
  </dataValidations>
  <pageMargins left="0.25" right="0.25" top="0.75" bottom="0.75" header="0.3" footer="0.3"/>
  <pageSetup paperSize="5" fitToHeight="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E8DF-622C-4E39-A385-B75EBA4B8D11}">
  <dimension ref="A1"/>
  <sheetViews>
    <sheetView zoomScale="85" zoomScaleNormal="85" workbookViewId="0">
      <selection activeCell="I108" sqref="I10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78CC-704D-4AEB-BD59-EE2E2BC05342}">
  <dimension ref="A1:Z16"/>
  <sheetViews>
    <sheetView workbookViewId="0">
      <selection activeCell="H21" sqref="H21"/>
    </sheetView>
  </sheetViews>
  <sheetFormatPr defaultColWidth="13.42578125" defaultRowHeight="15" x14ac:dyDescent="0.25"/>
  <cols>
    <col min="1" max="1" width="27.28515625" style="18" customWidth="1"/>
    <col min="2" max="2" width="14.7109375" customWidth="1"/>
    <col min="3" max="4" width="13.5703125" bestFit="1" customWidth="1"/>
    <col min="5" max="5" width="20.7109375" customWidth="1"/>
    <col min="6" max="6" width="26.42578125" customWidth="1"/>
    <col min="7" max="7" width="27.28515625" customWidth="1"/>
    <col min="8" max="8" width="15.85546875" customWidth="1"/>
    <col min="9" max="9" width="18.28515625" customWidth="1"/>
    <col min="10" max="10" width="24" customWidth="1"/>
    <col min="11" max="11" width="24.85546875" customWidth="1"/>
    <col min="12" max="17" width="13.5703125" bestFit="1" customWidth="1"/>
    <col min="18" max="18" width="16.7109375" bestFit="1" customWidth="1"/>
    <col min="19" max="19" width="14.7109375" bestFit="1" customWidth="1"/>
    <col min="20" max="21" width="13.7109375" bestFit="1" customWidth="1"/>
    <col min="22" max="22" width="13.5703125" bestFit="1" customWidth="1"/>
    <col min="23" max="23" width="14.7109375" bestFit="1" customWidth="1"/>
    <col min="24" max="24" width="13.7109375" bestFit="1" customWidth="1"/>
    <col min="25" max="25" width="13.5703125" bestFit="1" customWidth="1"/>
    <col min="26" max="26" width="15.7109375" bestFit="1" customWidth="1"/>
  </cols>
  <sheetData>
    <row r="1" spans="1:26" s="18" customFormat="1" x14ac:dyDescent="0.25">
      <c r="A1" s="18" t="s">
        <v>237</v>
      </c>
      <c r="B1" s="18" t="s">
        <v>28</v>
      </c>
      <c r="C1" s="18" t="s">
        <v>29</v>
      </c>
      <c r="D1" s="18" t="s">
        <v>30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31</v>
      </c>
      <c r="Z1" s="18" t="s">
        <v>25</v>
      </c>
    </row>
    <row r="2" spans="1:26" x14ac:dyDescent="0.25">
      <c r="A2" s="18" t="s">
        <v>32</v>
      </c>
      <c r="B2" s="2">
        <f>AVERAGE(Table83[Weight])</f>
        <v>255.11504424778781</v>
      </c>
      <c r="C2" s="2">
        <f>AVERAGE(Table83[Waist])</f>
        <v>44.453539823008846</v>
      </c>
      <c r="D2" s="2">
        <f>AVERAGE(Table83[Neck])</f>
        <v>16.628318584070797</v>
      </c>
      <c r="E2" s="2">
        <f>AVERAGE(Table83[Morning Body Temp])</f>
        <v>96.578805309734406</v>
      </c>
      <c r="F2" s="2">
        <f>AVERAGE(Table83[Morning Systolic Pressure])</f>
        <v>131.65486725663717</v>
      </c>
      <c r="G2" s="2">
        <f>AVERAGE(Table83[Morning Diastolic Pressure])</f>
        <v>77.128318584070797</v>
      </c>
      <c r="H2" s="2">
        <f>AVERAGE(Table83[Morning Pulse])</f>
        <v>71.23451327433628</v>
      </c>
      <c r="I2" s="2">
        <f>AVERAGE(Table83[Night Body Temp])</f>
        <v>97.256637168141594</v>
      </c>
      <c r="J2" s="2">
        <f>AVERAGE(Table83[Night Systolic Pressure])</f>
        <v>134.20353982300884</v>
      </c>
      <c r="K2" s="2">
        <f>AVERAGE(Table83[Night Diastolic Pressure])</f>
        <v>76.442477876106196</v>
      </c>
      <c r="L2" s="2">
        <f>AVERAGE(Table83[Night Pulse])</f>
        <v>73.159292035398224</v>
      </c>
      <c r="M2" s="2">
        <f>AVERAGE(Table83[Sleep])</f>
        <v>7.860619469026549</v>
      </c>
      <c r="N2" s="2">
        <f>AVERAGE(Table83[BMI])</f>
        <v>36.601199205345878</v>
      </c>
      <c r="O2" s="2">
        <f>AVERAGE(Table83[CBF])</f>
        <v>31.747913711657727</v>
      </c>
      <c r="P2" s="2">
        <f>AVERAGE(Table83[Gym])</f>
        <v>0.52212389380530977</v>
      </c>
      <c r="Q2" s="2">
        <f>AVERAGE(Table83[Cardio])</f>
        <v>0.41592920353982299</v>
      </c>
      <c r="R2" s="2">
        <f>AVERAGE(Table83[Calories])</f>
        <v>2914.355339566785</v>
      </c>
      <c r="S2" s="2">
        <f>AVERAGE(Table83[Carbs])</f>
        <v>397.84503909680592</v>
      </c>
      <c r="T2" s="2">
        <f>AVERAGE(Table83[[Fat ]])</f>
        <v>105.42853820488766</v>
      </c>
      <c r="U2" s="2">
        <f>AVERAGE(Table83[Protein])</f>
        <v>101.34424305957447</v>
      </c>
      <c r="V2" s="2">
        <f>AVERAGE(Table83[Fiber])</f>
        <v>27.785301097179005</v>
      </c>
      <c r="W2" s="2">
        <f>AVERAGE(Table83[Sugar])</f>
        <v>239.28876055938792</v>
      </c>
      <c r="X2" s="2">
        <f>AVERAGE(Table83[Servings])</f>
        <v>56.434764079147627</v>
      </c>
      <c r="Y2" s="2">
        <f>AVERAGE(Table83[Water])</f>
        <v>1.1025114155251137</v>
      </c>
      <c r="Z2" s="2">
        <f>AVERAGE(Table83[Fat Calories])</f>
        <v>942.01611325038073</v>
      </c>
    </row>
    <row r="3" spans="1:26" x14ac:dyDescent="0.25">
      <c r="A3" s="18" t="s">
        <v>33</v>
      </c>
      <c r="B3" s="2">
        <f>_xlfn.VAR.P(Table83[Weight])</f>
        <v>35.265348891847509</v>
      </c>
      <c r="C3" s="2">
        <f>_xlfn.VAR.P(Table83[Waist])</f>
        <v>0.84186800062651856</v>
      </c>
      <c r="D3" s="2">
        <f>_xlfn.VAR.P(Table83[Neck])</f>
        <v>5.4330801159056745E-2</v>
      </c>
      <c r="E3" s="2">
        <f>_xlfn.VAR.P(Table83[Morning Body Temp])</f>
        <v>0.50454237802490343</v>
      </c>
      <c r="F3" s="2">
        <f>_xlfn.VAR.P(Table83[Morning Systolic Pressure])</f>
        <v>82.987078079724327</v>
      </c>
      <c r="G3" s="2">
        <f>_xlfn.VAR.P(Table83[Morning Diastolic Pressure])</f>
        <v>35.99680867726525</v>
      </c>
      <c r="H3" s="2">
        <f>_xlfn.VAR.P(Table83[Morning Pulse])</f>
        <v>66.082171665752995</v>
      </c>
      <c r="I3" s="2">
        <f>_xlfn.VAR.P(Table83[Night Body Temp])</f>
        <v>0.46148249667162611</v>
      </c>
      <c r="J3" s="2">
        <f>_xlfn.VAR.P(Table83[Night Systolic Pressure])</f>
        <v>131.87892552275039</v>
      </c>
      <c r="K3" s="2">
        <f>_xlfn.VAR.P(Table83[Night Diastolic Pressure])</f>
        <v>43.644921293758323</v>
      </c>
      <c r="L3" s="2">
        <f>_xlfn.VAR.P(Table83[Night Pulse])</f>
        <v>84.921528702325944</v>
      </c>
      <c r="M3" s="2">
        <f>_xlfn.VAR.P(Table83[Sleep])</f>
        <v>12.149820855196179</v>
      </c>
      <c r="N3" s="2">
        <f>_xlfn.VAR.P(Table83[BMI])</f>
        <v>0.72588308248609124</v>
      </c>
      <c r="O3" s="2">
        <f>_xlfn.VAR.P(Table83[CBF])</f>
        <v>1.1687544918766033</v>
      </c>
      <c r="P3" s="2">
        <f>_xlfn.VAR.P(Table83[Gym])</f>
        <v>0.24951053332289139</v>
      </c>
      <c r="Q3" s="2">
        <f>_xlfn.VAR.P(Table83[Cardio])</f>
        <v>0.24293210118255149</v>
      </c>
      <c r="R3" s="2">
        <f>_xlfn.VAR.P(Table83[Calories])</f>
        <v>3257528.6540905316</v>
      </c>
      <c r="S3" s="2">
        <f>_xlfn.VAR.P(Table83[Carbs])</f>
        <v>74251.026163295537</v>
      </c>
      <c r="T3" s="2">
        <f>_xlfn.VAR.P(Table83[[Fat ]])</f>
        <v>4976.4572719117514</v>
      </c>
      <c r="U3" s="2">
        <f>_xlfn.VAR.P(Table83[Protein])</f>
        <v>2155.9541483465168</v>
      </c>
      <c r="V3" s="2">
        <f>_xlfn.VAR.P(Table83[Fiber])</f>
        <v>312.79514331344205</v>
      </c>
      <c r="W3" s="2">
        <f>_xlfn.VAR.P(Table83[Sugar])</f>
        <v>37347.131335683851</v>
      </c>
      <c r="X3" s="2">
        <f>_xlfn.VAR.P(Table83[Servings])</f>
        <v>1691.2604065709425</v>
      </c>
      <c r="Y3" s="2">
        <f>_xlfn.VAR.P(Table83[Water])</f>
        <v>0.78916424213036085</v>
      </c>
      <c r="Z3" s="2">
        <f>_xlfn.VAR.P(Table83[Fat Calories])</f>
        <v>397681.39390397712</v>
      </c>
    </row>
    <row r="4" spans="1:26" x14ac:dyDescent="0.25">
      <c r="A4" s="18" t="s">
        <v>34</v>
      </c>
      <c r="B4" s="2">
        <f>_xlfn.STDEV.P(Table83[Weight])</f>
        <v>5.9384635127150114</v>
      </c>
      <c r="C4" s="2">
        <f>_xlfn.STDEV.P(Table83[Waist])</f>
        <v>0.91753365095048067</v>
      </c>
      <c r="D4" s="2">
        <f>_xlfn.STDEV.P(Table83[Neck])</f>
        <v>0.23308968479762623</v>
      </c>
      <c r="E4" s="2">
        <f>_xlfn.STDEV.P(Table83[Morning Body Temp])</f>
        <v>0.71031146550291824</v>
      </c>
      <c r="F4" s="2">
        <f>_xlfn.STDEV.P(Table83[Morning Systolic Pressure])</f>
        <v>9.1097243690313885</v>
      </c>
      <c r="G4" s="2">
        <f>_xlfn.STDEV.P(Table83[Morning Diastolic Pressure])</f>
        <v>5.9997340505446779</v>
      </c>
      <c r="H4" s="2">
        <f>_xlfn.STDEV.P(Table83[Morning Pulse])</f>
        <v>8.1290941479203571</v>
      </c>
      <c r="I4" s="2">
        <f>_xlfn.STDEV.P(Table83[Night Body Temp])</f>
        <v>0.67932503021133128</v>
      </c>
      <c r="J4" s="2">
        <f>_xlfn.STDEV.P(Table83[Night Systolic Pressure])</f>
        <v>11.483854993979609</v>
      </c>
      <c r="K4" s="2">
        <f>_xlfn.STDEV.P(Table83[Night Diastolic Pressure])</f>
        <v>6.6064302988647601</v>
      </c>
      <c r="L4" s="2">
        <f>_xlfn.STDEV.P(Table83[Night Pulse])</f>
        <v>9.2152877709991206</v>
      </c>
      <c r="M4" s="2">
        <f>_xlfn.STDEV.P(Table83[Sleep])</f>
        <v>3.4856593142755905</v>
      </c>
      <c r="N4" s="2">
        <f>_xlfn.STDEV.P(Table83[BMI])</f>
        <v>0.85198772437523496</v>
      </c>
      <c r="O4" s="2">
        <f>_xlfn.STDEV.P(Table83[CBF])</f>
        <v>1.0810894930007429</v>
      </c>
      <c r="P4" s="2">
        <f>_xlfn.STDEV.P(Table83[Gym])</f>
        <v>0.49951029351044546</v>
      </c>
      <c r="Q4" s="2">
        <f>_xlfn.STDEV.P(Table83[Cardio])</f>
        <v>0.49288142710245381</v>
      </c>
      <c r="R4" s="2">
        <f>_xlfn.STDEV.P(Table83[Calories])</f>
        <v>1804.8625028213455</v>
      </c>
      <c r="S4" s="2">
        <f>_xlfn.STDEV.P(Table83[Carbs])</f>
        <v>272.49041480994435</v>
      </c>
      <c r="T4" s="2">
        <f>_xlfn.STDEV.P(Table83[[Fat ]])</f>
        <v>70.544009468641292</v>
      </c>
      <c r="U4" s="2">
        <f>_xlfn.STDEV.P(Table83[Protein])</f>
        <v>46.432253319718576</v>
      </c>
      <c r="V4" s="2">
        <f>_xlfn.STDEV.P(Table83[Fiber])</f>
        <v>17.686015473063513</v>
      </c>
      <c r="W4" s="2">
        <f>_xlfn.STDEV.P(Table83[Sugar])</f>
        <v>193.25405904064175</v>
      </c>
      <c r="X4" s="2">
        <f>_xlfn.STDEV.P(Table83[Servings])</f>
        <v>41.124936554005068</v>
      </c>
      <c r="Y4" s="2">
        <f>_xlfn.STDEV.P(Table83[Water])</f>
        <v>0.88834916678655185</v>
      </c>
      <c r="Z4" s="2">
        <f>_xlfn.STDEV.P(Table83[Fat Calories])</f>
        <v>630.61984896130343</v>
      </c>
    </row>
    <row r="5" spans="1:26" x14ac:dyDescent="0.25">
      <c r="A5" s="18" t="s">
        <v>35</v>
      </c>
      <c r="B5" s="2">
        <f>MAX(Table83[Weight])-MIN(Table83[Weight])</f>
        <v>31.400000000000034</v>
      </c>
      <c r="C5" s="2">
        <f>MAX(Table83[Waist])-MIN(Table83[Waist])</f>
        <v>4.5</v>
      </c>
      <c r="D5" s="2">
        <f>MAX(Table83[Neck])-MIN(Table83[Neck])</f>
        <v>1</v>
      </c>
      <c r="E5" s="2">
        <f>MAX(Table83[Morning Body Temp])-MIN(Table83[Morning Body Temp])</f>
        <v>5.8999999999999915</v>
      </c>
      <c r="F5" s="2">
        <f>MAX(Table83[Morning Systolic Pressure])-MIN(Table83[Morning Systolic Pressure])</f>
        <v>54</v>
      </c>
      <c r="G5" s="2">
        <f>MAX(Table83[Morning Diastolic Pressure])-MIN(Table83[Morning Diastolic Pressure])</f>
        <v>57</v>
      </c>
      <c r="H5" s="2">
        <f>MAX(Table83[Morning Pulse])-MIN(Table83[Morning Pulse])</f>
        <v>44</v>
      </c>
      <c r="I5" s="2">
        <f>MAX(Table83[Night Body Temp])-MIN(Table83[Night Body Temp])</f>
        <v>3.7999999999999972</v>
      </c>
      <c r="J5" s="2">
        <f>MAX(Table83[Night Systolic Pressure])-MIN(Table83[Night Systolic Pressure])</f>
        <v>58</v>
      </c>
      <c r="K5" s="2">
        <f>MAX(Table83[Night Diastolic Pressure])-MIN(Table83[Night Diastolic Pressure])</f>
        <v>51</v>
      </c>
      <c r="L5" s="2">
        <f>MAX(Table83[Night Pulse])-MIN(Table83[Night Pulse])</f>
        <v>46</v>
      </c>
      <c r="M5" s="2">
        <f>MAX(Table83[Sleep])-MIN(Table83[Sleep])</f>
        <v>19</v>
      </c>
      <c r="N5" s="2">
        <f>MAX(Table83[BMI])-MIN(Table83[BMI])</f>
        <v>4.5049387755102117</v>
      </c>
      <c r="O5" s="2">
        <f>MAX(Table83[CBF])-MIN(Table83[CBF])</f>
        <v>5.2512515649121951</v>
      </c>
      <c r="P5" s="2">
        <f>MAX(Table83[Gym])-MIN(Table83[Gym])</f>
        <v>1</v>
      </c>
      <c r="Q5" s="2">
        <f>MAX(Table83[Cardio])-MIN(Table83[Cardio])</f>
        <v>1</v>
      </c>
      <c r="R5" s="2">
        <f>MAX(Table83[Calories])-MIN(Table83[Calories])</f>
        <v>8719</v>
      </c>
      <c r="S5" s="2">
        <f>MAX(Table83[Carbs])-MIN(Table83[Carbs])</f>
        <v>1270.9000000000001</v>
      </c>
      <c r="T5" s="2">
        <f>MAX(Table83[[Fat ]])-MIN(Table83[[Fat ]])</f>
        <v>327.47499999999997</v>
      </c>
      <c r="U5" s="2">
        <f>MAX(Table83[Protein])-MIN(Table83[Protein])</f>
        <v>276.46527777777777</v>
      </c>
      <c r="V5" s="2">
        <f>MAX(Table83[Fiber])-MIN(Table83[Fiber])</f>
        <v>80.406666666666666</v>
      </c>
      <c r="W5" s="2">
        <f>MAX(Table83[Sugar])-MIN(Table83[Sugar])</f>
        <v>1010.2850000000001</v>
      </c>
      <c r="X5" s="2">
        <f>MAX(Table83[Servings])-MIN(Table83[Servings])</f>
        <v>167.5</v>
      </c>
      <c r="Y5" s="2">
        <f>MAX(Table83[Water])-MIN(Table83[Water])</f>
        <v>4</v>
      </c>
      <c r="Z5" s="2">
        <f>MAX(Table83[Fat Calories])-MIN(Table83[Fat Calories])</f>
        <v>2947.2750000000001</v>
      </c>
    </row>
    <row r="6" spans="1:26" x14ac:dyDescent="0.25">
      <c r="A6" s="18" t="s">
        <v>36</v>
      </c>
      <c r="B6" s="2">
        <f>B4/SQRT(226)</f>
        <v>0.39502071689733737</v>
      </c>
      <c r="C6" s="2">
        <f t="shared" ref="C6:Z6" si="0">C4/SQRT(226)</f>
        <v>6.1033430583491741E-2</v>
      </c>
      <c r="D6" s="2">
        <f t="shared" si="0"/>
        <v>1.5504895196036449E-2</v>
      </c>
      <c r="E6" s="2">
        <f t="shared" si="0"/>
        <v>4.7249215848945904E-2</v>
      </c>
      <c r="F6" s="2">
        <f t="shared" si="0"/>
        <v>0.60596985117227875</v>
      </c>
      <c r="G6" s="2">
        <f t="shared" si="0"/>
        <v>0.3990963724480262</v>
      </c>
      <c r="H6" s="2">
        <f t="shared" si="0"/>
        <v>0.54073929917426333</v>
      </c>
      <c r="I6" s="2">
        <f t="shared" si="0"/>
        <v>4.5188028833690587E-2</v>
      </c>
      <c r="J6" s="2">
        <f t="shared" si="0"/>
        <v>0.76389467119802346</v>
      </c>
      <c r="K6" s="2">
        <f t="shared" si="0"/>
        <v>0.43945320657476394</v>
      </c>
      <c r="L6" s="2">
        <f t="shared" si="0"/>
        <v>0.61299182421869569</v>
      </c>
      <c r="M6" s="2">
        <f t="shared" si="0"/>
        <v>0.23186260860858862</v>
      </c>
      <c r="N6" s="2">
        <f t="shared" si="0"/>
        <v>5.6673380403842455E-2</v>
      </c>
      <c r="O6" s="2">
        <f t="shared" si="0"/>
        <v>7.1913003362057831E-2</v>
      </c>
      <c r="P6" s="2">
        <f t="shared" si="0"/>
        <v>3.3226930470754729E-2</v>
      </c>
      <c r="Q6" s="2">
        <f t="shared" si="0"/>
        <v>3.2785984836400842E-2</v>
      </c>
      <c r="R6" s="2">
        <f t="shared" si="0"/>
        <v>120.05766781913803</v>
      </c>
      <c r="S6" s="2">
        <f t="shared" si="0"/>
        <v>18.125792770370211</v>
      </c>
      <c r="T6" s="2">
        <f t="shared" si="0"/>
        <v>4.6925177082337584</v>
      </c>
      <c r="U6" s="2">
        <f t="shared" si="0"/>
        <v>3.0886275472168969</v>
      </c>
      <c r="V6" s="2">
        <f t="shared" si="0"/>
        <v>1.1764562493763404</v>
      </c>
      <c r="W6" s="2">
        <f t="shared" si="0"/>
        <v>12.855068787086477</v>
      </c>
      <c r="X6" s="2">
        <f t="shared" si="0"/>
        <v>2.7355900874253982</v>
      </c>
      <c r="Y6" s="2">
        <f t="shared" si="0"/>
        <v>5.9092107574260443E-2</v>
      </c>
      <c r="Z6" s="2">
        <f t="shared" si="0"/>
        <v>41.948208369557669</v>
      </c>
    </row>
    <row r="7" spans="1:26" x14ac:dyDescent="0.25">
      <c r="A7" s="18" t="s">
        <v>38</v>
      </c>
      <c r="B7" s="2">
        <f>_xlfn.MODE.SNGL(Table83[Weight])</f>
        <v>253</v>
      </c>
      <c r="C7" s="2">
        <f>_xlfn.MODE.SNGL(Table83[Waist])</f>
        <v>44.5</v>
      </c>
      <c r="D7" s="2">
        <f>_xlfn.MODE.SNGL(Table83[Neck])</f>
        <v>16.5</v>
      </c>
      <c r="E7" s="2">
        <f>_xlfn.MODE.SNGL(Table83[Morning Body Temp])</f>
        <v>96.4</v>
      </c>
      <c r="F7" s="2">
        <f>_xlfn.MODE.SNGL(Table83[Morning Systolic Pressure])</f>
        <v>128</v>
      </c>
      <c r="G7" s="2">
        <f>_xlfn.MODE.SNGL(Table83[Morning Diastolic Pressure])</f>
        <v>76</v>
      </c>
      <c r="H7" s="2">
        <f>_xlfn.MODE.SNGL(Table83[Morning Pulse])</f>
        <v>68</v>
      </c>
      <c r="I7" s="2">
        <f>_xlfn.MODE.SNGL(Table83[Night Body Temp])</f>
        <v>97.2</v>
      </c>
      <c r="J7" s="2">
        <f>_xlfn.MODE.SNGL(Table83[Night Systolic Pressure])</f>
        <v>132</v>
      </c>
      <c r="K7" s="2">
        <f>_xlfn.MODE.SNGL(Table83[Night Diastolic Pressure])</f>
        <v>75</v>
      </c>
      <c r="L7" s="2">
        <f>_xlfn.MODE.SNGL(Table83[Night Pulse])</f>
        <v>73</v>
      </c>
      <c r="M7" s="2">
        <f>_xlfn.MODE.SNGL(Table83[Sleep])</f>
        <v>8</v>
      </c>
      <c r="N7" s="2">
        <f>_xlfn.MODE.SNGL(Table83[BMI])</f>
        <v>36.297755102040817</v>
      </c>
      <c r="O7" s="2">
        <f>_xlfn.MODE.SNGL(Table83[CBF])</f>
        <v>31.997550455105717</v>
      </c>
      <c r="P7" s="2">
        <f>_xlfn.MODE.SNGL(Table83[Gym])</f>
        <v>1</v>
      </c>
      <c r="Q7" s="2">
        <f>_xlfn.MODE.SNGL(Table83[Cardio])</f>
        <v>0</v>
      </c>
      <c r="R7" s="2">
        <f>_xlfn.MODE.SNGL(Table83[Calories])</f>
        <v>2914.3553395667836</v>
      </c>
      <c r="S7" s="2">
        <f>_xlfn.MODE.SNGL(Table83[Carbs])</f>
        <v>397.84503909680592</v>
      </c>
      <c r="T7" s="2">
        <f>_xlfn.MODE.SNGL(Table83[[Fat ]])</f>
        <v>105.42853820488766</v>
      </c>
      <c r="U7" s="2">
        <f>_xlfn.MODE.SNGL(Table83[Protein])</f>
        <v>101.34424305957444</v>
      </c>
      <c r="V7" s="2">
        <f>_xlfn.MODE.SNGL(Table83[Fiber])</f>
        <v>27.785301097178991</v>
      </c>
      <c r="W7" s="2">
        <f>_xlfn.MODE.SNGL(Table83[Sugar])</f>
        <v>239.28876055938798</v>
      </c>
      <c r="X7" s="2">
        <f>_xlfn.MODE.SNGL(Table83[Servings])</f>
        <v>56.434764079147634</v>
      </c>
      <c r="Y7" s="2">
        <f>_xlfn.MODE.SNGL(Table83[Water])</f>
        <v>1</v>
      </c>
      <c r="Z7" s="2">
        <f>_xlfn.MODE.SNGL(Table83[Fat Calories])</f>
        <v>942.01611325038107</v>
      </c>
    </row>
    <row r="8" spans="1:26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5">
      <c r="A9" s="18" t="s">
        <v>39</v>
      </c>
      <c r="B9" s="2">
        <f>B$2+(1.96*(B$6))</f>
        <v>255.8892848529066</v>
      </c>
      <c r="C9" s="2">
        <f t="shared" ref="C9:Z9" si="1">C$2+(1.96*(C$6))</f>
        <v>44.573165346952493</v>
      </c>
      <c r="D9" s="2">
        <f t="shared" si="1"/>
        <v>16.658708178655029</v>
      </c>
      <c r="E9" s="2">
        <f t="shared" si="1"/>
        <v>96.671413772798346</v>
      </c>
      <c r="F9" s="2">
        <f t="shared" si="1"/>
        <v>132.84256816493485</v>
      </c>
      <c r="G9" s="2">
        <f t="shared" si="1"/>
        <v>77.910547474068935</v>
      </c>
      <c r="H9" s="2">
        <f t="shared" si="1"/>
        <v>72.294362300717836</v>
      </c>
      <c r="I9" s="2">
        <f t="shared" si="1"/>
        <v>97.345205704655626</v>
      </c>
      <c r="J9" s="2">
        <f t="shared" si="1"/>
        <v>135.70077337855696</v>
      </c>
      <c r="K9" s="2">
        <f t="shared" si="1"/>
        <v>77.303806160992735</v>
      </c>
      <c r="L9" s="2">
        <f t="shared" si="1"/>
        <v>74.360756010866865</v>
      </c>
      <c r="M9" s="2">
        <f t="shared" si="1"/>
        <v>8.3150701818993831</v>
      </c>
      <c r="N9" s="2">
        <f t="shared" si="1"/>
        <v>36.71227903093741</v>
      </c>
      <c r="O9" s="2">
        <f t="shared" si="1"/>
        <v>31.88886319824736</v>
      </c>
      <c r="P9" s="2">
        <f t="shared" si="1"/>
        <v>0.58724867752798904</v>
      </c>
      <c r="Q9" s="2">
        <f t="shared" si="1"/>
        <v>0.48018973381916863</v>
      </c>
      <c r="R9" s="2">
        <f t="shared" si="1"/>
        <v>3149.6683684922955</v>
      </c>
      <c r="S9" s="2">
        <f t="shared" si="1"/>
        <v>433.37159292673152</v>
      </c>
      <c r="T9" s="2">
        <f t="shared" si="1"/>
        <v>114.62587291302583</v>
      </c>
      <c r="U9" s="2">
        <f t="shared" si="1"/>
        <v>107.39795305211959</v>
      </c>
      <c r="V9" s="2">
        <f t="shared" si="1"/>
        <v>30.091155345956633</v>
      </c>
      <c r="W9" s="2">
        <f t="shared" si="1"/>
        <v>264.4846953820774</v>
      </c>
      <c r="X9" s="2">
        <f t="shared" si="1"/>
        <v>61.796520650501407</v>
      </c>
      <c r="Y9" s="2">
        <f t="shared" si="1"/>
        <v>1.2183319463706641</v>
      </c>
      <c r="Z9" s="2">
        <f t="shared" si="1"/>
        <v>1024.2346016547137</v>
      </c>
    </row>
    <row r="10" spans="1:26" x14ac:dyDescent="0.25">
      <c r="A10" s="18" t="s">
        <v>40</v>
      </c>
      <c r="B10" s="2">
        <f>B$2-(1.96*(B$6))</f>
        <v>254.34080364266902</v>
      </c>
      <c r="C10" s="2">
        <f t="shared" ref="C10:Z10" si="2">C$2-(1.96*(C$6))</f>
        <v>44.333914299065199</v>
      </c>
      <c r="D10" s="2">
        <f t="shared" si="2"/>
        <v>16.597928989486565</v>
      </c>
      <c r="E10" s="2">
        <f t="shared" si="2"/>
        <v>96.486196846670467</v>
      </c>
      <c r="F10" s="2">
        <f t="shared" si="2"/>
        <v>130.4671663483395</v>
      </c>
      <c r="G10" s="2">
        <f t="shared" si="2"/>
        <v>76.34608969407266</v>
      </c>
      <c r="H10" s="2">
        <f t="shared" si="2"/>
        <v>70.174664247954723</v>
      </c>
      <c r="I10" s="2">
        <f t="shared" si="2"/>
        <v>97.168068631627563</v>
      </c>
      <c r="J10" s="2">
        <f t="shared" si="2"/>
        <v>132.70630626746072</v>
      </c>
      <c r="K10" s="2">
        <f t="shared" si="2"/>
        <v>75.581149591219656</v>
      </c>
      <c r="L10" s="2">
        <f t="shared" si="2"/>
        <v>71.957828059929582</v>
      </c>
      <c r="M10" s="2">
        <f t="shared" si="2"/>
        <v>7.4061687561537148</v>
      </c>
      <c r="N10" s="2">
        <f t="shared" si="2"/>
        <v>36.490119379754347</v>
      </c>
      <c r="O10" s="2">
        <f t="shared" si="2"/>
        <v>31.606964225068094</v>
      </c>
      <c r="P10" s="2">
        <f t="shared" si="2"/>
        <v>0.4569991100826305</v>
      </c>
      <c r="Q10" s="2">
        <f t="shared" si="2"/>
        <v>0.35166867326047735</v>
      </c>
      <c r="R10" s="2">
        <f t="shared" si="2"/>
        <v>2679.0423106412745</v>
      </c>
      <c r="S10" s="2">
        <f t="shared" si="2"/>
        <v>362.31848526688032</v>
      </c>
      <c r="T10" s="2">
        <f t="shared" si="2"/>
        <v>96.231203496749487</v>
      </c>
      <c r="U10" s="2">
        <f t="shared" si="2"/>
        <v>95.290533067029344</v>
      </c>
      <c r="V10" s="2">
        <f t="shared" si="2"/>
        <v>25.479446848401377</v>
      </c>
      <c r="W10" s="2">
        <f t="shared" si="2"/>
        <v>214.09282573669844</v>
      </c>
      <c r="X10" s="2">
        <f t="shared" si="2"/>
        <v>51.073007507793847</v>
      </c>
      <c r="Y10" s="2">
        <f t="shared" si="2"/>
        <v>0.98669088467956323</v>
      </c>
      <c r="Z10" s="2">
        <f t="shared" si="2"/>
        <v>859.79762484604771</v>
      </c>
    </row>
    <row r="11" spans="1:26" s="16" customFormat="1" ht="63" customHeight="1" x14ac:dyDescent="0.25">
      <c r="A11" s="19" t="s">
        <v>41</v>
      </c>
      <c r="B11" s="16" t="str">
        <f>B10&amp;" - "&amp;B9</f>
        <v>254.340803642669 - 255.889284852907</v>
      </c>
      <c r="C11" s="16" t="str">
        <f t="shared" ref="C11:Z11" si="3">C10&amp;" - "&amp;C9</f>
        <v>44.3339142990652 - 44.5731653469525</v>
      </c>
      <c r="D11" s="16" t="str">
        <f t="shared" si="3"/>
        <v>16.5979289894866 - 16.658708178655</v>
      </c>
      <c r="E11" s="16" t="str">
        <f t="shared" si="3"/>
        <v>96.4861968466705 - 96.6714137727983</v>
      </c>
      <c r="F11" s="16" t="str">
        <f t="shared" si="3"/>
        <v>130.46716634834 - 132.842568164935</v>
      </c>
      <c r="G11" s="16" t="str">
        <f t="shared" si="3"/>
        <v>76.3460896940727 - 77.9105474740689</v>
      </c>
      <c r="H11" s="16" t="str">
        <f t="shared" si="3"/>
        <v>70.1746642479547 - 72.2943623007178</v>
      </c>
      <c r="I11" s="16" t="str">
        <f t="shared" si="3"/>
        <v>97.1680686316276 - 97.3452057046556</v>
      </c>
      <c r="J11" s="16" t="str">
        <f t="shared" si="3"/>
        <v>132.706306267461 - 135.700773378557</v>
      </c>
      <c r="K11" s="16" t="str">
        <f t="shared" si="3"/>
        <v>75.5811495912197 - 77.3038061609927</v>
      </c>
      <c r="L11" s="16" t="str">
        <f t="shared" si="3"/>
        <v>71.9578280599296 - 74.3607560108669</v>
      </c>
      <c r="M11" s="16" t="str">
        <f t="shared" si="3"/>
        <v>7.40616875615371 - 8.31507018189938</v>
      </c>
      <c r="N11" s="16" t="str">
        <f t="shared" si="3"/>
        <v>36.4901193797543 - 36.7122790309374</v>
      </c>
      <c r="O11" s="16" t="str">
        <f t="shared" si="3"/>
        <v>31.6069642250681 - 31.8888631982474</v>
      </c>
      <c r="P11" s="16" t="str">
        <f t="shared" si="3"/>
        <v>0.45699911008263 - 0.587248677527989</v>
      </c>
      <c r="Q11" s="16" t="str">
        <f t="shared" si="3"/>
        <v>0.351668673260477 - 0.480189733819169</v>
      </c>
      <c r="R11" s="16" t="str">
        <f t="shared" si="3"/>
        <v>2679.04231064127 - 3149.6683684923</v>
      </c>
      <c r="S11" s="16" t="str">
        <f t="shared" si="3"/>
        <v>362.31848526688 - 433.371592926732</v>
      </c>
      <c r="T11" s="16" t="str">
        <f t="shared" si="3"/>
        <v>96.2312034967495 - 114.625872913026</v>
      </c>
      <c r="U11" s="16" t="str">
        <f t="shared" si="3"/>
        <v>95.2905330670293 - 107.39795305212</v>
      </c>
      <c r="V11" s="16" t="str">
        <f t="shared" si="3"/>
        <v>25.4794468484014 - 30.0911553459566</v>
      </c>
      <c r="W11" s="16" t="str">
        <f t="shared" si="3"/>
        <v>214.092825736698 - 264.484695382077</v>
      </c>
      <c r="X11" s="16" t="str">
        <f t="shared" si="3"/>
        <v>51.0730075077938 - 61.7965206505014</v>
      </c>
      <c r="Y11" s="16" t="str">
        <f t="shared" si="3"/>
        <v>0.986690884679563 - 1.21833194637066</v>
      </c>
      <c r="Z11" s="16" t="str">
        <f t="shared" si="3"/>
        <v>859.797624846048 - 1024.23460165471</v>
      </c>
    </row>
    <row r="13" spans="1:26" s="16" customFormat="1" ht="45" x14ac:dyDescent="0.25">
      <c r="A13" s="19" t="s">
        <v>42</v>
      </c>
      <c r="B13" s="16" t="s">
        <v>44</v>
      </c>
      <c r="C13" s="16" t="s">
        <v>44</v>
      </c>
      <c r="D13" s="16" t="s">
        <v>44</v>
      </c>
      <c r="E13" s="16" t="s">
        <v>44</v>
      </c>
      <c r="F13" s="16" t="s">
        <v>44</v>
      </c>
      <c r="G13" s="16" t="s">
        <v>44</v>
      </c>
      <c r="H13" s="16" t="s">
        <v>44</v>
      </c>
      <c r="I13" s="16" t="s">
        <v>44</v>
      </c>
      <c r="J13" s="16" t="s">
        <v>44</v>
      </c>
      <c r="K13" s="16" t="s">
        <v>44</v>
      </c>
      <c r="L13" s="16" t="s">
        <v>44</v>
      </c>
      <c r="M13" s="16" t="s">
        <v>44</v>
      </c>
      <c r="N13" s="16" t="s">
        <v>44</v>
      </c>
      <c r="O13" s="16" t="s">
        <v>44</v>
      </c>
      <c r="P13" s="16" t="s">
        <v>44</v>
      </c>
      <c r="Q13" s="16" t="s">
        <v>44</v>
      </c>
      <c r="R13" s="16" t="s">
        <v>44</v>
      </c>
      <c r="S13" s="16" t="s">
        <v>44</v>
      </c>
      <c r="T13" s="16" t="s">
        <v>44</v>
      </c>
      <c r="U13" s="16" t="s">
        <v>44</v>
      </c>
      <c r="V13" s="16" t="s">
        <v>44</v>
      </c>
      <c r="W13" s="16" t="s">
        <v>44</v>
      </c>
      <c r="X13" s="16" t="s">
        <v>44</v>
      </c>
      <c r="Y13" s="16" t="s">
        <v>44</v>
      </c>
      <c r="Z13" s="16" t="s">
        <v>44</v>
      </c>
    </row>
    <row r="14" spans="1:26" s="16" customFormat="1" ht="30" x14ac:dyDescent="0.25">
      <c r="A14" s="19" t="s">
        <v>43</v>
      </c>
      <c r="B14" s="16" t="s">
        <v>45</v>
      </c>
      <c r="C14" s="16" t="s">
        <v>45</v>
      </c>
      <c r="D14" s="16" t="s">
        <v>45</v>
      </c>
      <c r="E14" s="16" t="s">
        <v>45</v>
      </c>
      <c r="F14" s="16" t="s">
        <v>45</v>
      </c>
      <c r="G14" s="16" t="s">
        <v>45</v>
      </c>
      <c r="H14" s="16" t="s">
        <v>45</v>
      </c>
      <c r="I14" s="16" t="s">
        <v>45</v>
      </c>
      <c r="J14" s="16" t="s">
        <v>45</v>
      </c>
      <c r="K14" s="16" t="s">
        <v>45</v>
      </c>
      <c r="L14" s="16" t="s">
        <v>45</v>
      </c>
      <c r="M14" s="16" t="s">
        <v>45</v>
      </c>
      <c r="N14" s="16" t="s">
        <v>45</v>
      </c>
      <c r="O14" s="16" t="s">
        <v>45</v>
      </c>
      <c r="P14" s="16" t="s">
        <v>45</v>
      </c>
      <c r="Q14" s="16" t="s">
        <v>45</v>
      </c>
      <c r="R14" s="16" t="s">
        <v>45</v>
      </c>
      <c r="S14" s="16" t="s">
        <v>45</v>
      </c>
      <c r="T14" s="16" t="s">
        <v>45</v>
      </c>
      <c r="U14" s="16" t="s">
        <v>45</v>
      </c>
      <c r="V14" s="16" t="s">
        <v>45</v>
      </c>
      <c r="W14" s="16" t="s">
        <v>45</v>
      </c>
      <c r="X14" s="16" t="s">
        <v>45</v>
      </c>
      <c r="Y14" s="16" t="s">
        <v>45</v>
      </c>
      <c r="Z14" s="16" t="s">
        <v>45</v>
      </c>
    </row>
    <row r="15" spans="1:26" x14ac:dyDescent="0.25">
      <c r="A15" s="18" t="s">
        <v>46</v>
      </c>
      <c r="B15" s="2">
        <f>(B2-B7)/B6</f>
        <v>5.3542615800008528</v>
      </c>
      <c r="C15" s="2">
        <f t="shared" ref="C15:Z15" si="4">(C2-C7)/C6</f>
        <v>-0.76122506218289487</v>
      </c>
      <c r="D15" s="2">
        <f t="shared" si="4"/>
        <v>8.2760046068289181</v>
      </c>
      <c r="E15" s="2">
        <f t="shared" si="4"/>
        <v>3.7843021629403291</v>
      </c>
      <c r="F15" s="2">
        <f t="shared" si="4"/>
        <v>6.0314341539709488</v>
      </c>
      <c r="G15" s="2">
        <f t="shared" si="4"/>
        <v>2.8271832619018271</v>
      </c>
      <c r="H15" s="2">
        <f t="shared" si="4"/>
        <v>5.9816500840156195</v>
      </c>
      <c r="I15" s="2">
        <f t="shared" si="4"/>
        <v>1.2533666460654493</v>
      </c>
      <c r="J15" s="2">
        <f t="shared" si="4"/>
        <v>2.8846121148521773</v>
      </c>
      <c r="K15" s="2">
        <f t="shared" si="4"/>
        <v>3.2824379354273474</v>
      </c>
      <c r="L15" s="2">
        <f t="shared" si="4"/>
        <v>0.25985996730258742</v>
      </c>
      <c r="M15" s="2">
        <f t="shared" si="4"/>
        <v>-0.60113414495711892</v>
      </c>
      <c r="N15" s="2">
        <f t="shared" si="4"/>
        <v>5.3542615800007534</v>
      </c>
      <c r="O15" s="2">
        <f t="shared" si="4"/>
        <v>-3.4713714040165007</v>
      </c>
      <c r="P15" s="2">
        <f t="shared" si="4"/>
        <v>-14.382192379019221</v>
      </c>
      <c r="Q15" s="2">
        <f t="shared" si="4"/>
        <v>12.686189102303098</v>
      </c>
      <c r="R15" s="2">
        <f t="shared" si="4"/>
        <v>1.1363223003086876E-14</v>
      </c>
      <c r="S15" s="2">
        <f t="shared" si="4"/>
        <v>0</v>
      </c>
      <c r="T15" s="2">
        <f t="shared" si="4"/>
        <v>0</v>
      </c>
      <c r="U15" s="2">
        <f t="shared" si="4"/>
        <v>9.2020513952918236E-15</v>
      </c>
      <c r="V15" s="2">
        <f t="shared" si="4"/>
        <v>1.2079373731692463E-14</v>
      </c>
      <c r="W15" s="2">
        <f t="shared" si="4"/>
        <v>-4.4218681208388326E-15</v>
      </c>
      <c r="X15" s="2">
        <f t="shared" si="4"/>
        <v>-2.5974020706765602E-15</v>
      </c>
      <c r="Y15" s="2">
        <f t="shared" si="4"/>
        <v>1.7347733857061813</v>
      </c>
      <c r="Z15" s="2">
        <f t="shared" si="4"/>
        <v>-8.1305144229320631E-15</v>
      </c>
    </row>
    <row r="16" spans="1:26" x14ac:dyDescent="0.25">
      <c r="A16" s="18" t="s">
        <v>47</v>
      </c>
      <c r="B16" t="str">
        <f>IF(ABS(B15)&gt;1.96,"Reject","Fail to Reject")</f>
        <v>Reject</v>
      </c>
      <c r="C16" t="str">
        <f t="shared" ref="C16:Z16" si="5">IF(ABS(C15)&gt;1.96,"Reject","Fail to Reject")</f>
        <v>Fail to Reject</v>
      </c>
      <c r="D16" t="str">
        <f t="shared" si="5"/>
        <v>Reject</v>
      </c>
      <c r="E16" t="str">
        <f t="shared" si="5"/>
        <v>Reject</v>
      </c>
      <c r="F16" t="str">
        <f t="shared" si="5"/>
        <v>Reject</v>
      </c>
      <c r="G16" t="str">
        <f t="shared" si="5"/>
        <v>Reject</v>
      </c>
      <c r="H16" t="str">
        <f t="shared" si="5"/>
        <v>Reject</v>
      </c>
      <c r="I16" t="str">
        <f t="shared" si="5"/>
        <v>Fail to Reject</v>
      </c>
      <c r="J16" t="str">
        <f t="shared" si="5"/>
        <v>Reject</v>
      </c>
      <c r="K16" t="str">
        <f t="shared" si="5"/>
        <v>Reject</v>
      </c>
      <c r="L16" t="str">
        <f t="shared" si="5"/>
        <v>Fail to Reject</v>
      </c>
      <c r="M16" t="str">
        <f t="shared" si="5"/>
        <v>Fail to Reject</v>
      </c>
      <c r="N16" t="str">
        <f t="shared" si="5"/>
        <v>Reject</v>
      </c>
      <c r="O16" t="str">
        <f t="shared" si="5"/>
        <v>Reject</v>
      </c>
      <c r="P16" t="str">
        <f t="shared" si="5"/>
        <v>Reject</v>
      </c>
      <c r="Q16" t="str">
        <f t="shared" si="5"/>
        <v>Reject</v>
      </c>
      <c r="R16" t="str">
        <f t="shared" si="5"/>
        <v>Fail to Reject</v>
      </c>
      <c r="S16" t="str">
        <f t="shared" si="5"/>
        <v>Fail to Reject</v>
      </c>
      <c r="T16" t="str">
        <f t="shared" si="5"/>
        <v>Fail to Reject</v>
      </c>
      <c r="U16" t="str">
        <f t="shared" si="5"/>
        <v>Fail to Reject</v>
      </c>
      <c r="V16" t="str">
        <f t="shared" si="5"/>
        <v>Fail to Reject</v>
      </c>
      <c r="W16" t="str">
        <f t="shared" si="5"/>
        <v>Fail to Reject</v>
      </c>
      <c r="X16" t="str">
        <f t="shared" si="5"/>
        <v>Fail to Reject</v>
      </c>
      <c r="Y16" t="str">
        <f t="shared" si="5"/>
        <v>Fail to Reject</v>
      </c>
      <c r="Z16" t="str">
        <f t="shared" si="5"/>
        <v>Fail to Reject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D315-1CC9-401E-A04F-3A800C059B99}">
  <sheetPr>
    <pageSetUpPr fitToPage="1"/>
  </sheetPr>
  <dimension ref="A1:CS227"/>
  <sheetViews>
    <sheetView workbookViewId="0">
      <selection activeCell="CS2" sqref="CS2"/>
    </sheetView>
  </sheetViews>
  <sheetFormatPr defaultColWidth="29" defaultRowHeight="15" x14ac:dyDescent="0.25"/>
  <cols>
    <col min="1" max="2" width="20" style="2" customWidth="1"/>
    <col min="3" max="4" width="17.42578125" style="2" customWidth="1"/>
    <col min="5" max="6" width="15.7109375" style="2" customWidth="1"/>
    <col min="7" max="8" width="23.42578125" style="2" customWidth="1"/>
    <col min="9" max="10" width="28.140625" style="2" customWidth="1"/>
    <col min="11" max="12" width="27.7109375" style="2" customWidth="1"/>
    <col min="13" max="14" width="16.7109375" style="2" customWidth="1"/>
    <col min="15" max="16" width="19.85546875" style="2" customWidth="1"/>
    <col min="17" max="18" width="25.28515625" style="2" customWidth="1"/>
    <col min="19" max="20" width="26.28515625" style="2" customWidth="1"/>
    <col min="21" max="22" width="14.7109375" style="2" customWidth="1"/>
    <col min="23" max="24" width="9.140625" style="2" customWidth="1"/>
    <col min="25" max="26" width="9.7109375" style="2" customWidth="1"/>
    <col min="27" max="28" width="9.5703125" style="2" customWidth="1"/>
    <col min="29" max="30" width="8.42578125" customWidth="1"/>
    <col min="31" max="32" width="11" customWidth="1"/>
    <col min="33" max="34" width="14.28515625" style="2" customWidth="1"/>
    <col min="35" max="36" width="10" style="2" customWidth="1"/>
    <col min="37" max="38" width="8.5703125" style="2" customWidth="1"/>
    <col min="39" max="40" width="10.42578125" style="2" customWidth="1"/>
    <col min="41" max="42" width="9.28515625" style="2" customWidth="1"/>
    <col min="43" max="44" width="9.85546875" style="2" customWidth="1"/>
    <col min="45" max="46" width="11.140625" style="2" customWidth="1"/>
    <col min="47" max="48" width="11.7109375" style="2" customWidth="1"/>
    <col min="49" max="50" width="14.85546875" style="2" customWidth="1"/>
  </cols>
  <sheetData>
    <row r="1" spans="1:97" x14ac:dyDescent="0.25">
      <c r="A1" t="s">
        <v>28</v>
      </c>
      <c r="B1" t="s">
        <v>52</v>
      </c>
      <c r="C1" t="s">
        <v>29</v>
      </c>
      <c r="D1" t="s">
        <v>53</v>
      </c>
      <c r="E1" t="s">
        <v>30</v>
      </c>
      <c r="F1" t="s">
        <v>54</v>
      </c>
      <c r="G1" t="s">
        <v>4</v>
      </c>
      <c r="H1" t="s">
        <v>55</v>
      </c>
      <c r="I1" t="s">
        <v>5</v>
      </c>
      <c r="J1" t="s">
        <v>56</v>
      </c>
      <c r="K1" t="s">
        <v>6</v>
      </c>
      <c r="L1" t="s">
        <v>57</v>
      </c>
      <c r="M1" t="s">
        <v>7</v>
      </c>
      <c r="N1" t="s">
        <v>58</v>
      </c>
      <c r="O1" t="s">
        <v>8</v>
      </c>
      <c r="P1" t="s">
        <v>59</v>
      </c>
      <c r="Q1" t="s">
        <v>9</v>
      </c>
      <c r="R1" t="s">
        <v>60</v>
      </c>
      <c r="S1" t="s">
        <v>10</v>
      </c>
      <c r="T1" t="s">
        <v>61</v>
      </c>
      <c r="U1" t="s">
        <v>11</v>
      </c>
      <c r="V1" t="s">
        <v>62</v>
      </c>
      <c r="W1" t="s">
        <v>12</v>
      </c>
      <c r="X1" t="s">
        <v>63</v>
      </c>
      <c r="Y1" t="s">
        <v>13</v>
      </c>
      <c r="Z1" t="s">
        <v>64</v>
      </c>
      <c r="AA1" t="s">
        <v>14</v>
      </c>
      <c r="AB1" t="s">
        <v>65</v>
      </c>
      <c r="AC1" t="s">
        <v>15</v>
      </c>
      <c r="AD1" t="s">
        <v>66</v>
      </c>
      <c r="AE1" t="s">
        <v>16</v>
      </c>
      <c r="AF1" t="s">
        <v>67</v>
      </c>
      <c r="AG1" t="s">
        <v>17</v>
      </c>
      <c r="AH1" t="s">
        <v>68</v>
      </c>
      <c r="AI1" t="s">
        <v>18</v>
      </c>
      <c r="AJ1" t="s">
        <v>69</v>
      </c>
      <c r="AK1" t="s">
        <v>19</v>
      </c>
      <c r="AL1" t="s">
        <v>70</v>
      </c>
      <c r="AM1" t="s">
        <v>20</v>
      </c>
      <c r="AN1" t="s">
        <v>71</v>
      </c>
      <c r="AO1" t="s">
        <v>21</v>
      </c>
      <c r="AP1" t="s">
        <v>72</v>
      </c>
      <c r="AQ1" t="s">
        <v>22</v>
      </c>
      <c r="AR1" t="s">
        <v>73</v>
      </c>
      <c r="AS1" t="s">
        <v>23</v>
      </c>
      <c r="AT1" t="s">
        <v>74</v>
      </c>
      <c r="AU1" t="s">
        <v>31</v>
      </c>
      <c r="AV1" t="s">
        <v>75</v>
      </c>
      <c r="AW1" t="s">
        <v>25</v>
      </c>
      <c r="AX1" t="s">
        <v>76</v>
      </c>
      <c r="AY1" s="9" t="s">
        <v>51</v>
      </c>
      <c r="AZ1" s="10" t="s">
        <v>77</v>
      </c>
      <c r="BA1" s="10" t="s">
        <v>78</v>
      </c>
      <c r="BB1" s="10" t="s">
        <v>79</v>
      </c>
      <c r="BC1" s="14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s="10" t="s">
        <v>100</v>
      </c>
      <c r="BX1" s="10" t="s">
        <v>101</v>
      </c>
      <c r="BY1" s="10" t="s">
        <v>102</v>
      </c>
      <c r="BZ1" s="14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  <c r="CG1" t="s">
        <v>110</v>
      </c>
      <c r="CH1" t="s">
        <v>111</v>
      </c>
      <c r="CI1" t="s">
        <v>112</v>
      </c>
      <c r="CJ1" t="s">
        <v>113</v>
      </c>
      <c r="CK1" t="s">
        <v>114</v>
      </c>
      <c r="CL1" t="s">
        <v>115</v>
      </c>
      <c r="CM1" t="s">
        <v>118</v>
      </c>
      <c r="CN1" t="s">
        <v>117</v>
      </c>
      <c r="CO1" t="s">
        <v>116</v>
      </c>
      <c r="CP1" t="s">
        <v>119</v>
      </c>
      <c r="CQ1" t="s">
        <v>120</v>
      </c>
      <c r="CR1" t="s">
        <v>121</v>
      </c>
      <c r="CS1" t="s">
        <v>122</v>
      </c>
    </row>
    <row r="2" spans="1:97" x14ac:dyDescent="0.25">
      <c r="A2" s="2">
        <v>275.60000000000002</v>
      </c>
      <c r="B2" s="2">
        <f>Table834[[#This Row],[Weight]]^2</f>
        <v>75955.360000000015</v>
      </c>
      <c r="C2" s="2">
        <v>47.5</v>
      </c>
      <c r="D2" s="2">
        <f>Table834[[#This Row],[Waist]]^2</f>
        <v>2256.25</v>
      </c>
      <c r="E2" s="2">
        <v>17</v>
      </c>
      <c r="F2" s="2">
        <f>Table834[[#This Row],[Neck]]^2</f>
        <v>289</v>
      </c>
      <c r="G2" s="2">
        <v>95.7</v>
      </c>
      <c r="H2" s="2">
        <f>Table834[[#This Row],[Morning Body Temp]]^2</f>
        <v>9158.49</v>
      </c>
      <c r="I2" s="2">
        <v>113</v>
      </c>
      <c r="J2" s="2">
        <f>Table834[[#This Row],[Morning Systolic Pressure]]^2</f>
        <v>12769</v>
      </c>
      <c r="K2" s="2">
        <v>73</v>
      </c>
      <c r="L2" s="2">
        <f>Table834[[#This Row],[Morning Diastolic Pressure]]^2</f>
        <v>5329</v>
      </c>
      <c r="M2" s="2">
        <v>74</v>
      </c>
      <c r="N2" s="2">
        <f>Table834[[#This Row],[Morning Pulse]]^2</f>
        <v>5476</v>
      </c>
      <c r="O2" s="2">
        <v>97.4</v>
      </c>
      <c r="P2" s="2">
        <f>Table834[[#This Row],[Night Body Temp]]^2</f>
        <v>9486.76</v>
      </c>
      <c r="Q2" s="2">
        <v>128</v>
      </c>
      <c r="R2" s="2">
        <f>Table834[[#This Row],[Night Systolic Pressure]]^2</f>
        <v>16384</v>
      </c>
      <c r="S2" s="2">
        <v>79</v>
      </c>
      <c r="T2" s="2">
        <f>Table834[[#This Row],[Night Diastolic Pressure]]^2</f>
        <v>6241</v>
      </c>
      <c r="U2" s="2">
        <v>73</v>
      </c>
      <c r="V2" s="2">
        <f>Table834[[#This Row],[Night Pulse]]^2</f>
        <v>5329</v>
      </c>
      <c r="W2" s="2">
        <v>11.5</v>
      </c>
      <c r="X2" s="2">
        <f>Table834[[#This Row],[Sleep]]^2</f>
        <v>132.25</v>
      </c>
      <c r="Y2" s="2">
        <f>(A2/4900)*703</f>
        <v>39.540163265306127</v>
      </c>
      <c r="Z2" s="2">
        <f>Table834[[#This Row],[BMI]]^2</f>
        <v>1563.424511047064</v>
      </c>
      <c r="AA2" s="2">
        <f t="shared" ref="AA2:AA65" si="0">(86.01*LOG10(C2-E2))-(70.041*LOG10(70))+36.76</f>
        <v>35.192117361578489</v>
      </c>
      <c r="AB2" s="2">
        <f>Table834[[#This Row],[CBF]]^2</f>
        <v>1238.4851243911141</v>
      </c>
      <c r="AC2" s="2">
        <v>1</v>
      </c>
      <c r="AD2" s="2">
        <f>Table834[[#This Row],[Gym]]^2</f>
        <v>1</v>
      </c>
      <c r="AE2" s="2">
        <v>1</v>
      </c>
      <c r="AF2" s="2">
        <f>Table834[[#This Row],[Cardio]]^2</f>
        <v>1</v>
      </c>
      <c r="AG2" s="2">
        <v>1465</v>
      </c>
      <c r="AH2" s="2">
        <f>Table834[[#This Row],[Calories]]^2</f>
        <v>2146225</v>
      </c>
      <c r="AI2" s="2">
        <v>189.5</v>
      </c>
      <c r="AJ2" s="2">
        <f>Table834[[#This Row],[Carbs]]^2</f>
        <v>35910.25</v>
      </c>
      <c r="AK2" s="2">
        <v>50.5</v>
      </c>
      <c r="AL2" s="2">
        <f>Table834[[#This Row],[Fat ]]^2</f>
        <v>2550.25</v>
      </c>
      <c r="AM2" s="2">
        <v>73</v>
      </c>
      <c r="AN2" s="2">
        <f>Table834[[#This Row],[Protein]]^2</f>
        <v>5329</v>
      </c>
      <c r="AO2" s="2">
        <v>19</v>
      </c>
      <c r="AP2" s="2">
        <f>Table834[[#This Row],[Fiber]]^2</f>
        <v>361</v>
      </c>
      <c r="AQ2" s="2">
        <v>67.5</v>
      </c>
      <c r="AR2" s="2">
        <f>Table834[[#This Row],[Sugar]]^2</f>
        <v>4556.25</v>
      </c>
      <c r="AS2" s="2">
        <v>17</v>
      </c>
      <c r="AT2" s="2">
        <f>Table834[[#This Row],[Servings]]^2</f>
        <v>289</v>
      </c>
      <c r="AU2" s="2">
        <v>0.5</v>
      </c>
      <c r="AV2" s="2">
        <f>Table834[[#This Row],[Water]]^2</f>
        <v>0.25</v>
      </c>
      <c r="AW2" s="2">
        <v>454.5</v>
      </c>
      <c r="AX2" s="2">
        <f>Table834[[#This Row],[Fat Calories]]^2</f>
        <v>206570.25</v>
      </c>
      <c r="AY2" s="3">
        <f>Table834[[#This Row],[Weight]]*Table834[[#This Row],[Waist]]</f>
        <v>13091.000000000002</v>
      </c>
      <c r="AZ2" s="4">
        <f>Table834[[#This Row],[Weight]]*Table834[[#This Row],[Neck]]</f>
        <v>4685.2000000000007</v>
      </c>
      <c r="BA2" s="4">
        <f>Table834[[#This Row],[Weight]]*Table834[[#This Row],[Morning Body Temp]]</f>
        <v>26374.920000000002</v>
      </c>
      <c r="BB2" s="4">
        <f>Table834[[#This Row],[Weight]]*Table834[[#This Row],[Morning Systolic Pressure]]</f>
        <v>31142.800000000003</v>
      </c>
      <c r="BC2" s="4">
        <f>Table834[[#This Row],[Weight]]*Table834[[#This Row],[Morning Diastolic Pressure]]</f>
        <v>20118.800000000003</v>
      </c>
      <c r="BD2" s="4">
        <f>Table834[[#This Row],[Weight]]*Table834[[#This Row],[Morning Pulse]]</f>
        <v>20394.400000000001</v>
      </c>
      <c r="BE2" s="4">
        <f>Table834[[#This Row],[Weight]]*Table834[[#This Row],[Night Body Temp]]</f>
        <v>26843.440000000002</v>
      </c>
      <c r="BF2" s="4">
        <f>Table834[[#This Row],[Weight]]*Table834[[#This Row],[Night Systolic Pressure]]</f>
        <v>35276.800000000003</v>
      </c>
      <c r="BG2" s="4">
        <f>Table83[[#This Row],[Weight]]*Table83[[#This Row],[Night Diastolic Pressure]]</f>
        <v>21772.400000000001</v>
      </c>
      <c r="BH2" s="4">
        <f>Table834[[#This Row],[Weight]]*Table834[[#This Row],[Night Pulse]]</f>
        <v>20118.800000000003</v>
      </c>
      <c r="BI2" s="2">
        <f>Table834[[#This Row],[Weight]]*Table834[[#This Row],[Sleep]]</f>
        <v>3169.4</v>
      </c>
      <c r="BJ2" s="2">
        <f>Table834[[#This Row],[Weight]]*Table834[[#This Row],[BMI]]</f>
        <v>10897.26899591837</v>
      </c>
      <c r="BK2" s="2">
        <f>Table834[[#This Row],[Weight]]*Table834[[#This Row],[CBF]]</f>
        <v>9698.9475448510329</v>
      </c>
      <c r="BL2" s="2">
        <f>Table834[[#This Row],[Weight]]*Table834[[#This Row],[Gym]]</f>
        <v>275.60000000000002</v>
      </c>
      <c r="BM2" s="2">
        <f>Table834[[#This Row],[Weight]]*Table834[[#This Row],[Cardio]]</f>
        <v>275.60000000000002</v>
      </c>
      <c r="BN2" s="2">
        <f>Table834[[#This Row],[Weight]]*Table834[[#This Row],[Calories]]</f>
        <v>403754.00000000006</v>
      </c>
      <c r="BO2" s="2">
        <f>Table834[[#This Row],[Weight]]*Table834[[#This Row],[Carbs]]</f>
        <v>52226.200000000004</v>
      </c>
      <c r="BP2" s="2">
        <f>Table834[[#This Row],[Weight]]*Table834[[#This Row],[Fat ]]</f>
        <v>13917.800000000001</v>
      </c>
      <c r="BQ2" s="2">
        <f>Table834[[#This Row],[Weight]]*Table834[[#This Row],[Protein]]</f>
        <v>20118.800000000003</v>
      </c>
      <c r="BR2" s="2">
        <f>Table834[[#This Row],[Weight]]*Table834[[#This Row],[Fiber]]</f>
        <v>5236.4000000000005</v>
      </c>
      <c r="BS2" s="2">
        <f>Table834[[#This Row],[Weight]]*Table834[[#This Row],[Sugar]]</f>
        <v>18603</v>
      </c>
      <c r="BT2" s="2">
        <f>Table834[[#This Row],[Weight]]*Table834[[#This Row],[Servings]]</f>
        <v>4685.2000000000007</v>
      </c>
      <c r="BU2" s="2">
        <f>Table834[[#This Row],[Weight]]*Table834[[#This Row],[Water]]</f>
        <v>137.80000000000001</v>
      </c>
      <c r="BV2" s="2">
        <f>Table834[[#This Row],[Weight]]*Table834[[#This Row],[Fat Calories]]</f>
        <v>125260.20000000001</v>
      </c>
      <c r="BW2" s="4">
        <f>Table834[[#This Row],[Waist]]*Table834[[#This Row],[Neck]]</f>
        <v>807.5</v>
      </c>
      <c r="BX2" s="4">
        <f>Table834[[#This Row],[Waist]]*Table834[[#This Row],[Morning Body Temp]]</f>
        <v>4545.75</v>
      </c>
      <c r="BY2" s="4">
        <f>Table834[[#This Row],[Waist]]*Table834[[#This Row],[Morning Systolic Pressure]]</f>
        <v>5367.5</v>
      </c>
      <c r="BZ2" s="4">
        <f>Table834[[#This Row],[Waist]]*Table834[[#This Row],[Morning Diastolic Pressure]]</f>
        <v>3467.5</v>
      </c>
      <c r="CA2" s="4">
        <f>Table834[[#This Row],[Waist]]*Table834[[#This Row],[Morning Pulse]]</f>
        <v>3515</v>
      </c>
      <c r="CB2" s="4">
        <f>Table834[[#This Row],[Waist]]*Table834[[#This Row],[Night Body Temp]]</f>
        <v>4626.5</v>
      </c>
      <c r="CC2" s="4">
        <f>Table834[[#This Row],[Waist]]*Table834[[#This Row],[Night Systolic Pressure]]</f>
        <v>6080</v>
      </c>
      <c r="CD2" s="4">
        <f>Table83[[#This Row],[Waist]]*Table83[[#This Row],[Night Diastolic Pressure]]</f>
        <v>3752.5</v>
      </c>
      <c r="CE2" s="4">
        <f>Table834[[#This Row],[Waist]]*Table834[[#This Row],[Night Pulse]]</f>
        <v>3467.5</v>
      </c>
      <c r="CF2" s="2">
        <f>Table834[[#This Row],[Waist]]*Table834[[#This Row],[Sleep]]</f>
        <v>546.25</v>
      </c>
      <c r="CG2" s="2">
        <f>Table834[[#This Row],[Waist]]*Table834[[#This Row],[BMI]]</f>
        <v>1878.1577551020409</v>
      </c>
      <c r="CH2" s="2">
        <f>Table834[[#This Row],[Waist]]*Table834[[#This Row],[CBF]]</f>
        <v>1671.6255746749782</v>
      </c>
      <c r="CI2" s="2">
        <f>Table834[[#This Row],[Waist]]*Table834[[#This Row],[Gym]]</f>
        <v>47.5</v>
      </c>
      <c r="CJ2" s="2">
        <f>Table834[[#This Row],[Waist]]*Table834[[#This Row],[Cardio]]</f>
        <v>47.5</v>
      </c>
      <c r="CK2" s="2">
        <f>Table834[[#This Row],[Waist]]*Table834[[#This Row],[Calories]]</f>
        <v>69587.5</v>
      </c>
      <c r="CL2" s="2">
        <f>Table834[[#This Row],[Waist]]*Table834[[#This Row],[Carbs]]</f>
        <v>9001.25</v>
      </c>
      <c r="CM2" s="2">
        <f>Table834[[#This Row],[Waist]]*Table834[[#This Row],[Fat ]]</f>
        <v>2398.75</v>
      </c>
      <c r="CN2" s="2">
        <f>Table834[[#This Row],[Waist]]*Table834[[#This Row],[Protein]]</f>
        <v>3467.5</v>
      </c>
      <c r="CO2" s="2">
        <f>Table834[[#This Row],[Waist]]*Table834[[#This Row],[Fiber]]</f>
        <v>902.5</v>
      </c>
      <c r="CP2" s="2">
        <f>Table834[[#This Row],[Waist]]*Table834[[#This Row],[Sugar]]</f>
        <v>3206.25</v>
      </c>
      <c r="CQ2" s="2">
        <f>Table834[[#This Row],[Waist]]*Table834[[#This Row],[Servings]]</f>
        <v>807.5</v>
      </c>
      <c r="CR2" s="2">
        <f>Table834[[#This Row],[Waist]]*Table834[[#This Row],[Water]]</f>
        <v>23.75</v>
      </c>
      <c r="CS2" s="2">
        <f>Table834[[#This Row],[Waist]]*Table834[[#This Row],[Fat Calories]]</f>
        <v>21588.75</v>
      </c>
    </row>
    <row r="3" spans="1:97" x14ac:dyDescent="0.25">
      <c r="A3" s="2">
        <v>271.8</v>
      </c>
      <c r="B3" s="2">
        <f>Table834[[#This Row],[Weight]]^2</f>
        <v>73875.240000000005</v>
      </c>
      <c r="C3" s="2">
        <v>47</v>
      </c>
      <c r="D3" s="2">
        <f>Table834[[#This Row],[Waist]]^2</f>
        <v>2209</v>
      </c>
      <c r="E3" s="2">
        <v>17</v>
      </c>
      <c r="F3" s="2">
        <f>Table834[[#This Row],[Neck]]^2</f>
        <v>289</v>
      </c>
      <c r="G3" s="2">
        <v>96.2</v>
      </c>
      <c r="H3" s="2">
        <f>Table834[[#This Row],[Morning Body Temp]]^2</f>
        <v>9254.44</v>
      </c>
      <c r="I3" s="2">
        <v>114</v>
      </c>
      <c r="J3" s="2">
        <f>Table834[[#This Row],[Morning Systolic Pressure]]^2</f>
        <v>12996</v>
      </c>
      <c r="K3" s="2">
        <v>75</v>
      </c>
      <c r="L3" s="2">
        <f>Table834[[#This Row],[Morning Diastolic Pressure]]^2</f>
        <v>5625</v>
      </c>
      <c r="M3" s="2">
        <v>67</v>
      </c>
      <c r="N3" s="2">
        <f>Table834[[#This Row],[Morning Pulse]]^2</f>
        <v>4489</v>
      </c>
      <c r="O3" s="2">
        <v>97.8</v>
      </c>
      <c r="P3" s="2">
        <f>Table834[[#This Row],[Night Body Temp]]^2</f>
        <v>9564.84</v>
      </c>
      <c r="Q3" s="2">
        <v>108</v>
      </c>
      <c r="R3" s="2">
        <f>Table834[[#This Row],[Night Systolic Pressure]]^2</f>
        <v>11664</v>
      </c>
      <c r="S3" s="2">
        <v>75</v>
      </c>
      <c r="T3" s="2">
        <f>Table834[[#This Row],[Night Diastolic Pressure]]^2</f>
        <v>5625</v>
      </c>
      <c r="U3" s="2">
        <v>82</v>
      </c>
      <c r="V3" s="2">
        <f>Table834[[#This Row],[Night Pulse]]^2</f>
        <v>6724</v>
      </c>
      <c r="W3" s="2">
        <v>5.5</v>
      </c>
      <c r="X3" s="2">
        <f>Table834[[#This Row],[Sleep]]^2</f>
        <v>30.25</v>
      </c>
      <c r="Y3" s="2">
        <f t="shared" ref="Y3:Y66" si="1">(A3/4900)*703</f>
        <v>38.994979591836739</v>
      </c>
      <c r="Z3" s="2">
        <f>Table834[[#This Row],[BMI]]^2</f>
        <v>1520.6084333677638</v>
      </c>
      <c r="AA3" s="2">
        <f t="shared" si="0"/>
        <v>34.574687297799606</v>
      </c>
      <c r="AB3" s="2">
        <f>Table834[[#This Row],[CBF]]^2</f>
        <v>1195.4090017406254</v>
      </c>
      <c r="AC3" s="2">
        <v>1</v>
      </c>
      <c r="AD3" s="2">
        <f>Table834[[#This Row],[Gym]]^2</f>
        <v>1</v>
      </c>
      <c r="AE3" s="2">
        <v>0</v>
      </c>
      <c r="AF3" s="2">
        <f>Table834[[#This Row],[Cardio]]^2</f>
        <v>0</v>
      </c>
      <c r="AG3" s="2">
        <v>2521</v>
      </c>
      <c r="AH3" s="2">
        <f>Table834[[#This Row],[Calories]]^2</f>
        <v>6355441</v>
      </c>
      <c r="AI3" s="2">
        <v>499.95</v>
      </c>
      <c r="AJ3" s="2">
        <f>Table834[[#This Row],[Carbs]]^2</f>
        <v>249950.0025</v>
      </c>
      <c r="AK3" s="2">
        <v>85</v>
      </c>
      <c r="AL3" s="2">
        <f>Table834[[#This Row],[Fat ]]^2</f>
        <v>7225</v>
      </c>
      <c r="AM3" s="2">
        <v>71.5</v>
      </c>
      <c r="AN3" s="2">
        <f>Table834[[#This Row],[Protein]]^2</f>
        <v>5112.25</v>
      </c>
      <c r="AO3" s="2">
        <v>34.5</v>
      </c>
      <c r="AP3" s="2">
        <f>Table834[[#This Row],[Fiber]]^2</f>
        <v>1190.25</v>
      </c>
      <c r="AQ3" s="2">
        <v>325.45</v>
      </c>
      <c r="AR3" s="2">
        <f>Table834[[#This Row],[Sugar]]^2</f>
        <v>105917.7025</v>
      </c>
      <c r="AS3" s="2">
        <v>72.5</v>
      </c>
      <c r="AT3" s="2">
        <f>Table834[[#This Row],[Servings]]^2</f>
        <v>5256.25</v>
      </c>
      <c r="AU3" s="2">
        <v>0.75</v>
      </c>
      <c r="AV3" s="2">
        <f>Table834[[#This Row],[Water]]^2</f>
        <v>0.5625</v>
      </c>
      <c r="AW3" s="2">
        <v>765</v>
      </c>
      <c r="AX3" s="2">
        <f>Table834[[#This Row],[Fat Calories]]^2</f>
        <v>585225</v>
      </c>
      <c r="AY3" s="5">
        <f>Table834[[#This Row],[Weight]]*Table834[[#This Row],[Waist]]</f>
        <v>12774.6</v>
      </c>
      <c r="AZ3" s="6">
        <f>Table834[[#This Row],[Weight]]*Table834[[#This Row],[Neck]]</f>
        <v>4620.6000000000004</v>
      </c>
      <c r="BA3" s="6">
        <f>Table834[[#This Row],[Weight]]*Table834[[#This Row],[Morning Body Temp]]</f>
        <v>26147.160000000003</v>
      </c>
      <c r="BB3" s="6">
        <f>Table834[[#This Row],[Weight]]*Table834[[#This Row],[Morning Systolic Pressure]]</f>
        <v>30985.200000000001</v>
      </c>
      <c r="BC3" s="12">
        <f>Table834[[#This Row],[Weight]]*Table834[[#This Row],[Morning Diastolic Pressure]]</f>
        <v>20385</v>
      </c>
      <c r="BD3" s="2">
        <f>Table834[[#This Row],[Weight]]*Table834[[#This Row],[Morning Pulse]]</f>
        <v>18210.600000000002</v>
      </c>
      <c r="BE3" s="2">
        <f>Table834[[#This Row],[Weight]]*Table834[[#This Row],[Night Body Temp]]</f>
        <v>26582.04</v>
      </c>
      <c r="BF3" s="2">
        <f>Table834[[#This Row],[Weight]]*Table834[[#This Row],[Night Systolic Pressure]]</f>
        <v>29354.400000000001</v>
      </c>
      <c r="BG3" s="4">
        <f>Table83[[#This Row],[Weight]]*Table83[[#This Row],[Night Diastolic Pressure]]</f>
        <v>20385</v>
      </c>
      <c r="BH3" s="2">
        <f>Table834[[#This Row],[Weight]]*Table834[[#This Row],[Night Pulse]]</f>
        <v>22287.600000000002</v>
      </c>
      <c r="BI3" s="2">
        <f>Table834[[#This Row],[Weight]]*Table834[[#This Row],[Sleep]]</f>
        <v>1494.9</v>
      </c>
      <c r="BJ3" s="2">
        <f>Table834[[#This Row],[Weight]]*Table834[[#This Row],[BMI]]</f>
        <v>10598.835453061227</v>
      </c>
      <c r="BK3" s="2">
        <f>Table834[[#This Row],[Weight]]*Table834[[#This Row],[CBF]]</f>
        <v>9397.4000075419335</v>
      </c>
      <c r="BL3" s="2">
        <f>Table834[[#This Row],[Weight]]*Table834[[#This Row],[Gym]]</f>
        <v>271.8</v>
      </c>
      <c r="BM3" s="2">
        <f>Table834[[#This Row],[Weight]]*Table834[[#This Row],[Cardio]]</f>
        <v>0</v>
      </c>
      <c r="BN3" s="2">
        <f>Table834[[#This Row],[Weight]]*Table834[[#This Row],[Calories]]</f>
        <v>685207.8</v>
      </c>
      <c r="BO3" s="2">
        <f>Table834[[#This Row],[Weight]]*Table834[[#This Row],[Carbs]]</f>
        <v>135886.41</v>
      </c>
      <c r="BP3" s="2">
        <f>Table834[[#This Row],[Weight]]*Table834[[#This Row],[Fat ]]</f>
        <v>23103</v>
      </c>
      <c r="BQ3" s="2">
        <f>Table834[[#This Row],[Weight]]*Table834[[#This Row],[Protein]]</f>
        <v>19433.7</v>
      </c>
      <c r="BR3" s="2">
        <f>Table834[[#This Row],[Weight]]*Table834[[#This Row],[Fiber]]</f>
        <v>9377.1</v>
      </c>
      <c r="BS3" s="2">
        <f>Table834[[#This Row],[Weight]]*Table834[[#This Row],[Sugar]]</f>
        <v>88457.31</v>
      </c>
      <c r="BT3" s="2">
        <f>Table834[[#This Row],[Weight]]*Table834[[#This Row],[Servings]]</f>
        <v>19705.5</v>
      </c>
      <c r="BU3" s="2">
        <f>Table834[[#This Row],[Weight]]*Table834[[#This Row],[Water]]</f>
        <v>203.85000000000002</v>
      </c>
      <c r="BV3" s="2">
        <f>Table834[[#This Row],[Weight]]*Table834[[#This Row],[Fat Calories]]</f>
        <v>207927</v>
      </c>
      <c r="BW3" s="2">
        <f>Table834[[#This Row],[Waist]]*Table834[[#This Row],[Neck]]</f>
        <v>799</v>
      </c>
      <c r="BX3" s="2">
        <f>Table834[[#This Row],[Waist]]*Table834[[#This Row],[Morning Body Temp]]</f>
        <v>4521.4000000000005</v>
      </c>
      <c r="BY3" s="2">
        <f>Table834[[#This Row],[Waist]]*Table834[[#This Row],[Morning Systolic Pressure]]</f>
        <v>5358</v>
      </c>
      <c r="BZ3" s="2">
        <f>Table834[[#This Row],[Waist]]*Table834[[#This Row],[Morning Diastolic Pressure]]</f>
        <v>3525</v>
      </c>
      <c r="CA3" s="2">
        <f>Table834[[#This Row],[Waist]]*Table834[[#This Row],[Morning Pulse]]</f>
        <v>3149</v>
      </c>
      <c r="CB3" s="2">
        <f>Table834[[#This Row],[Waist]]*Table834[[#This Row],[Night Body Temp]]</f>
        <v>4596.5999999999995</v>
      </c>
      <c r="CC3" s="2">
        <f>Table834[[#This Row],[Waist]]*Table834[[#This Row],[Night Systolic Pressure]]</f>
        <v>5076</v>
      </c>
      <c r="CD3" s="4">
        <f>Table83[[#This Row],[Waist]]*Table83[[#This Row],[Night Diastolic Pressure]]</f>
        <v>3525</v>
      </c>
      <c r="CE3" s="2">
        <f>Table834[[#This Row],[Waist]]*Table834[[#This Row],[Night Pulse]]</f>
        <v>3854</v>
      </c>
      <c r="CF3" s="2">
        <f>Table834[[#This Row],[Waist]]*Table834[[#This Row],[Sleep]]</f>
        <v>258.5</v>
      </c>
      <c r="CG3" s="2">
        <f>Table834[[#This Row],[Waist]]*Table834[[#This Row],[BMI]]</f>
        <v>1832.7640408163268</v>
      </c>
      <c r="CH3" s="2">
        <f>Table834[[#This Row],[Waist]]*Table834[[#This Row],[CBF]]</f>
        <v>1625.0103029965815</v>
      </c>
      <c r="CI3" s="2">
        <f>Table834[[#This Row],[Waist]]*Table834[[#This Row],[Gym]]</f>
        <v>47</v>
      </c>
      <c r="CJ3" s="2">
        <f>Table834[[#This Row],[Waist]]*Table834[[#This Row],[Cardio]]</f>
        <v>0</v>
      </c>
      <c r="CK3" s="2">
        <f>Table834[[#This Row],[Waist]]*Table834[[#This Row],[Calories]]</f>
        <v>118487</v>
      </c>
      <c r="CL3" s="2">
        <f>Table834[[#This Row],[Waist]]*Table834[[#This Row],[Carbs]]</f>
        <v>23497.649999999998</v>
      </c>
      <c r="CM3" s="2">
        <f>Table834[[#This Row],[Waist]]*Table834[[#This Row],[Fat ]]</f>
        <v>3995</v>
      </c>
      <c r="CN3" s="2">
        <f>Table834[[#This Row],[Waist]]*Table834[[#This Row],[Protein]]</f>
        <v>3360.5</v>
      </c>
      <c r="CO3" s="2">
        <f>Table834[[#This Row],[Waist]]*Table834[[#This Row],[Fiber]]</f>
        <v>1621.5</v>
      </c>
      <c r="CP3" s="2">
        <f>Table834[[#This Row],[Waist]]*Table834[[#This Row],[Sugar]]</f>
        <v>15296.15</v>
      </c>
      <c r="CQ3" s="2">
        <f>Table834[[#This Row],[Waist]]*Table834[[#This Row],[Servings]]</f>
        <v>3407.5</v>
      </c>
      <c r="CR3" s="2">
        <f>Table834[[#This Row],[Waist]]*Table834[[#This Row],[Water]]</f>
        <v>35.25</v>
      </c>
      <c r="CS3" s="2">
        <f>Table834[[#This Row],[Waist]]*Table834[[#This Row],[Fat Calories]]</f>
        <v>35955</v>
      </c>
    </row>
    <row r="4" spans="1:97" x14ac:dyDescent="0.25">
      <c r="A4" s="2">
        <v>271.8</v>
      </c>
      <c r="B4" s="2">
        <f>Table834[[#This Row],[Weight]]^2</f>
        <v>73875.240000000005</v>
      </c>
      <c r="C4" s="2">
        <v>47</v>
      </c>
      <c r="D4" s="2">
        <f>Table834[[#This Row],[Waist]]^2</f>
        <v>2209</v>
      </c>
      <c r="E4" s="2">
        <v>17</v>
      </c>
      <c r="F4" s="2">
        <f>Table834[[#This Row],[Neck]]^2</f>
        <v>289</v>
      </c>
      <c r="G4" s="2">
        <v>96.7</v>
      </c>
      <c r="H4" s="2">
        <f>Table834[[#This Row],[Morning Body Temp]]^2</f>
        <v>9350.8900000000012</v>
      </c>
      <c r="I4" s="2">
        <v>136</v>
      </c>
      <c r="J4" s="2">
        <f>Table834[[#This Row],[Morning Systolic Pressure]]^2</f>
        <v>18496</v>
      </c>
      <c r="K4" s="2">
        <v>76</v>
      </c>
      <c r="L4" s="2">
        <f>Table834[[#This Row],[Morning Diastolic Pressure]]^2</f>
        <v>5776</v>
      </c>
      <c r="M4" s="2">
        <v>71</v>
      </c>
      <c r="N4" s="2">
        <f>Table834[[#This Row],[Morning Pulse]]^2</f>
        <v>5041</v>
      </c>
      <c r="O4" s="2">
        <v>96.1</v>
      </c>
      <c r="P4" s="2">
        <f>Table834[[#This Row],[Night Body Temp]]^2</f>
        <v>9235.2099999999991</v>
      </c>
      <c r="Q4" s="2">
        <v>112</v>
      </c>
      <c r="R4" s="2">
        <f>Table834[[#This Row],[Night Systolic Pressure]]^2</f>
        <v>12544</v>
      </c>
      <c r="S4" s="2">
        <v>63</v>
      </c>
      <c r="T4" s="2">
        <f>Table834[[#This Row],[Night Diastolic Pressure]]^2</f>
        <v>3969</v>
      </c>
      <c r="U4" s="2">
        <v>70</v>
      </c>
      <c r="V4" s="2">
        <f>Table834[[#This Row],[Night Pulse]]^2</f>
        <v>4900</v>
      </c>
      <c r="W4" s="2">
        <v>8</v>
      </c>
      <c r="X4" s="2">
        <f>Table834[[#This Row],[Sleep]]^2</f>
        <v>64</v>
      </c>
      <c r="Y4" s="2">
        <f t="shared" si="1"/>
        <v>38.994979591836739</v>
      </c>
      <c r="Z4" s="2">
        <f>Table834[[#This Row],[BMI]]^2</f>
        <v>1520.6084333677638</v>
      </c>
      <c r="AA4" s="2">
        <f t="shared" si="0"/>
        <v>34.574687297799606</v>
      </c>
      <c r="AB4" s="2">
        <f>Table834[[#This Row],[CBF]]^2</f>
        <v>1195.4090017406254</v>
      </c>
      <c r="AC4" s="2">
        <v>0</v>
      </c>
      <c r="AD4" s="2">
        <f>Table834[[#This Row],[Gym]]^2</f>
        <v>0</v>
      </c>
      <c r="AE4" s="2">
        <v>0</v>
      </c>
      <c r="AF4" s="2">
        <f>Table834[[#This Row],[Cardio]]^2</f>
        <v>0</v>
      </c>
      <c r="AG4" s="2">
        <v>1385.1916666666666</v>
      </c>
      <c r="AH4" s="2">
        <f>Table834[[#This Row],[Calories]]^2</f>
        <v>1918755.9534027777</v>
      </c>
      <c r="AI4" s="2">
        <v>172.41208333333333</v>
      </c>
      <c r="AJ4" s="2">
        <f>Table834[[#This Row],[Carbs]]^2</f>
        <v>29725.926479340276</v>
      </c>
      <c r="AK4" s="2">
        <v>39.075833333333335</v>
      </c>
      <c r="AL4" s="2">
        <f>Table834[[#This Row],[Fat ]]^2</f>
        <v>1526.9207506944447</v>
      </c>
      <c r="AM4" s="2">
        <v>74.289583333333354</v>
      </c>
      <c r="AN4" s="2">
        <f>Table834[[#This Row],[Protein]]^2</f>
        <v>5518.9421918402804</v>
      </c>
      <c r="AO4" s="2">
        <v>41.209583333333342</v>
      </c>
      <c r="AP4" s="2">
        <f>Table834[[#This Row],[Fiber]]^2</f>
        <v>1698.229758506945</v>
      </c>
      <c r="AQ4" s="2">
        <v>66.442083333333329</v>
      </c>
      <c r="AR4" s="2">
        <f>Table834[[#This Row],[Sugar]]^2</f>
        <v>4414.5504376736108</v>
      </c>
      <c r="AS4" s="2">
        <v>16.350000000000001</v>
      </c>
      <c r="AT4" s="2">
        <f>Table834[[#This Row],[Servings]]^2</f>
        <v>267.32250000000005</v>
      </c>
      <c r="AU4" s="2">
        <v>0.5</v>
      </c>
      <c r="AV4" s="2">
        <f>Table834[[#This Row],[Water]]^2</f>
        <v>0.25</v>
      </c>
      <c r="AW4" s="2">
        <v>351.6825</v>
      </c>
      <c r="AX4" s="2">
        <f>Table834[[#This Row],[Fat Calories]]^2</f>
        <v>123680.58080625</v>
      </c>
      <c r="AY4" s="3">
        <f>Table834[[#This Row],[Weight]]*Table834[[#This Row],[Waist]]</f>
        <v>12774.6</v>
      </c>
      <c r="AZ4" s="4">
        <f>Table834[[#This Row],[Weight]]*Table834[[#This Row],[Neck]]</f>
        <v>4620.6000000000004</v>
      </c>
      <c r="BA4" s="4">
        <f>Table834[[#This Row],[Weight]]*Table834[[#This Row],[Morning Body Temp]]</f>
        <v>26283.06</v>
      </c>
      <c r="BB4" s="4">
        <f>Table834[[#This Row],[Weight]]*Table834[[#This Row],[Morning Systolic Pressure]]</f>
        <v>36964.800000000003</v>
      </c>
      <c r="BC4" s="11">
        <f>Table834[[#This Row],[Weight]]*Table834[[#This Row],[Morning Diastolic Pressure]]</f>
        <v>20656.8</v>
      </c>
      <c r="BD4" s="2">
        <f>Table834[[#This Row],[Weight]]*Table834[[#This Row],[Morning Pulse]]</f>
        <v>19297.8</v>
      </c>
      <c r="BE4" s="2">
        <f>Table834[[#This Row],[Weight]]*Table834[[#This Row],[Night Body Temp]]</f>
        <v>26119.98</v>
      </c>
      <c r="BF4" s="2">
        <f>Table834[[#This Row],[Weight]]*Table834[[#This Row],[Night Systolic Pressure]]</f>
        <v>30441.600000000002</v>
      </c>
      <c r="BG4" s="4">
        <f>Table83[[#This Row],[Weight]]*Table83[[#This Row],[Night Diastolic Pressure]]</f>
        <v>17123.400000000001</v>
      </c>
      <c r="BH4" s="2">
        <f>Table834[[#This Row],[Weight]]*Table834[[#This Row],[Night Pulse]]</f>
        <v>19026</v>
      </c>
      <c r="BI4" s="2">
        <f>Table834[[#This Row],[Weight]]*Table834[[#This Row],[Sleep]]</f>
        <v>2174.4</v>
      </c>
      <c r="BJ4" s="2">
        <f>Table834[[#This Row],[Weight]]*Table834[[#This Row],[BMI]]</f>
        <v>10598.835453061227</v>
      </c>
      <c r="BK4" s="2">
        <f>Table834[[#This Row],[Weight]]*Table834[[#This Row],[CBF]]</f>
        <v>9397.4000075419335</v>
      </c>
      <c r="BL4" s="2">
        <f>Table834[[#This Row],[Weight]]*Table834[[#This Row],[Gym]]</f>
        <v>0</v>
      </c>
      <c r="BM4" s="2">
        <f>Table834[[#This Row],[Weight]]*Table834[[#This Row],[Cardio]]</f>
        <v>0</v>
      </c>
      <c r="BN4" s="2">
        <f>Table834[[#This Row],[Weight]]*Table834[[#This Row],[Calories]]</f>
        <v>376495.09499999997</v>
      </c>
      <c r="BO4" s="2">
        <f>Table834[[#This Row],[Weight]]*Table834[[#This Row],[Carbs]]</f>
        <v>46861.604250000004</v>
      </c>
      <c r="BP4" s="2">
        <f>Table834[[#This Row],[Weight]]*Table834[[#This Row],[Fat ]]</f>
        <v>10620.811500000002</v>
      </c>
      <c r="BQ4" s="2">
        <f>Table834[[#This Row],[Weight]]*Table834[[#This Row],[Protein]]</f>
        <v>20191.908750000006</v>
      </c>
      <c r="BR4" s="2">
        <f>Table834[[#This Row],[Weight]]*Table834[[#This Row],[Fiber]]</f>
        <v>11200.764750000002</v>
      </c>
      <c r="BS4" s="2">
        <f>Table834[[#This Row],[Weight]]*Table834[[#This Row],[Sugar]]</f>
        <v>18058.95825</v>
      </c>
      <c r="BT4" s="2">
        <f>Table834[[#This Row],[Weight]]*Table834[[#This Row],[Servings]]</f>
        <v>4443.93</v>
      </c>
      <c r="BU4" s="2">
        <f>Table834[[#This Row],[Weight]]*Table834[[#This Row],[Water]]</f>
        <v>135.9</v>
      </c>
      <c r="BV4" s="2">
        <f>Table834[[#This Row],[Weight]]*Table834[[#This Row],[Fat Calories]]</f>
        <v>95587.303500000009</v>
      </c>
      <c r="BW4" s="2">
        <f>Table834[[#This Row],[Waist]]*Table834[[#This Row],[Neck]]</f>
        <v>799</v>
      </c>
      <c r="BX4" s="2">
        <f>Table834[[#This Row],[Waist]]*Table834[[#This Row],[Morning Body Temp]]</f>
        <v>4544.9000000000005</v>
      </c>
      <c r="BY4" s="2">
        <f>Table834[[#This Row],[Waist]]*Table834[[#This Row],[Morning Systolic Pressure]]</f>
        <v>6392</v>
      </c>
      <c r="BZ4" s="2">
        <f>Table834[[#This Row],[Waist]]*Table834[[#This Row],[Morning Diastolic Pressure]]</f>
        <v>3572</v>
      </c>
      <c r="CA4" s="2">
        <f>Table834[[#This Row],[Waist]]*Table834[[#This Row],[Morning Pulse]]</f>
        <v>3337</v>
      </c>
      <c r="CB4" s="2">
        <f>Table834[[#This Row],[Waist]]*Table834[[#This Row],[Night Body Temp]]</f>
        <v>4516.7</v>
      </c>
      <c r="CC4" s="2">
        <f>Table834[[#This Row],[Waist]]*Table834[[#This Row],[Night Systolic Pressure]]</f>
        <v>5264</v>
      </c>
      <c r="CD4" s="4">
        <f>Table83[[#This Row],[Waist]]*Table83[[#This Row],[Night Diastolic Pressure]]</f>
        <v>2961</v>
      </c>
      <c r="CE4" s="2">
        <f>Table834[[#This Row],[Waist]]*Table834[[#This Row],[Night Pulse]]</f>
        <v>3290</v>
      </c>
      <c r="CF4" s="2">
        <f>Table834[[#This Row],[Waist]]*Table834[[#This Row],[Sleep]]</f>
        <v>376</v>
      </c>
      <c r="CG4" s="2">
        <f>Table834[[#This Row],[Waist]]*Table834[[#This Row],[BMI]]</f>
        <v>1832.7640408163268</v>
      </c>
      <c r="CH4" s="2">
        <f>Table834[[#This Row],[Waist]]*Table834[[#This Row],[CBF]]</f>
        <v>1625.0103029965815</v>
      </c>
      <c r="CI4" s="2">
        <f>Table834[[#This Row],[Waist]]*Table834[[#This Row],[Gym]]</f>
        <v>0</v>
      </c>
      <c r="CJ4" s="2">
        <f>Table834[[#This Row],[Waist]]*Table834[[#This Row],[Cardio]]</f>
        <v>0</v>
      </c>
      <c r="CK4" s="2">
        <f>Table834[[#This Row],[Waist]]*Table834[[#This Row],[Calories]]</f>
        <v>65104.008333333331</v>
      </c>
      <c r="CL4" s="2">
        <f>Table834[[#This Row],[Waist]]*Table834[[#This Row],[Carbs]]</f>
        <v>8103.3679166666661</v>
      </c>
      <c r="CM4" s="2">
        <f>Table834[[#This Row],[Waist]]*Table834[[#This Row],[Fat ]]</f>
        <v>1836.5641666666668</v>
      </c>
      <c r="CN4" s="2">
        <f>Table834[[#This Row],[Waist]]*Table834[[#This Row],[Protein]]</f>
        <v>3491.6104166666678</v>
      </c>
      <c r="CO4" s="2">
        <f>Table834[[#This Row],[Waist]]*Table834[[#This Row],[Fiber]]</f>
        <v>1936.8504166666671</v>
      </c>
      <c r="CP4" s="2">
        <f>Table834[[#This Row],[Waist]]*Table834[[#This Row],[Sugar]]</f>
        <v>3122.7779166666664</v>
      </c>
      <c r="CQ4" s="2">
        <f>Table834[[#This Row],[Waist]]*Table834[[#This Row],[Servings]]</f>
        <v>768.45</v>
      </c>
      <c r="CR4" s="2">
        <f>Table834[[#This Row],[Waist]]*Table834[[#This Row],[Water]]</f>
        <v>23.5</v>
      </c>
      <c r="CS4" s="2">
        <f>Table834[[#This Row],[Waist]]*Table834[[#This Row],[Fat Calories]]</f>
        <v>16529.077499999999</v>
      </c>
    </row>
    <row r="5" spans="1:97" x14ac:dyDescent="0.25">
      <c r="A5" s="2">
        <v>272.8</v>
      </c>
      <c r="B5" s="2">
        <f>Table834[[#This Row],[Weight]]^2</f>
        <v>74419.840000000011</v>
      </c>
      <c r="C5" s="2">
        <v>47</v>
      </c>
      <c r="D5" s="2">
        <f>Table834[[#This Row],[Waist]]^2</f>
        <v>2209</v>
      </c>
      <c r="E5" s="2">
        <v>17</v>
      </c>
      <c r="F5" s="2">
        <f>Table834[[#This Row],[Neck]]^2</f>
        <v>289</v>
      </c>
      <c r="G5" s="2">
        <v>97.5</v>
      </c>
      <c r="H5" s="2">
        <f>Table834[[#This Row],[Morning Body Temp]]^2</f>
        <v>9506.25</v>
      </c>
      <c r="I5" s="2">
        <v>131</v>
      </c>
      <c r="J5" s="2">
        <f>Table834[[#This Row],[Morning Systolic Pressure]]^2</f>
        <v>17161</v>
      </c>
      <c r="K5" s="2">
        <v>85</v>
      </c>
      <c r="L5" s="2">
        <f>Table834[[#This Row],[Morning Diastolic Pressure]]^2</f>
        <v>7225</v>
      </c>
      <c r="M5" s="2">
        <v>76</v>
      </c>
      <c r="N5" s="2">
        <f>Table834[[#This Row],[Morning Pulse]]^2</f>
        <v>5776</v>
      </c>
      <c r="O5" s="2">
        <v>97.1</v>
      </c>
      <c r="P5" s="2">
        <f>Table834[[#This Row],[Night Body Temp]]^2</f>
        <v>9428.409999999998</v>
      </c>
      <c r="Q5" s="2">
        <v>158</v>
      </c>
      <c r="R5" s="2">
        <f>Table834[[#This Row],[Night Systolic Pressure]]^2</f>
        <v>24964</v>
      </c>
      <c r="S5" s="2">
        <v>88</v>
      </c>
      <c r="T5" s="2">
        <f>Table834[[#This Row],[Night Diastolic Pressure]]^2</f>
        <v>7744</v>
      </c>
      <c r="U5" s="2">
        <v>86</v>
      </c>
      <c r="V5" s="2">
        <f>Table834[[#This Row],[Night Pulse]]^2</f>
        <v>7396</v>
      </c>
      <c r="W5" s="2">
        <v>8</v>
      </c>
      <c r="X5" s="2">
        <f>Table834[[#This Row],[Sleep]]^2</f>
        <v>64</v>
      </c>
      <c r="Y5" s="2">
        <f t="shared" si="1"/>
        <v>39.138448979591836</v>
      </c>
      <c r="Z5" s="2">
        <f>Table834[[#This Row],[BMI]]^2</f>
        <v>1531.8181885281133</v>
      </c>
      <c r="AA5" s="2">
        <f t="shared" si="0"/>
        <v>34.574687297799606</v>
      </c>
      <c r="AB5" s="2">
        <f>Table834[[#This Row],[CBF]]^2</f>
        <v>1195.4090017406254</v>
      </c>
      <c r="AC5" s="2">
        <v>1</v>
      </c>
      <c r="AD5" s="2">
        <f>Table834[[#This Row],[Gym]]^2</f>
        <v>1</v>
      </c>
      <c r="AE5" s="2">
        <v>0</v>
      </c>
      <c r="AF5" s="2">
        <f>Table834[[#This Row],[Cardio]]^2</f>
        <v>0</v>
      </c>
      <c r="AG5" s="2">
        <v>570</v>
      </c>
      <c r="AH5" s="2">
        <f>Table834[[#This Row],[Calories]]^2</f>
        <v>324900</v>
      </c>
      <c r="AI5" s="2">
        <v>108</v>
      </c>
      <c r="AJ5" s="2">
        <f>Table834[[#This Row],[Carbs]]^2</f>
        <v>11664</v>
      </c>
      <c r="AK5" s="2">
        <v>12</v>
      </c>
      <c r="AL5" s="2">
        <f>Table834[[#This Row],[Fat ]]^2</f>
        <v>144</v>
      </c>
      <c r="AM5" s="2">
        <v>4</v>
      </c>
      <c r="AN5" s="2">
        <f>Table834[[#This Row],[Protein]]^2</f>
        <v>16</v>
      </c>
      <c r="AO5" s="2">
        <v>8</v>
      </c>
      <c r="AP5" s="2">
        <f>Table834[[#This Row],[Fiber]]^2</f>
        <v>64</v>
      </c>
      <c r="AQ5" s="2">
        <v>46</v>
      </c>
      <c r="AR5" s="2">
        <f>Table834[[#This Row],[Sugar]]^2</f>
        <v>2116</v>
      </c>
      <c r="AS5" s="2">
        <v>6</v>
      </c>
      <c r="AT5" s="2">
        <f>Table834[[#This Row],[Servings]]^2</f>
        <v>36</v>
      </c>
      <c r="AU5" s="2">
        <v>0.5</v>
      </c>
      <c r="AV5" s="2">
        <f>Table834[[#This Row],[Water]]^2</f>
        <v>0.25</v>
      </c>
      <c r="AW5" s="2">
        <v>108</v>
      </c>
      <c r="AX5" s="2">
        <f>Table834[[#This Row],[Fat Calories]]^2</f>
        <v>11664</v>
      </c>
      <c r="AY5" s="5">
        <f>Table834[[#This Row],[Weight]]*Table834[[#This Row],[Waist]]</f>
        <v>12821.6</v>
      </c>
      <c r="AZ5" s="6">
        <f>Table834[[#This Row],[Weight]]*Table834[[#This Row],[Neck]]</f>
        <v>4637.6000000000004</v>
      </c>
      <c r="BA5" s="6">
        <f>Table834[[#This Row],[Weight]]*Table834[[#This Row],[Morning Body Temp]]</f>
        <v>26598</v>
      </c>
      <c r="BB5" s="6">
        <f>Table834[[#This Row],[Weight]]*Table834[[#This Row],[Morning Systolic Pressure]]</f>
        <v>35736.800000000003</v>
      </c>
      <c r="BC5" s="12">
        <f>Table834[[#This Row],[Weight]]*Table834[[#This Row],[Morning Diastolic Pressure]]</f>
        <v>23188</v>
      </c>
      <c r="BD5" s="2">
        <f>Table834[[#This Row],[Weight]]*Table834[[#This Row],[Morning Pulse]]</f>
        <v>20732.8</v>
      </c>
      <c r="BE5" s="2">
        <f>Table834[[#This Row],[Weight]]*Table834[[#This Row],[Night Body Temp]]</f>
        <v>26488.880000000001</v>
      </c>
      <c r="BF5" s="2">
        <f>Table834[[#This Row],[Weight]]*Table834[[#This Row],[Night Systolic Pressure]]</f>
        <v>43102.400000000001</v>
      </c>
      <c r="BG5" s="4">
        <f>Table83[[#This Row],[Weight]]*Table83[[#This Row],[Night Diastolic Pressure]]</f>
        <v>24006.400000000001</v>
      </c>
      <c r="BH5" s="2">
        <f>Table834[[#This Row],[Weight]]*Table834[[#This Row],[Night Pulse]]</f>
        <v>23460.799999999999</v>
      </c>
      <c r="BI5" s="2">
        <f>Table834[[#This Row],[Weight]]*Table834[[#This Row],[Sleep]]</f>
        <v>2182.4</v>
      </c>
      <c r="BJ5" s="2">
        <f>Table834[[#This Row],[Weight]]*Table834[[#This Row],[BMI]]</f>
        <v>10676.968881632652</v>
      </c>
      <c r="BK5" s="2">
        <f>Table834[[#This Row],[Weight]]*Table834[[#This Row],[CBF]]</f>
        <v>9431.9746948397333</v>
      </c>
      <c r="BL5" s="2">
        <f>Table834[[#This Row],[Weight]]*Table834[[#This Row],[Gym]]</f>
        <v>272.8</v>
      </c>
      <c r="BM5" s="2">
        <f>Table834[[#This Row],[Weight]]*Table834[[#This Row],[Cardio]]</f>
        <v>0</v>
      </c>
      <c r="BN5" s="2">
        <f>Table834[[#This Row],[Weight]]*Table834[[#This Row],[Calories]]</f>
        <v>155496</v>
      </c>
      <c r="BO5" s="2">
        <f>Table834[[#This Row],[Weight]]*Table834[[#This Row],[Carbs]]</f>
        <v>29462.400000000001</v>
      </c>
      <c r="BP5" s="2">
        <f>Table834[[#This Row],[Weight]]*Table834[[#This Row],[Fat ]]</f>
        <v>3273.6000000000004</v>
      </c>
      <c r="BQ5" s="2">
        <f>Table834[[#This Row],[Weight]]*Table834[[#This Row],[Protein]]</f>
        <v>1091.2</v>
      </c>
      <c r="BR5" s="2">
        <f>Table834[[#This Row],[Weight]]*Table834[[#This Row],[Fiber]]</f>
        <v>2182.4</v>
      </c>
      <c r="BS5" s="2">
        <f>Table834[[#This Row],[Weight]]*Table834[[#This Row],[Sugar]]</f>
        <v>12548.800000000001</v>
      </c>
      <c r="BT5" s="2">
        <f>Table834[[#This Row],[Weight]]*Table834[[#This Row],[Servings]]</f>
        <v>1636.8000000000002</v>
      </c>
      <c r="BU5" s="2">
        <f>Table834[[#This Row],[Weight]]*Table834[[#This Row],[Water]]</f>
        <v>136.4</v>
      </c>
      <c r="BV5" s="2">
        <f>Table834[[#This Row],[Weight]]*Table834[[#This Row],[Fat Calories]]</f>
        <v>29462.400000000001</v>
      </c>
      <c r="BW5" s="2">
        <f>Table834[[#This Row],[Waist]]*Table834[[#This Row],[Neck]]</f>
        <v>799</v>
      </c>
      <c r="BX5" s="2">
        <f>Table834[[#This Row],[Waist]]*Table834[[#This Row],[Morning Body Temp]]</f>
        <v>4582.5</v>
      </c>
      <c r="BY5" s="2">
        <f>Table834[[#This Row],[Waist]]*Table834[[#This Row],[Morning Systolic Pressure]]</f>
        <v>6157</v>
      </c>
      <c r="BZ5" s="2">
        <f>Table834[[#This Row],[Waist]]*Table834[[#This Row],[Morning Diastolic Pressure]]</f>
        <v>3995</v>
      </c>
      <c r="CA5" s="2">
        <f>Table834[[#This Row],[Waist]]*Table834[[#This Row],[Morning Pulse]]</f>
        <v>3572</v>
      </c>
      <c r="CB5" s="2">
        <f>Table834[[#This Row],[Waist]]*Table834[[#This Row],[Night Body Temp]]</f>
        <v>4563.7</v>
      </c>
      <c r="CC5" s="2">
        <f>Table834[[#This Row],[Waist]]*Table834[[#This Row],[Night Systolic Pressure]]</f>
        <v>7426</v>
      </c>
      <c r="CD5" s="4">
        <f>Table83[[#This Row],[Waist]]*Table83[[#This Row],[Night Diastolic Pressure]]</f>
        <v>4136</v>
      </c>
      <c r="CE5" s="2">
        <f>Table834[[#This Row],[Waist]]*Table834[[#This Row],[Night Pulse]]</f>
        <v>4042</v>
      </c>
      <c r="CF5" s="2">
        <f>Table834[[#This Row],[Waist]]*Table834[[#This Row],[Sleep]]</f>
        <v>376</v>
      </c>
      <c r="CG5" s="2">
        <f>Table834[[#This Row],[Waist]]*Table834[[#This Row],[BMI]]</f>
        <v>1839.5071020408163</v>
      </c>
      <c r="CH5" s="2">
        <f>Table834[[#This Row],[Waist]]*Table834[[#This Row],[CBF]]</f>
        <v>1625.0103029965815</v>
      </c>
      <c r="CI5" s="2">
        <f>Table834[[#This Row],[Waist]]*Table834[[#This Row],[Gym]]</f>
        <v>47</v>
      </c>
      <c r="CJ5" s="2">
        <f>Table834[[#This Row],[Waist]]*Table834[[#This Row],[Cardio]]</f>
        <v>0</v>
      </c>
      <c r="CK5" s="2">
        <f>Table834[[#This Row],[Waist]]*Table834[[#This Row],[Calories]]</f>
        <v>26790</v>
      </c>
      <c r="CL5" s="2">
        <f>Table834[[#This Row],[Waist]]*Table834[[#This Row],[Carbs]]</f>
        <v>5076</v>
      </c>
      <c r="CM5" s="2">
        <f>Table834[[#This Row],[Waist]]*Table834[[#This Row],[Fat ]]</f>
        <v>564</v>
      </c>
      <c r="CN5" s="2">
        <f>Table834[[#This Row],[Waist]]*Table834[[#This Row],[Protein]]</f>
        <v>188</v>
      </c>
      <c r="CO5" s="2">
        <f>Table834[[#This Row],[Waist]]*Table834[[#This Row],[Fiber]]</f>
        <v>376</v>
      </c>
      <c r="CP5" s="2">
        <f>Table834[[#This Row],[Waist]]*Table834[[#This Row],[Sugar]]</f>
        <v>2162</v>
      </c>
      <c r="CQ5" s="2">
        <f>Table834[[#This Row],[Waist]]*Table834[[#This Row],[Servings]]</f>
        <v>282</v>
      </c>
      <c r="CR5" s="2">
        <f>Table834[[#This Row],[Waist]]*Table834[[#This Row],[Water]]</f>
        <v>23.5</v>
      </c>
      <c r="CS5" s="2">
        <f>Table834[[#This Row],[Waist]]*Table834[[#This Row],[Fat Calories]]</f>
        <v>5076</v>
      </c>
    </row>
    <row r="6" spans="1:97" x14ac:dyDescent="0.25">
      <c r="A6" s="2">
        <v>269.60000000000002</v>
      </c>
      <c r="B6" s="2">
        <f>Table834[[#This Row],[Weight]]^2</f>
        <v>72684.160000000018</v>
      </c>
      <c r="C6" s="2">
        <v>46.5</v>
      </c>
      <c r="D6" s="2">
        <f>Table834[[#This Row],[Waist]]^2</f>
        <v>2162.25</v>
      </c>
      <c r="E6" s="2">
        <v>17</v>
      </c>
      <c r="F6" s="2">
        <f>Table834[[#This Row],[Neck]]^2</f>
        <v>289</v>
      </c>
      <c r="G6" s="2">
        <v>97.7</v>
      </c>
      <c r="H6" s="2">
        <f>Table834[[#This Row],[Morning Body Temp]]^2</f>
        <v>9545.2900000000009</v>
      </c>
      <c r="I6" s="2">
        <v>123</v>
      </c>
      <c r="J6" s="2">
        <f>Table834[[#This Row],[Morning Systolic Pressure]]^2</f>
        <v>15129</v>
      </c>
      <c r="K6" s="2">
        <v>79</v>
      </c>
      <c r="L6" s="2">
        <f>Table834[[#This Row],[Morning Diastolic Pressure]]^2</f>
        <v>6241</v>
      </c>
      <c r="M6" s="2">
        <v>84</v>
      </c>
      <c r="N6" s="2">
        <f>Table834[[#This Row],[Morning Pulse]]^2</f>
        <v>7056</v>
      </c>
      <c r="O6" s="2">
        <v>98.6</v>
      </c>
      <c r="P6" s="2">
        <f>Table834[[#This Row],[Night Body Temp]]^2</f>
        <v>9721.9599999999991</v>
      </c>
      <c r="Q6" s="2">
        <v>120</v>
      </c>
      <c r="R6" s="2">
        <f>Table834[[#This Row],[Night Systolic Pressure]]^2</f>
        <v>14400</v>
      </c>
      <c r="S6" s="2">
        <v>71</v>
      </c>
      <c r="T6" s="2">
        <f>Table834[[#This Row],[Night Diastolic Pressure]]^2</f>
        <v>5041</v>
      </c>
      <c r="U6" s="2">
        <v>81</v>
      </c>
      <c r="V6" s="2">
        <f>Table834[[#This Row],[Night Pulse]]^2</f>
        <v>6561</v>
      </c>
      <c r="W6" s="2">
        <v>10</v>
      </c>
      <c r="X6" s="2">
        <f>Table834[[#This Row],[Sleep]]^2</f>
        <v>100</v>
      </c>
      <c r="Y6" s="2">
        <f t="shared" si="1"/>
        <v>38.679346938775517</v>
      </c>
      <c r="Z6" s="2">
        <f>Table834[[#This Row],[BMI]]^2</f>
        <v>1496.091879610163</v>
      </c>
      <c r="AA6" s="2">
        <f t="shared" si="0"/>
        <v>33.946879773643239</v>
      </c>
      <c r="AB6" s="2">
        <f>Table834[[#This Row],[CBF]]^2</f>
        <v>1152.3906463661885</v>
      </c>
      <c r="AC6" s="2">
        <v>1</v>
      </c>
      <c r="AD6" s="2">
        <f>Table834[[#This Row],[Gym]]^2</f>
        <v>1</v>
      </c>
      <c r="AE6" s="2">
        <v>1</v>
      </c>
      <c r="AF6" s="2">
        <f>Table834[[#This Row],[Cardio]]^2</f>
        <v>1</v>
      </c>
      <c r="AG6" s="2">
        <v>1946.3333333333301</v>
      </c>
      <c r="AH6" s="2">
        <f>Table834[[#This Row],[Calories]]^2</f>
        <v>3788213.4444444319</v>
      </c>
      <c r="AI6" s="2">
        <v>259.04000000000002</v>
      </c>
      <c r="AJ6" s="2">
        <f>Table834[[#This Row],[Carbs]]^2</f>
        <v>67101.721600000004</v>
      </c>
      <c r="AK6" s="2">
        <v>60.098333333333343</v>
      </c>
      <c r="AL6" s="2">
        <f>Table834[[#This Row],[Fat ]]^2</f>
        <v>3611.8096694444457</v>
      </c>
      <c r="AM6" s="2">
        <v>104.32666666666668</v>
      </c>
      <c r="AN6" s="2">
        <f>Table834[[#This Row],[Protein]]^2</f>
        <v>10884.053377777782</v>
      </c>
      <c r="AO6" s="2">
        <v>47.730000000000004</v>
      </c>
      <c r="AP6" s="2">
        <f>Table834[[#This Row],[Fiber]]^2</f>
        <v>2278.1529000000005</v>
      </c>
      <c r="AQ6" s="2">
        <v>67.668333333333322</v>
      </c>
      <c r="AR6" s="2">
        <f>Table834[[#This Row],[Sugar]]^2</f>
        <v>4579.00333611111</v>
      </c>
      <c r="AS6" s="2">
        <v>19.3</v>
      </c>
      <c r="AT6" s="2">
        <f>Table834[[#This Row],[Servings]]^2</f>
        <v>372.49</v>
      </c>
      <c r="AU6" s="2">
        <v>2</v>
      </c>
      <c r="AV6" s="2">
        <f>Table834[[#This Row],[Water]]^2</f>
        <v>4</v>
      </c>
      <c r="AW6" s="2">
        <v>540.88499999999999</v>
      </c>
      <c r="AX6" s="2">
        <f>Table834[[#This Row],[Fat Calories]]^2</f>
        <v>292556.58322500001</v>
      </c>
      <c r="AY6" s="3">
        <f>Table834[[#This Row],[Weight]]*Table834[[#This Row],[Waist]]</f>
        <v>12536.400000000001</v>
      </c>
      <c r="AZ6" s="4">
        <f>Table834[[#This Row],[Weight]]*Table834[[#This Row],[Neck]]</f>
        <v>4583.2000000000007</v>
      </c>
      <c r="BA6" s="4">
        <f>Table834[[#This Row],[Weight]]*Table834[[#This Row],[Morning Body Temp]]</f>
        <v>26339.920000000002</v>
      </c>
      <c r="BB6" s="4">
        <f>Table834[[#This Row],[Weight]]*Table834[[#This Row],[Morning Systolic Pressure]]</f>
        <v>33160.800000000003</v>
      </c>
      <c r="BC6" s="11">
        <f>Table834[[#This Row],[Weight]]*Table834[[#This Row],[Morning Diastolic Pressure]]</f>
        <v>21298.400000000001</v>
      </c>
      <c r="BD6" s="2">
        <f>Table834[[#This Row],[Weight]]*Table834[[#This Row],[Morning Pulse]]</f>
        <v>22646.400000000001</v>
      </c>
      <c r="BE6" s="2">
        <f>Table834[[#This Row],[Weight]]*Table834[[#This Row],[Night Body Temp]]</f>
        <v>26582.560000000001</v>
      </c>
      <c r="BF6" s="2">
        <f>Table834[[#This Row],[Weight]]*Table834[[#This Row],[Night Systolic Pressure]]</f>
        <v>32352.000000000004</v>
      </c>
      <c r="BG6" s="4">
        <f>Table83[[#This Row],[Weight]]*Table83[[#This Row],[Night Diastolic Pressure]]</f>
        <v>19141.600000000002</v>
      </c>
      <c r="BH6" s="2">
        <f>Table834[[#This Row],[Weight]]*Table834[[#This Row],[Night Pulse]]</f>
        <v>21837.600000000002</v>
      </c>
      <c r="BI6" s="2">
        <f>Table834[[#This Row],[Weight]]*Table834[[#This Row],[Sleep]]</f>
        <v>2696</v>
      </c>
      <c r="BJ6" s="2">
        <f>Table834[[#This Row],[Weight]]*Table834[[#This Row],[BMI]]</f>
        <v>10427.95193469388</v>
      </c>
      <c r="BK6" s="2">
        <f>Table834[[#This Row],[Weight]]*Table834[[#This Row],[CBF]]</f>
        <v>9152.078786974218</v>
      </c>
      <c r="BL6" s="2">
        <f>Table834[[#This Row],[Weight]]*Table834[[#This Row],[Gym]]</f>
        <v>269.60000000000002</v>
      </c>
      <c r="BM6" s="2">
        <f>Table834[[#This Row],[Weight]]*Table834[[#This Row],[Cardio]]</f>
        <v>269.60000000000002</v>
      </c>
      <c r="BN6" s="2">
        <f>Table834[[#This Row],[Weight]]*Table834[[#This Row],[Calories]]</f>
        <v>524731.46666666586</v>
      </c>
      <c r="BO6" s="2">
        <f>Table834[[#This Row],[Weight]]*Table834[[#This Row],[Carbs]]</f>
        <v>69837.184000000008</v>
      </c>
      <c r="BP6" s="2">
        <f>Table834[[#This Row],[Weight]]*Table834[[#This Row],[Fat ]]</f>
        <v>16202.510666666671</v>
      </c>
      <c r="BQ6" s="2">
        <f>Table834[[#This Row],[Weight]]*Table834[[#This Row],[Protein]]</f>
        <v>28126.469333333342</v>
      </c>
      <c r="BR6" s="2">
        <f>Table834[[#This Row],[Weight]]*Table834[[#This Row],[Fiber]]</f>
        <v>12868.008000000002</v>
      </c>
      <c r="BS6" s="2">
        <f>Table834[[#This Row],[Weight]]*Table834[[#This Row],[Sugar]]</f>
        <v>18243.382666666665</v>
      </c>
      <c r="BT6" s="2">
        <f>Table834[[#This Row],[Weight]]*Table834[[#This Row],[Servings]]</f>
        <v>5203.2800000000007</v>
      </c>
      <c r="BU6" s="2">
        <f>Table834[[#This Row],[Weight]]*Table834[[#This Row],[Water]]</f>
        <v>539.20000000000005</v>
      </c>
      <c r="BV6" s="2">
        <f>Table834[[#This Row],[Weight]]*Table834[[#This Row],[Fat Calories]]</f>
        <v>145822.59600000002</v>
      </c>
      <c r="BW6" s="2">
        <f>Table834[[#This Row],[Waist]]*Table834[[#This Row],[Neck]]</f>
        <v>790.5</v>
      </c>
      <c r="BX6" s="2">
        <f>Table834[[#This Row],[Waist]]*Table834[[#This Row],[Morning Body Temp]]</f>
        <v>4543.05</v>
      </c>
      <c r="BY6" s="2">
        <f>Table834[[#This Row],[Waist]]*Table834[[#This Row],[Morning Systolic Pressure]]</f>
        <v>5719.5</v>
      </c>
      <c r="BZ6" s="2">
        <f>Table834[[#This Row],[Waist]]*Table834[[#This Row],[Morning Diastolic Pressure]]</f>
        <v>3673.5</v>
      </c>
      <c r="CA6" s="2">
        <f>Table834[[#This Row],[Waist]]*Table834[[#This Row],[Morning Pulse]]</f>
        <v>3906</v>
      </c>
      <c r="CB6" s="2">
        <f>Table834[[#This Row],[Waist]]*Table834[[#This Row],[Night Body Temp]]</f>
        <v>4584.8999999999996</v>
      </c>
      <c r="CC6" s="2">
        <f>Table834[[#This Row],[Waist]]*Table834[[#This Row],[Night Systolic Pressure]]</f>
        <v>5580</v>
      </c>
      <c r="CD6" s="4">
        <f>Table83[[#This Row],[Waist]]*Table83[[#This Row],[Night Diastolic Pressure]]</f>
        <v>3301.5</v>
      </c>
      <c r="CE6" s="2">
        <f>Table834[[#This Row],[Waist]]*Table834[[#This Row],[Night Pulse]]</f>
        <v>3766.5</v>
      </c>
      <c r="CF6" s="2">
        <f>Table834[[#This Row],[Waist]]*Table834[[#This Row],[Sleep]]</f>
        <v>465</v>
      </c>
      <c r="CG6" s="2">
        <f>Table834[[#This Row],[Waist]]*Table834[[#This Row],[BMI]]</f>
        <v>1798.5896326530615</v>
      </c>
      <c r="CH6" s="2">
        <f>Table834[[#This Row],[Waist]]*Table834[[#This Row],[CBF]]</f>
        <v>1578.5299094744107</v>
      </c>
      <c r="CI6" s="2">
        <f>Table834[[#This Row],[Waist]]*Table834[[#This Row],[Gym]]</f>
        <v>46.5</v>
      </c>
      <c r="CJ6" s="2">
        <f>Table834[[#This Row],[Waist]]*Table834[[#This Row],[Cardio]]</f>
        <v>46.5</v>
      </c>
      <c r="CK6" s="2">
        <f>Table834[[#This Row],[Waist]]*Table834[[#This Row],[Calories]]</f>
        <v>90504.499999999854</v>
      </c>
      <c r="CL6" s="2">
        <f>Table834[[#This Row],[Waist]]*Table834[[#This Row],[Carbs]]</f>
        <v>12045.36</v>
      </c>
      <c r="CM6" s="2">
        <f>Table834[[#This Row],[Waist]]*Table834[[#This Row],[Fat ]]</f>
        <v>2794.5725000000007</v>
      </c>
      <c r="CN6" s="2">
        <f>Table834[[#This Row],[Waist]]*Table834[[#This Row],[Protein]]</f>
        <v>4851.1900000000005</v>
      </c>
      <c r="CO6" s="2">
        <f>Table834[[#This Row],[Waist]]*Table834[[#This Row],[Fiber]]</f>
        <v>2219.4450000000002</v>
      </c>
      <c r="CP6" s="2">
        <f>Table834[[#This Row],[Waist]]*Table834[[#This Row],[Sugar]]</f>
        <v>3146.5774999999994</v>
      </c>
      <c r="CQ6" s="2">
        <f>Table834[[#This Row],[Waist]]*Table834[[#This Row],[Servings]]</f>
        <v>897.45</v>
      </c>
      <c r="CR6" s="2">
        <f>Table834[[#This Row],[Waist]]*Table834[[#This Row],[Water]]</f>
        <v>93</v>
      </c>
      <c r="CS6" s="2">
        <f>Table834[[#This Row],[Waist]]*Table834[[#This Row],[Fat Calories]]</f>
        <v>25151.1525</v>
      </c>
    </row>
    <row r="7" spans="1:97" x14ac:dyDescent="0.25">
      <c r="A7" s="2">
        <v>268.60000000000002</v>
      </c>
      <c r="B7" s="2">
        <f>Table834[[#This Row],[Weight]]^2</f>
        <v>72145.960000000006</v>
      </c>
      <c r="C7" s="2">
        <v>47</v>
      </c>
      <c r="D7" s="2">
        <f>Table834[[#This Row],[Waist]]^2</f>
        <v>2209</v>
      </c>
      <c r="E7" s="2">
        <v>17</v>
      </c>
      <c r="F7" s="2">
        <f>Table834[[#This Row],[Neck]]^2</f>
        <v>289</v>
      </c>
      <c r="G7" s="2">
        <v>96.1</v>
      </c>
      <c r="H7" s="2">
        <f>Table834[[#This Row],[Morning Body Temp]]^2</f>
        <v>9235.2099999999991</v>
      </c>
      <c r="I7" s="2">
        <v>132</v>
      </c>
      <c r="J7" s="2">
        <f>Table834[[#This Row],[Morning Systolic Pressure]]^2</f>
        <v>17424</v>
      </c>
      <c r="K7" s="2">
        <v>75</v>
      </c>
      <c r="L7" s="2">
        <f>Table834[[#This Row],[Morning Diastolic Pressure]]^2</f>
        <v>5625</v>
      </c>
      <c r="M7" s="2">
        <v>62</v>
      </c>
      <c r="N7" s="2">
        <f>Table834[[#This Row],[Morning Pulse]]^2</f>
        <v>3844</v>
      </c>
      <c r="O7" s="2">
        <v>96.5</v>
      </c>
      <c r="P7" s="2">
        <f>Table834[[#This Row],[Night Body Temp]]^2</f>
        <v>9312.25</v>
      </c>
      <c r="Q7" s="2">
        <v>156</v>
      </c>
      <c r="R7" s="2">
        <f>Table834[[#This Row],[Night Systolic Pressure]]^2</f>
        <v>24336</v>
      </c>
      <c r="S7" s="2">
        <v>83</v>
      </c>
      <c r="T7" s="2">
        <f>Table834[[#This Row],[Night Diastolic Pressure]]^2</f>
        <v>6889</v>
      </c>
      <c r="U7" s="2">
        <v>73</v>
      </c>
      <c r="V7" s="2">
        <f>Table834[[#This Row],[Night Pulse]]^2</f>
        <v>5329</v>
      </c>
      <c r="W7" s="2">
        <v>9</v>
      </c>
      <c r="X7" s="2">
        <f>Table834[[#This Row],[Sleep]]^2</f>
        <v>81</v>
      </c>
      <c r="Y7" s="2">
        <f t="shared" si="1"/>
        <v>38.535877551020413</v>
      </c>
      <c r="Z7" s="2">
        <f>Table834[[#This Row],[BMI]]^2</f>
        <v>1485.013858627239</v>
      </c>
      <c r="AA7" s="2">
        <f t="shared" si="0"/>
        <v>34.574687297799606</v>
      </c>
      <c r="AB7" s="2">
        <f>Table834[[#This Row],[CBF]]^2</f>
        <v>1195.4090017406254</v>
      </c>
      <c r="AC7" s="2">
        <v>1</v>
      </c>
      <c r="AD7" s="2">
        <f>Table834[[#This Row],[Gym]]^2</f>
        <v>1</v>
      </c>
      <c r="AE7" s="2">
        <v>0</v>
      </c>
      <c r="AF7" s="2">
        <f>Table834[[#This Row],[Cardio]]^2</f>
        <v>0</v>
      </c>
      <c r="AG7" s="2">
        <v>1265.2333333333333</v>
      </c>
      <c r="AH7" s="2">
        <f>Table834[[#This Row],[Calories]]^2</f>
        <v>1600815.3877777779</v>
      </c>
      <c r="AI7" s="2">
        <v>195.20333333333332</v>
      </c>
      <c r="AJ7" s="2">
        <f>Table834[[#This Row],[Carbs]]^2</f>
        <v>38104.341344444438</v>
      </c>
      <c r="AK7" s="2">
        <v>34.861666666666672</v>
      </c>
      <c r="AL7" s="2">
        <f>Table834[[#This Row],[Fat ]]^2</f>
        <v>1215.3358027777781</v>
      </c>
      <c r="AM7" s="2">
        <v>69.580000000000013</v>
      </c>
      <c r="AN7" s="2">
        <f>Table834[[#This Row],[Protein]]^2</f>
        <v>4841.3764000000019</v>
      </c>
      <c r="AO7" s="2">
        <v>42.556666666666672</v>
      </c>
      <c r="AP7" s="2">
        <f>Table834[[#This Row],[Fiber]]^2</f>
        <v>1811.0698777777782</v>
      </c>
      <c r="AQ7" s="2">
        <v>96.87166666666667</v>
      </c>
      <c r="AR7" s="2">
        <f>Table834[[#This Row],[Sugar]]^2</f>
        <v>9384.1198027777791</v>
      </c>
      <c r="AS7" s="2">
        <v>20.9</v>
      </c>
      <c r="AT7" s="2">
        <f>Table834[[#This Row],[Servings]]^2</f>
        <v>436.80999999999995</v>
      </c>
      <c r="AU7" s="2">
        <v>1.5</v>
      </c>
      <c r="AV7" s="2">
        <f>Table834[[#This Row],[Water]]^2</f>
        <v>2.25</v>
      </c>
      <c r="AW7" s="2">
        <v>313.755</v>
      </c>
      <c r="AX7" s="2">
        <f>Table834[[#This Row],[Fat Calories]]^2</f>
        <v>98442.200024999998</v>
      </c>
      <c r="AY7" s="5">
        <f>Table834[[#This Row],[Weight]]*Table834[[#This Row],[Waist]]</f>
        <v>12624.2</v>
      </c>
      <c r="AZ7" s="6">
        <f>Table834[[#This Row],[Weight]]*Table834[[#This Row],[Neck]]</f>
        <v>4566.2000000000007</v>
      </c>
      <c r="BA7" s="6">
        <f>Table834[[#This Row],[Weight]]*Table834[[#This Row],[Morning Body Temp]]</f>
        <v>25812.46</v>
      </c>
      <c r="BB7" s="6">
        <f>Table834[[#This Row],[Weight]]*Table834[[#This Row],[Morning Systolic Pressure]]</f>
        <v>35455.200000000004</v>
      </c>
      <c r="BC7" s="12">
        <f>Table834[[#This Row],[Weight]]*Table834[[#This Row],[Morning Diastolic Pressure]]</f>
        <v>20145</v>
      </c>
      <c r="BD7" s="2">
        <f>Table834[[#This Row],[Weight]]*Table834[[#This Row],[Morning Pulse]]</f>
        <v>16653.2</v>
      </c>
      <c r="BE7" s="2">
        <f>Table834[[#This Row],[Weight]]*Table834[[#This Row],[Night Body Temp]]</f>
        <v>25919.9</v>
      </c>
      <c r="BF7" s="2">
        <f>Table834[[#This Row],[Weight]]*Table834[[#This Row],[Night Systolic Pressure]]</f>
        <v>41901.600000000006</v>
      </c>
      <c r="BG7" s="4">
        <f>Table83[[#This Row],[Weight]]*Table83[[#This Row],[Night Diastolic Pressure]]</f>
        <v>22293.800000000003</v>
      </c>
      <c r="BH7" s="2">
        <f>Table834[[#This Row],[Weight]]*Table834[[#This Row],[Night Pulse]]</f>
        <v>19607.800000000003</v>
      </c>
      <c r="BI7" s="2">
        <f>Table834[[#This Row],[Weight]]*Table834[[#This Row],[Sleep]]</f>
        <v>2417.4</v>
      </c>
      <c r="BJ7" s="2">
        <f>Table834[[#This Row],[Weight]]*Table834[[#This Row],[BMI]]</f>
        <v>10350.736710204084</v>
      </c>
      <c r="BK7" s="2">
        <f>Table834[[#This Row],[Weight]]*Table834[[#This Row],[CBF]]</f>
        <v>9286.7610081889743</v>
      </c>
      <c r="BL7" s="2">
        <f>Table834[[#This Row],[Weight]]*Table834[[#This Row],[Gym]]</f>
        <v>268.60000000000002</v>
      </c>
      <c r="BM7" s="2">
        <f>Table834[[#This Row],[Weight]]*Table834[[#This Row],[Cardio]]</f>
        <v>0</v>
      </c>
      <c r="BN7" s="2">
        <f>Table834[[#This Row],[Weight]]*Table834[[#This Row],[Calories]]</f>
        <v>339841.67333333334</v>
      </c>
      <c r="BO7" s="2">
        <f>Table834[[#This Row],[Weight]]*Table834[[#This Row],[Carbs]]</f>
        <v>52431.615333333335</v>
      </c>
      <c r="BP7" s="2">
        <f>Table834[[#This Row],[Weight]]*Table834[[#This Row],[Fat ]]</f>
        <v>9363.8436666666694</v>
      </c>
      <c r="BQ7" s="2">
        <f>Table834[[#This Row],[Weight]]*Table834[[#This Row],[Protein]]</f>
        <v>18689.188000000006</v>
      </c>
      <c r="BR7" s="2">
        <f>Table834[[#This Row],[Weight]]*Table834[[#This Row],[Fiber]]</f>
        <v>11430.72066666667</v>
      </c>
      <c r="BS7" s="2">
        <f>Table834[[#This Row],[Weight]]*Table834[[#This Row],[Sugar]]</f>
        <v>26019.72966666667</v>
      </c>
      <c r="BT7" s="2">
        <f>Table834[[#This Row],[Weight]]*Table834[[#This Row],[Servings]]</f>
        <v>5613.74</v>
      </c>
      <c r="BU7" s="2">
        <f>Table834[[#This Row],[Weight]]*Table834[[#This Row],[Water]]</f>
        <v>402.90000000000003</v>
      </c>
      <c r="BV7" s="2">
        <f>Table834[[#This Row],[Weight]]*Table834[[#This Row],[Fat Calories]]</f>
        <v>84274.593000000008</v>
      </c>
      <c r="BW7" s="2">
        <f>Table834[[#This Row],[Waist]]*Table834[[#This Row],[Neck]]</f>
        <v>799</v>
      </c>
      <c r="BX7" s="2">
        <f>Table834[[#This Row],[Waist]]*Table834[[#This Row],[Morning Body Temp]]</f>
        <v>4516.7</v>
      </c>
      <c r="BY7" s="2">
        <f>Table834[[#This Row],[Waist]]*Table834[[#This Row],[Morning Systolic Pressure]]</f>
        <v>6204</v>
      </c>
      <c r="BZ7" s="2">
        <f>Table834[[#This Row],[Waist]]*Table834[[#This Row],[Morning Diastolic Pressure]]</f>
        <v>3525</v>
      </c>
      <c r="CA7" s="2">
        <f>Table834[[#This Row],[Waist]]*Table834[[#This Row],[Morning Pulse]]</f>
        <v>2914</v>
      </c>
      <c r="CB7" s="2">
        <f>Table834[[#This Row],[Waist]]*Table834[[#This Row],[Night Body Temp]]</f>
        <v>4535.5</v>
      </c>
      <c r="CC7" s="2">
        <f>Table834[[#This Row],[Waist]]*Table834[[#This Row],[Night Systolic Pressure]]</f>
        <v>7332</v>
      </c>
      <c r="CD7" s="4">
        <f>Table83[[#This Row],[Waist]]*Table83[[#This Row],[Night Diastolic Pressure]]</f>
        <v>3901</v>
      </c>
      <c r="CE7" s="2">
        <f>Table834[[#This Row],[Waist]]*Table834[[#This Row],[Night Pulse]]</f>
        <v>3431</v>
      </c>
      <c r="CF7" s="2">
        <f>Table834[[#This Row],[Waist]]*Table834[[#This Row],[Sleep]]</f>
        <v>423</v>
      </c>
      <c r="CG7" s="2">
        <f>Table834[[#This Row],[Waist]]*Table834[[#This Row],[BMI]]</f>
        <v>1811.1862448979593</v>
      </c>
      <c r="CH7" s="2">
        <f>Table834[[#This Row],[Waist]]*Table834[[#This Row],[CBF]]</f>
        <v>1625.0103029965815</v>
      </c>
      <c r="CI7" s="2">
        <f>Table834[[#This Row],[Waist]]*Table834[[#This Row],[Gym]]</f>
        <v>47</v>
      </c>
      <c r="CJ7" s="2">
        <f>Table834[[#This Row],[Waist]]*Table834[[#This Row],[Cardio]]</f>
        <v>0</v>
      </c>
      <c r="CK7" s="2">
        <f>Table834[[#This Row],[Waist]]*Table834[[#This Row],[Calories]]</f>
        <v>59465.966666666667</v>
      </c>
      <c r="CL7" s="2">
        <f>Table834[[#This Row],[Waist]]*Table834[[#This Row],[Carbs]]</f>
        <v>9174.5566666666655</v>
      </c>
      <c r="CM7" s="2">
        <f>Table834[[#This Row],[Waist]]*Table834[[#This Row],[Fat ]]</f>
        <v>1638.4983333333337</v>
      </c>
      <c r="CN7" s="2">
        <f>Table834[[#This Row],[Waist]]*Table834[[#This Row],[Protein]]</f>
        <v>3270.2600000000007</v>
      </c>
      <c r="CO7" s="2">
        <f>Table834[[#This Row],[Waist]]*Table834[[#This Row],[Fiber]]</f>
        <v>2000.1633333333336</v>
      </c>
      <c r="CP7" s="2">
        <f>Table834[[#This Row],[Waist]]*Table834[[#This Row],[Sugar]]</f>
        <v>4552.9683333333332</v>
      </c>
      <c r="CQ7" s="2">
        <f>Table834[[#This Row],[Waist]]*Table834[[#This Row],[Servings]]</f>
        <v>982.3</v>
      </c>
      <c r="CR7" s="2">
        <f>Table834[[#This Row],[Waist]]*Table834[[#This Row],[Water]]</f>
        <v>70.5</v>
      </c>
      <c r="CS7" s="2">
        <f>Table834[[#This Row],[Waist]]*Table834[[#This Row],[Fat Calories]]</f>
        <v>14746.485000000001</v>
      </c>
    </row>
    <row r="8" spans="1:97" x14ac:dyDescent="0.25">
      <c r="A8" s="2">
        <v>268.8</v>
      </c>
      <c r="B8" s="2">
        <f>Table834[[#This Row],[Weight]]^2</f>
        <v>72253.440000000002</v>
      </c>
      <c r="C8" s="2">
        <v>46.5</v>
      </c>
      <c r="D8" s="2">
        <f>Table834[[#This Row],[Waist]]^2</f>
        <v>2162.25</v>
      </c>
      <c r="E8" s="2">
        <v>17</v>
      </c>
      <c r="F8" s="2">
        <f>Table834[[#This Row],[Neck]]^2</f>
        <v>289</v>
      </c>
      <c r="G8" s="2">
        <v>96.4</v>
      </c>
      <c r="H8" s="2">
        <f>Table834[[#This Row],[Morning Body Temp]]^2</f>
        <v>9292.9600000000009</v>
      </c>
      <c r="I8" s="2">
        <v>132</v>
      </c>
      <c r="J8" s="2">
        <f>Table834[[#This Row],[Morning Systolic Pressure]]^2</f>
        <v>17424</v>
      </c>
      <c r="K8" s="2">
        <v>70</v>
      </c>
      <c r="L8" s="2">
        <f>Table834[[#This Row],[Morning Diastolic Pressure]]^2</f>
        <v>4900</v>
      </c>
      <c r="M8" s="2">
        <v>71</v>
      </c>
      <c r="N8" s="2">
        <f>Table834[[#This Row],[Morning Pulse]]^2</f>
        <v>5041</v>
      </c>
      <c r="O8" s="2">
        <v>97.3</v>
      </c>
      <c r="P8" s="2">
        <f>Table834[[#This Row],[Night Body Temp]]^2</f>
        <v>9467.2899999999991</v>
      </c>
      <c r="Q8" s="2">
        <v>113</v>
      </c>
      <c r="R8" s="2">
        <f>Table834[[#This Row],[Night Systolic Pressure]]^2</f>
        <v>12769</v>
      </c>
      <c r="S8" s="2">
        <v>75</v>
      </c>
      <c r="T8" s="2">
        <f>Table834[[#This Row],[Night Diastolic Pressure]]^2</f>
        <v>5625</v>
      </c>
      <c r="U8" s="2">
        <v>89</v>
      </c>
      <c r="V8" s="2">
        <f>Table834[[#This Row],[Night Pulse]]^2</f>
        <v>7921</v>
      </c>
      <c r="W8" s="2">
        <v>10</v>
      </c>
      <c r="X8" s="2">
        <f>Table834[[#This Row],[Sleep]]^2</f>
        <v>100</v>
      </c>
      <c r="Y8" s="2">
        <f t="shared" si="1"/>
        <v>38.564571428571433</v>
      </c>
      <c r="Z8" s="2">
        <f>Table834[[#This Row],[BMI]]^2</f>
        <v>1487.2261694693882</v>
      </c>
      <c r="AA8" s="2">
        <f t="shared" si="0"/>
        <v>33.946879773643239</v>
      </c>
      <c r="AB8" s="2">
        <f>Table834[[#This Row],[CBF]]^2</f>
        <v>1152.3906463661885</v>
      </c>
      <c r="AC8" s="2">
        <v>1</v>
      </c>
      <c r="AD8" s="2">
        <f>Table834[[#This Row],[Gym]]^2</f>
        <v>1</v>
      </c>
      <c r="AE8" s="2">
        <v>1</v>
      </c>
      <c r="AF8" s="2">
        <f>Table834[[#This Row],[Cardio]]^2</f>
        <v>1</v>
      </c>
      <c r="AG8" s="2">
        <v>2167.3333333333335</v>
      </c>
      <c r="AH8" s="2">
        <f>Table834[[#This Row],[Calories]]^2</f>
        <v>4697333.777777778</v>
      </c>
      <c r="AI8" s="2">
        <v>309.47333333333336</v>
      </c>
      <c r="AJ8" s="2">
        <f>Table834[[#This Row],[Carbs]]^2</f>
        <v>95773.744044444466</v>
      </c>
      <c r="AK8" s="2">
        <v>70.801666666666662</v>
      </c>
      <c r="AL8" s="2">
        <f>Table834[[#This Row],[Fat ]]^2</f>
        <v>5012.8760027777771</v>
      </c>
      <c r="AM8" s="2">
        <v>67.880000000000024</v>
      </c>
      <c r="AN8" s="2">
        <f>Table834[[#This Row],[Protein]]^2</f>
        <v>4607.694400000003</v>
      </c>
      <c r="AO8" s="2">
        <v>19.906666666666666</v>
      </c>
      <c r="AP8" s="2">
        <f>Table834[[#This Row],[Fiber]]^2</f>
        <v>396.27537777777775</v>
      </c>
      <c r="AQ8" s="2">
        <v>213.35166666666666</v>
      </c>
      <c r="AR8" s="2">
        <f>Table834[[#This Row],[Sugar]]^2</f>
        <v>45518.933669444443</v>
      </c>
      <c r="AS8" s="2">
        <v>17.5</v>
      </c>
      <c r="AT8" s="2">
        <f>Table834[[#This Row],[Servings]]^2</f>
        <v>306.25</v>
      </c>
      <c r="AU8" s="2">
        <v>1</v>
      </c>
      <c r="AV8" s="2">
        <f>Table834[[#This Row],[Water]]^2</f>
        <v>1</v>
      </c>
      <c r="AW8" s="2">
        <v>637.21499999999992</v>
      </c>
      <c r="AX8" s="2">
        <f>Table834[[#This Row],[Fat Calories]]^2</f>
        <v>406042.95622499991</v>
      </c>
      <c r="AY8" s="3">
        <f>Table834[[#This Row],[Weight]]*Table834[[#This Row],[Waist]]</f>
        <v>12499.2</v>
      </c>
      <c r="AZ8" s="4">
        <f>Table834[[#This Row],[Weight]]*Table834[[#This Row],[Neck]]</f>
        <v>4569.6000000000004</v>
      </c>
      <c r="BA8" s="4">
        <f>Table834[[#This Row],[Weight]]*Table834[[#This Row],[Morning Body Temp]]</f>
        <v>25912.320000000003</v>
      </c>
      <c r="BB8" s="4">
        <f>Table834[[#This Row],[Weight]]*Table834[[#This Row],[Morning Systolic Pressure]]</f>
        <v>35481.599999999999</v>
      </c>
      <c r="BC8" s="11">
        <f>Table834[[#This Row],[Weight]]*Table834[[#This Row],[Morning Diastolic Pressure]]</f>
        <v>18816</v>
      </c>
      <c r="BD8" s="2">
        <f>Table834[[#This Row],[Weight]]*Table834[[#This Row],[Morning Pulse]]</f>
        <v>19084.8</v>
      </c>
      <c r="BE8" s="2">
        <f>Table834[[#This Row],[Weight]]*Table834[[#This Row],[Night Body Temp]]</f>
        <v>26154.240000000002</v>
      </c>
      <c r="BF8" s="2">
        <f>Table834[[#This Row],[Weight]]*Table834[[#This Row],[Night Systolic Pressure]]</f>
        <v>30374.400000000001</v>
      </c>
      <c r="BG8" s="4">
        <f>Table83[[#This Row],[Weight]]*Table83[[#This Row],[Night Diastolic Pressure]]</f>
        <v>20160</v>
      </c>
      <c r="BH8" s="2">
        <f>Table834[[#This Row],[Weight]]*Table834[[#This Row],[Night Pulse]]</f>
        <v>23923.200000000001</v>
      </c>
      <c r="BI8" s="2">
        <f>Table834[[#This Row],[Weight]]*Table834[[#This Row],[Sleep]]</f>
        <v>2688</v>
      </c>
      <c r="BJ8" s="2">
        <f>Table834[[#This Row],[Weight]]*Table834[[#This Row],[BMI]]</f>
        <v>10366.156800000002</v>
      </c>
      <c r="BK8" s="2">
        <f>Table834[[#This Row],[Weight]]*Table834[[#This Row],[CBF]]</f>
        <v>9124.9212831553032</v>
      </c>
      <c r="BL8" s="2">
        <f>Table834[[#This Row],[Weight]]*Table834[[#This Row],[Gym]]</f>
        <v>268.8</v>
      </c>
      <c r="BM8" s="2">
        <f>Table834[[#This Row],[Weight]]*Table834[[#This Row],[Cardio]]</f>
        <v>268.8</v>
      </c>
      <c r="BN8" s="2">
        <f>Table834[[#This Row],[Weight]]*Table834[[#This Row],[Calories]]</f>
        <v>582579.20000000007</v>
      </c>
      <c r="BO8" s="2">
        <f>Table834[[#This Row],[Weight]]*Table834[[#This Row],[Carbs]]</f>
        <v>83186.432000000015</v>
      </c>
      <c r="BP8" s="2">
        <f>Table834[[#This Row],[Weight]]*Table834[[#This Row],[Fat ]]</f>
        <v>19031.488000000001</v>
      </c>
      <c r="BQ8" s="2">
        <f>Table834[[#This Row],[Weight]]*Table834[[#This Row],[Protein]]</f>
        <v>18246.144000000008</v>
      </c>
      <c r="BR8" s="2">
        <f>Table834[[#This Row],[Weight]]*Table834[[#This Row],[Fiber]]</f>
        <v>5350.9120000000003</v>
      </c>
      <c r="BS8" s="2">
        <f>Table834[[#This Row],[Weight]]*Table834[[#This Row],[Sugar]]</f>
        <v>57348.928</v>
      </c>
      <c r="BT8" s="2">
        <f>Table834[[#This Row],[Weight]]*Table834[[#This Row],[Servings]]</f>
        <v>4704</v>
      </c>
      <c r="BU8" s="2">
        <f>Table834[[#This Row],[Weight]]*Table834[[#This Row],[Water]]</f>
        <v>268.8</v>
      </c>
      <c r="BV8" s="2">
        <f>Table834[[#This Row],[Weight]]*Table834[[#This Row],[Fat Calories]]</f>
        <v>171283.39199999999</v>
      </c>
      <c r="BW8" s="2">
        <f>Table834[[#This Row],[Waist]]*Table834[[#This Row],[Neck]]</f>
        <v>790.5</v>
      </c>
      <c r="BX8" s="2">
        <f>Table834[[#This Row],[Waist]]*Table834[[#This Row],[Morning Body Temp]]</f>
        <v>4482.6000000000004</v>
      </c>
      <c r="BY8" s="2">
        <f>Table834[[#This Row],[Waist]]*Table834[[#This Row],[Morning Systolic Pressure]]</f>
        <v>6138</v>
      </c>
      <c r="BZ8" s="2">
        <f>Table834[[#This Row],[Waist]]*Table834[[#This Row],[Morning Diastolic Pressure]]</f>
        <v>3255</v>
      </c>
      <c r="CA8" s="2">
        <f>Table834[[#This Row],[Waist]]*Table834[[#This Row],[Morning Pulse]]</f>
        <v>3301.5</v>
      </c>
      <c r="CB8" s="2">
        <f>Table834[[#This Row],[Waist]]*Table834[[#This Row],[Night Body Temp]]</f>
        <v>4524.45</v>
      </c>
      <c r="CC8" s="2">
        <f>Table834[[#This Row],[Waist]]*Table834[[#This Row],[Night Systolic Pressure]]</f>
        <v>5254.5</v>
      </c>
      <c r="CD8" s="4">
        <f>Table83[[#This Row],[Waist]]*Table83[[#This Row],[Night Diastolic Pressure]]</f>
        <v>3487.5</v>
      </c>
      <c r="CE8" s="2">
        <f>Table834[[#This Row],[Waist]]*Table834[[#This Row],[Night Pulse]]</f>
        <v>4138.5</v>
      </c>
      <c r="CF8" s="2">
        <f>Table834[[#This Row],[Waist]]*Table834[[#This Row],[Sleep]]</f>
        <v>465</v>
      </c>
      <c r="CG8" s="2">
        <f>Table834[[#This Row],[Waist]]*Table834[[#This Row],[BMI]]</f>
        <v>1793.2525714285716</v>
      </c>
      <c r="CH8" s="2">
        <f>Table834[[#This Row],[Waist]]*Table834[[#This Row],[CBF]]</f>
        <v>1578.5299094744107</v>
      </c>
      <c r="CI8" s="2">
        <f>Table834[[#This Row],[Waist]]*Table834[[#This Row],[Gym]]</f>
        <v>46.5</v>
      </c>
      <c r="CJ8" s="2">
        <f>Table834[[#This Row],[Waist]]*Table834[[#This Row],[Cardio]]</f>
        <v>46.5</v>
      </c>
      <c r="CK8" s="2">
        <f>Table834[[#This Row],[Waist]]*Table834[[#This Row],[Calories]]</f>
        <v>100781</v>
      </c>
      <c r="CL8" s="2">
        <f>Table834[[#This Row],[Waist]]*Table834[[#This Row],[Carbs]]</f>
        <v>14390.510000000002</v>
      </c>
      <c r="CM8" s="2">
        <f>Table834[[#This Row],[Waist]]*Table834[[#This Row],[Fat ]]</f>
        <v>3292.2774999999997</v>
      </c>
      <c r="CN8" s="2">
        <f>Table834[[#This Row],[Waist]]*Table834[[#This Row],[Protein]]</f>
        <v>3156.420000000001</v>
      </c>
      <c r="CO8" s="2">
        <f>Table834[[#This Row],[Waist]]*Table834[[#This Row],[Fiber]]</f>
        <v>925.66</v>
      </c>
      <c r="CP8" s="2">
        <f>Table834[[#This Row],[Waist]]*Table834[[#This Row],[Sugar]]</f>
        <v>9920.8524999999991</v>
      </c>
      <c r="CQ8" s="2">
        <f>Table834[[#This Row],[Waist]]*Table834[[#This Row],[Servings]]</f>
        <v>813.75</v>
      </c>
      <c r="CR8" s="2">
        <f>Table834[[#This Row],[Waist]]*Table834[[#This Row],[Water]]</f>
        <v>46.5</v>
      </c>
      <c r="CS8" s="2">
        <f>Table834[[#This Row],[Waist]]*Table834[[#This Row],[Fat Calories]]</f>
        <v>29630.497499999998</v>
      </c>
    </row>
    <row r="9" spans="1:97" x14ac:dyDescent="0.25">
      <c r="A9" s="2">
        <v>268.8</v>
      </c>
      <c r="B9" s="2">
        <f>Table834[[#This Row],[Weight]]^2</f>
        <v>72253.440000000002</v>
      </c>
      <c r="C9" s="2">
        <v>46.5</v>
      </c>
      <c r="D9" s="2">
        <f>Table834[[#This Row],[Waist]]^2</f>
        <v>2162.25</v>
      </c>
      <c r="E9" s="2">
        <v>17</v>
      </c>
      <c r="F9" s="2">
        <f>Table834[[#This Row],[Neck]]^2</f>
        <v>289</v>
      </c>
      <c r="G9" s="2">
        <v>96.4</v>
      </c>
      <c r="H9" s="2">
        <f>Table834[[#This Row],[Morning Body Temp]]^2</f>
        <v>9292.9600000000009</v>
      </c>
      <c r="I9" s="2">
        <v>132</v>
      </c>
      <c r="J9" s="2">
        <f>Table834[[#This Row],[Morning Systolic Pressure]]^2</f>
        <v>17424</v>
      </c>
      <c r="K9" s="2">
        <v>70</v>
      </c>
      <c r="L9" s="2">
        <f>Table834[[#This Row],[Morning Diastolic Pressure]]^2</f>
        <v>4900</v>
      </c>
      <c r="M9" s="2">
        <v>71</v>
      </c>
      <c r="N9" s="2">
        <f>Table834[[#This Row],[Morning Pulse]]^2</f>
        <v>5041</v>
      </c>
      <c r="O9" s="2">
        <v>97.3</v>
      </c>
      <c r="P9" s="2">
        <f>Table834[[#This Row],[Night Body Temp]]^2</f>
        <v>9467.2899999999991</v>
      </c>
      <c r="Q9" s="2">
        <v>113</v>
      </c>
      <c r="R9" s="2">
        <f>Table834[[#This Row],[Night Systolic Pressure]]^2</f>
        <v>12769</v>
      </c>
      <c r="S9" s="2">
        <v>75</v>
      </c>
      <c r="T9" s="2">
        <f>Table834[[#This Row],[Night Diastolic Pressure]]^2</f>
        <v>5625</v>
      </c>
      <c r="U9" s="2">
        <v>89</v>
      </c>
      <c r="V9" s="2">
        <f>Table834[[#This Row],[Night Pulse]]^2</f>
        <v>7921</v>
      </c>
      <c r="W9" s="2">
        <v>0</v>
      </c>
      <c r="X9" s="2">
        <f>Table834[[#This Row],[Sleep]]^2</f>
        <v>0</v>
      </c>
      <c r="Y9" s="2">
        <f t="shared" si="1"/>
        <v>38.564571428571433</v>
      </c>
      <c r="Z9" s="2">
        <f>Table834[[#This Row],[BMI]]^2</f>
        <v>1487.2261694693882</v>
      </c>
      <c r="AA9" s="2">
        <f t="shared" si="0"/>
        <v>33.946879773643239</v>
      </c>
      <c r="AB9" s="2">
        <f>Table834[[#This Row],[CBF]]^2</f>
        <v>1152.3906463661885</v>
      </c>
      <c r="AC9" s="2">
        <v>0</v>
      </c>
      <c r="AD9" s="2">
        <f>Table834[[#This Row],[Gym]]^2</f>
        <v>0</v>
      </c>
      <c r="AE9" s="2">
        <v>0</v>
      </c>
      <c r="AF9" s="2">
        <f>Table834[[#This Row],[Cardio]]^2</f>
        <v>0</v>
      </c>
      <c r="AG9" s="2">
        <v>4080</v>
      </c>
      <c r="AH9" s="2">
        <f>Table834[[#This Row],[Calories]]^2</f>
        <v>16646400</v>
      </c>
      <c r="AI9" s="2">
        <v>349</v>
      </c>
      <c r="AJ9" s="2">
        <f>Table834[[#This Row],[Carbs]]^2</f>
        <v>121801</v>
      </c>
      <c r="AK9" s="2">
        <v>229</v>
      </c>
      <c r="AL9" s="2">
        <f>Table834[[#This Row],[Fat ]]^2</f>
        <v>52441</v>
      </c>
      <c r="AM9" s="2">
        <v>163</v>
      </c>
      <c r="AN9" s="2">
        <f>Table834[[#This Row],[Protein]]^2</f>
        <v>26569</v>
      </c>
      <c r="AO9" s="2">
        <v>15</v>
      </c>
      <c r="AP9" s="2">
        <f>Table834[[#This Row],[Fiber]]^2</f>
        <v>225</v>
      </c>
      <c r="AQ9" s="2">
        <v>91</v>
      </c>
      <c r="AR9" s="2">
        <f>Table834[[#This Row],[Sugar]]^2</f>
        <v>8281</v>
      </c>
      <c r="AS9" s="2">
        <v>12</v>
      </c>
      <c r="AT9" s="2">
        <f>Table834[[#This Row],[Servings]]^2</f>
        <v>144</v>
      </c>
      <c r="AU9" s="2">
        <v>0</v>
      </c>
      <c r="AV9" s="2">
        <f>Table834[[#This Row],[Water]]^2</f>
        <v>0</v>
      </c>
      <c r="AW9" s="2">
        <v>2061</v>
      </c>
      <c r="AX9" s="2">
        <f>Table834[[#This Row],[Fat Calories]]^2</f>
        <v>4247721</v>
      </c>
      <c r="AY9" s="5">
        <f>Table834[[#This Row],[Weight]]*Table834[[#This Row],[Waist]]</f>
        <v>12499.2</v>
      </c>
      <c r="AZ9" s="6">
        <f>Table834[[#This Row],[Weight]]*Table834[[#This Row],[Neck]]</f>
        <v>4569.6000000000004</v>
      </c>
      <c r="BA9" s="6">
        <f>Table834[[#This Row],[Weight]]*Table834[[#This Row],[Morning Body Temp]]</f>
        <v>25912.320000000003</v>
      </c>
      <c r="BB9" s="6">
        <f>Table834[[#This Row],[Weight]]*Table834[[#This Row],[Morning Systolic Pressure]]</f>
        <v>35481.599999999999</v>
      </c>
      <c r="BC9" s="12">
        <f>Table834[[#This Row],[Weight]]*Table834[[#This Row],[Morning Diastolic Pressure]]</f>
        <v>18816</v>
      </c>
      <c r="BD9" s="2">
        <f>Table834[[#This Row],[Weight]]*Table834[[#This Row],[Morning Pulse]]</f>
        <v>19084.8</v>
      </c>
      <c r="BE9" s="2">
        <f>Table834[[#This Row],[Weight]]*Table834[[#This Row],[Night Body Temp]]</f>
        <v>26154.240000000002</v>
      </c>
      <c r="BF9" s="2">
        <f>Table834[[#This Row],[Weight]]*Table834[[#This Row],[Night Systolic Pressure]]</f>
        <v>30374.400000000001</v>
      </c>
      <c r="BG9" s="4">
        <f>Table83[[#This Row],[Weight]]*Table83[[#This Row],[Night Diastolic Pressure]]</f>
        <v>20160</v>
      </c>
      <c r="BH9" s="2">
        <f>Table834[[#This Row],[Weight]]*Table834[[#This Row],[Night Pulse]]</f>
        <v>23923.200000000001</v>
      </c>
      <c r="BI9" s="2">
        <f>Table834[[#This Row],[Weight]]*Table834[[#This Row],[Sleep]]</f>
        <v>0</v>
      </c>
      <c r="BJ9" s="2">
        <f>Table834[[#This Row],[Weight]]*Table834[[#This Row],[BMI]]</f>
        <v>10366.156800000002</v>
      </c>
      <c r="BK9" s="2">
        <f>Table834[[#This Row],[Weight]]*Table834[[#This Row],[CBF]]</f>
        <v>9124.9212831553032</v>
      </c>
      <c r="BL9" s="2">
        <f>Table834[[#This Row],[Weight]]*Table834[[#This Row],[Gym]]</f>
        <v>0</v>
      </c>
      <c r="BM9" s="2">
        <f>Table834[[#This Row],[Weight]]*Table834[[#This Row],[Cardio]]</f>
        <v>0</v>
      </c>
      <c r="BN9" s="2">
        <f>Table834[[#This Row],[Weight]]*Table834[[#This Row],[Calories]]</f>
        <v>1096704</v>
      </c>
      <c r="BO9" s="2">
        <f>Table834[[#This Row],[Weight]]*Table834[[#This Row],[Carbs]]</f>
        <v>93811.199999999997</v>
      </c>
      <c r="BP9" s="2">
        <f>Table834[[#This Row],[Weight]]*Table834[[#This Row],[Fat ]]</f>
        <v>61555.200000000004</v>
      </c>
      <c r="BQ9" s="2">
        <f>Table834[[#This Row],[Weight]]*Table834[[#This Row],[Protein]]</f>
        <v>43814.400000000001</v>
      </c>
      <c r="BR9" s="2">
        <f>Table834[[#This Row],[Weight]]*Table834[[#This Row],[Fiber]]</f>
        <v>4032</v>
      </c>
      <c r="BS9" s="2">
        <f>Table834[[#This Row],[Weight]]*Table834[[#This Row],[Sugar]]</f>
        <v>24460.799999999999</v>
      </c>
      <c r="BT9" s="2">
        <f>Table834[[#This Row],[Weight]]*Table834[[#This Row],[Servings]]</f>
        <v>3225.6000000000004</v>
      </c>
      <c r="BU9" s="2">
        <f>Table834[[#This Row],[Weight]]*Table834[[#This Row],[Water]]</f>
        <v>0</v>
      </c>
      <c r="BV9" s="2">
        <f>Table834[[#This Row],[Weight]]*Table834[[#This Row],[Fat Calories]]</f>
        <v>553996.80000000005</v>
      </c>
      <c r="BW9" s="2">
        <f>Table834[[#This Row],[Waist]]*Table834[[#This Row],[Neck]]</f>
        <v>790.5</v>
      </c>
      <c r="BX9" s="2">
        <f>Table834[[#This Row],[Waist]]*Table834[[#This Row],[Morning Body Temp]]</f>
        <v>4482.6000000000004</v>
      </c>
      <c r="BY9" s="2">
        <f>Table834[[#This Row],[Waist]]*Table834[[#This Row],[Morning Systolic Pressure]]</f>
        <v>6138</v>
      </c>
      <c r="BZ9" s="2">
        <f>Table834[[#This Row],[Waist]]*Table834[[#This Row],[Morning Diastolic Pressure]]</f>
        <v>3255</v>
      </c>
      <c r="CA9" s="2">
        <f>Table834[[#This Row],[Waist]]*Table834[[#This Row],[Morning Pulse]]</f>
        <v>3301.5</v>
      </c>
      <c r="CB9" s="2">
        <f>Table834[[#This Row],[Waist]]*Table834[[#This Row],[Night Body Temp]]</f>
        <v>4524.45</v>
      </c>
      <c r="CC9" s="2">
        <f>Table834[[#This Row],[Waist]]*Table834[[#This Row],[Night Systolic Pressure]]</f>
        <v>5254.5</v>
      </c>
      <c r="CD9" s="4">
        <f>Table83[[#This Row],[Waist]]*Table83[[#This Row],[Night Diastolic Pressure]]</f>
        <v>3487.5</v>
      </c>
      <c r="CE9" s="2">
        <f>Table834[[#This Row],[Waist]]*Table834[[#This Row],[Night Pulse]]</f>
        <v>4138.5</v>
      </c>
      <c r="CF9" s="2">
        <f>Table834[[#This Row],[Waist]]*Table834[[#This Row],[Sleep]]</f>
        <v>0</v>
      </c>
      <c r="CG9" s="2">
        <f>Table834[[#This Row],[Waist]]*Table834[[#This Row],[BMI]]</f>
        <v>1793.2525714285716</v>
      </c>
      <c r="CH9" s="2">
        <f>Table834[[#This Row],[Waist]]*Table834[[#This Row],[CBF]]</f>
        <v>1578.5299094744107</v>
      </c>
      <c r="CI9" s="2">
        <f>Table834[[#This Row],[Waist]]*Table834[[#This Row],[Gym]]</f>
        <v>0</v>
      </c>
      <c r="CJ9" s="2">
        <f>Table834[[#This Row],[Waist]]*Table834[[#This Row],[Cardio]]</f>
        <v>0</v>
      </c>
      <c r="CK9" s="2">
        <f>Table834[[#This Row],[Waist]]*Table834[[#This Row],[Calories]]</f>
        <v>189720</v>
      </c>
      <c r="CL9" s="2">
        <f>Table834[[#This Row],[Waist]]*Table834[[#This Row],[Carbs]]</f>
        <v>16228.5</v>
      </c>
      <c r="CM9" s="2">
        <f>Table834[[#This Row],[Waist]]*Table834[[#This Row],[Fat ]]</f>
        <v>10648.5</v>
      </c>
      <c r="CN9" s="2">
        <f>Table834[[#This Row],[Waist]]*Table834[[#This Row],[Protein]]</f>
        <v>7579.5</v>
      </c>
      <c r="CO9" s="2">
        <f>Table834[[#This Row],[Waist]]*Table834[[#This Row],[Fiber]]</f>
        <v>697.5</v>
      </c>
      <c r="CP9" s="2">
        <f>Table834[[#This Row],[Waist]]*Table834[[#This Row],[Sugar]]</f>
        <v>4231.5</v>
      </c>
      <c r="CQ9" s="2">
        <f>Table834[[#This Row],[Waist]]*Table834[[#This Row],[Servings]]</f>
        <v>558</v>
      </c>
      <c r="CR9" s="2">
        <f>Table834[[#This Row],[Waist]]*Table834[[#This Row],[Water]]</f>
        <v>0</v>
      </c>
      <c r="CS9" s="2">
        <f>Table834[[#This Row],[Waist]]*Table834[[#This Row],[Fat Calories]]</f>
        <v>95836.5</v>
      </c>
    </row>
    <row r="10" spans="1:97" x14ac:dyDescent="0.25">
      <c r="A10" s="2">
        <v>269.39999999999998</v>
      </c>
      <c r="B10" s="2">
        <f>Table834[[#This Row],[Weight]]^2</f>
        <v>72576.359999999986</v>
      </c>
      <c r="C10" s="2">
        <v>47</v>
      </c>
      <c r="D10" s="2">
        <f>Table834[[#This Row],[Waist]]^2</f>
        <v>2209</v>
      </c>
      <c r="E10" s="2">
        <v>17</v>
      </c>
      <c r="F10" s="2">
        <f>Table834[[#This Row],[Neck]]^2</f>
        <v>289</v>
      </c>
      <c r="G10" s="2">
        <v>97.7</v>
      </c>
      <c r="H10" s="2">
        <f>Table834[[#This Row],[Morning Body Temp]]^2</f>
        <v>9545.2900000000009</v>
      </c>
      <c r="I10" s="2">
        <v>120</v>
      </c>
      <c r="J10" s="2">
        <f>Table834[[#This Row],[Morning Systolic Pressure]]^2</f>
        <v>14400</v>
      </c>
      <c r="K10" s="2">
        <v>77</v>
      </c>
      <c r="L10" s="2">
        <f>Table834[[#This Row],[Morning Diastolic Pressure]]^2</f>
        <v>5929</v>
      </c>
      <c r="M10" s="2">
        <v>76</v>
      </c>
      <c r="N10" s="2">
        <f>Table834[[#This Row],[Morning Pulse]]^2</f>
        <v>5776</v>
      </c>
      <c r="O10" s="2">
        <v>96.5</v>
      </c>
      <c r="P10" s="2">
        <f>Table834[[#This Row],[Night Body Temp]]^2</f>
        <v>9312.25</v>
      </c>
      <c r="Q10" s="2">
        <v>124</v>
      </c>
      <c r="R10" s="2">
        <f>Table834[[#This Row],[Night Systolic Pressure]]^2</f>
        <v>15376</v>
      </c>
      <c r="S10" s="2">
        <v>75</v>
      </c>
      <c r="T10" s="2">
        <f>Table834[[#This Row],[Night Diastolic Pressure]]^2</f>
        <v>5625</v>
      </c>
      <c r="U10" s="2">
        <v>66</v>
      </c>
      <c r="V10" s="2">
        <f>Table834[[#This Row],[Night Pulse]]^2</f>
        <v>4356</v>
      </c>
      <c r="W10" s="2">
        <v>16.5</v>
      </c>
      <c r="X10" s="2">
        <f>Table834[[#This Row],[Sleep]]^2</f>
        <v>272.25</v>
      </c>
      <c r="Y10" s="2">
        <f t="shared" si="1"/>
        <v>38.650653061224489</v>
      </c>
      <c r="Z10" s="2">
        <f>Table834[[#This Row],[BMI]]^2</f>
        <v>1493.872982059142</v>
      </c>
      <c r="AA10" s="2">
        <f t="shared" si="0"/>
        <v>34.574687297799606</v>
      </c>
      <c r="AB10" s="2">
        <f>Table834[[#This Row],[CBF]]^2</f>
        <v>1195.4090017406254</v>
      </c>
      <c r="AC10" s="2">
        <v>1</v>
      </c>
      <c r="AD10" s="2">
        <f>Table834[[#This Row],[Gym]]^2</f>
        <v>1</v>
      </c>
      <c r="AE10" s="2">
        <v>0</v>
      </c>
      <c r="AF10" s="2">
        <f>Table834[[#This Row],[Cardio]]^2</f>
        <v>0</v>
      </c>
      <c r="AG10" s="2">
        <v>2535.9333333333334</v>
      </c>
      <c r="AH10" s="2">
        <f>Table834[[#This Row],[Calories]]^2</f>
        <v>6430957.8711111117</v>
      </c>
      <c r="AI10" s="2">
        <v>235.18333333333331</v>
      </c>
      <c r="AJ10" s="2">
        <f>Table834[[#This Row],[Carbs]]^2</f>
        <v>55311.200277777767</v>
      </c>
      <c r="AK10" s="2">
        <v>120.44166666666668</v>
      </c>
      <c r="AL10" s="2">
        <f>Table834[[#This Row],[Fat ]]^2</f>
        <v>14506.195069444448</v>
      </c>
      <c r="AM10" s="2">
        <v>99.950000000000031</v>
      </c>
      <c r="AN10" s="2">
        <f>Table834[[#This Row],[Protein]]^2</f>
        <v>9990.002500000006</v>
      </c>
      <c r="AO10" s="2">
        <v>25.366666666666667</v>
      </c>
      <c r="AP10" s="2">
        <f>Table834[[#This Row],[Fiber]]^2</f>
        <v>643.46777777777777</v>
      </c>
      <c r="AQ10" s="2">
        <v>30.091666666666669</v>
      </c>
      <c r="AR10" s="2">
        <f>Table834[[#This Row],[Sugar]]^2</f>
        <v>905.50840277777786</v>
      </c>
      <c r="AS10" s="2">
        <v>35</v>
      </c>
      <c r="AT10" s="2">
        <f>Table834[[#This Row],[Servings]]^2</f>
        <v>1225</v>
      </c>
      <c r="AU10" s="2">
        <v>2</v>
      </c>
      <c r="AV10" s="2">
        <f>Table834[[#This Row],[Water]]^2</f>
        <v>4</v>
      </c>
      <c r="AW10" s="2">
        <v>1083.9749999999999</v>
      </c>
      <c r="AX10" s="2">
        <f>Table834[[#This Row],[Fat Calories]]^2</f>
        <v>1175001.8006249999</v>
      </c>
      <c r="AY10" s="3">
        <f>Table834[[#This Row],[Weight]]*Table834[[#This Row],[Waist]]</f>
        <v>12661.8</v>
      </c>
      <c r="AZ10" s="4">
        <f>Table834[[#This Row],[Weight]]*Table834[[#This Row],[Neck]]</f>
        <v>4579.7999999999993</v>
      </c>
      <c r="BA10" s="4">
        <f>Table834[[#This Row],[Weight]]*Table834[[#This Row],[Morning Body Temp]]</f>
        <v>26320.379999999997</v>
      </c>
      <c r="BB10" s="4">
        <f>Table834[[#This Row],[Weight]]*Table834[[#This Row],[Morning Systolic Pressure]]</f>
        <v>32327.999999999996</v>
      </c>
      <c r="BC10" s="11">
        <f>Table834[[#This Row],[Weight]]*Table834[[#This Row],[Morning Diastolic Pressure]]</f>
        <v>20743.8</v>
      </c>
      <c r="BD10" s="2">
        <f>Table834[[#This Row],[Weight]]*Table834[[#This Row],[Morning Pulse]]</f>
        <v>20474.399999999998</v>
      </c>
      <c r="BE10" s="2">
        <f>Table834[[#This Row],[Weight]]*Table834[[#This Row],[Night Body Temp]]</f>
        <v>25997.1</v>
      </c>
      <c r="BF10" s="2">
        <f>Table834[[#This Row],[Weight]]*Table834[[#This Row],[Night Systolic Pressure]]</f>
        <v>33405.599999999999</v>
      </c>
      <c r="BG10" s="4">
        <f>Table83[[#This Row],[Weight]]*Table83[[#This Row],[Night Diastolic Pressure]]</f>
        <v>20205</v>
      </c>
      <c r="BH10" s="2">
        <f>Table834[[#This Row],[Weight]]*Table834[[#This Row],[Night Pulse]]</f>
        <v>17780.399999999998</v>
      </c>
      <c r="BI10" s="2">
        <f>Table834[[#This Row],[Weight]]*Table834[[#This Row],[Sleep]]</f>
        <v>4445.0999999999995</v>
      </c>
      <c r="BJ10" s="2">
        <f>Table834[[#This Row],[Weight]]*Table834[[#This Row],[BMI]]</f>
        <v>10412.485934693876</v>
      </c>
      <c r="BK10" s="2">
        <f>Table834[[#This Row],[Weight]]*Table834[[#This Row],[CBF]]</f>
        <v>9314.4207580272123</v>
      </c>
      <c r="BL10" s="2">
        <f>Table834[[#This Row],[Weight]]*Table834[[#This Row],[Gym]]</f>
        <v>269.39999999999998</v>
      </c>
      <c r="BM10" s="2">
        <f>Table834[[#This Row],[Weight]]*Table834[[#This Row],[Cardio]]</f>
        <v>0</v>
      </c>
      <c r="BN10" s="2">
        <f>Table834[[#This Row],[Weight]]*Table834[[#This Row],[Calories]]</f>
        <v>683180.44</v>
      </c>
      <c r="BO10" s="2">
        <f>Table834[[#This Row],[Weight]]*Table834[[#This Row],[Carbs]]</f>
        <v>63358.389999999985</v>
      </c>
      <c r="BP10" s="2">
        <f>Table834[[#This Row],[Weight]]*Table834[[#This Row],[Fat ]]</f>
        <v>32446.985000000001</v>
      </c>
      <c r="BQ10" s="2">
        <f>Table834[[#This Row],[Weight]]*Table834[[#This Row],[Protein]]</f>
        <v>26926.530000000006</v>
      </c>
      <c r="BR10" s="2">
        <f>Table834[[#This Row],[Weight]]*Table834[[#This Row],[Fiber]]</f>
        <v>6833.78</v>
      </c>
      <c r="BS10" s="2">
        <f>Table834[[#This Row],[Weight]]*Table834[[#This Row],[Sugar]]</f>
        <v>8106.6949999999997</v>
      </c>
      <c r="BT10" s="2">
        <f>Table834[[#This Row],[Weight]]*Table834[[#This Row],[Servings]]</f>
        <v>9429</v>
      </c>
      <c r="BU10" s="2">
        <f>Table834[[#This Row],[Weight]]*Table834[[#This Row],[Water]]</f>
        <v>538.79999999999995</v>
      </c>
      <c r="BV10" s="2">
        <f>Table834[[#This Row],[Weight]]*Table834[[#This Row],[Fat Calories]]</f>
        <v>292022.86499999993</v>
      </c>
      <c r="BW10" s="2">
        <f>Table834[[#This Row],[Waist]]*Table834[[#This Row],[Neck]]</f>
        <v>799</v>
      </c>
      <c r="BX10" s="2">
        <f>Table834[[#This Row],[Waist]]*Table834[[#This Row],[Morning Body Temp]]</f>
        <v>4591.9000000000005</v>
      </c>
      <c r="BY10" s="2">
        <f>Table834[[#This Row],[Waist]]*Table834[[#This Row],[Morning Systolic Pressure]]</f>
        <v>5640</v>
      </c>
      <c r="BZ10" s="2">
        <f>Table834[[#This Row],[Waist]]*Table834[[#This Row],[Morning Diastolic Pressure]]</f>
        <v>3619</v>
      </c>
      <c r="CA10" s="2">
        <f>Table834[[#This Row],[Waist]]*Table834[[#This Row],[Morning Pulse]]</f>
        <v>3572</v>
      </c>
      <c r="CB10" s="2">
        <f>Table834[[#This Row],[Waist]]*Table834[[#This Row],[Night Body Temp]]</f>
        <v>4535.5</v>
      </c>
      <c r="CC10" s="2">
        <f>Table834[[#This Row],[Waist]]*Table834[[#This Row],[Night Systolic Pressure]]</f>
        <v>5828</v>
      </c>
      <c r="CD10" s="4">
        <f>Table83[[#This Row],[Waist]]*Table83[[#This Row],[Night Diastolic Pressure]]</f>
        <v>3525</v>
      </c>
      <c r="CE10" s="2">
        <f>Table834[[#This Row],[Waist]]*Table834[[#This Row],[Night Pulse]]</f>
        <v>3102</v>
      </c>
      <c r="CF10" s="2">
        <f>Table834[[#This Row],[Waist]]*Table834[[#This Row],[Sleep]]</f>
        <v>775.5</v>
      </c>
      <c r="CG10" s="2">
        <f>Table834[[#This Row],[Waist]]*Table834[[#This Row],[BMI]]</f>
        <v>1816.5806938775509</v>
      </c>
      <c r="CH10" s="2">
        <f>Table834[[#This Row],[Waist]]*Table834[[#This Row],[CBF]]</f>
        <v>1625.0103029965815</v>
      </c>
      <c r="CI10" s="2">
        <f>Table834[[#This Row],[Waist]]*Table834[[#This Row],[Gym]]</f>
        <v>47</v>
      </c>
      <c r="CJ10" s="2">
        <f>Table834[[#This Row],[Waist]]*Table834[[#This Row],[Cardio]]</f>
        <v>0</v>
      </c>
      <c r="CK10" s="2">
        <f>Table834[[#This Row],[Waist]]*Table834[[#This Row],[Calories]]</f>
        <v>119188.86666666667</v>
      </c>
      <c r="CL10" s="2">
        <f>Table834[[#This Row],[Waist]]*Table834[[#This Row],[Carbs]]</f>
        <v>11053.616666666665</v>
      </c>
      <c r="CM10" s="2">
        <f>Table834[[#This Row],[Waist]]*Table834[[#This Row],[Fat ]]</f>
        <v>5660.7583333333341</v>
      </c>
      <c r="CN10" s="2">
        <f>Table834[[#This Row],[Waist]]*Table834[[#This Row],[Protein]]</f>
        <v>4697.6500000000015</v>
      </c>
      <c r="CO10" s="2">
        <f>Table834[[#This Row],[Waist]]*Table834[[#This Row],[Fiber]]</f>
        <v>1192.2333333333333</v>
      </c>
      <c r="CP10" s="2">
        <f>Table834[[#This Row],[Waist]]*Table834[[#This Row],[Sugar]]</f>
        <v>1414.3083333333334</v>
      </c>
      <c r="CQ10" s="2">
        <f>Table834[[#This Row],[Waist]]*Table834[[#This Row],[Servings]]</f>
        <v>1645</v>
      </c>
      <c r="CR10" s="2">
        <f>Table834[[#This Row],[Waist]]*Table834[[#This Row],[Water]]</f>
        <v>94</v>
      </c>
      <c r="CS10" s="2">
        <f>Table834[[#This Row],[Waist]]*Table834[[#This Row],[Fat Calories]]</f>
        <v>50946.824999999997</v>
      </c>
    </row>
    <row r="11" spans="1:97" x14ac:dyDescent="0.25">
      <c r="A11" s="2">
        <v>272.60000000000002</v>
      </c>
      <c r="B11" s="2">
        <f>Table834[[#This Row],[Weight]]^2</f>
        <v>74310.760000000009</v>
      </c>
      <c r="C11" s="2">
        <v>47</v>
      </c>
      <c r="D11" s="2">
        <f>Table834[[#This Row],[Waist]]^2</f>
        <v>2209</v>
      </c>
      <c r="E11" s="2">
        <v>17</v>
      </c>
      <c r="F11" s="2">
        <f>Table834[[#This Row],[Neck]]^2</f>
        <v>289</v>
      </c>
      <c r="G11" s="2">
        <v>96.7</v>
      </c>
      <c r="H11" s="2">
        <f>Table834[[#This Row],[Morning Body Temp]]^2</f>
        <v>9350.8900000000012</v>
      </c>
      <c r="I11" s="2">
        <v>119</v>
      </c>
      <c r="J11" s="2">
        <f>Table834[[#This Row],[Morning Systolic Pressure]]^2</f>
        <v>14161</v>
      </c>
      <c r="K11" s="2">
        <v>75</v>
      </c>
      <c r="L11" s="2">
        <f>Table834[[#This Row],[Morning Diastolic Pressure]]^2</f>
        <v>5625</v>
      </c>
      <c r="M11" s="2">
        <v>71</v>
      </c>
      <c r="N11" s="2">
        <f>Table834[[#This Row],[Morning Pulse]]^2</f>
        <v>5041</v>
      </c>
      <c r="O11" s="2">
        <v>96.4</v>
      </c>
      <c r="P11" s="2">
        <f>Table834[[#This Row],[Night Body Temp]]^2</f>
        <v>9292.9600000000009</v>
      </c>
      <c r="Q11" s="2">
        <v>116</v>
      </c>
      <c r="R11" s="2">
        <f>Table834[[#This Row],[Night Systolic Pressure]]^2</f>
        <v>13456</v>
      </c>
      <c r="S11" s="2">
        <v>74</v>
      </c>
      <c r="T11" s="2">
        <f>Table834[[#This Row],[Night Diastolic Pressure]]^2</f>
        <v>5476</v>
      </c>
      <c r="U11" s="2">
        <v>68</v>
      </c>
      <c r="V11" s="2">
        <f>Table834[[#This Row],[Night Pulse]]^2</f>
        <v>4624</v>
      </c>
      <c r="W11" s="2">
        <v>10</v>
      </c>
      <c r="X11" s="2">
        <f>Table834[[#This Row],[Sleep]]^2</f>
        <v>100</v>
      </c>
      <c r="Y11" s="2">
        <f t="shared" si="1"/>
        <v>39.109755102040822</v>
      </c>
      <c r="Z11" s="2">
        <f>Table834[[#This Row],[BMI]]^2</f>
        <v>1529.5729441416081</v>
      </c>
      <c r="AA11" s="2">
        <f t="shared" si="0"/>
        <v>34.574687297799606</v>
      </c>
      <c r="AB11" s="2">
        <f>Table834[[#This Row],[CBF]]^2</f>
        <v>1195.4090017406254</v>
      </c>
      <c r="AC11" s="2">
        <v>1</v>
      </c>
      <c r="AD11" s="2">
        <f>Table834[[#This Row],[Gym]]^2</f>
        <v>1</v>
      </c>
      <c r="AE11" s="2">
        <v>0</v>
      </c>
      <c r="AF11" s="2">
        <f>Table834[[#This Row],[Cardio]]^2</f>
        <v>0</v>
      </c>
      <c r="AG11" s="2">
        <v>1635.9333333333334</v>
      </c>
      <c r="AH11" s="2">
        <f>Table834[[#This Row],[Calories]]^2</f>
        <v>2676277.8711111112</v>
      </c>
      <c r="AI11" s="2">
        <v>139.18333333333331</v>
      </c>
      <c r="AJ11" s="2">
        <f>Table834[[#This Row],[Carbs]]^2</f>
        <v>19372.00027777777</v>
      </c>
      <c r="AK11" s="2">
        <v>82.441666666666677</v>
      </c>
      <c r="AL11" s="2">
        <f>Table834[[#This Row],[Fat ]]^2</f>
        <v>6796.6284027777792</v>
      </c>
      <c r="AM11" s="2">
        <v>78.450000000000017</v>
      </c>
      <c r="AN11" s="2">
        <f>Table834[[#This Row],[Protein]]^2</f>
        <v>6154.4025000000029</v>
      </c>
      <c r="AO11" s="2">
        <v>21.866666666666667</v>
      </c>
      <c r="AP11" s="2">
        <f>Table834[[#This Row],[Fiber]]^2</f>
        <v>478.15111111111111</v>
      </c>
      <c r="AQ11" s="2">
        <v>20.591666666666669</v>
      </c>
      <c r="AR11" s="2">
        <f>Table834[[#This Row],[Sugar]]^2</f>
        <v>424.01673611111119</v>
      </c>
      <c r="AS11" s="2">
        <v>21.5</v>
      </c>
      <c r="AT11" s="2">
        <f>Table834[[#This Row],[Servings]]^2</f>
        <v>462.25</v>
      </c>
      <c r="AU11" s="2">
        <v>2</v>
      </c>
      <c r="AV11" s="2">
        <f>Table834[[#This Row],[Water]]^2</f>
        <v>4</v>
      </c>
      <c r="AW11" s="2">
        <v>741.97499999999991</v>
      </c>
      <c r="AX11" s="2">
        <f>Table834[[#This Row],[Fat Calories]]^2</f>
        <v>550526.90062499989</v>
      </c>
      <c r="AY11" s="5">
        <f>Table834[[#This Row],[Weight]]*Table834[[#This Row],[Waist]]</f>
        <v>12812.2</v>
      </c>
      <c r="AZ11" s="6">
        <f>Table834[[#This Row],[Weight]]*Table834[[#This Row],[Neck]]</f>
        <v>4634.2000000000007</v>
      </c>
      <c r="BA11" s="6">
        <f>Table834[[#This Row],[Weight]]*Table834[[#This Row],[Morning Body Temp]]</f>
        <v>26360.420000000002</v>
      </c>
      <c r="BB11" s="6">
        <f>Table834[[#This Row],[Weight]]*Table834[[#This Row],[Morning Systolic Pressure]]</f>
        <v>32439.4</v>
      </c>
      <c r="BC11" s="12">
        <f>Table834[[#This Row],[Weight]]*Table834[[#This Row],[Morning Diastolic Pressure]]</f>
        <v>20445</v>
      </c>
      <c r="BD11" s="2">
        <f>Table834[[#This Row],[Weight]]*Table834[[#This Row],[Morning Pulse]]</f>
        <v>19354.600000000002</v>
      </c>
      <c r="BE11" s="2">
        <f>Table834[[#This Row],[Weight]]*Table834[[#This Row],[Night Body Temp]]</f>
        <v>26278.640000000003</v>
      </c>
      <c r="BF11" s="2">
        <f>Table834[[#This Row],[Weight]]*Table834[[#This Row],[Night Systolic Pressure]]</f>
        <v>31621.600000000002</v>
      </c>
      <c r="BG11" s="4">
        <f>Table83[[#This Row],[Weight]]*Table83[[#This Row],[Night Diastolic Pressure]]</f>
        <v>20172.400000000001</v>
      </c>
      <c r="BH11" s="2">
        <f>Table834[[#This Row],[Weight]]*Table834[[#This Row],[Night Pulse]]</f>
        <v>18536.800000000003</v>
      </c>
      <c r="BI11" s="2">
        <f>Table834[[#This Row],[Weight]]*Table834[[#This Row],[Sleep]]</f>
        <v>2726</v>
      </c>
      <c r="BJ11" s="2">
        <f>Table834[[#This Row],[Weight]]*Table834[[#This Row],[BMI]]</f>
        <v>10661.319240816329</v>
      </c>
      <c r="BK11" s="2">
        <f>Table834[[#This Row],[Weight]]*Table834[[#This Row],[CBF]]</f>
        <v>9425.0597573801733</v>
      </c>
      <c r="BL11" s="2">
        <f>Table834[[#This Row],[Weight]]*Table834[[#This Row],[Gym]]</f>
        <v>272.60000000000002</v>
      </c>
      <c r="BM11" s="2">
        <f>Table834[[#This Row],[Weight]]*Table834[[#This Row],[Cardio]]</f>
        <v>0</v>
      </c>
      <c r="BN11" s="2">
        <f>Table834[[#This Row],[Weight]]*Table834[[#This Row],[Calories]]</f>
        <v>445955.4266666667</v>
      </c>
      <c r="BO11" s="2">
        <f>Table834[[#This Row],[Weight]]*Table834[[#This Row],[Carbs]]</f>
        <v>37941.376666666663</v>
      </c>
      <c r="BP11" s="2">
        <f>Table834[[#This Row],[Weight]]*Table834[[#This Row],[Fat ]]</f>
        <v>22473.598333333339</v>
      </c>
      <c r="BQ11" s="2">
        <f>Table834[[#This Row],[Weight]]*Table834[[#This Row],[Protein]]</f>
        <v>21385.470000000005</v>
      </c>
      <c r="BR11" s="2">
        <f>Table834[[#This Row],[Weight]]*Table834[[#This Row],[Fiber]]</f>
        <v>5960.8533333333344</v>
      </c>
      <c r="BS11" s="2">
        <f>Table834[[#This Row],[Weight]]*Table834[[#This Row],[Sugar]]</f>
        <v>5613.2883333333339</v>
      </c>
      <c r="BT11" s="2">
        <f>Table834[[#This Row],[Weight]]*Table834[[#This Row],[Servings]]</f>
        <v>5860.9000000000005</v>
      </c>
      <c r="BU11" s="2">
        <f>Table834[[#This Row],[Weight]]*Table834[[#This Row],[Water]]</f>
        <v>545.20000000000005</v>
      </c>
      <c r="BV11" s="2">
        <f>Table834[[#This Row],[Weight]]*Table834[[#This Row],[Fat Calories]]</f>
        <v>202262.38499999998</v>
      </c>
      <c r="BW11" s="2">
        <f>Table834[[#This Row],[Waist]]*Table834[[#This Row],[Neck]]</f>
        <v>799</v>
      </c>
      <c r="BX11" s="2">
        <f>Table834[[#This Row],[Waist]]*Table834[[#This Row],[Morning Body Temp]]</f>
        <v>4544.9000000000005</v>
      </c>
      <c r="BY11" s="2">
        <f>Table834[[#This Row],[Waist]]*Table834[[#This Row],[Morning Systolic Pressure]]</f>
        <v>5593</v>
      </c>
      <c r="BZ11" s="2">
        <f>Table834[[#This Row],[Waist]]*Table834[[#This Row],[Morning Diastolic Pressure]]</f>
        <v>3525</v>
      </c>
      <c r="CA11" s="2">
        <f>Table834[[#This Row],[Waist]]*Table834[[#This Row],[Morning Pulse]]</f>
        <v>3337</v>
      </c>
      <c r="CB11" s="2">
        <f>Table834[[#This Row],[Waist]]*Table834[[#This Row],[Night Body Temp]]</f>
        <v>4530.8</v>
      </c>
      <c r="CC11" s="2">
        <f>Table834[[#This Row],[Waist]]*Table834[[#This Row],[Night Systolic Pressure]]</f>
        <v>5452</v>
      </c>
      <c r="CD11" s="4">
        <f>Table83[[#This Row],[Waist]]*Table83[[#This Row],[Night Diastolic Pressure]]</f>
        <v>3478</v>
      </c>
      <c r="CE11" s="2">
        <f>Table834[[#This Row],[Waist]]*Table834[[#This Row],[Night Pulse]]</f>
        <v>3196</v>
      </c>
      <c r="CF11" s="2">
        <f>Table834[[#This Row],[Waist]]*Table834[[#This Row],[Sleep]]</f>
        <v>470</v>
      </c>
      <c r="CG11" s="2">
        <f>Table834[[#This Row],[Waist]]*Table834[[#This Row],[BMI]]</f>
        <v>1838.1584897959187</v>
      </c>
      <c r="CH11" s="2">
        <f>Table834[[#This Row],[Waist]]*Table834[[#This Row],[CBF]]</f>
        <v>1625.0103029965815</v>
      </c>
      <c r="CI11" s="2">
        <f>Table834[[#This Row],[Waist]]*Table834[[#This Row],[Gym]]</f>
        <v>47</v>
      </c>
      <c r="CJ11" s="2">
        <f>Table834[[#This Row],[Waist]]*Table834[[#This Row],[Cardio]]</f>
        <v>0</v>
      </c>
      <c r="CK11" s="2">
        <f>Table834[[#This Row],[Waist]]*Table834[[#This Row],[Calories]]</f>
        <v>76888.866666666669</v>
      </c>
      <c r="CL11" s="2">
        <f>Table834[[#This Row],[Waist]]*Table834[[#This Row],[Carbs]]</f>
        <v>6541.6166666666659</v>
      </c>
      <c r="CM11" s="2">
        <f>Table834[[#This Row],[Waist]]*Table834[[#This Row],[Fat ]]</f>
        <v>3874.7583333333337</v>
      </c>
      <c r="CN11" s="2">
        <f>Table834[[#This Row],[Waist]]*Table834[[#This Row],[Protein]]</f>
        <v>3687.150000000001</v>
      </c>
      <c r="CO11" s="2">
        <f>Table834[[#This Row],[Waist]]*Table834[[#This Row],[Fiber]]</f>
        <v>1027.7333333333333</v>
      </c>
      <c r="CP11" s="2">
        <f>Table834[[#This Row],[Waist]]*Table834[[#This Row],[Sugar]]</f>
        <v>967.80833333333339</v>
      </c>
      <c r="CQ11" s="2">
        <f>Table834[[#This Row],[Waist]]*Table834[[#This Row],[Servings]]</f>
        <v>1010.5</v>
      </c>
      <c r="CR11" s="2">
        <f>Table834[[#This Row],[Waist]]*Table834[[#This Row],[Water]]</f>
        <v>94</v>
      </c>
      <c r="CS11" s="2">
        <f>Table834[[#This Row],[Waist]]*Table834[[#This Row],[Fat Calories]]</f>
        <v>34872.824999999997</v>
      </c>
    </row>
    <row r="12" spans="1:97" x14ac:dyDescent="0.25">
      <c r="A12" s="2">
        <v>270.8</v>
      </c>
      <c r="B12" s="2">
        <f>Table834[[#This Row],[Weight]]^2</f>
        <v>73332.639999999999</v>
      </c>
      <c r="C12" s="2">
        <v>46.5</v>
      </c>
      <c r="D12" s="2">
        <f>Table834[[#This Row],[Waist]]^2</f>
        <v>2162.25</v>
      </c>
      <c r="E12" s="2">
        <v>17</v>
      </c>
      <c r="F12" s="2">
        <f>Table834[[#This Row],[Neck]]^2</f>
        <v>289</v>
      </c>
      <c r="G12" s="2">
        <v>97</v>
      </c>
      <c r="H12" s="2">
        <f>Table834[[#This Row],[Morning Body Temp]]^2</f>
        <v>9409</v>
      </c>
      <c r="I12" s="2">
        <v>136</v>
      </c>
      <c r="J12" s="2">
        <f>Table834[[#This Row],[Morning Systolic Pressure]]^2</f>
        <v>18496</v>
      </c>
      <c r="K12" s="2">
        <v>68</v>
      </c>
      <c r="L12" s="2">
        <f>Table834[[#This Row],[Morning Diastolic Pressure]]^2</f>
        <v>4624</v>
      </c>
      <c r="M12" s="2">
        <v>67</v>
      </c>
      <c r="N12" s="2">
        <f>Table834[[#This Row],[Morning Pulse]]^2</f>
        <v>4489</v>
      </c>
      <c r="O12" s="2">
        <v>96.7</v>
      </c>
      <c r="P12" s="2">
        <f>Table834[[#This Row],[Night Body Temp]]^2</f>
        <v>9350.8900000000012</v>
      </c>
      <c r="Q12" s="2">
        <v>127</v>
      </c>
      <c r="R12" s="2">
        <f>Table834[[#This Row],[Night Systolic Pressure]]^2</f>
        <v>16129</v>
      </c>
      <c r="S12" s="2">
        <v>73</v>
      </c>
      <c r="T12" s="2">
        <f>Table834[[#This Row],[Night Diastolic Pressure]]^2</f>
        <v>5329</v>
      </c>
      <c r="U12" s="2">
        <v>65</v>
      </c>
      <c r="V12" s="2">
        <f>Table834[[#This Row],[Night Pulse]]^2</f>
        <v>4225</v>
      </c>
      <c r="W12" s="2">
        <v>8.5</v>
      </c>
      <c r="X12" s="2">
        <f>Table834[[#This Row],[Sleep]]^2</f>
        <v>72.25</v>
      </c>
      <c r="Y12" s="2">
        <f t="shared" si="1"/>
        <v>38.851510204081634</v>
      </c>
      <c r="Z12" s="2">
        <f>Table834[[#This Row],[BMI]]^2</f>
        <v>1509.4398451378593</v>
      </c>
      <c r="AA12" s="2">
        <f t="shared" si="0"/>
        <v>33.946879773643239</v>
      </c>
      <c r="AB12" s="2">
        <f>Table834[[#This Row],[CBF]]^2</f>
        <v>1152.3906463661885</v>
      </c>
      <c r="AC12" s="2">
        <v>1</v>
      </c>
      <c r="AD12" s="2">
        <f>Table834[[#This Row],[Gym]]^2</f>
        <v>1</v>
      </c>
      <c r="AE12" s="2">
        <v>0</v>
      </c>
      <c r="AF12" s="2">
        <f>Table834[[#This Row],[Cardio]]^2</f>
        <v>0</v>
      </c>
      <c r="AG12" s="2">
        <v>1645.3333333333333</v>
      </c>
      <c r="AH12" s="2">
        <f>Table834[[#This Row],[Calories]]^2</f>
        <v>2707121.7777777775</v>
      </c>
      <c r="AI12" s="2">
        <v>119.54166666666666</v>
      </c>
      <c r="AJ12" s="2">
        <f>Table834[[#This Row],[Carbs]]^2</f>
        <v>14290.210069444442</v>
      </c>
      <c r="AK12" s="2">
        <v>76.603333333333339</v>
      </c>
      <c r="AL12" s="2">
        <f>Table834[[#This Row],[Fat ]]^2</f>
        <v>5868.0706777777787</v>
      </c>
      <c r="AM12" s="2">
        <v>108.05500000000001</v>
      </c>
      <c r="AN12" s="2">
        <f>Table834[[#This Row],[Protein]]^2</f>
        <v>11675.883025000001</v>
      </c>
      <c r="AO12" s="2">
        <v>8.2449999999999992</v>
      </c>
      <c r="AP12" s="2">
        <f>Table834[[#This Row],[Fiber]]^2</f>
        <v>67.980024999999983</v>
      </c>
      <c r="AQ12" s="2">
        <v>40.258333333333333</v>
      </c>
      <c r="AR12" s="2">
        <f>Table834[[#This Row],[Sugar]]^2</f>
        <v>1620.7334027777777</v>
      </c>
      <c r="AS12" s="2">
        <v>7.5</v>
      </c>
      <c r="AT12" s="2">
        <f>Table834[[#This Row],[Servings]]^2</f>
        <v>56.25</v>
      </c>
      <c r="AU12" s="2">
        <v>1.5</v>
      </c>
      <c r="AV12" s="2">
        <f>Table834[[#This Row],[Water]]^2</f>
        <v>2.25</v>
      </c>
      <c r="AW12" s="2">
        <v>689.43</v>
      </c>
      <c r="AX12" s="2">
        <f>Table834[[#This Row],[Fat Calories]]^2</f>
        <v>475313.72489999991</v>
      </c>
      <c r="AY12" s="3">
        <f>Table834[[#This Row],[Weight]]*Table834[[#This Row],[Waist]]</f>
        <v>12592.2</v>
      </c>
      <c r="AZ12" s="4">
        <f>Table834[[#This Row],[Weight]]*Table834[[#This Row],[Neck]]</f>
        <v>4603.6000000000004</v>
      </c>
      <c r="BA12" s="4">
        <f>Table834[[#This Row],[Weight]]*Table834[[#This Row],[Morning Body Temp]]</f>
        <v>26267.600000000002</v>
      </c>
      <c r="BB12" s="4">
        <f>Table834[[#This Row],[Weight]]*Table834[[#This Row],[Morning Systolic Pressure]]</f>
        <v>36828.800000000003</v>
      </c>
      <c r="BC12" s="11">
        <f>Table834[[#This Row],[Weight]]*Table834[[#This Row],[Morning Diastolic Pressure]]</f>
        <v>18414.400000000001</v>
      </c>
      <c r="BD12" s="2">
        <f>Table834[[#This Row],[Weight]]*Table834[[#This Row],[Morning Pulse]]</f>
        <v>18143.600000000002</v>
      </c>
      <c r="BE12" s="2">
        <f>Table834[[#This Row],[Weight]]*Table834[[#This Row],[Night Body Temp]]</f>
        <v>26186.36</v>
      </c>
      <c r="BF12" s="2">
        <f>Table834[[#This Row],[Weight]]*Table834[[#This Row],[Night Systolic Pressure]]</f>
        <v>34391.599999999999</v>
      </c>
      <c r="BG12" s="4">
        <f>Table83[[#This Row],[Weight]]*Table83[[#This Row],[Night Diastolic Pressure]]</f>
        <v>19768.400000000001</v>
      </c>
      <c r="BH12" s="2">
        <f>Table834[[#This Row],[Weight]]*Table834[[#This Row],[Night Pulse]]</f>
        <v>17602</v>
      </c>
      <c r="BI12" s="2">
        <f>Table834[[#This Row],[Weight]]*Table834[[#This Row],[Sleep]]</f>
        <v>2301.8000000000002</v>
      </c>
      <c r="BJ12" s="2">
        <f>Table834[[#This Row],[Weight]]*Table834[[#This Row],[BMI]]</f>
        <v>10520.988963265307</v>
      </c>
      <c r="BK12" s="2">
        <f>Table834[[#This Row],[Weight]]*Table834[[#This Row],[CBF]]</f>
        <v>9192.8150427025903</v>
      </c>
      <c r="BL12" s="2">
        <f>Table834[[#This Row],[Weight]]*Table834[[#This Row],[Gym]]</f>
        <v>270.8</v>
      </c>
      <c r="BM12" s="2">
        <f>Table834[[#This Row],[Weight]]*Table834[[#This Row],[Cardio]]</f>
        <v>0</v>
      </c>
      <c r="BN12" s="2">
        <f>Table834[[#This Row],[Weight]]*Table834[[#This Row],[Calories]]</f>
        <v>445556.26666666666</v>
      </c>
      <c r="BO12" s="2">
        <f>Table834[[#This Row],[Weight]]*Table834[[#This Row],[Carbs]]</f>
        <v>32371.883333333331</v>
      </c>
      <c r="BP12" s="2">
        <f>Table834[[#This Row],[Weight]]*Table834[[#This Row],[Fat ]]</f>
        <v>20744.182666666668</v>
      </c>
      <c r="BQ12" s="2">
        <f>Table834[[#This Row],[Weight]]*Table834[[#This Row],[Protein]]</f>
        <v>29261.294000000002</v>
      </c>
      <c r="BR12" s="2">
        <f>Table834[[#This Row],[Weight]]*Table834[[#This Row],[Fiber]]</f>
        <v>2232.7460000000001</v>
      </c>
      <c r="BS12" s="2">
        <f>Table834[[#This Row],[Weight]]*Table834[[#This Row],[Sugar]]</f>
        <v>10901.956666666667</v>
      </c>
      <c r="BT12" s="2">
        <f>Table834[[#This Row],[Weight]]*Table834[[#This Row],[Servings]]</f>
        <v>2031</v>
      </c>
      <c r="BU12" s="2">
        <f>Table834[[#This Row],[Weight]]*Table834[[#This Row],[Water]]</f>
        <v>406.20000000000005</v>
      </c>
      <c r="BV12" s="2">
        <f>Table834[[#This Row],[Weight]]*Table834[[#This Row],[Fat Calories]]</f>
        <v>186697.644</v>
      </c>
      <c r="BW12" s="2">
        <f>Table834[[#This Row],[Waist]]*Table834[[#This Row],[Neck]]</f>
        <v>790.5</v>
      </c>
      <c r="BX12" s="2">
        <f>Table834[[#This Row],[Waist]]*Table834[[#This Row],[Morning Body Temp]]</f>
        <v>4510.5</v>
      </c>
      <c r="BY12" s="2">
        <f>Table834[[#This Row],[Waist]]*Table834[[#This Row],[Morning Systolic Pressure]]</f>
        <v>6324</v>
      </c>
      <c r="BZ12" s="2">
        <f>Table834[[#This Row],[Waist]]*Table834[[#This Row],[Morning Diastolic Pressure]]</f>
        <v>3162</v>
      </c>
      <c r="CA12" s="2">
        <f>Table834[[#This Row],[Waist]]*Table834[[#This Row],[Morning Pulse]]</f>
        <v>3115.5</v>
      </c>
      <c r="CB12" s="2">
        <f>Table834[[#This Row],[Waist]]*Table834[[#This Row],[Night Body Temp]]</f>
        <v>4496.55</v>
      </c>
      <c r="CC12" s="2">
        <f>Table834[[#This Row],[Waist]]*Table834[[#This Row],[Night Systolic Pressure]]</f>
        <v>5905.5</v>
      </c>
      <c r="CD12" s="4">
        <f>Table83[[#This Row],[Waist]]*Table83[[#This Row],[Night Diastolic Pressure]]</f>
        <v>3394.5</v>
      </c>
      <c r="CE12" s="2">
        <f>Table834[[#This Row],[Waist]]*Table834[[#This Row],[Night Pulse]]</f>
        <v>3022.5</v>
      </c>
      <c r="CF12" s="2">
        <f>Table834[[#This Row],[Waist]]*Table834[[#This Row],[Sleep]]</f>
        <v>395.25</v>
      </c>
      <c r="CG12" s="2">
        <f>Table834[[#This Row],[Waist]]*Table834[[#This Row],[BMI]]</f>
        <v>1806.595224489796</v>
      </c>
      <c r="CH12" s="2">
        <f>Table834[[#This Row],[Waist]]*Table834[[#This Row],[CBF]]</f>
        <v>1578.5299094744107</v>
      </c>
      <c r="CI12" s="2">
        <f>Table834[[#This Row],[Waist]]*Table834[[#This Row],[Gym]]</f>
        <v>46.5</v>
      </c>
      <c r="CJ12" s="2">
        <f>Table834[[#This Row],[Waist]]*Table834[[#This Row],[Cardio]]</f>
        <v>0</v>
      </c>
      <c r="CK12" s="2">
        <f>Table834[[#This Row],[Waist]]*Table834[[#This Row],[Calories]]</f>
        <v>76508</v>
      </c>
      <c r="CL12" s="2">
        <f>Table834[[#This Row],[Waist]]*Table834[[#This Row],[Carbs]]</f>
        <v>5558.6875</v>
      </c>
      <c r="CM12" s="2">
        <f>Table834[[#This Row],[Waist]]*Table834[[#This Row],[Fat ]]</f>
        <v>3562.0550000000003</v>
      </c>
      <c r="CN12" s="2">
        <f>Table834[[#This Row],[Waist]]*Table834[[#This Row],[Protein]]</f>
        <v>5024.5574999999999</v>
      </c>
      <c r="CO12" s="2">
        <f>Table834[[#This Row],[Waist]]*Table834[[#This Row],[Fiber]]</f>
        <v>383.39249999999998</v>
      </c>
      <c r="CP12" s="2">
        <f>Table834[[#This Row],[Waist]]*Table834[[#This Row],[Sugar]]</f>
        <v>1872.0125</v>
      </c>
      <c r="CQ12" s="2">
        <f>Table834[[#This Row],[Waist]]*Table834[[#This Row],[Servings]]</f>
        <v>348.75</v>
      </c>
      <c r="CR12" s="2">
        <f>Table834[[#This Row],[Waist]]*Table834[[#This Row],[Water]]</f>
        <v>69.75</v>
      </c>
      <c r="CS12" s="2">
        <f>Table834[[#This Row],[Waist]]*Table834[[#This Row],[Fat Calories]]</f>
        <v>32058.494999999999</v>
      </c>
    </row>
    <row r="13" spans="1:97" x14ac:dyDescent="0.25">
      <c r="A13" s="2">
        <v>268.39999999999998</v>
      </c>
      <c r="B13" s="2">
        <f>Table834[[#This Row],[Weight]]^2</f>
        <v>72038.559999999983</v>
      </c>
      <c r="C13" s="2">
        <v>46</v>
      </c>
      <c r="D13" s="2">
        <f>Table834[[#This Row],[Waist]]^2</f>
        <v>2116</v>
      </c>
      <c r="E13" s="2">
        <v>17</v>
      </c>
      <c r="F13" s="2">
        <f>Table834[[#This Row],[Neck]]^2</f>
        <v>289</v>
      </c>
      <c r="G13" s="2">
        <v>96.2</v>
      </c>
      <c r="H13" s="2">
        <f>Table834[[#This Row],[Morning Body Temp]]^2</f>
        <v>9254.44</v>
      </c>
      <c r="I13" s="2">
        <v>128</v>
      </c>
      <c r="J13" s="2">
        <f>Table834[[#This Row],[Morning Systolic Pressure]]^2</f>
        <v>16384</v>
      </c>
      <c r="K13" s="2">
        <v>74</v>
      </c>
      <c r="L13" s="2">
        <f>Table834[[#This Row],[Morning Diastolic Pressure]]^2</f>
        <v>5476</v>
      </c>
      <c r="M13" s="2">
        <v>60</v>
      </c>
      <c r="N13" s="2">
        <f>Table834[[#This Row],[Morning Pulse]]^2</f>
        <v>3600</v>
      </c>
      <c r="O13" s="2">
        <v>97.5</v>
      </c>
      <c r="P13" s="2">
        <f>Table834[[#This Row],[Night Body Temp]]^2</f>
        <v>9506.25</v>
      </c>
      <c r="Q13" s="2">
        <v>108</v>
      </c>
      <c r="R13" s="2">
        <f>Table834[[#This Row],[Night Systolic Pressure]]^2</f>
        <v>11664</v>
      </c>
      <c r="S13" s="2">
        <v>68</v>
      </c>
      <c r="T13" s="2">
        <f>Table834[[#This Row],[Night Diastolic Pressure]]^2</f>
        <v>4624</v>
      </c>
      <c r="U13" s="2">
        <v>74</v>
      </c>
      <c r="V13" s="2">
        <f>Table834[[#This Row],[Night Pulse]]^2</f>
        <v>5476</v>
      </c>
      <c r="W13" s="2">
        <v>9</v>
      </c>
      <c r="X13" s="2">
        <f>Table834[[#This Row],[Sleep]]^2</f>
        <v>81</v>
      </c>
      <c r="Y13" s="2">
        <f t="shared" si="1"/>
        <v>38.507183673469385</v>
      </c>
      <c r="Z13" s="2">
        <f>Table834[[#This Row],[BMI]]^2</f>
        <v>1482.8031944623071</v>
      </c>
      <c r="AA13" s="2">
        <f t="shared" si="0"/>
        <v>33.308339978650658</v>
      </c>
      <c r="AB13" s="2">
        <f>Table834[[#This Row],[CBF]]^2</f>
        <v>1109.4455121333776</v>
      </c>
      <c r="AC13" s="2">
        <v>1</v>
      </c>
      <c r="AD13" s="2">
        <f>Table834[[#This Row],[Gym]]^2</f>
        <v>1</v>
      </c>
      <c r="AE13" s="2">
        <v>1</v>
      </c>
      <c r="AF13" s="2">
        <f>Table834[[#This Row],[Cardio]]^2</f>
        <v>1</v>
      </c>
      <c r="AG13" s="2">
        <v>1216.2666666666669</v>
      </c>
      <c r="AH13" s="2">
        <f>Table834[[#This Row],[Calories]]^2</f>
        <v>1479304.6044444449</v>
      </c>
      <c r="AI13" s="2">
        <v>111.93333333333332</v>
      </c>
      <c r="AJ13" s="2">
        <f>Table834[[#This Row],[Carbs]]^2</f>
        <v>12529.071111111109</v>
      </c>
      <c r="AK13" s="2">
        <v>55.379166666666663</v>
      </c>
      <c r="AL13" s="2">
        <f>Table834[[#This Row],[Fat ]]^2</f>
        <v>3066.8521006944438</v>
      </c>
      <c r="AM13" s="2">
        <v>75.029166666666669</v>
      </c>
      <c r="AN13" s="2">
        <f>Table834[[#This Row],[Protein]]^2</f>
        <v>5629.375850694445</v>
      </c>
      <c r="AO13" s="2">
        <v>4.5958333333333332</v>
      </c>
      <c r="AP13" s="2">
        <f>Table834[[#This Row],[Fiber]]^2</f>
        <v>21.121684027777778</v>
      </c>
      <c r="AQ13" s="2">
        <v>31.554166666666667</v>
      </c>
      <c r="AR13" s="2">
        <f>Table834[[#This Row],[Sugar]]^2</f>
        <v>995.66543402777779</v>
      </c>
      <c r="AS13" s="2">
        <v>8.25</v>
      </c>
      <c r="AT13" s="2">
        <f>Table834[[#This Row],[Servings]]^2</f>
        <v>68.0625</v>
      </c>
      <c r="AU13" s="2">
        <v>1</v>
      </c>
      <c r="AV13" s="2">
        <f>Table834[[#This Row],[Water]]^2</f>
        <v>1</v>
      </c>
      <c r="AW13" s="2">
        <v>498.41249999999997</v>
      </c>
      <c r="AX13" s="2">
        <f>Table834[[#This Row],[Fat Calories]]^2</f>
        <v>248415.02015624996</v>
      </c>
      <c r="AY13" s="5">
        <f>Table834[[#This Row],[Weight]]*Table834[[#This Row],[Waist]]</f>
        <v>12346.4</v>
      </c>
      <c r="AZ13" s="6">
        <f>Table834[[#This Row],[Weight]]*Table834[[#This Row],[Neck]]</f>
        <v>4562.7999999999993</v>
      </c>
      <c r="BA13" s="6">
        <f>Table834[[#This Row],[Weight]]*Table834[[#This Row],[Morning Body Temp]]</f>
        <v>25820.079999999998</v>
      </c>
      <c r="BB13" s="6">
        <f>Table834[[#This Row],[Weight]]*Table834[[#This Row],[Morning Systolic Pressure]]</f>
        <v>34355.199999999997</v>
      </c>
      <c r="BC13" s="12">
        <f>Table834[[#This Row],[Weight]]*Table834[[#This Row],[Morning Diastolic Pressure]]</f>
        <v>19861.599999999999</v>
      </c>
      <c r="BD13" s="2">
        <f>Table834[[#This Row],[Weight]]*Table834[[#This Row],[Morning Pulse]]</f>
        <v>16103.999999999998</v>
      </c>
      <c r="BE13" s="2">
        <f>Table834[[#This Row],[Weight]]*Table834[[#This Row],[Night Body Temp]]</f>
        <v>26168.999999999996</v>
      </c>
      <c r="BF13" s="2">
        <f>Table834[[#This Row],[Weight]]*Table834[[#This Row],[Night Systolic Pressure]]</f>
        <v>28987.199999999997</v>
      </c>
      <c r="BG13" s="4">
        <f>Table83[[#This Row],[Weight]]*Table83[[#This Row],[Night Diastolic Pressure]]</f>
        <v>18251.199999999997</v>
      </c>
      <c r="BH13" s="2">
        <f>Table834[[#This Row],[Weight]]*Table834[[#This Row],[Night Pulse]]</f>
        <v>19861.599999999999</v>
      </c>
      <c r="BI13" s="2">
        <f>Table834[[#This Row],[Weight]]*Table834[[#This Row],[Sleep]]</f>
        <v>2415.6</v>
      </c>
      <c r="BJ13" s="2">
        <f>Table834[[#This Row],[Weight]]*Table834[[#This Row],[BMI]]</f>
        <v>10335.328097959182</v>
      </c>
      <c r="BK13" s="2">
        <f>Table834[[#This Row],[Weight]]*Table834[[#This Row],[CBF]]</f>
        <v>8939.9584502698362</v>
      </c>
      <c r="BL13" s="2">
        <f>Table834[[#This Row],[Weight]]*Table834[[#This Row],[Gym]]</f>
        <v>268.39999999999998</v>
      </c>
      <c r="BM13" s="2">
        <f>Table834[[#This Row],[Weight]]*Table834[[#This Row],[Cardio]]</f>
        <v>268.39999999999998</v>
      </c>
      <c r="BN13" s="2">
        <f>Table834[[#This Row],[Weight]]*Table834[[#This Row],[Calories]]</f>
        <v>326445.97333333339</v>
      </c>
      <c r="BO13" s="2">
        <f>Table834[[#This Row],[Weight]]*Table834[[#This Row],[Carbs]]</f>
        <v>30042.906666666662</v>
      </c>
      <c r="BP13" s="2">
        <f>Table834[[#This Row],[Weight]]*Table834[[#This Row],[Fat ]]</f>
        <v>14863.768333333332</v>
      </c>
      <c r="BQ13" s="2">
        <f>Table834[[#This Row],[Weight]]*Table834[[#This Row],[Protein]]</f>
        <v>20137.828333333331</v>
      </c>
      <c r="BR13" s="2">
        <f>Table834[[#This Row],[Weight]]*Table834[[#This Row],[Fiber]]</f>
        <v>1233.5216666666665</v>
      </c>
      <c r="BS13" s="2">
        <f>Table834[[#This Row],[Weight]]*Table834[[#This Row],[Sugar]]</f>
        <v>8469.1383333333324</v>
      </c>
      <c r="BT13" s="2">
        <f>Table834[[#This Row],[Weight]]*Table834[[#This Row],[Servings]]</f>
        <v>2214.2999999999997</v>
      </c>
      <c r="BU13" s="2">
        <f>Table834[[#This Row],[Weight]]*Table834[[#This Row],[Water]]</f>
        <v>268.39999999999998</v>
      </c>
      <c r="BV13" s="2">
        <f>Table834[[#This Row],[Weight]]*Table834[[#This Row],[Fat Calories]]</f>
        <v>133773.91499999998</v>
      </c>
      <c r="BW13" s="2">
        <f>Table834[[#This Row],[Waist]]*Table834[[#This Row],[Neck]]</f>
        <v>782</v>
      </c>
      <c r="BX13" s="2">
        <f>Table834[[#This Row],[Waist]]*Table834[[#This Row],[Morning Body Temp]]</f>
        <v>4425.2</v>
      </c>
      <c r="BY13" s="2">
        <f>Table834[[#This Row],[Waist]]*Table834[[#This Row],[Morning Systolic Pressure]]</f>
        <v>5888</v>
      </c>
      <c r="BZ13" s="2">
        <f>Table834[[#This Row],[Waist]]*Table834[[#This Row],[Morning Diastolic Pressure]]</f>
        <v>3404</v>
      </c>
      <c r="CA13" s="2">
        <f>Table834[[#This Row],[Waist]]*Table834[[#This Row],[Morning Pulse]]</f>
        <v>2760</v>
      </c>
      <c r="CB13" s="2">
        <f>Table834[[#This Row],[Waist]]*Table834[[#This Row],[Night Body Temp]]</f>
        <v>4485</v>
      </c>
      <c r="CC13" s="2">
        <f>Table834[[#This Row],[Waist]]*Table834[[#This Row],[Night Systolic Pressure]]</f>
        <v>4968</v>
      </c>
      <c r="CD13" s="4">
        <f>Table83[[#This Row],[Waist]]*Table83[[#This Row],[Night Diastolic Pressure]]</f>
        <v>3128</v>
      </c>
      <c r="CE13" s="2">
        <f>Table834[[#This Row],[Waist]]*Table834[[#This Row],[Night Pulse]]</f>
        <v>3404</v>
      </c>
      <c r="CF13" s="2">
        <f>Table834[[#This Row],[Waist]]*Table834[[#This Row],[Sleep]]</f>
        <v>414</v>
      </c>
      <c r="CG13" s="2">
        <f>Table834[[#This Row],[Waist]]*Table834[[#This Row],[BMI]]</f>
        <v>1771.3304489795917</v>
      </c>
      <c r="CH13" s="2">
        <f>Table834[[#This Row],[Waist]]*Table834[[#This Row],[CBF]]</f>
        <v>1532.1836390179303</v>
      </c>
      <c r="CI13" s="2">
        <f>Table834[[#This Row],[Waist]]*Table834[[#This Row],[Gym]]</f>
        <v>46</v>
      </c>
      <c r="CJ13" s="2">
        <f>Table834[[#This Row],[Waist]]*Table834[[#This Row],[Cardio]]</f>
        <v>46</v>
      </c>
      <c r="CK13" s="2">
        <f>Table834[[#This Row],[Waist]]*Table834[[#This Row],[Calories]]</f>
        <v>55948.266666666677</v>
      </c>
      <c r="CL13" s="2">
        <f>Table834[[#This Row],[Waist]]*Table834[[#This Row],[Carbs]]</f>
        <v>5148.9333333333325</v>
      </c>
      <c r="CM13" s="2">
        <f>Table834[[#This Row],[Waist]]*Table834[[#This Row],[Fat ]]</f>
        <v>2547.4416666666666</v>
      </c>
      <c r="CN13" s="2">
        <f>Table834[[#This Row],[Waist]]*Table834[[#This Row],[Protein]]</f>
        <v>3451.3416666666667</v>
      </c>
      <c r="CO13" s="2">
        <f>Table834[[#This Row],[Waist]]*Table834[[#This Row],[Fiber]]</f>
        <v>211.40833333333333</v>
      </c>
      <c r="CP13" s="2">
        <f>Table834[[#This Row],[Waist]]*Table834[[#This Row],[Sugar]]</f>
        <v>1451.4916666666668</v>
      </c>
      <c r="CQ13" s="2">
        <f>Table834[[#This Row],[Waist]]*Table834[[#This Row],[Servings]]</f>
        <v>379.5</v>
      </c>
      <c r="CR13" s="2">
        <f>Table834[[#This Row],[Waist]]*Table834[[#This Row],[Water]]</f>
        <v>46</v>
      </c>
      <c r="CS13" s="2">
        <f>Table834[[#This Row],[Waist]]*Table834[[#This Row],[Fat Calories]]</f>
        <v>22926.974999999999</v>
      </c>
    </row>
    <row r="14" spans="1:97" x14ac:dyDescent="0.25">
      <c r="A14" s="2">
        <v>266.60000000000002</v>
      </c>
      <c r="B14" s="2">
        <f>Table834[[#This Row],[Weight]]^2</f>
        <v>71075.560000000012</v>
      </c>
      <c r="C14" s="2">
        <v>46.5</v>
      </c>
      <c r="D14" s="2">
        <f>Table834[[#This Row],[Waist]]^2</f>
        <v>2162.25</v>
      </c>
      <c r="E14" s="2">
        <v>17</v>
      </c>
      <c r="F14" s="2">
        <f>Table834[[#This Row],[Neck]]^2</f>
        <v>289</v>
      </c>
      <c r="G14" s="2">
        <v>96.6</v>
      </c>
      <c r="H14" s="2">
        <f>Table834[[#This Row],[Morning Body Temp]]^2</f>
        <v>9331.56</v>
      </c>
      <c r="I14" s="2">
        <v>127</v>
      </c>
      <c r="J14" s="2">
        <f>Table834[[#This Row],[Morning Systolic Pressure]]^2</f>
        <v>16129</v>
      </c>
      <c r="K14" s="2">
        <v>75</v>
      </c>
      <c r="L14" s="2">
        <f>Table834[[#This Row],[Morning Diastolic Pressure]]^2</f>
        <v>5625</v>
      </c>
      <c r="M14" s="2">
        <v>67</v>
      </c>
      <c r="N14" s="2">
        <f>Table834[[#This Row],[Morning Pulse]]^2</f>
        <v>4489</v>
      </c>
      <c r="O14" s="2">
        <v>97.3</v>
      </c>
      <c r="P14" s="2">
        <f>Table834[[#This Row],[Night Body Temp]]^2</f>
        <v>9467.2899999999991</v>
      </c>
      <c r="Q14" s="2">
        <v>144</v>
      </c>
      <c r="R14" s="2">
        <f>Table834[[#This Row],[Night Systolic Pressure]]^2</f>
        <v>20736</v>
      </c>
      <c r="S14" s="2">
        <v>72</v>
      </c>
      <c r="T14" s="2">
        <f>Table834[[#This Row],[Night Diastolic Pressure]]^2</f>
        <v>5184</v>
      </c>
      <c r="U14" s="2">
        <v>78</v>
      </c>
      <c r="V14" s="2">
        <f>Table834[[#This Row],[Night Pulse]]^2</f>
        <v>6084</v>
      </c>
      <c r="W14" s="2">
        <v>8</v>
      </c>
      <c r="X14" s="2">
        <f>Table834[[#This Row],[Sleep]]^2</f>
        <v>64</v>
      </c>
      <c r="Y14" s="2">
        <f t="shared" si="1"/>
        <v>38.248938775510204</v>
      </c>
      <c r="Z14" s="2">
        <f>Table834[[#This Row],[BMI]]^2</f>
        <v>1462.981317452728</v>
      </c>
      <c r="AA14" s="2">
        <f t="shared" si="0"/>
        <v>33.946879773643239</v>
      </c>
      <c r="AB14" s="2">
        <f>Table834[[#This Row],[CBF]]^2</f>
        <v>1152.3906463661885</v>
      </c>
      <c r="AC14" s="2">
        <v>1</v>
      </c>
      <c r="AD14" s="2">
        <f>Table834[[#This Row],[Gym]]^2</f>
        <v>1</v>
      </c>
      <c r="AE14" s="2">
        <v>1</v>
      </c>
      <c r="AF14" s="2">
        <f>Table834[[#This Row],[Cardio]]^2</f>
        <v>1</v>
      </c>
      <c r="AG14" s="2">
        <v>2812.3583333333336</v>
      </c>
      <c r="AH14" s="2">
        <f>Table834[[#This Row],[Calories]]^2</f>
        <v>7909359.3950694455</v>
      </c>
      <c r="AI14" s="2">
        <v>287.93333333333334</v>
      </c>
      <c r="AJ14" s="2">
        <f>Table834[[#This Row],[Carbs]]^2</f>
        <v>82905.604444444441</v>
      </c>
      <c r="AK14" s="2">
        <v>127.2</v>
      </c>
      <c r="AL14" s="2">
        <f>Table834[[#This Row],[Fat ]]^2</f>
        <v>16179.84</v>
      </c>
      <c r="AM14" s="2">
        <v>119.9875</v>
      </c>
      <c r="AN14" s="2">
        <f>Table834[[#This Row],[Protein]]^2</f>
        <v>14397.00015625</v>
      </c>
      <c r="AO14" s="2">
        <v>9.2687499999999989</v>
      </c>
      <c r="AP14" s="2">
        <f>Table834[[#This Row],[Fiber]]^2</f>
        <v>85.909726562499984</v>
      </c>
      <c r="AQ14" s="2">
        <v>131.35</v>
      </c>
      <c r="AR14" s="2">
        <f>Table834[[#This Row],[Sugar]]^2</f>
        <v>17252.822499999998</v>
      </c>
      <c r="AS14" s="2">
        <v>16</v>
      </c>
      <c r="AT14" s="2">
        <f>Table834[[#This Row],[Servings]]^2</f>
        <v>256</v>
      </c>
      <c r="AU14" s="2">
        <v>2</v>
      </c>
      <c r="AV14" s="2">
        <f>Table834[[#This Row],[Water]]^2</f>
        <v>4</v>
      </c>
      <c r="AW14" s="2">
        <v>1144.8</v>
      </c>
      <c r="AX14" s="2">
        <f>Table834[[#This Row],[Fat Calories]]^2</f>
        <v>1310567.0399999998</v>
      </c>
      <c r="AY14" s="3">
        <f>Table834[[#This Row],[Weight]]*Table834[[#This Row],[Waist]]</f>
        <v>12396.900000000001</v>
      </c>
      <c r="AZ14" s="4">
        <f>Table834[[#This Row],[Weight]]*Table834[[#This Row],[Neck]]</f>
        <v>4532.2000000000007</v>
      </c>
      <c r="BA14" s="4">
        <f>Table834[[#This Row],[Weight]]*Table834[[#This Row],[Morning Body Temp]]</f>
        <v>25753.56</v>
      </c>
      <c r="BB14" s="4">
        <f>Table834[[#This Row],[Weight]]*Table834[[#This Row],[Morning Systolic Pressure]]</f>
        <v>33858.200000000004</v>
      </c>
      <c r="BC14" s="11">
        <f>Table834[[#This Row],[Weight]]*Table834[[#This Row],[Morning Diastolic Pressure]]</f>
        <v>19995</v>
      </c>
      <c r="BD14" s="2">
        <f>Table834[[#This Row],[Weight]]*Table834[[#This Row],[Morning Pulse]]</f>
        <v>17862.2</v>
      </c>
      <c r="BE14" s="2">
        <f>Table834[[#This Row],[Weight]]*Table834[[#This Row],[Night Body Temp]]</f>
        <v>25940.18</v>
      </c>
      <c r="BF14" s="2">
        <f>Table834[[#This Row],[Weight]]*Table834[[#This Row],[Night Systolic Pressure]]</f>
        <v>38390.400000000001</v>
      </c>
      <c r="BG14" s="4">
        <f>Table83[[#This Row],[Weight]]*Table83[[#This Row],[Night Diastolic Pressure]]</f>
        <v>19195.2</v>
      </c>
      <c r="BH14" s="2">
        <f>Table834[[#This Row],[Weight]]*Table834[[#This Row],[Night Pulse]]</f>
        <v>20794.800000000003</v>
      </c>
      <c r="BI14" s="2">
        <f>Table834[[#This Row],[Weight]]*Table834[[#This Row],[Sleep]]</f>
        <v>2132.8000000000002</v>
      </c>
      <c r="BJ14" s="2">
        <f>Table834[[#This Row],[Weight]]*Table834[[#This Row],[BMI]]</f>
        <v>10197.167077551021</v>
      </c>
      <c r="BK14" s="2">
        <f>Table834[[#This Row],[Weight]]*Table834[[#This Row],[CBF]]</f>
        <v>9050.2381476532883</v>
      </c>
      <c r="BL14" s="2">
        <f>Table834[[#This Row],[Weight]]*Table834[[#This Row],[Gym]]</f>
        <v>266.60000000000002</v>
      </c>
      <c r="BM14" s="2">
        <f>Table834[[#This Row],[Weight]]*Table834[[#This Row],[Cardio]]</f>
        <v>266.60000000000002</v>
      </c>
      <c r="BN14" s="2">
        <f>Table834[[#This Row],[Weight]]*Table834[[#This Row],[Calories]]</f>
        <v>749774.7316666668</v>
      </c>
      <c r="BO14" s="2">
        <f>Table834[[#This Row],[Weight]]*Table834[[#This Row],[Carbs]]</f>
        <v>76763.026666666672</v>
      </c>
      <c r="BP14" s="2">
        <f>Table834[[#This Row],[Weight]]*Table834[[#This Row],[Fat ]]</f>
        <v>33911.520000000004</v>
      </c>
      <c r="BQ14" s="2">
        <f>Table834[[#This Row],[Weight]]*Table834[[#This Row],[Protein]]</f>
        <v>31988.667500000003</v>
      </c>
      <c r="BR14" s="2">
        <f>Table834[[#This Row],[Weight]]*Table834[[#This Row],[Fiber]]</f>
        <v>2471.0487499999999</v>
      </c>
      <c r="BS14" s="2">
        <f>Table834[[#This Row],[Weight]]*Table834[[#This Row],[Sugar]]</f>
        <v>35017.910000000003</v>
      </c>
      <c r="BT14" s="2">
        <f>Table834[[#This Row],[Weight]]*Table834[[#This Row],[Servings]]</f>
        <v>4265.6000000000004</v>
      </c>
      <c r="BU14" s="2">
        <f>Table834[[#This Row],[Weight]]*Table834[[#This Row],[Water]]</f>
        <v>533.20000000000005</v>
      </c>
      <c r="BV14" s="2">
        <f>Table834[[#This Row],[Weight]]*Table834[[#This Row],[Fat Calories]]</f>
        <v>305203.68</v>
      </c>
      <c r="BW14" s="2">
        <f>Table834[[#This Row],[Waist]]*Table834[[#This Row],[Neck]]</f>
        <v>790.5</v>
      </c>
      <c r="BX14" s="2">
        <f>Table834[[#This Row],[Waist]]*Table834[[#This Row],[Morning Body Temp]]</f>
        <v>4491.8999999999996</v>
      </c>
      <c r="BY14" s="2">
        <f>Table834[[#This Row],[Waist]]*Table834[[#This Row],[Morning Systolic Pressure]]</f>
        <v>5905.5</v>
      </c>
      <c r="BZ14" s="2">
        <f>Table834[[#This Row],[Waist]]*Table834[[#This Row],[Morning Diastolic Pressure]]</f>
        <v>3487.5</v>
      </c>
      <c r="CA14" s="2">
        <f>Table834[[#This Row],[Waist]]*Table834[[#This Row],[Morning Pulse]]</f>
        <v>3115.5</v>
      </c>
      <c r="CB14" s="2">
        <f>Table834[[#This Row],[Waist]]*Table834[[#This Row],[Night Body Temp]]</f>
        <v>4524.45</v>
      </c>
      <c r="CC14" s="2">
        <f>Table834[[#This Row],[Waist]]*Table834[[#This Row],[Night Systolic Pressure]]</f>
        <v>6696</v>
      </c>
      <c r="CD14" s="4">
        <f>Table83[[#This Row],[Waist]]*Table83[[#This Row],[Night Diastolic Pressure]]</f>
        <v>3348</v>
      </c>
      <c r="CE14" s="2">
        <f>Table834[[#This Row],[Waist]]*Table834[[#This Row],[Night Pulse]]</f>
        <v>3627</v>
      </c>
      <c r="CF14" s="2">
        <f>Table834[[#This Row],[Waist]]*Table834[[#This Row],[Sleep]]</f>
        <v>372</v>
      </c>
      <c r="CG14" s="2">
        <f>Table834[[#This Row],[Waist]]*Table834[[#This Row],[BMI]]</f>
        <v>1778.5756530612246</v>
      </c>
      <c r="CH14" s="2">
        <f>Table834[[#This Row],[Waist]]*Table834[[#This Row],[CBF]]</f>
        <v>1578.5299094744107</v>
      </c>
      <c r="CI14" s="2">
        <f>Table834[[#This Row],[Waist]]*Table834[[#This Row],[Gym]]</f>
        <v>46.5</v>
      </c>
      <c r="CJ14" s="2">
        <f>Table834[[#This Row],[Waist]]*Table834[[#This Row],[Cardio]]</f>
        <v>46.5</v>
      </c>
      <c r="CK14" s="2">
        <f>Table834[[#This Row],[Waist]]*Table834[[#This Row],[Calories]]</f>
        <v>130774.66250000001</v>
      </c>
      <c r="CL14" s="2">
        <f>Table834[[#This Row],[Waist]]*Table834[[#This Row],[Carbs]]</f>
        <v>13388.9</v>
      </c>
      <c r="CM14" s="2">
        <f>Table834[[#This Row],[Waist]]*Table834[[#This Row],[Fat ]]</f>
        <v>5914.8</v>
      </c>
      <c r="CN14" s="2">
        <f>Table834[[#This Row],[Waist]]*Table834[[#This Row],[Protein]]</f>
        <v>5579.4187499999998</v>
      </c>
      <c r="CO14" s="2">
        <f>Table834[[#This Row],[Waist]]*Table834[[#This Row],[Fiber]]</f>
        <v>430.99687499999993</v>
      </c>
      <c r="CP14" s="2">
        <f>Table834[[#This Row],[Waist]]*Table834[[#This Row],[Sugar]]</f>
        <v>6107.7749999999996</v>
      </c>
      <c r="CQ14" s="2">
        <f>Table834[[#This Row],[Waist]]*Table834[[#This Row],[Servings]]</f>
        <v>744</v>
      </c>
      <c r="CR14" s="2">
        <f>Table834[[#This Row],[Waist]]*Table834[[#This Row],[Water]]</f>
        <v>93</v>
      </c>
      <c r="CS14" s="2">
        <f>Table834[[#This Row],[Waist]]*Table834[[#This Row],[Fat Calories]]</f>
        <v>53233.2</v>
      </c>
    </row>
    <row r="15" spans="1:97" x14ac:dyDescent="0.25">
      <c r="A15" s="2">
        <v>269.60000000000002</v>
      </c>
      <c r="B15" s="2">
        <f>Table834[[#This Row],[Weight]]^2</f>
        <v>72684.160000000018</v>
      </c>
      <c r="C15" s="2">
        <v>46</v>
      </c>
      <c r="D15" s="2">
        <f>Table834[[#This Row],[Waist]]^2</f>
        <v>2116</v>
      </c>
      <c r="E15" s="2">
        <v>17</v>
      </c>
      <c r="F15" s="2">
        <f>Table834[[#This Row],[Neck]]^2</f>
        <v>289</v>
      </c>
      <c r="G15" s="2">
        <v>96.3</v>
      </c>
      <c r="H15" s="2">
        <f>Table834[[#This Row],[Morning Body Temp]]^2</f>
        <v>9273.6899999999987</v>
      </c>
      <c r="I15" s="2">
        <v>115</v>
      </c>
      <c r="J15" s="2">
        <f>Table834[[#This Row],[Morning Systolic Pressure]]^2</f>
        <v>13225</v>
      </c>
      <c r="K15" s="2">
        <v>78</v>
      </c>
      <c r="L15" s="2">
        <f>Table834[[#This Row],[Morning Diastolic Pressure]]^2</f>
        <v>6084</v>
      </c>
      <c r="M15" s="2">
        <v>62</v>
      </c>
      <c r="N15" s="2">
        <f>Table834[[#This Row],[Morning Pulse]]^2</f>
        <v>3844</v>
      </c>
      <c r="O15" s="2">
        <v>97.2</v>
      </c>
      <c r="P15" s="2">
        <f>Table834[[#This Row],[Night Body Temp]]^2</f>
        <v>9447.84</v>
      </c>
      <c r="Q15" s="2">
        <v>104</v>
      </c>
      <c r="R15" s="2">
        <f>Table834[[#This Row],[Night Systolic Pressure]]^2</f>
        <v>10816</v>
      </c>
      <c r="S15" s="2">
        <v>58</v>
      </c>
      <c r="T15" s="2">
        <f>Table834[[#This Row],[Night Diastolic Pressure]]^2</f>
        <v>3364</v>
      </c>
      <c r="U15" s="2">
        <v>60</v>
      </c>
      <c r="V15" s="2">
        <f>Table834[[#This Row],[Night Pulse]]^2</f>
        <v>3600</v>
      </c>
      <c r="W15" s="2">
        <v>9</v>
      </c>
      <c r="X15" s="2">
        <f>Table834[[#This Row],[Sleep]]^2</f>
        <v>81</v>
      </c>
      <c r="Y15" s="2">
        <f t="shared" si="1"/>
        <v>38.679346938775517</v>
      </c>
      <c r="Z15" s="2">
        <f>Table834[[#This Row],[BMI]]^2</f>
        <v>1496.091879610163</v>
      </c>
      <c r="AA15" s="2">
        <f t="shared" si="0"/>
        <v>33.308339978650658</v>
      </c>
      <c r="AB15" s="2">
        <f>Table834[[#This Row],[CBF]]^2</f>
        <v>1109.4455121333776</v>
      </c>
      <c r="AC15" s="2">
        <v>1</v>
      </c>
      <c r="AD15" s="2">
        <f>Table834[[#This Row],[Gym]]^2</f>
        <v>1</v>
      </c>
      <c r="AE15" s="2">
        <v>1</v>
      </c>
      <c r="AF15" s="2">
        <f>Table834[[#This Row],[Cardio]]^2</f>
        <v>1</v>
      </c>
      <c r="AG15" s="2">
        <v>1805.45</v>
      </c>
      <c r="AH15" s="2">
        <f>Table834[[#This Row],[Calories]]^2</f>
        <v>3259649.7025000001</v>
      </c>
      <c r="AI15" s="2">
        <v>206.88333333333333</v>
      </c>
      <c r="AJ15" s="2">
        <f>Table834[[#This Row],[Carbs]]^2</f>
        <v>42800.71361111111</v>
      </c>
      <c r="AK15" s="2">
        <v>83.064583333333331</v>
      </c>
      <c r="AL15" s="2">
        <f>Table834[[#This Row],[Fat ]]^2</f>
        <v>6899.7250043402773</v>
      </c>
      <c r="AM15" s="2">
        <v>56.15</v>
      </c>
      <c r="AN15" s="2">
        <f>Table834[[#This Row],[Protein]]^2</f>
        <v>3152.8224999999998</v>
      </c>
      <c r="AO15" s="2">
        <v>13.204166666666666</v>
      </c>
      <c r="AP15" s="2">
        <f>Table834[[#This Row],[Fiber]]^2</f>
        <v>174.3500173611111</v>
      </c>
      <c r="AQ15" s="2">
        <v>38.685416666666669</v>
      </c>
      <c r="AR15" s="2">
        <f>Table834[[#This Row],[Sugar]]^2</f>
        <v>1496.5614626736112</v>
      </c>
      <c r="AS15" s="2">
        <v>10.25</v>
      </c>
      <c r="AT15" s="2">
        <f>Table834[[#This Row],[Servings]]^2</f>
        <v>105.0625</v>
      </c>
      <c r="AU15" s="2">
        <v>2</v>
      </c>
      <c r="AV15" s="2">
        <f>Table834[[#This Row],[Water]]^2</f>
        <v>4</v>
      </c>
      <c r="AW15" s="2">
        <v>747.58124999999995</v>
      </c>
      <c r="AX15" s="2">
        <f>Table834[[#This Row],[Fat Calories]]^2</f>
        <v>558877.72535156237</v>
      </c>
      <c r="AY15" s="5">
        <f>Table834[[#This Row],[Weight]]*Table834[[#This Row],[Waist]]</f>
        <v>12401.6</v>
      </c>
      <c r="AZ15" s="6">
        <f>Table834[[#This Row],[Weight]]*Table834[[#This Row],[Neck]]</f>
        <v>4583.2000000000007</v>
      </c>
      <c r="BA15" s="6">
        <f>Table834[[#This Row],[Weight]]*Table834[[#This Row],[Morning Body Temp]]</f>
        <v>25962.480000000003</v>
      </c>
      <c r="BB15" s="6">
        <f>Table834[[#This Row],[Weight]]*Table834[[#This Row],[Morning Systolic Pressure]]</f>
        <v>31004.000000000004</v>
      </c>
      <c r="BC15" s="12">
        <f>Table834[[#This Row],[Weight]]*Table834[[#This Row],[Morning Diastolic Pressure]]</f>
        <v>21028.800000000003</v>
      </c>
      <c r="BD15" s="2">
        <f>Table834[[#This Row],[Weight]]*Table834[[#This Row],[Morning Pulse]]</f>
        <v>16715.2</v>
      </c>
      <c r="BE15" s="2">
        <f>Table834[[#This Row],[Weight]]*Table834[[#This Row],[Night Body Temp]]</f>
        <v>26205.120000000003</v>
      </c>
      <c r="BF15" s="2">
        <f>Table834[[#This Row],[Weight]]*Table834[[#This Row],[Night Systolic Pressure]]</f>
        <v>28038.400000000001</v>
      </c>
      <c r="BG15" s="4">
        <f>Table83[[#This Row],[Weight]]*Table83[[#This Row],[Night Diastolic Pressure]]</f>
        <v>15636.800000000001</v>
      </c>
      <c r="BH15" s="2">
        <f>Table834[[#This Row],[Weight]]*Table834[[#This Row],[Night Pulse]]</f>
        <v>16176.000000000002</v>
      </c>
      <c r="BI15" s="2">
        <f>Table834[[#This Row],[Weight]]*Table834[[#This Row],[Sleep]]</f>
        <v>2426.4</v>
      </c>
      <c r="BJ15" s="2">
        <f>Table834[[#This Row],[Weight]]*Table834[[#This Row],[BMI]]</f>
        <v>10427.95193469388</v>
      </c>
      <c r="BK15" s="2">
        <f>Table834[[#This Row],[Weight]]*Table834[[#This Row],[CBF]]</f>
        <v>8979.9284582442178</v>
      </c>
      <c r="BL15" s="2">
        <f>Table834[[#This Row],[Weight]]*Table834[[#This Row],[Gym]]</f>
        <v>269.60000000000002</v>
      </c>
      <c r="BM15" s="2">
        <f>Table834[[#This Row],[Weight]]*Table834[[#This Row],[Cardio]]</f>
        <v>269.60000000000002</v>
      </c>
      <c r="BN15" s="2">
        <f>Table834[[#This Row],[Weight]]*Table834[[#This Row],[Calories]]</f>
        <v>486749.32000000007</v>
      </c>
      <c r="BO15" s="2">
        <f>Table834[[#This Row],[Weight]]*Table834[[#This Row],[Carbs]]</f>
        <v>55775.746666666666</v>
      </c>
      <c r="BP15" s="2">
        <f>Table834[[#This Row],[Weight]]*Table834[[#This Row],[Fat ]]</f>
        <v>22394.21166666667</v>
      </c>
      <c r="BQ15" s="2">
        <f>Table834[[#This Row],[Weight]]*Table834[[#This Row],[Protein]]</f>
        <v>15138.04</v>
      </c>
      <c r="BR15" s="2">
        <f>Table834[[#This Row],[Weight]]*Table834[[#This Row],[Fiber]]</f>
        <v>3559.8433333333332</v>
      </c>
      <c r="BS15" s="2">
        <f>Table834[[#This Row],[Weight]]*Table834[[#This Row],[Sugar]]</f>
        <v>10429.588333333335</v>
      </c>
      <c r="BT15" s="2">
        <f>Table834[[#This Row],[Weight]]*Table834[[#This Row],[Servings]]</f>
        <v>2763.4</v>
      </c>
      <c r="BU15" s="2">
        <f>Table834[[#This Row],[Weight]]*Table834[[#This Row],[Water]]</f>
        <v>539.20000000000005</v>
      </c>
      <c r="BV15" s="2">
        <f>Table834[[#This Row],[Weight]]*Table834[[#This Row],[Fat Calories]]</f>
        <v>201547.905</v>
      </c>
      <c r="BW15" s="2">
        <f>Table834[[#This Row],[Waist]]*Table834[[#This Row],[Neck]]</f>
        <v>782</v>
      </c>
      <c r="BX15" s="2">
        <f>Table834[[#This Row],[Waist]]*Table834[[#This Row],[Morning Body Temp]]</f>
        <v>4429.8</v>
      </c>
      <c r="BY15" s="2">
        <f>Table834[[#This Row],[Waist]]*Table834[[#This Row],[Morning Systolic Pressure]]</f>
        <v>5290</v>
      </c>
      <c r="BZ15" s="2">
        <f>Table834[[#This Row],[Waist]]*Table834[[#This Row],[Morning Diastolic Pressure]]</f>
        <v>3588</v>
      </c>
      <c r="CA15" s="2">
        <f>Table834[[#This Row],[Waist]]*Table834[[#This Row],[Morning Pulse]]</f>
        <v>2852</v>
      </c>
      <c r="CB15" s="2">
        <f>Table834[[#This Row],[Waist]]*Table834[[#This Row],[Night Body Temp]]</f>
        <v>4471.2</v>
      </c>
      <c r="CC15" s="2">
        <f>Table834[[#This Row],[Waist]]*Table834[[#This Row],[Night Systolic Pressure]]</f>
        <v>4784</v>
      </c>
      <c r="CD15" s="4">
        <f>Table83[[#This Row],[Waist]]*Table83[[#This Row],[Night Diastolic Pressure]]</f>
        <v>2668</v>
      </c>
      <c r="CE15" s="2">
        <f>Table834[[#This Row],[Waist]]*Table834[[#This Row],[Night Pulse]]</f>
        <v>2760</v>
      </c>
      <c r="CF15" s="2">
        <f>Table834[[#This Row],[Waist]]*Table834[[#This Row],[Sleep]]</f>
        <v>414</v>
      </c>
      <c r="CG15" s="2">
        <f>Table834[[#This Row],[Waist]]*Table834[[#This Row],[BMI]]</f>
        <v>1779.2499591836738</v>
      </c>
      <c r="CH15" s="2">
        <f>Table834[[#This Row],[Waist]]*Table834[[#This Row],[CBF]]</f>
        <v>1532.1836390179303</v>
      </c>
      <c r="CI15" s="2">
        <f>Table834[[#This Row],[Waist]]*Table834[[#This Row],[Gym]]</f>
        <v>46</v>
      </c>
      <c r="CJ15" s="2">
        <f>Table834[[#This Row],[Waist]]*Table834[[#This Row],[Cardio]]</f>
        <v>46</v>
      </c>
      <c r="CK15" s="2">
        <f>Table834[[#This Row],[Waist]]*Table834[[#This Row],[Calories]]</f>
        <v>83050.7</v>
      </c>
      <c r="CL15" s="2">
        <f>Table834[[#This Row],[Waist]]*Table834[[#This Row],[Carbs]]</f>
        <v>9516.6333333333332</v>
      </c>
      <c r="CM15" s="2">
        <f>Table834[[#This Row],[Waist]]*Table834[[#This Row],[Fat ]]</f>
        <v>3820.9708333333333</v>
      </c>
      <c r="CN15" s="2">
        <f>Table834[[#This Row],[Waist]]*Table834[[#This Row],[Protein]]</f>
        <v>2582.9</v>
      </c>
      <c r="CO15" s="2">
        <f>Table834[[#This Row],[Waist]]*Table834[[#This Row],[Fiber]]</f>
        <v>607.39166666666665</v>
      </c>
      <c r="CP15" s="2">
        <f>Table834[[#This Row],[Waist]]*Table834[[#This Row],[Sugar]]</f>
        <v>1779.5291666666667</v>
      </c>
      <c r="CQ15" s="2">
        <f>Table834[[#This Row],[Waist]]*Table834[[#This Row],[Servings]]</f>
        <v>471.5</v>
      </c>
      <c r="CR15" s="2">
        <f>Table834[[#This Row],[Waist]]*Table834[[#This Row],[Water]]</f>
        <v>92</v>
      </c>
      <c r="CS15" s="2">
        <f>Table834[[#This Row],[Waist]]*Table834[[#This Row],[Fat Calories]]</f>
        <v>34388.737499999996</v>
      </c>
    </row>
    <row r="16" spans="1:97" x14ac:dyDescent="0.25">
      <c r="A16" s="2">
        <v>267.60000000000002</v>
      </c>
      <c r="B16" s="2">
        <f>Table834[[#This Row],[Weight]]^2</f>
        <v>71609.760000000009</v>
      </c>
      <c r="C16" s="2">
        <v>46</v>
      </c>
      <c r="D16" s="2">
        <f>Table834[[#This Row],[Waist]]^2</f>
        <v>2116</v>
      </c>
      <c r="E16" s="2">
        <v>17</v>
      </c>
      <c r="F16" s="2">
        <f>Table834[[#This Row],[Neck]]^2</f>
        <v>289</v>
      </c>
      <c r="G16" s="2">
        <v>96.4</v>
      </c>
      <c r="H16" s="2">
        <f>Table834[[#This Row],[Morning Body Temp]]^2</f>
        <v>9292.9600000000009</v>
      </c>
      <c r="I16" s="2">
        <v>127</v>
      </c>
      <c r="J16" s="2">
        <f>Table834[[#This Row],[Morning Systolic Pressure]]^2</f>
        <v>16129</v>
      </c>
      <c r="K16" s="2">
        <v>78</v>
      </c>
      <c r="L16" s="2">
        <f>Table834[[#This Row],[Morning Diastolic Pressure]]^2</f>
        <v>6084</v>
      </c>
      <c r="M16" s="2">
        <v>66</v>
      </c>
      <c r="N16" s="2">
        <f>Table834[[#This Row],[Morning Pulse]]^2</f>
        <v>4356</v>
      </c>
      <c r="O16" s="2">
        <v>96.9</v>
      </c>
      <c r="P16" s="2">
        <f>Table834[[#This Row],[Night Body Temp]]^2</f>
        <v>9389.61</v>
      </c>
      <c r="Q16" s="2">
        <v>125</v>
      </c>
      <c r="R16" s="2">
        <f>Table834[[#This Row],[Night Systolic Pressure]]^2</f>
        <v>15625</v>
      </c>
      <c r="S16" s="2">
        <v>68</v>
      </c>
      <c r="T16" s="2">
        <f>Table834[[#This Row],[Night Diastolic Pressure]]^2</f>
        <v>4624</v>
      </c>
      <c r="U16" s="2">
        <v>66</v>
      </c>
      <c r="V16" s="2">
        <f>Table834[[#This Row],[Night Pulse]]^2</f>
        <v>4356</v>
      </c>
      <c r="W16" s="2">
        <v>9</v>
      </c>
      <c r="X16" s="2">
        <f>Table834[[#This Row],[Sleep]]^2</f>
        <v>81</v>
      </c>
      <c r="Y16" s="2">
        <f t="shared" si="1"/>
        <v>38.392408163265308</v>
      </c>
      <c r="Z16" s="2">
        <f>Table834[[#This Row],[BMI]]^2</f>
        <v>1473.9770045747607</v>
      </c>
      <c r="AA16" s="2">
        <f t="shared" si="0"/>
        <v>33.308339978650658</v>
      </c>
      <c r="AB16" s="2">
        <f>Table834[[#This Row],[CBF]]^2</f>
        <v>1109.4455121333776</v>
      </c>
      <c r="AC16" s="2">
        <v>0</v>
      </c>
      <c r="AD16" s="2">
        <f>Table834[[#This Row],[Gym]]^2</f>
        <v>0</v>
      </c>
      <c r="AE16" s="2">
        <v>0</v>
      </c>
      <c r="AF16" s="2">
        <f>Table834[[#This Row],[Cardio]]^2</f>
        <v>0</v>
      </c>
      <c r="AG16" s="2">
        <v>1547.6925000000001</v>
      </c>
      <c r="AH16" s="2">
        <f>Table834[[#This Row],[Calories]]^2</f>
        <v>2395352.0745562501</v>
      </c>
      <c r="AI16" s="2">
        <v>204.06225000000001</v>
      </c>
      <c r="AJ16" s="2">
        <f>Table834[[#This Row],[Carbs]]^2</f>
        <v>41641.401875062504</v>
      </c>
      <c r="AK16" s="2">
        <v>56.902499999999996</v>
      </c>
      <c r="AL16" s="2">
        <f>Table834[[#This Row],[Fat ]]^2</f>
        <v>3237.8945062499997</v>
      </c>
      <c r="AM16" s="2">
        <v>50.186</v>
      </c>
      <c r="AN16" s="2">
        <f>Table834[[#This Row],[Protein]]^2</f>
        <v>2518.6345959999999</v>
      </c>
      <c r="AO16" s="2">
        <v>10.215249999999999</v>
      </c>
      <c r="AP16" s="2">
        <f>Table834[[#This Row],[Fiber]]^2</f>
        <v>104.35133256249999</v>
      </c>
      <c r="AQ16" s="2">
        <v>58.955750000000002</v>
      </c>
      <c r="AR16" s="2">
        <f>Table834[[#This Row],[Sugar]]^2</f>
        <v>3475.7804580625002</v>
      </c>
      <c r="AS16" s="2">
        <v>6</v>
      </c>
      <c r="AT16" s="2">
        <f>Table834[[#This Row],[Servings]]^2</f>
        <v>36</v>
      </c>
      <c r="AU16" s="2">
        <v>2</v>
      </c>
      <c r="AV16" s="2">
        <f>Table834[[#This Row],[Water]]^2</f>
        <v>4</v>
      </c>
      <c r="AW16" s="2">
        <v>512.12249999999995</v>
      </c>
      <c r="AX16" s="2">
        <f>Table834[[#This Row],[Fat Calories]]^2</f>
        <v>262269.45500624995</v>
      </c>
      <c r="AY16" s="3">
        <f>Table834[[#This Row],[Weight]]*Table834[[#This Row],[Waist]]</f>
        <v>12309.6</v>
      </c>
      <c r="AZ16" s="4">
        <f>Table834[[#This Row],[Weight]]*Table834[[#This Row],[Neck]]</f>
        <v>4549.2000000000007</v>
      </c>
      <c r="BA16" s="4">
        <f>Table834[[#This Row],[Weight]]*Table834[[#This Row],[Morning Body Temp]]</f>
        <v>25796.640000000003</v>
      </c>
      <c r="BB16" s="4">
        <f>Table834[[#This Row],[Weight]]*Table834[[#This Row],[Morning Systolic Pressure]]</f>
        <v>33985.200000000004</v>
      </c>
      <c r="BC16" s="11">
        <f>Table834[[#This Row],[Weight]]*Table834[[#This Row],[Morning Diastolic Pressure]]</f>
        <v>20872.800000000003</v>
      </c>
      <c r="BD16" s="2">
        <f>Table834[[#This Row],[Weight]]*Table834[[#This Row],[Morning Pulse]]</f>
        <v>17661.600000000002</v>
      </c>
      <c r="BE16" s="2">
        <f>Table834[[#This Row],[Weight]]*Table834[[#This Row],[Night Body Temp]]</f>
        <v>25930.440000000002</v>
      </c>
      <c r="BF16" s="2">
        <f>Table834[[#This Row],[Weight]]*Table834[[#This Row],[Night Systolic Pressure]]</f>
        <v>33450</v>
      </c>
      <c r="BG16" s="4">
        <f>Table83[[#This Row],[Weight]]*Table83[[#This Row],[Night Diastolic Pressure]]</f>
        <v>18196.800000000003</v>
      </c>
      <c r="BH16" s="2">
        <f>Table834[[#This Row],[Weight]]*Table834[[#This Row],[Night Pulse]]</f>
        <v>17661.600000000002</v>
      </c>
      <c r="BI16" s="2">
        <f>Table834[[#This Row],[Weight]]*Table834[[#This Row],[Sleep]]</f>
        <v>2408.4</v>
      </c>
      <c r="BJ16" s="2">
        <f>Table834[[#This Row],[Weight]]*Table834[[#This Row],[BMI]]</f>
        <v>10273.808424489798</v>
      </c>
      <c r="BK16" s="2">
        <f>Table834[[#This Row],[Weight]]*Table834[[#This Row],[CBF]]</f>
        <v>8913.3117782869176</v>
      </c>
      <c r="BL16" s="2">
        <f>Table834[[#This Row],[Weight]]*Table834[[#This Row],[Gym]]</f>
        <v>0</v>
      </c>
      <c r="BM16" s="2">
        <f>Table834[[#This Row],[Weight]]*Table834[[#This Row],[Cardio]]</f>
        <v>0</v>
      </c>
      <c r="BN16" s="2">
        <f>Table834[[#This Row],[Weight]]*Table834[[#This Row],[Calories]]</f>
        <v>414162.51300000004</v>
      </c>
      <c r="BO16" s="2">
        <f>Table834[[#This Row],[Weight]]*Table834[[#This Row],[Carbs]]</f>
        <v>54607.058100000009</v>
      </c>
      <c r="BP16" s="2">
        <f>Table834[[#This Row],[Weight]]*Table834[[#This Row],[Fat ]]</f>
        <v>15227.109</v>
      </c>
      <c r="BQ16" s="2">
        <f>Table834[[#This Row],[Weight]]*Table834[[#This Row],[Protein]]</f>
        <v>13429.7736</v>
      </c>
      <c r="BR16" s="2">
        <f>Table834[[#This Row],[Weight]]*Table834[[#This Row],[Fiber]]</f>
        <v>2733.6008999999999</v>
      </c>
      <c r="BS16" s="2">
        <f>Table834[[#This Row],[Weight]]*Table834[[#This Row],[Sugar]]</f>
        <v>15776.558700000001</v>
      </c>
      <c r="BT16" s="2">
        <f>Table834[[#This Row],[Weight]]*Table834[[#This Row],[Servings]]</f>
        <v>1605.6000000000001</v>
      </c>
      <c r="BU16" s="2">
        <f>Table834[[#This Row],[Weight]]*Table834[[#This Row],[Water]]</f>
        <v>535.20000000000005</v>
      </c>
      <c r="BV16" s="2">
        <f>Table834[[#This Row],[Weight]]*Table834[[#This Row],[Fat Calories]]</f>
        <v>137043.981</v>
      </c>
      <c r="BW16" s="2">
        <f>Table834[[#This Row],[Waist]]*Table834[[#This Row],[Neck]]</f>
        <v>782</v>
      </c>
      <c r="BX16" s="2">
        <f>Table834[[#This Row],[Waist]]*Table834[[#This Row],[Morning Body Temp]]</f>
        <v>4434.4000000000005</v>
      </c>
      <c r="BY16" s="2">
        <f>Table834[[#This Row],[Waist]]*Table834[[#This Row],[Morning Systolic Pressure]]</f>
        <v>5842</v>
      </c>
      <c r="BZ16" s="2">
        <f>Table834[[#This Row],[Waist]]*Table834[[#This Row],[Morning Diastolic Pressure]]</f>
        <v>3588</v>
      </c>
      <c r="CA16" s="2">
        <f>Table834[[#This Row],[Waist]]*Table834[[#This Row],[Morning Pulse]]</f>
        <v>3036</v>
      </c>
      <c r="CB16" s="2">
        <f>Table834[[#This Row],[Waist]]*Table834[[#This Row],[Night Body Temp]]</f>
        <v>4457.4000000000005</v>
      </c>
      <c r="CC16" s="2">
        <f>Table834[[#This Row],[Waist]]*Table834[[#This Row],[Night Systolic Pressure]]</f>
        <v>5750</v>
      </c>
      <c r="CD16" s="4">
        <f>Table83[[#This Row],[Waist]]*Table83[[#This Row],[Night Diastolic Pressure]]</f>
        <v>3128</v>
      </c>
      <c r="CE16" s="2">
        <f>Table834[[#This Row],[Waist]]*Table834[[#This Row],[Night Pulse]]</f>
        <v>3036</v>
      </c>
      <c r="CF16" s="2">
        <f>Table834[[#This Row],[Waist]]*Table834[[#This Row],[Sleep]]</f>
        <v>414</v>
      </c>
      <c r="CG16" s="2">
        <f>Table834[[#This Row],[Waist]]*Table834[[#This Row],[BMI]]</f>
        <v>1766.0507755102042</v>
      </c>
      <c r="CH16" s="2">
        <f>Table834[[#This Row],[Waist]]*Table834[[#This Row],[CBF]]</f>
        <v>1532.1836390179303</v>
      </c>
      <c r="CI16" s="2">
        <f>Table834[[#This Row],[Waist]]*Table834[[#This Row],[Gym]]</f>
        <v>0</v>
      </c>
      <c r="CJ16" s="2">
        <f>Table834[[#This Row],[Waist]]*Table834[[#This Row],[Cardio]]</f>
        <v>0</v>
      </c>
      <c r="CK16" s="2">
        <f>Table834[[#This Row],[Waist]]*Table834[[#This Row],[Calories]]</f>
        <v>71193.85500000001</v>
      </c>
      <c r="CL16" s="2">
        <f>Table834[[#This Row],[Waist]]*Table834[[#This Row],[Carbs]]</f>
        <v>9386.8634999999995</v>
      </c>
      <c r="CM16" s="2">
        <f>Table834[[#This Row],[Waist]]*Table834[[#This Row],[Fat ]]</f>
        <v>2617.5149999999999</v>
      </c>
      <c r="CN16" s="2">
        <f>Table834[[#This Row],[Waist]]*Table834[[#This Row],[Protein]]</f>
        <v>2308.556</v>
      </c>
      <c r="CO16" s="2">
        <f>Table834[[#This Row],[Waist]]*Table834[[#This Row],[Fiber]]</f>
        <v>469.90149999999994</v>
      </c>
      <c r="CP16" s="2">
        <f>Table834[[#This Row],[Waist]]*Table834[[#This Row],[Sugar]]</f>
        <v>2711.9645</v>
      </c>
      <c r="CQ16" s="2">
        <f>Table834[[#This Row],[Waist]]*Table834[[#This Row],[Servings]]</f>
        <v>276</v>
      </c>
      <c r="CR16" s="2">
        <f>Table834[[#This Row],[Waist]]*Table834[[#This Row],[Water]]</f>
        <v>92</v>
      </c>
      <c r="CS16" s="2">
        <f>Table834[[#This Row],[Waist]]*Table834[[#This Row],[Fat Calories]]</f>
        <v>23557.634999999998</v>
      </c>
    </row>
    <row r="17" spans="1:97" x14ac:dyDescent="0.25">
      <c r="A17" s="2">
        <v>267.60000000000002</v>
      </c>
      <c r="B17" s="2">
        <f>Table834[[#This Row],[Weight]]^2</f>
        <v>71609.760000000009</v>
      </c>
      <c r="C17" s="2">
        <v>46</v>
      </c>
      <c r="D17" s="2">
        <f>Table834[[#This Row],[Waist]]^2</f>
        <v>2116</v>
      </c>
      <c r="E17" s="2">
        <v>17</v>
      </c>
      <c r="F17" s="2">
        <f>Table834[[#This Row],[Neck]]^2</f>
        <v>289</v>
      </c>
      <c r="G17" s="2">
        <v>95.5</v>
      </c>
      <c r="H17" s="2">
        <f>Table834[[#This Row],[Morning Body Temp]]^2</f>
        <v>9120.25</v>
      </c>
      <c r="I17" s="2">
        <v>131</v>
      </c>
      <c r="J17" s="2">
        <f>Table834[[#This Row],[Morning Systolic Pressure]]^2</f>
        <v>17161</v>
      </c>
      <c r="K17" s="2">
        <v>77</v>
      </c>
      <c r="L17" s="2">
        <f>Table834[[#This Row],[Morning Diastolic Pressure]]^2</f>
        <v>5929</v>
      </c>
      <c r="M17" s="2">
        <v>60</v>
      </c>
      <c r="N17" s="2">
        <f>Table834[[#This Row],[Morning Pulse]]^2</f>
        <v>3600</v>
      </c>
      <c r="O17" s="2">
        <v>97.7</v>
      </c>
      <c r="P17" s="2">
        <f>Table834[[#This Row],[Night Body Temp]]^2</f>
        <v>9545.2900000000009</v>
      </c>
      <c r="Q17" s="2">
        <v>107</v>
      </c>
      <c r="R17" s="2">
        <f>Table834[[#This Row],[Night Systolic Pressure]]^2</f>
        <v>11449</v>
      </c>
      <c r="S17" s="2">
        <v>69</v>
      </c>
      <c r="T17" s="2">
        <f>Table834[[#This Row],[Night Diastolic Pressure]]^2</f>
        <v>4761</v>
      </c>
      <c r="U17" s="2">
        <v>71</v>
      </c>
      <c r="V17" s="2">
        <f>Table834[[#This Row],[Night Pulse]]^2</f>
        <v>5041</v>
      </c>
      <c r="W17" s="2">
        <v>7.5</v>
      </c>
      <c r="X17" s="2">
        <f>Table834[[#This Row],[Sleep]]^2</f>
        <v>56.25</v>
      </c>
      <c r="Y17" s="2">
        <f t="shared" si="1"/>
        <v>38.392408163265308</v>
      </c>
      <c r="Z17" s="2">
        <f>Table834[[#This Row],[BMI]]^2</f>
        <v>1473.9770045747607</v>
      </c>
      <c r="AA17" s="2">
        <f t="shared" si="0"/>
        <v>33.308339978650658</v>
      </c>
      <c r="AB17" s="2">
        <f>Table834[[#This Row],[CBF]]^2</f>
        <v>1109.4455121333776</v>
      </c>
      <c r="AC17" s="2">
        <v>1</v>
      </c>
      <c r="AD17" s="2">
        <f>Table834[[#This Row],[Gym]]^2</f>
        <v>1</v>
      </c>
      <c r="AE17" s="2">
        <v>1</v>
      </c>
      <c r="AF17" s="2">
        <f>Table834[[#This Row],[Cardio]]^2</f>
        <v>1</v>
      </c>
      <c r="AG17" s="2">
        <v>2194.1925000000001</v>
      </c>
      <c r="AH17" s="2">
        <f>Table834[[#This Row],[Calories]]^2</f>
        <v>4814480.7270562509</v>
      </c>
      <c r="AI17" s="2">
        <v>280.62708333333336</v>
      </c>
      <c r="AJ17" s="2">
        <f>Table834[[#This Row],[Carbs]]^2</f>
        <v>78751.559900173626</v>
      </c>
      <c r="AK17" s="2">
        <v>82.025833333333338</v>
      </c>
      <c r="AL17" s="2">
        <f>Table834[[#This Row],[Fat ]]^2</f>
        <v>6728.2373340277782</v>
      </c>
      <c r="AM17" s="2">
        <v>99.683000000000007</v>
      </c>
      <c r="AN17" s="2">
        <f>Table834[[#This Row],[Protein]]^2</f>
        <v>9936.7004890000007</v>
      </c>
      <c r="AO17" s="2">
        <v>47.375416666666666</v>
      </c>
      <c r="AP17" s="2">
        <f>Table834[[#This Row],[Fiber]]^2</f>
        <v>2244.4301043402779</v>
      </c>
      <c r="AQ17" s="2">
        <v>58.923416666666668</v>
      </c>
      <c r="AR17" s="2">
        <f>Table834[[#This Row],[Sugar]]^2</f>
        <v>3471.9690316736114</v>
      </c>
      <c r="AS17" s="2">
        <v>20.84</v>
      </c>
      <c r="AT17" s="2">
        <f>Table834[[#This Row],[Servings]]^2</f>
        <v>434.30559999999997</v>
      </c>
      <c r="AU17" s="2">
        <v>4</v>
      </c>
      <c r="AV17" s="2">
        <f>Table834[[#This Row],[Water]]^2</f>
        <v>16</v>
      </c>
      <c r="AW17" s="2">
        <v>738.23249999999996</v>
      </c>
      <c r="AX17" s="2">
        <f>Table834[[#This Row],[Fat Calories]]^2</f>
        <v>544987.22405624995</v>
      </c>
      <c r="AY17" s="5">
        <f>Table834[[#This Row],[Weight]]*Table834[[#This Row],[Waist]]</f>
        <v>12309.6</v>
      </c>
      <c r="AZ17" s="6">
        <f>Table834[[#This Row],[Weight]]*Table834[[#This Row],[Neck]]</f>
        <v>4549.2000000000007</v>
      </c>
      <c r="BA17" s="6">
        <f>Table834[[#This Row],[Weight]]*Table834[[#This Row],[Morning Body Temp]]</f>
        <v>25555.800000000003</v>
      </c>
      <c r="BB17" s="6">
        <f>Table834[[#This Row],[Weight]]*Table834[[#This Row],[Morning Systolic Pressure]]</f>
        <v>35055.600000000006</v>
      </c>
      <c r="BC17" s="12">
        <f>Table834[[#This Row],[Weight]]*Table834[[#This Row],[Morning Diastolic Pressure]]</f>
        <v>20605.2</v>
      </c>
      <c r="BD17" s="2">
        <f>Table834[[#This Row],[Weight]]*Table834[[#This Row],[Morning Pulse]]</f>
        <v>16056.000000000002</v>
      </c>
      <c r="BE17" s="2">
        <f>Table834[[#This Row],[Weight]]*Table834[[#This Row],[Night Body Temp]]</f>
        <v>26144.520000000004</v>
      </c>
      <c r="BF17" s="2">
        <f>Table834[[#This Row],[Weight]]*Table834[[#This Row],[Night Systolic Pressure]]</f>
        <v>28633.200000000001</v>
      </c>
      <c r="BG17" s="4">
        <f>Table83[[#This Row],[Weight]]*Table83[[#This Row],[Night Diastolic Pressure]]</f>
        <v>18464.400000000001</v>
      </c>
      <c r="BH17" s="2">
        <f>Table834[[#This Row],[Weight]]*Table834[[#This Row],[Night Pulse]]</f>
        <v>18999.600000000002</v>
      </c>
      <c r="BI17" s="2">
        <f>Table834[[#This Row],[Weight]]*Table834[[#This Row],[Sleep]]</f>
        <v>2007.0000000000002</v>
      </c>
      <c r="BJ17" s="2">
        <f>Table834[[#This Row],[Weight]]*Table834[[#This Row],[BMI]]</f>
        <v>10273.808424489798</v>
      </c>
      <c r="BK17" s="2">
        <f>Table834[[#This Row],[Weight]]*Table834[[#This Row],[CBF]]</f>
        <v>8913.3117782869176</v>
      </c>
      <c r="BL17" s="2">
        <f>Table834[[#This Row],[Weight]]*Table834[[#This Row],[Gym]]</f>
        <v>267.60000000000002</v>
      </c>
      <c r="BM17" s="2">
        <f>Table834[[#This Row],[Weight]]*Table834[[#This Row],[Cardio]]</f>
        <v>267.60000000000002</v>
      </c>
      <c r="BN17" s="2">
        <f>Table834[[#This Row],[Weight]]*Table834[[#This Row],[Calories]]</f>
        <v>587165.91300000006</v>
      </c>
      <c r="BO17" s="2">
        <f>Table834[[#This Row],[Weight]]*Table834[[#This Row],[Carbs]]</f>
        <v>75095.80750000001</v>
      </c>
      <c r="BP17" s="2">
        <f>Table834[[#This Row],[Weight]]*Table834[[#This Row],[Fat ]]</f>
        <v>21950.113000000005</v>
      </c>
      <c r="BQ17" s="2">
        <f>Table834[[#This Row],[Weight]]*Table834[[#This Row],[Protein]]</f>
        <v>26675.170800000004</v>
      </c>
      <c r="BR17" s="2">
        <f>Table834[[#This Row],[Weight]]*Table834[[#This Row],[Fiber]]</f>
        <v>12677.6615</v>
      </c>
      <c r="BS17" s="2">
        <f>Table834[[#This Row],[Weight]]*Table834[[#This Row],[Sugar]]</f>
        <v>15767.906300000002</v>
      </c>
      <c r="BT17" s="2">
        <f>Table834[[#This Row],[Weight]]*Table834[[#This Row],[Servings]]</f>
        <v>5576.7840000000006</v>
      </c>
      <c r="BU17" s="2">
        <f>Table834[[#This Row],[Weight]]*Table834[[#This Row],[Water]]</f>
        <v>1070.4000000000001</v>
      </c>
      <c r="BV17" s="2">
        <f>Table834[[#This Row],[Weight]]*Table834[[#This Row],[Fat Calories]]</f>
        <v>197551.01699999999</v>
      </c>
      <c r="BW17" s="2">
        <f>Table834[[#This Row],[Waist]]*Table834[[#This Row],[Neck]]</f>
        <v>782</v>
      </c>
      <c r="BX17" s="2">
        <f>Table834[[#This Row],[Waist]]*Table834[[#This Row],[Morning Body Temp]]</f>
        <v>4393</v>
      </c>
      <c r="BY17" s="2">
        <f>Table834[[#This Row],[Waist]]*Table834[[#This Row],[Morning Systolic Pressure]]</f>
        <v>6026</v>
      </c>
      <c r="BZ17" s="2">
        <f>Table834[[#This Row],[Waist]]*Table834[[#This Row],[Morning Diastolic Pressure]]</f>
        <v>3542</v>
      </c>
      <c r="CA17" s="2">
        <f>Table834[[#This Row],[Waist]]*Table834[[#This Row],[Morning Pulse]]</f>
        <v>2760</v>
      </c>
      <c r="CB17" s="2">
        <f>Table834[[#This Row],[Waist]]*Table834[[#This Row],[Night Body Temp]]</f>
        <v>4494.2</v>
      </c>
      <c r="CC17" s="2">
        <f>Table834[[#This Row],[Waist]]*Table834[[#This Row],[Night Systolic Pressure]]</f>
        <v>4922</v>
      </c>
      <c r="CD17" s="4">
        <f>Table83[[#This Row],[Waist]]*Table83[[#This Row],[Night Diastolic Pressure]]</f>
        <v>3174</v>
      </c>
      <c r="CE17" s="2">
        <f>Table834[[#This Row],[Waist]]*Table834[[#This Row],[Night Pulse]]</f>
        <v>3266</v>
      </c>
      <c r="CF17" s="2">
        <f>Table834[[#This Row],[Waist]]*Table834[[#This Row],[Sleep]]</f>
        <v>345</v>
      </c>
      <c r="CG17" s="2">
        <f>Table834[[#This Row],[Waist]]*Table834[[#This Row],[BMI]]</f>
        <v>1766.0507755102042</v>
      </c>
      <c r="CH17" s="2">
        <f>Table834[[#This Row],[Waist]]*Table834[[#This Row],[CBF]]</f>
        <v>1532.1836390179303</v>
      </c>
      <c r="CI17" s="2">
        <f>Table834[[#This Row],[Waist]]*Table834[[#This Row],[Gym]]</f>
        <v>46</v>
      </c>
      <c r="CJ17" s="2">
        <f>Table834[[#This Row],[Waist]]*Table834[[#This Row],[Cardio]]</f>
        <v>46</v>
      </c>
      <c r="CK17" s="2">
        <f>Table834[[#This Row],[Waist]]*Table834[[#This Row],[Calories]]</f>
        <v>100932.85500000001</v>
      </c>
      <c r="CL17" s="2">
        <f>Table834[[#This Row],[Waist]]*Table834[[#This Row],[Carbs]]</f>
        <v>12908.845833333335</v>
      </c>
      <c r="CM17" s="2">
        <f>Table834[[#This Row],[Waist]]*Table834[[#This Row],[Fat ]]</f>
        <v>3773.1883333333335</v>
      </c>
      <c r="CN17" s="2">
        <f>Table834[[#This Row],[Waist]]*Table834[[#This Row],[Protein]]</f>
        <v>4585.4180000000006</v>
      </c>
      <c r="CO17" s="2">
        <f>Table834[[#This Row],[Waist]]*Table834[[#This Row],[Fiber]]</f>
        <v>2179.2691666666665</v>
      </c>
      <c r="CP17" s="2">
        <f>Table834[[#This Row],[Waist]]*Table834[[#This Row],[Sugar]]</f>
        <v>2710.4771666666666</v>
      </c>
      <c r="CQ17" s="2">
        <f>Table834[[#This Row],[Waist]]*Table834[[#This Row],[Servings]]</f>
        <v>958.64</v>
      </c>
      <c r="CR17" s="2">
        <f>Table834[[#This Row],[Waist]]*Table834[[#This Row],[Water]]</f>
        <v>184</v>
      </c>
      <c r="CS17" s="2">
        <f>Table834[[#This Row],[Waist]]*Table834[[#This Row],[Fat Calories]]</f>
        <v>33958.695</v>
      </c>
    </row>
    <row r="18" spans="1:97" x14ac:dyDescent="0.25">
      <c r="A18" s="2">
        <v>264.8</v>
      </c>
      <c r="B18" s="2">
        <f>Table834[[#This Row],[Weight]]^2</f>
        <v>70119.040000000008</v>
      </c>
      <c r="C18" s="2">
        <v>46</v>
      </c>
      <c r="D18" s="2">
        <f>Table834[[#This Row],[Waist]]^2</f>
        <v>2116</v>
      </c>
      <c r="E18" s="2">
        <v>17</v>
      </c>
      <c r="F18" s="2">
        <f>Table834[[#This Row],[Neck]]^2</f>
        <v>289</v>
      </c>
      <c r="G18" s="2">
        <v>96.7</v>
      </c>
      <c r="H18" s="2">
        <f>Table834[[#This Row],[Morning Body Temp]]^2</f>
        <v>9350.8900000000012</v>
      </c>
      <c r="I18" s="2">
        <v>134</v>
      </c>
      <c r="J18" s="2">
        <f>Table834[[#This Row],[Morning Systolic Pressure]]^2</f>
        <v>17956</v>
      </c>
      <c r="K18" s="2">
        <v>75</v>
      </c>
      <c r="L18" s="2">
        <f>Table834[[#This Row],[Morning Diastolic Pressure]]^2</f>
        <v>5625</v>
      </c>
      <c r="M18" s="2">
        <v>57</v>
      </c>
      <c r="N18" s="2">
        <f>Table834[[#This Row],[Morning Pulse]]^2</f>
        <v>3249</v>
      </c>
      <c r="O18" s="2">
        <v>97</v>
      </c>
      <c r="P18" s="2">
        <f>Table834[[#This Row],[Night Body Temp]]^2</f>
        <v>9409</v>
      </c>
      <c r="Q18" s="2">
        <v>126</v>
      </c>
      <c r="R18" s="2">
        <f>Table834[[#This Row],[Night Systolic Pressure]]^2</f>
        <v>15876</v>
      </c>
      <c r="S18" s="2">
        <v>70</v>
      </c>
      <c r="T18" s="2">
        <f>Table834[[#This Row],[Night Diastolic Pressure]]^2</f>
        <v>4900</v>
      </c>
      <c r="U18" s="2">
        <v>58</v>
      </c>
      <c r="V18" s="2">
        <f>Table834[[#This Row],[Night Pulse]]^2</f>
        <v>3364</v>
      </c>
      <c r="W18" s="2">
        <v>11</v>
      </c>
      <c r="X18" s="2">
        <f>Table834[[#This Row],[Sleep]]^2</f>
        <v>121</v>
      </c>
      <c r="Y18" s="2">
        <f t="shared" si="1"/>
        <v>37.990693877551024</v>
      </c>
      <c r="Z18" s="2">
        <f>Table834[[#This Row],[BMI]]^2</f>
        <v>1443.2928212977929</v>
      </c>
      <c r="AA18" s="2">
        <f t="shared" si="0"/>
        <v>33.308339978650658</v>
      </c>
      <c r="AB18" s="2">
        <f>Table834[[#This Row],[CBF]]^2</f>
        <v>1109.4455121333776</v>
      </c>
      <c r="AC18" s="2">
        <v>1</v>
      </c>
      <c r="AD18" s="2">
        <f>Table834[[#This Row],[Gym]]^2</f>
        <v>1</v>
      </c>
      <c r="AE18" s="2">
        <v>1</v>
      </c>
      <c r="AF18" s="2">
        <f>Table834[[#This Row],[Cardio]]^2</f>
        <v>1</v>
      </c>
      <c r="AG18" s="2">
        <v>954.40000000000009</v>
      </c>
      <c r="AH18" s="2">
        <f>Table834[[#This Row],[Calories]]^2</f>
        <v>910879.36000000022</v>
      </c>
      <c r="AI18" s="2">
        <v>116.63333333333333</v>
      </c>
      <c r="AJ18" s="2">
        <f>Table834[[#This Row],[Carbs]]^2</f>
        <v>13603.334444444443</v>
      </c>
      <c r="AK18" s="2">
        <v>34.75833333333334</v>
      </c>
      <c r="AL18" s="2">
        <f>Table834[[#This Row],[Fat ]]^2</f>
        <v>1208.1417361111116</v>
      </c>
      <c r="AM18" s="2">
        <v>62.6</v>
      </c>
      <c r="AN18" s="2">
        <f>Table834[[#This Row],[Protein]]^2</f>
        <v>3918.76</v>
      </c>
      <c r="AO18" s="2">
        <v>39.766666666666666</v>
      </c>
      <c r="AP18" s="2">
        <f>Table834[[#This Row],[Fiber]]^2</f>
        <v>1581.3877777777777</v>
      </c>
      <c r="AQ18" s="2">
        <v>15.641666666666664</v>
      </c>
      <c r="AR18" s="2">
        <f>Table834[[#This Row],[Sugar]]^2</f>
        <v>244.66173611111103</v>
      </c>
      <c r="AS18" s="2">
        <v>16</v>
      </c>
      <c r="AT18" s="2">
        <f>Table834[[#This Row],[Servings]]^2</f>
        <v>256</v>
      </c>
      <c r="AU18" s="2">
        <v>2</v>
      </c>
      <c r="AV18" s="2">
        <f>Table834[[#This Row],[Water]]^2</f>
        <v>4</v>
      </c>
      <c r="AW18" s="2">
        <v>312.82499999999999</v>
      </c>
      <c r="AX18" s="2">
        <f>Table834[[#This Row],[Fat Calories]]^2</f>
        <v>97859.480624999997</v>
      </c>
      <c r="AY18" s="3">
        <f>Table834[[#This Row],[Weight]]*Table834[[#This Row],[Waist]]</f>
        <v>12180.800000000001</v>
      </c>
      <c r="AZ18" s="4">
        <f>Table834[[#This Row],[Weight]]*Table834[[#This Row],[Neck]]</f>
        <v>4501.6000000000004</v>
      </c>
      <c r="BA18" s="4">
        <f>Table834[[#This Row],[Weight]]*Table834[[#This Row],[Morning Body Temp]]</f>
        <v>25606.160000000003</v>
      </c>
      <c r="BB18" s="4">
        <f>Table834[[#This Row],[Weight]]*Table834[[#This Row],[Morning Systolic Pressure]]</f>
        <v>35483.200000000004</v>
      </c>
      <c r="BC18" s="11">
        <f>Table834[[#This Row],[Weight]]*Table834[[#This Row],[Morning Diastolic Pressure]]</f>
        <v>19860</v>
      </c>
      <c r="BD18" s="2">
        <f>Table834[[#This Row],[Weight]]*Table834[[#This Row],[Morning Pulse]]</f>
        <v>15093.6</v>
      </c>
      <c r="BE18" s="2">
        <f>Table834[[#This Row],[Weight]]*Table834[[#This Row],[Night Body Temp]]</f>
        <v>25685.600000000002</v>
      </c>
      <c r="BF18" s="2">
        <f>Table834[[#This Row],[Weight]]*Table834[[#This Row],[Night Systolic Pressure]]</f>
        <v>33364.800000000003</v>
      </c>
      <c r="BG18" s="4">
        <f>Table83[[#This Row],[Weight]]*Table83[[#This Row],[Night Diastolic Pressure]]</f>
        <v>18536</v>
      </c>
      <c r="BH18" s="2">
        <f>Table834[[#This Row],[Weight]]*Table834[[#This Row],[Night Pulse]]</f>
        <v>15358.400000000001</v>
      </c>
      <c r="BI18" s="2">
        <f>Table834[[#This Row],[Weight]]*Table834[[#This Row],[Sleep]]</f>
        <v>2912.8</v>
      </c>
      <c r="BJ18" s="2">
        <f>Table834[[#This Row],[Weight]]*Table834[[#This Row],[BMI]]</f>
        <v>10059.935738775512</v>
      </c>
      <c r="BK18" s="2">
        <f>Table834[[#This Row],[Weight]]*Table834[[#This Row],[CBF]]</f>
        <v>8820.0484263466951</v>
      </c>
      <c r="BL18" s="2">
        <f>Table834[[#This Row],[Weight]]*Table834[[#This Row],[Gym]]</f>
        <v>264.8</v>
      </c>
      <c r="BM18" s="2">
        <f>Table834[[#This Row],[Weight]]*Table834[[#This Row],[Cardio]]</f>
        <v>264.8</v>
      </c>
      <c r="BN18" s="2">
        <f>Table834[[#This Row],[Weight]]*Table834[[#This Row],[Calories]]</f>
        <v>252725.12000000002</v>
      </c>
      <c r="BO18" s="2">
        <f>Table834[[#This Row],[Weight]]*Table834[[#This Row],[Carbs]]</f>
        <v>30884.506666666664</v>
      </c>
      <c r="BP18" s="2">
        <f>Table834[[#This Row],[Weight]]*Table834[[#This Row],[Fat ]]</f>
        <v>9204.006666666668</v>
      </c>
      <c r="BQ18" s="2">
        <f>Table834[[#This Row],[Weight]]*Table834[[#This Row],[Protein]]</f>
        <v>16576.48</v>
      </c>
      <c r="BR18" s="2">
        <f>Table834[[#This Row],[Weight]]*Table834[[#This Row],[Fiber]]</f>
        <v>10530.213333333333</v>
      </c>
      <c r="BS18" s="2">
        <f>Table834[[#This Row],[Weight]]*Table834[[#This Row],[Sugar]]</f>
        <v>4141.913333333333</v>
      </c>
      <c r="BT18" s="2">
        <f>Table834[[#This Row],[Weight]]*Table834[[#This Row],[Servings]]</f>
        <v>4236.8</v>
      </c>
      <c r="BU18" s="2">
        <f>Table834[[#This Row],[Weight]]*Table834[[#This Row],[Water]]</f>
        <v>529.6</v>
      </c>
      <c r="BV18" s="2">
        <f>Table834[[#This Row],[Weight]]*Table834[[#This Row],[Fat Calories]]</f>
        <v>82836.06</v>
      </c>
      <c r="BW18" s="2">
        <f>Table834[[#This Row],[Waist]]*Table834[[#This Row],[Neck]]</f>
        <v>782</v>
      </c>
      <c r="BX18" s="2">
        <f>Table834[[#This Row],[Waist]]*Table834[[#This Row],[Morning Body Temp]]</f>
        <v>4448.2</v>
      </c>
      <c r="BY18" s="2">
        <f>Table834[[#This Row],[Waist]]*Table834[[#This Row],[Morning Systolic Pressure]]</f>
        <v>6164</v>
      </c>
      <c r="BZ18" s="2">
        <f>Table834[[#This Row],[Waist]]*Table834[[#This Row],[Morning Diastolic Pressure]]</f>
        <v>3450</v>
      </c>
      <c r="CA18" s="2">
        <f>Table834[[#This Row],[Waist]]*Table834[[#This Row],[Morning Pulse]]</f>
        <v>2622</v>
      </c>
      <c r="CB18" s="2">
        <f>Table834[[#This Row],[Waist]]*Table834[[#This Row],[Night Body Temp]]</f>
        <v>4462</v>
      </c>
      <c r="CC18" s="2">
        <f>Table834[[#This Row],[Waist]]*Table834[[#This Row],[Night Systolic Pressure]]</f>
        <v>5796</v>
      </c>
      <c r="CD18" s="4">
        <f>Table83[[#This Row],[Waist]]*Table83[[#This Row],[Night Diastolic Pressure]]</f>
        <v>3220</v>
      </c>
      <c r="CE18" s="2">
        <f>Table834[[#This Row],[Waist]]*Table834[[#This Row],[Night Pulse]]</f>
        <v>2668</v>
      </c>
      <c r="CF18" s="2">
        <f>Table834[[#This Row],[Waist]]*Table834[[#This Row],[Sleep]]</f>
        <v>506</v>
      </c>
      <c r="CG18" s="2">
        <f>Table834[[#This Row],[Waist]]*Table834[[#This Row],[BMI]]</f>
        <v>1747.5719183673471</v>
      </c>
      <c r="CH18" s="2">
        <f>Table834[[#This Row],[Waist]]*Table834[[#This Row],[CBF]]</f>
        <v>1532.1836390179303</v>
      </c>
      <c r="CI18" s="2">
        <f>Table834[[#This Row],[Waist]]*Table834[[#This Row],[Gym]]</f>
        <v>46</v>
      </c>
      <c r="CJ18" s="2">
        <f>Table834[[#This Row],[Waist]]*Table834[[#This Row],[Cardio]]</f>
        <v>46</v>
      </c>
      <c r="CK18" s="2">
        <f>Table834[[#This Row],[Waist]]*Table834[[#This Row],[Calories]]</f>
        <v>43902.400000000001</v>
      </c>
      <c r="CL18" s="2">
        <f>Table834[[#This Row],[Waist]]*Table834[[#This Row],[Carbs]]</f>
        <v>5365.1333333333332</v>
      </c>
      <c r="CM18" s="2">
        <f>Table834[[#This Row],[Waist]]*Table834[[#This Row],[Fat ]]</f>
        <v>1598.8833333333337</v>
      </c>
      <c r="CN18" s="2">
        <f>Table834[[#This Row],[Waist]]*Table834[[#This Row],[Protein]]</f>
        <v>2879.6</v>
      </c>
      <c r="CO18" s="2">
        <f>Table834[[#This Row],[Waist]]*Table834[[#This Row],[Fiber]]</f>
        <v>1829.2666666666667</v>
      </c>
      <c r="CP18" s="2">
        <f>Table834[[#This Row],[Waist]]*Table834[[#This Row],[Sugar]]</f>
        <v>719.51666666666654</v>
      </c>
      <c r="CQ18" s="2">
        <f>Table834[[#This Row],[Waist]]*Table834[[#This Row],[Servings]]</f>
        <v>736</v>
      </c>
      <c r="CR18" s="2">
        <f>Table834[[#This Row],[Waist]]*Table834[[#This Row],[Water]]</f>
        <v>92</v>
      </c>
      <c r="CS18" s="2">
        <f>Table834[[#This Row],[Waist]]*Table834[[#This Row],[Fat Calories]]</f>
        <v>14389.949999999999</v>
      </c>
    </row>
    <row r="19" spans="1:97" x14ac:dyDescent="0.25">
      <c r="A19" s="2">
        <v>264.60000000000002</v>
      </c>
      <c r="B19" s="2">
        <f>Table834[[#This Row],[Weight]]^2</f>
        <v>70013.160000000018</v>
      </c>
      <c r="C19" s="2">
        <v>46</v>
      </c>
      <c r="D19" s="2">
        <f>Table834[[#This Row],[Waist]]^2</f>
        <v>2116</v>
      </c>
      <c r="E19" s="2">
        <v>17</v>
      </c>
      <c r="F19" s="2">
        <f>Table834[[#This Row],[Neck]]^2</f>
        <v>289</v>
      </c>
      <c r="G19" s="2">
        <v>96.6</v>
      </c>
      <c r="H19" s="2">
        <f>Table834[[#This Row],[Morning Body Temp]]^2</f>
        <v>9331.56</v>
      </c>
      <c r="I19" s="2">
        <v>121</v>
      </c>
      <c r="J19" s="2">
        <f>Table834[[#This Row],[Morning Systolic Pressure]]^2</f>
        <v>14641</v>
      </c>
      <c r="K19" s="2">
        <v>73</v>
      </c>
      <c r="L19" s="2">
        <f>Table834[[#This Row],[Morning Diastolic Pressure]]^2</f>
        <v>5329</v>
      </c>
      <c r="M19" s="2">
        <v>67</v>
      </c>
      <c r="N19" s="2">
        <f>Table834[[#This Row],[Morning Pulse]]^2</f>
        <v>4489</v>
      </c>
      <c r="O19" s="2">
        <v>97</v>
      </c>
      <c r="P19" s="2">
        <f>Table834[[#This Row],[Night Body Temp]]^2</f>
        <v>9409</v>
      </c>
      <c r="Q19" s="2">
        <v>124</v>
      </c>
      <c r="R19" s="2">
        <f>Table834[[#This Row],[Night Systolic Pressure]]^2</f>
        <v>15376</v>
      </c>
      <c r="S19" s="2">
        <v>64</v>
      </c>
      <c r="T19" s="2">
        <f>Table834[[#This Row],[Night Diastolic Pressure]]^2</f>
        <v>4096</v>
      </c>
      <c r="U19" s="2">
        <v>63</v>
      </c>
      <c r="V19" s="2">
        <f>Table834[[#This Row],[Night Pulse]]^2</f>
        <v>3969</v>
      </c>
      <c r="W19" s="2">
        <v>7</v>
      </c>
      <c r="X19" s="2">
        <f>Table834[[#This Row],[Sleep]]^2</f>
        <v>49</v>
      </c>
      <c r="Y19" s="2">
        <f t="shared" si="1"/>
        <v>37.962000000000003</v>
      </c>
      <c r="Z19" s="2">
        <f>Table834[[#This Row],[BMI]]^2</f>
        <v>1441.1134440000003</v>
      </c>
      <c r="AA19" s="2">
        <f t="shared" si="0"/>
        <v>33.308339978650658</v>
      </c>
      <c r="AB19" s="2">
        <f>Table834[[#This Row],[CBF]]^2</f>
        <v>1109.4455121333776</v>
      </c>
      <c r="AC19" s="2">
        <v>1</v>
      </c>
      <c r="AD19" s="2">
        <f>Table834[[#This Row],[Gym]]^2</f>
        <v>1</v>
      </c>
      <c r="AE19" s="2">
        <v>1</v>
      </c>
      <c r="AF19" s="2">
        <f>Table834[[#This Row],[Cardio]]^2</f>
        <v>1</v>
      </c>
      <c r="AG19" s="2">
        <v>1094.4000000000001</v>
      </c>
      <c r="AH19" s="2">
        <f>Table834[[#This Row],[Calories]]^2</f>
        <v>1197711.3600000001</v>
      </c>
      <c r="AI19" s="2">
        <v>142.63333333333333</v>
      </c>
      <c r="AJ19" s="2">
        <f>Table834[[#This Row],[Carbs]]^2</f>
        <v>20344.267777777775</v>
      </c>
      <c r="AK19" s="2">
        <v>37.75833333333334</v>
      </c>
      <c r="AL19" s="2">
        <f>Table834[[#This Row],[Fat ]]^2</f>
        <v>1425.6917361111116</v>
      </c>
      <c r="AM19" s="2">
        <v>63.6</v>
      </c>
      <c r="AN19" s="2">
        <f>Table834[[#This Row],[Protein]]^2</f>
        <v>4044.96</v>
      </c>
      <c r="AO19" s="2">
        <v>41.766666666666666</v>
      </c>
      <c r="AP19" s="2">
        <f>Table834[[#This Row],[Fiber]]^2</f>
        <v>1744.4544444444443</v>
      </c>
      <c r="AQ19" s="2">
        <v>26.641666666666666</v>
      </c>
      <c r="AR19" s="2">
        <f>Table834[[#This Row],[Sugar]]^2</f>
        <v>709.77840277777773</v>
      </c>
      <c r="AS19" s="2">
        <v>17</v>
      </c>
      <c r="AT19" s="2">
        <f>Table834[[#This Row],[Servings]]^2</f>
        <v>289</v>
      </c>
      <c r="AU19" s="2">
        <v>1</v>
      </c>
      <c r="AV19" s="2">
        <f>Table834[[#This Row],[Water]]^2</f>
        <v>1</v>
      </c>
      <c r="AW19" s="2">
        <v>339.82499999999999</v>
      </c>
      <c r="AX19" s="2">
        <f>Table834[[#This Row],[Fat Calories]]^2</f>
        <v>115481.030625</v>
      </c>
      <c r="AY19" s="5">
        <f>Table834[[#This Row],[Weight]]*Table834[[#This Row],[Waist]]</f>
        <v>12171.6</v>
      </c>
      <c r="AZ19" s="6">
        <f>Table834[[#This Row],[Weight]]*Table834[[#This Row],[Neck]]</f>
        <v>4498.2000000000007</v>
      </c>
      <c r="BA19" s="6">
        <f>Table834[[#This Row],[Weight]]*Table834[[#This Row],[Morning Body Temp]]</f>
        <v>25560.36</v>
      </c>
      <c r="BB19" s="6">
        <f>Table834[[#This Row],[Weight]]*Table834[[#This Row],[Morning Systolic Pressure]]</f>
        <v>32016.600000000002</v>
      </c>
      <c r="BC19" s="12">
        <f>Table834[[#This Row],[Weight]]*Table834[[#This Row],[Morning Diastolic Pressure]]</f>
        <v>19315.800000000003</v>
      </c>
      <c r="BD19" s="2">
        <f>Table834[[#This Row],[Weight]]*Table834[[#This Row],[Morning Pulse]]</f>
        <v>17728.2</v>
      </c>
      <c r="BE19" s="2">
        <f>Table834[[#This Row],[Weight]]*Table834[[#This Row],[Night Body Temp]]</f>
        <v>25666.2</v>
      </c>
      <c r="BF19" s="2">
        <f>Table834[[#This Row],[Weight]]*Table834[[#This Row],[Night Systolic Pressure]]</f>
        <v>32810.400000000001</v>
      </c>
      <c r="BG19" s="4">
        <f>Table83[[#This Row],[Weight]]*Table83[[#This Row],[Night Diastolic Pressure]]</f>
        <v>16934.400000000001</v>
      </c>
      <c r="BH19" s="2">
        <f>Table834[[#This Row],[Weight]]*Table834[[#This Row],[Night Pulse]]</f>
        <v>16669.800000000003</v>
      </c>
      <c r="BI19" s="2">
        <f>Table834[[#This Row],[Weight]]*Table834[[#This Row],[Sleep]]</f>
        <v>1852.2000000000003</v>
      </c>
      <c r="BJ19" s="2">
        <f>Table834[[#This Row],[Weight]]*Table834[[#This Row],[BMI]]</f>
        <v>10044.745200000001</v>
      </c>
      <c r="BK19" s="2">
        <f>Table834[[#This Row],[Weight]]*Table834[[#This Row],[CBF]]</f>
        <v>8813.3867583509655</v>
      </c>
      <c r="BL19" s="2">
        <f>Table834[[#This Row],[Weight]]*Table834[[#This Row],[Gym]]</f>
        <v>264.60000000000002</v>
      </c>
      <c r="BM19" s="2">
        <f>Table834[[#This Row],[Weight]]*Table834[[#This Row],[Cardio]]</f>
        <v>264.60000000000002</v>
      </c>
      <c r="BN19" s="2">
        <f>Table834[[#This Row],[Weight]]*Table834[[#This Row],[Calories]]</f>
        <v>289578.24000000005</v>
      </c>
      <c r="BO19" s="2">
        <f>Table834[[#This Row],[Weight]]*Table834[[#This Row],[Carbs]]</f>
        <v>37740.78</v>
      </c>
      <c r="BP19" s="2">
        <f>Table834[[#This Row],[Weight]]*Table834[[#This Row],[Fat ]]</f>
        <v>9990.8550000000032</v>
      </c>
      <c r="BQ19" s="2">
        <f>Table834[[#This Row],[Weight]]*Table834[[#This Row],[Protein]]</f>
        <v>16828.560000000001</v>
      </c>
      <c r="BR19" s="2">
        <f>Table834[[#This Row],[Weight]]*Table834[[#This Row],[Fiber]]</f>
        <v>11051.460000000001</v>
      </c>
      <c r="BS19" s="2">
        <f>Table834[[#This Row],[Weight]]*Table834[[#This Row],[Sugar]]</f>
        <v>7049.3850000000002</v>
      </c>
      <c r="BT19" s="2">
        <f>Table834[[#This Row],[Weight]]*Table834[[#This Row],[Servings]]</f>
        <v>4498.2000000000007</v>
      </c>
      <c r="BU19" s="2">
        <f>Table834[[#This Row],[Weight]]*Table834[[#This Row],[Water]]</f>
        <v>264.60000000000002</v>
      </c>
      <c r="BV19" s="2">
        <f>Table834[[#This Row],[Weight]]*Table834[[#This Row],[Fat Calories]]</f>
        <v>89917.695000000007</v>
      </c>
      <c r="BW19" s="2">
        <f>Table834[[#This Row],[Waist]]*Table834[[#This Row],[Neck]]</f>
        <v>782</v>
      </c>
      <c r="BX19" s="2">
        <f>Table834[[#This Row],[Waist]]*Table834[[#This Row],[Morning Body Temp]]</f>
        <v>4443.5999999999995</v>
      </c>
      <c r="BY19" s="2">
        <f>Table834[[#This Row],[Waist]]*Table834[[#This Row],[Morning Systolic Pressure]]</f>
        <v>5566</v>
      </c>
      <c r="BZ19" s="2">
        <f>Table834[[#This Row],[Waist]]*Table834[[#This Row],[Morning Diastolic Pressure]]</f>
        <v>3358</v>
      </c>
      <c r="CA19" s="2">
        <f>Table834[[#This Row],[Waist]]*Table834[[#This Row],[Morning Pulse]]</f>
        <v>3082</v>
      </c>
      <c r="CB19" s="2">
        <f>Table834[[#This Row],[Waist]]*Table834[[#This Row],[Night Body Temp]]</f>
        <v>4462</v>
      </c>
      <c r="CC19" s="2">
        <f>Table834[[#This Row],[Waist]]*Table834[[#This Row],[Night Systolic Pressure]]</f>
        <v>5704</v>
      </c>
      <c r="CD19" s="4">
        <f>Table83[[#This Row],[Waist]]*Table83[[#This Row],[Night Diastolic Pressure]]</f>
        <v>2944</v>
      </c>
      <c r="CE19" s="2">
        <f>Table834[[#This Row],[Waist]]*Table834[[#This Row],[Night Pulse]]</f>
        <v>2898</v>
      </c>
      <c r="CF19" s="2">
        <f>Table834[[#This Row],[Waist]]*Table834[[#This Row],[Sleep]]</f>
        <v>322</v>
      </c>
      <c r="CG19" s="2">
        <f>Table834[[#This Row],[Waist]]*Table834[[#This Row],[BMI]]</f>
        <v>1746.2520000000002</v>
      </c>
      <c r="CH19" s="2">
        <f>Table834[[#This Row],[Waist]]*Table834[[#This Row],[CBF]]</f>
        <v>1532.1836390179303</v>
      </c>
      <c r="CI19" s="2">
        <f>Table834[[#This Row],[Waist]]*Table834[[#This Row],[Gym]]</f>
        <v>46</v>
      </c>
      <c r="CJ19" s="2">
        <f>Table834[[#This Row],[Waist]]*Table834[[#This Row],[Cardio]]</f>
        <v>46</v>
      </c>
      <c r="CK19" s="2">
        <f>Table834[[#This Row],[Waist]]*Table834[[#This Row],[Calories]]</f>
        <v>50342.400000000001</v>
      </c>
      <c r="CL19" s="2">
        <f>Table834[[#This Row],[Waist]]*Table834[[#This Row],[Carbs]]</f>
        <v>6561.1333333333332</v>
      </c>
      <c r="CM19" s="2">
        <f>Table834[[#This Row],[Waist]]*Table834[[#This Row],[Fat ]]</f>
        <v>1736.8833333333337</v>
      </c>
      <c r="CN19" s="2">
        <f>Table834[[#This Row],[Waist]]*Table834[[#This Row],[Protein]]</f>
        <v>2925.6</v>
      </c>
      <c r="CO19" s="2">
        <f>Table834[[#This Row],[Waist]]*Table834[[#This Row],[Fiber]]</f>
        <v>1921.2666666666667</v>
      </c>
      <c r="CP19" s="2">
        <f>Table834[[#This Row],[Waist]]*Table834[[#This Row],[Sugar]]</f>
        <v>1225.5166666666667</v>
      </c>
      <c r="CQ19" s="2">
        <f>Table834[[#This Row],[Waist]]*Table834[[#This Row],[Servings]]</f>
        <v>782</v>
      </c>
      <c r="CR19" s="2">
        <f>Table834[[#This Row],[Waist]]*Table834[[#This Row],[Water]]</f>
        <v>46</v>
      </c>
      <c r="CS19" s="2">
        <f>Table834[[#This Row],[Waist]]*Table834[[#This Row],[Fat Calories]]</f>
        <v>15631.949999999999</v>
      </c>
    </row>
    <row r="20" spans="1:97" x14ac:dyDescent="0.25">
      <c r="A20" s="2">
        <v>263.2</v>
      </c>
      <c r="B20" s="2">
        <f>Table834[[#This Row],[Weight]]^2</f>
        <v>69274.239999999991</v>
      </c>
      <c r="C20" s="2">
        <v>46</v>
      </c>
      <c r="D20" s="2">
        <f>Table834[[#This Row],[Waist]]^2</f>
        <v>2116</v>
      </c>
      <c r="E20" s="2">
        <v>17</v>
      </c>
      <c r="F20" s="2">
        <f>Table834[[#This Row],[Neck]]^2</f>
        <v>289</v>
      </c>
      <c r="G20" s="2">
        <v>96.5</v>
      </c>
      <c r="H20" s="2">
        <f>Table834[[#This Row],[Morning Body Temp]]^2</f>
        <v>9312.25</v>
      </c>
      <c r="I20" s="2">
        <v>132</v>
      </c>
      <c r="J20" s="2">
        <f>Table834[[#This Row],[Morning Systolic Pressure]]^2</f>
        <v>17424</v>
      </c>
      <c r="K20" s="2">
        <v>74</v>
      </c>
      <c r="L20" s="2">
        <f>Table834[[#This Row],[Morning Diastolic Pressure]]^2</f>
        <v>5476</v>
      </c>
      <c r="M20" s="2">
        <v>67</v>
      </c>
      <c r="N20" s="2">
        <f>Table834[[#This Row],[Morning Pulse]]^2</f>
        <v>4489</v>
      </c>
      <c r="O20" s="2">
        <v>97.8</v>
      </c>
      <c r="P20" s="2">
        <f>Table834[[#This Row],[Night Body Temp]]^2</f>
        <v>9564.84</v>
      </c>
      <c r="Q20" s="2">
        <v>148</v>
      </c>
      <c r="R20" s="2">
        <f>Table834[[#This Row],[Night Systolic Pressure]]^2</f>
        <v>21904</v>
      </c>
      <c r="S20" s="2">
        <v>71</v>
      </c>
      <c r="T20" s="2">
        <f>Table834[[#This Row],[Night Diastolic Pressure]]^2</f>
        <v>5041</v>
      </c>
      <c r="U20" s="2">
        <v>74</v>
      </c>
      <c r="V20" s="2">
        <f>Table834[[#This Row],[Night Pulse]]^2</f>
        <v>5476</v>
      </c>
      <c r="W20" s="2">
        <v>10.5</v>
      </c>
      <c r="X20" s="2">
        <f>Table834[[#This Row],[Sleep]]^2</f>
        <v>110.25</v>
      </c>
      <c r="Y20" s="2">
        <f t="shared" si="1"/>
        <v>37.761142857142858</v>
      </c>
      <c r="Z20" s="2">
        <f>Table834[[#This Row],[BMI]]^2</f>
        <v>1425.9039098775511</v>
      </c>
      <c r="AA20" s="2">
        <f t="shared" si="0"/>
        <v>33.308339978650658</v>
      </c>
      <c r="AB20" s="2">
        <f>Table834[[#This Row],[CBF]]^2</f>
        <v>1109.4455121333776</v>
      </c>
      <c r="AC20" s="2">
        <v>1</v>
      </c>
      <c r="AD20" s="2">
        <f>Table834[[#This Row],[Gym]]^2</f>
        <v>1</v>
      </c>
      <c r="AE20" s="2">
        <v>1</v>
      </c>
      <c r="AF20" s="2">
        <f>Table834[[#This Row],[Cardio]]^2</f>
        <v>1</v>
      </c>
      <c r="AG20" s="2">
        <v>952.90000000000009</v>
      </c>
      <c r="AH20" s="2">
        <f>Table834[[#This Row],[Calories]]^2</f>
        <v>908018.41000000015</v>
      </c>
      <c r="AI20" s="2">
        <v>116.42333333333333</v>
      </c>
      <c r="AJ20" s="2">
        <f>Table834[[#This Row],[Carbs]]^2</f>
        <v>13554.392544444445</v>
      </c>
      <c r="AK20" s="2">
        <v>34.708333333333336</v>
      </c>
      <c r="AL20" s="2">
        <f>Table834[[#This Row],[Fat ]]^2</f>
        <v>1204.6684027777781</v>
      </c>
      <c r="AM20" s="2">
        <v>62.42</v>
      </c>
      <c r="AN20" s="2">
        <f>Table834[[#This Row],[Protein]]^2</f>
        <v>3896.2564000000002</v>
      </c>
      <c r="AO20" s="2">
        <v>39.376666666666665</v>
      </c>
      <c r="AP20" s="2">
        <f>Table834[[#This Row],[Fiber]]^2</f>
        <v>1550.5218777777777</v>
      </c>
      <c r="AQ20" s="2">
        <v>15.801666666666666</v>
      </c>
      <c r="AR20" s="2">
        <f>Table834[[#This Row],[Sugar]]^2</f>
        <v>249.69266944444442</v>
      </c>
      <c r="AS20" s="2">
        <v>15.899999999999999</v>
      </c>
      <c r="AT20" s="2">
        <f>Table834[[#This Row],[Servings]]^2</f>
        <v>252.80999999999995</v>
      </c>
      <c r="AU20" s="2">
        <v>1.5</v>
      </c>
      <c r="AV20" s="2">
        <f>Table834[[#This Row],[Water]]^2</f>
        <v>2.25</v>
      </c>
      <c r="AW20" s="2">
        <v>312.37499999999994</v>
      </c>
      <c r="AX20" s="2">
        <f>Table834[[#This Row],[Fat Calories]]^2</f>
        <v>97578.140624999971</v>
      </c>
      <c r="AY20" s="3">
        <f>Table834[[#This Row],[Weight]]*Table834[[#This Row],[Waist]]</f>
        <v>12107.199999999999</v>
      </c>
      <c r="AZ20" s="4">
        <f>Table834[[#This Row],[Weight]]*Table834[[#This Row],[Neck]]</f>
        <v>4474.3999999999996</v>
      </c>
      <c r="BA20" s="4">
        <f>Table834[[#This Row],[Weight]]*Table834[[#This Row],[Morning Body Temp]]</f>
        <v>25398.799999999999</v>
      </c>
      <c r="BB20" s="4">
        <f>Table834[[#This Row],[Weight]]*Table834[[#This Row],[Morning Systolic Pressure]]</f>
        <v>34742.400000000001</v>
      </c>
      <c r="BC20" s="11">
        <f>Table834[[#This Row],[Weight]]*Table834[[#This Row],[Morning Diastolic Pressure]]</f>
        <v>19476.8</v>
      </c>
      <c r="BD20" s="2">
        <f>Table834[[#This Row],[Weight]]*Table834[[#This Row],[Morning Pulse]]</f>
        <v>17634.399999999998</v>
      </c>
      <c r="BE20" s="2">
        <f>Table834[[#This Row],[Weight]]*Table834[[#This Row],[Night Body Temp]]</f>
        <v>25740.959999999999</v>
      </c>
      <c r="BF20" s="2">
        <f>Table834[[#This Row],[Weight]]*Table834[[#This Row],[Night Systolic Pressure]]</f>
        <v>38953.599999999999</v>
      </c>
      <c r="BG20" s="4">
        <f>Table83[[#This Row],[Weight]]*Table83[[#This Row],[Night Diastolic Pressure]]</f>
        <v>18687.2</v>
      </c>
      <c r="BH20" s="2">
        <f>Table834[[#This Row],[Weight]]*Table834[[#This Row],[Night Pulse]]</f>
        <v>19476.8</v>
      </c>
      <c r="BI20" s="2">
        <f>Table834[[#This Row],[Weight]]*Table834[[#This Row],[Sleep]]</f>
        <v>2763.6</v>
      </c>
      <c r="BJ20" s="2">
        <f>Table834[[#This Row],[Weight]]*Table834[[#This Row],[BMI]]</f>
        <v>9938.7327999999998</v>
      </c>
      <c r="BK20" s="2">
        <f>Table834[[#This Row],[Weight]]*Table834[[#This Row],[CBF]]</f>
        <v>8766.7550823808524</v>
      </c>
      <c r="BL20" s="2">
        <f>Table834[[#This Row],[Weight]]*Table834[[#This Row],[Gym]]</f>
        <v>263.2</v>
      </c>
      <c r="BM20" s="2">
        <f>Table834[[#This Row],[Weight]]*Table834[[#This Row],[Cardio]]</f>
        <v>263.2</v>
      </c>
      <c r="BN20" s="2">
        <f>Table834[[#This Row],[Weight]]*Table834[[#This Row],[Calories]]</f>
        <v>250803.28</v>
      </c>
      <c r="BO20" s="2">
        <f>Table834[[#This Row],[Weight]]*Table834[[#This Row],[Carbs]]</f>
        <v>30642.621333333333</v>
      </c>
      <c r="BP20" s="2">
        <f>Table834[[#This Row],[Weight]]*Table834[[#This Row],[Fat ]]</f>
        <v>9135.2333333333336</v>
      </c>
      <c r="BQ20" s="2">
        <f>Table834[[#This Row],[Weight]]*Table834[[#This Row],[Protein]]</f>
        <v>16428.944</v>
      </c>
      <c r="BR20" s="2">
        <f>Table834[[#This Row],[Weight]]*Table834[[#This Row],[Fiber]]</f>
        <v>10363.938666666665</v>
      </c>
      <c r="BS20" s="2">
        <f>Table834[[#This Row],[Weight]]*Table834[[#This Row],[Sugar]]</f>
        <v>4158.9986666666664</v>
      </c>
      <c r="BT20" s="2">
        <f>Table834[[#This Row],[Weight]]*Table834[[#This Row],[Servings]]</f>
        <v>4184.8799999999992</v>
      </c>
      <c r="BU20" s="2">
        <f>Table834[[#This Row],[Weight]]*Table834[[#This Row],[Water]]</f>
        <v>394.79999999999995</v>
      </c>
      <c r="BV20" s="2">
        <f>Table834[[#This Row],[Weight]]*Table834[[#This Row],[Fat Calories]]</f>
        <v>82217.099999999977</v>
      </c>
      <c r="BW20" s="2">
        <f>Table834[[#This Row],[Waist]]*Table834[[#This Row],[Neck]]</f>
        <v>782</v>
      </c>
      <c r="BX20" s="2">
        <f>Table834[[#This Row],[Waist]]*Table834[[#This Row],[Morning Body Temp]]</f>
        <v>4439</v>
      </c>
      <c r="BY20" s="2">
        <f>Table834[[#This Row],[Waist]]*Table834[[#This Row],[Morning Systolic Pressure]]</f>
        <v>6072</v>
      </c>
      <c r="BZ20" s="2">
        <f>Table834[[#This Row],[Waist]]*Table834[[#This Row],[Morning Diastolic Pressure]]</f>
        <v>3404</v>
      </c>
      <c r="CA20" s="2">
        <f>Table834[[#This Row],[Waist]]*Table834[[#This Row],[Morning Pulse]]</f>
        <v>3082</v>
      </c>
      <c r="CB20" s="2">
        <f>Table834[[#This Row],[Waist]]*Table834[[#This Row],[Night Body Temp]]</f>
        <v>4498.8</v>
      </c>
      <c r="CC20" s="2">
        <f>Table834[[#This Row],[Waist]]*Table834[[#This Row],[Night Systolic Pressure]]</f>
        <v>6808</v>
      </c>
      <c r="CD20" s="4">
        <f>Table83[[#This Row],[Waist]]*Table83[[#This Row],[Night Diastolic Pressure]]</f>
        <v>3266</v>
      </c>
      <c r="CE20" s="2">
        <f>Table834[[#This Row],[Waist]]*Table834[[#This Row],[Night Pulse]]</f>
        <v>3404</v>
      </c>
      <c r="CF20" s="2">
        <f>Table834[[#This Row],[Waist]]*Table834[[#This Row],[Sleep]]</f>
        <v>483</v>
      </c>
      <c r="CG20" s="2">
        <f>Table834[[#This Row],[Waist]]*Table834[[#This Row],[BMI]]</f>
        <v>1737.0125714285714</v>
      </c>
      <c r="CH20" s="2">
        <f>Table834[[#This Row],[Waist]]*Table834[[#This Row],[CBF]]</f>
        <v>1532.1836390179303</v>
      </c>
      <c r="CI20" s="2">
        <f>Table834[[#This Row],[Waist]]*Table834[[#This Row],[Gym]]</f>
        <v>46</v>
      </c>
      <c r="CJ20" s="2">
        <f>Table834[[#This Row],[Waist]]*Table834[[#This Row],[Cardio]]</f>
        <v>46</v>
      </c>
      <c r="CK20" s="2">
        <f>Table834[[#This Row],[Waist]]*Table834[[#This Row],[Calories]]</f>
        <v>43833.4</v>
      </c>
      <c r="CL20" s="2">
        <f>Table834[[#This Row],[Waist]]*Table834[[#This Row],[Carbs]]</f>
        <v>5355.4733333333334</v>
      </c>
      <c r="CM20" s="2">
        <f>Table834[[#This Row],[Waist]]*Table834[[#This Row],[Fat ]]</f>
        <v>1596.5833333333335</v>
      </c>
      <c r="CN20" s="2">
        <f>Table834[[#This Row],[Waist]]*Table834[[#This Row],[Protein]]</f>
        <v>2871.32</v>
      </c>
      <c r="CO20" s="2">
        <f>Table834[[#This Row],[Waist]]*Table834[[#This Row],[Fiber]]</f>
        <v>1811.3266666666666</v>
      </c>
      <c r="CP20" s="2">
        <f>Table834[[#This Row],[Waist]]*Table834[[#This Row],[Sugar]]</f>
        <v>726.87666666666667</v>
      </c>
      <c r="CQ20" s="2">
        <f>Table834[[#This Row],[Waist]]*Table834[[#This Row],[Servings]]</f>
        <v>731.4</v>
      </c>
      <c r="CR20" s="2">
        <f>Table834[[#This Row],[Waist]]*Table834[[#This Row],[Water]]</f>
        <v>69</v>
      </c>
      <c r="CS20" s="2">
        <f>Table834[[#This Row],[Waist]]*Table834[[#This Row],[Fat Calories]]</f>
        <v>14369.249999999998</v>
      </c>
    </row>
    <row r="21" spans="1:97" x14ac:dyDescent="0.25">
      <c r="A21" s="2">
        <v>263</v>
      </c>
      <c r="B21" s="2">
        <f>Table834[[#This Row],[Weight]]^2</f>
        <v>69169</v>
      </c>
      <c r="C21" s="2">
        <v>46</v>
      </c>
      <c r="D21" s="2">
        <f>Table834[[#This Row],[Waist]]^2</f>
        <v>2116</v>
      </c>
      <c r="E21" s="2">
        <v>17</v>
      </c>
      <c r="F21" s="2">
        <f>Table834[[#This Row],[Neck]]^2</f>
        <v>289</v>
      </c>
      <c r="G21" s="2">
        <v>96.9</v>
      </c>
      <c r="H21" s="2">
        <f>Table834[[#This Row],[Morning Body Temp]]^2</f>
        <v>9389.61</v>
      </c>
      <c r="I21" s="2">
        <v>136</v>
      </c>
      <c r="J21" s="2">
        <f>Table834[[#This Row],[Morning Systolic Pressure]]^2</f>
        <v>18496</v>
      </c>
      <c r="K21" s="2">
        <v>69</v>
      </c>
      <c r="L21" s="2">
        <f>Table834[[#This Row],[Morning Diastolic Pressure]]^2</f>
        <v>4761</v>
      </c>
      <c r="M21" s="2">
        <v>60</v>
      </c>
      <c r="N21" s="2">
        <f>Table834[[#This Row],[Morning Pulse]]^2</f>
        <v>3600</v>
      </c>
      <c r="O21" s="2">
        <v>96.8</v>
      </c>
      <c r="P21" s="2">
        <f>Table834[[#This Row],[Night Body Temp]]^2</f>
        <v>9370.24</v>
      </c>
      <c r="Q21" s="2">
        <v>137</v>
      </c>
      <c r="R21" s="2">
        <f>Table834[[#This Row],[Night Systolic Pressure]]^2</f>
        <v>18769</v>
      </c>
      <c r="S21" s="2">
        <v>72</v>
      </c>
      <c r="T21" s="2">
        <f>Table834[[#This Row],[Night Diastolic Pressure]]^2</f>
        <v>5184</v>
      </c>
      <c r="U21" s="2">
        <v>73</v>
      </c>
      <c r="V21" s="2">
        <f>Table834[[#This Row],[Night Pulse]]^2</f>
        <v>5329</v>
      </c>
      <c r="W21" s="2">
        <v>2</v>
      </c>
      <c r="X21" s="2">
        <f>Table834[[#This Row],[Sleep]]^2</f>
        <v>4</v>
      </c>
      <c r="Y21" s="2">
        <f t="shared" si="1"/>
        <v>37.732448979591837</v>
      </c>
      <c r="Z21" s="2">
        <f>Table834[[#This Row],[BMI]]^2</f>
        <v>1423.7377059975011</v>
      </c>
      <c r="AA21" s="2">
        <f t="shared" si="0"/>
        <v>33.308339978650658</v>
      </c>
      <c r="AB21" s="2">
        <f>Table834[[#This Row],[CBF]]^2</f>
        <v>1109.4455121333776</v>
      </c>
      <c r="AC21" s="2">
        <v>1</v>
      </c>
      <c r="AD21" s="2">
        <f>Table834[[#This Row],[Gym]]^2</f>
        <v>1</v>
      </c>
      <c r="AE21" s="2">
        <v>1</v>
      </c>
      <c r="AF21" s="2">
        <f>Table834[[#This Row],[Cardio]]^2</f>
        <v>1</v>
      </c>
      <c r="AG21" s="2">
        <v>2076.0425</v>
      </c>
      <c r="AH21" s="2">
        <f>Table834[[#This Row],[Calories]]^2</f>
        <v>4309952.4618062498</v>
      </c>
      <c r="AI21" s="2">
        <v>293.27308333333337</v>
      </c>
      <c r="AJ21" s="2">
        <f>Table834[[#This Row],[Carbs]]^2</f>
        <v>86009.101407840295</v>
      </c>
      <c r="AK21" s="2">
        <v>59.710833333333341</v>
      </c>
      <c r="AL21" s="2">
        <f>Table834[[#This Row],[Fat ]]^2</f>
        <v>3565.3836173611121</v>
      </c>
      <c r="AM21" s="2">
        <v>85.606000000000009</v>
      </c>
      <c r="AN21" s="2">
        <f>Table834[[#This Row],[Protein]]^2</f>
        <v>7328.3872360000014</v>
      </c>
      <c r="AO21" s="2">
        <v>22.054416666666665</v>
      </c>
      <c r="AP21" s="2">
        <f>Table834[[#This Row],[Fiber]]^2</f>
        <v>486.39729450694438</v>
      </c>
      <c r="AQ21" s="2">
        <v>145.95741666666666</v>
      </c>
      <c r="AR21" s="2">
        <f>Table834[[#This Row],[Sugar]]^2</f>
        <v>21303.567480006943</v>
      </c>
      <c r="AS21" s="2">
        <v>17.899999999999999</v>
      </c>
      <c r="AT21" s="2">
        <f>Table834[[#This Row],[Servings]]^2</f>
        <v>320.40999999999997</v>
      </c>
      <c r="AU21" s="2">
        <v>2</v>
      </c>
      <c r="AV21" s="2">
        <f>Table834[[#This Row],[Water]]^2</f>
        <v>4</v>
      </c>
      <c r="AW21" s="2">
        <v>537.39750000000004</v>
      </c>
      <c r="AX21" s="2">
        <f>Table834[[#This Row],[Fat Calories]]^2</f>
        <v>288796.07300625002</v>
      </c>
      <c r="AY21" s="5">
        <f>Table834[[#This Row],[Weight]]*Table834[[#This Row],[Waist]]</f>
        <v>12098</v>
      </c>
      <c r="AZ21" s="6">
        <f>Table834[[#This Row],[Weight]]*Table834[[#This Row],[Neck]]</f>
        <v>4471</v>
      </c>
      <c r="BA21" s="6">
        <f>Table834[[#This Row],[Weight]]*Table834[[#This Row],[Morning Body Temp]]</f>
        <v>25484.7</v>
      </c>
      <c r="BB21" s="6">
        <f>Table834[[#This Row],[Weight]]*Table834[[#This Row],[Morning Systolic Pressure]]</f>
        <v>35768</v>
      </c>
      <c r="BC21" s="12">
        <f>Table834[[#This Row],[Weight]]*Table834[[#This Row],[Morning Diastolic Pressure]]</f>
        <v>18147</v>
      </c>
      <c r="BD21" s="2">
        <f>Table834[[#This Row],[Weight]]*Table834[[#This Row],[Morning Pulse]]</f>
        <v>15780</v>
      </c>
      <c r="BE21" s="2">
        <f>Table834[[#This Row],[Weight]]*Table834[[#This Row],[Night Body Temp]]</f>
        <v>25458.399999999998</v>
      </c>
      <c r="BF21" s="2">
        <f>Table834[[#This Row],[Weight]]*Table834[[#This Row],[Night Systolic Pressure]]</f>
        <v>36031</v>
      </c>
      <c r="BG21" s="4">
        <f>Table83[[#This Row],[Weight]]*Table83[[#This Row],[Night Diastolic Pressure]]</f>
        <v>18936</v>
      </c>
      <c r="BH21" s="2">
        <f>Table834[[#This Row],[Weight]]*Table834[[#This Row],[Night Pulse]]</f>
        <v>19199</v>
      </c>
      <c r="BI21" s="2">
        <f>Table834[[#This Row],[Weight]]*Table834[[#This Row],[Sleep]]</f>
        <v>526</v>
      </c>
      <c r="BJ21" s="2">
        <f>Table834[[#This Row],[Weight]]*Table834[[#This Row],[BMI]]</f>
        <v>9923.6340816326538</v>
      </c>
      <c r="BK21" s="2">
        <f>Table834[[#This Row],[Weight]]*Table834[[#This Row],[CBF]]</f>
        <v>8760.0934143851227</v>
      </c>
      <c r="BL21" s="2">
        <f>Table834[[#This Row],[Weight]]*Table834[[#This Row],[Gym]]</f>
        <v>263</v>
      </c>
      <c r="BM21" s="2">
        <f>Table834[[#This Row],[Weight]]*Table834[[#This Row],[Cardio]]</f>
        <v>263</v>
      </c>
      <c r="BN21" s="2">
        <f>Table834[[#This Row],[Weight]]*Table834[[#This Row],[Calories]]</f>
        <v>545999.17749999999</v>
      </c>
      <c r="BO21" s="2">
        <f>Table834[[#This Row],[Weight]]*Table834[[#This Row],[Carbs]]</f>
        <v>77130.820916666678</v>
      </c>
      <c r="BP21" s="2">
        <f>Table834[[#This Row],[Weight]]*Table834[[#This Row],[Fat ]]</f>
        <v>15703.949166666669</v>
      </c>
      <c r="BQ21" s="2">
        <f>Table834[[#This Row],[Weight]]*Table834[[#This Row],[Protein]]</f>
        <v>22514.378000000001</v>
      </c>
      <c r="BR21" s="2">
        <f>Table834[[#This Row],[Weight]]*Table834[[#This Row],[Fiber]]</f>
        <v>5800.3115833333331</v>
      </c>
      <c r="BS21" s="2">
        <f>Table834[[#This Row],[Weight]]*Table834[[#This Row],[Sugar]]</f>
        <v>38386.80058333333</v>
      </c>
      <c r="BT21" s="2">
        <f>Table834[[#This Row],[Weight]]*Table834[[#This Row],[Servings]]</f>
        <v>4707.7</v>
      </c>
      <c r="BU21" s="2">
        <f>Table834[[#This Row],[Weight]]*Table834[[#This Row],[Water]]</f>
        <v>526</v>
      </c>
      <c r="BV21" s="2">
        <f>Table834[[#This Row],[Weight]]*Table834[[#This Row],[Fat Calories]]</f>
        <v>141335.54250000001</v>
      </c>
      <c r="BW21" s="2">
        <f>Table834[[#This Row],[Waist]]*Table834[[#This Row],[Neck]]</f>
        <v>782</v>
      </c>
      <c r="BX21" s="2">
        <f>Table834[[#This Row],[Waist]]*Table834[[#This Row],[Morning Body Temp]]</f>
        <v>4457.4000000000005</v>
      </c>
      <c r="BY21" s="2">
        <f>Table834[[#This Row],[Waist]]*Table834[[#This Row],[Morning Systolic Pressure]]</f>
        <v>6256</v>
      </c>
      <c r="BZ21" s="2">
        <f>Table834[[#This Row],[Waist]]*Table834[[#This Row],[Morning Diastolic Pressure]]</f>
        <v>3174</v>
      </c>
      <c r="CA21" s="2">
        <f>Table834[[#This Row],[Waist]]*Table834[[#This Row],[Morning Pulse]]</f>
        <v>2760</v>
      </c>
      <c r="CB21" s="2">
        <f>Table834[[#This Row],[Waist]]*Table834[[#This Row],[Night Body Temp]]</f>
        <v>4452.8</v>
      </c>
      <c r="CC21" s="2">
        <f>Table834[[#This Row],[Waist]]*Table834[[#This Row],[Night Systolic Pressure]]</f>
        <v>6302</v>
      </c>
      <c r="CD21" s="4">
        <f>Table83[[#This Row],[Waist]]*Table83[[#This Row],[Night Diastolic Pressure]]</f>
        <v>3312</v>
      </c>
      <c r="CE21" s="2">
        <f>Table834[[#This Row],[Waist]]*Table834[[#This Row],[Night Pulse]]</f>
        <v>3358</v>
      </c>
      <c r="CF21" s="2">
        <f>Table834[[#This Row],[Waist]]*Table834[[#This Row],[Sleep]]</f>
        <v>92</v>
      </c>
      <c r="CG21" s="2">
        <f>Table834[[#This Row],[Waist]]*Table834[[#This Row],[BMI]]</f>
        <v>1735.6926530612245</v>
      </c>
      <c r="CH21" s="2">
        <f>Table834[[#This Row],[Waist]]*Table834[[#This Row],[CBF]]</f>
        <v>1532.1836390179303</v>
      </c>
      <c r="CI21" s="2">
        <f>Table834[[#This Row],[Waist]]*Table834[[#This Row],[Gym]]</f>
        <v>46</v>
      </c>
      <c r="CJ21" s="2">
        <f>Table834[[#This Row],[Waist]]*Table834[[#This Row],[Cardio]]</f>
        <v>46</v>
      </c>
      <c r="CK21" s="2">
        <f>Table834[[#This Row],[Waist]]*Table834[[#This Row],[Calories]]</f>
        <v>95497.955000000002</v>
      </c>
      <c r="CL21" s="2">
        <f>Table834[[#This Row],[Waist]]*Table834[[#This Row],[Carbs]]</f>
        <v>13490.561833333335</v>
      </c>
      <c r="CM21" s="2">
        <f>Table834[[#This Row],[Waist]]*Table834[[#This Row],[Fat ]]</f>
        <v>2746.6983333333337</v>
      </c>
      <c r="CN21" s="2">
        <f>Table834[[#This Row],[Waist]]*Table834[[#This Row],[Protein]]</f>
        <v>3937.8760000000002</v>
      </c>
      <c r="CO21" s="2">
        <f>Table834[[#This Row],[Waist]]*Table834[[#This Row],[Fiber]]</f>
        <v>1014.5031666666666</v>
      </c>
      <c r="CP21" s="2">
        <f>Table834[[#This Row],[Waist]]*Table834[[#This Row],[Sugar]]</f>
        <v>6714.041166666666</v>
      </c>
      <c r="CQ21" s="2">
        <f>Table834[[#This Row],[Waist]]*Table834[[#This Row],[Servings]]</f>
        <v>823.4</v>
      </c>
      <c r="CR21" s="2">
        <f>Table834[[#This Row],[Waist]]*Table834[[#This Row],[Water]]</f>
        <v>92</v>
      </c>
      <c r="CS21" s="2">
        <f>Table834[[#This Row],[Waist]]*Table834[[#This Row],[Fat Calories]]</f>
        <v>24720.285000000003</v>
      </c>
    </row>
    <row r="22" spans="1:97" x14ac:dyDescent="0.25">
      <c r="A22" s="2">
        <v>261.8</v>
      </c>
      <c r="B22" s="2">
        <f>Table834[[#This Row],[Weight]]^2</f>
        <v>68539.240000000005</v>
      </c>
      <c r="C22" s="2">
        <v>46</v>
      </c>
      <c r="D22" s="2">
        <f>Table834[[#This Row],[Waist]]^2</f>
        <v>2116</v>
      </c>
      <c r="E22" s="2">
        <v>17</v>
      </c>
      <c r="F22" s="2">
        <f>Table834[[#This Row],[Neck]]^2</f>
        <v>289</v>
      </c>
      <c r="G22" s="2">
        <v>96.5</v>
      </c>
      <c r="H22" s="2">
        <f>Table834[[#This Row],[Morning Body Temp]]^2</f>
        <v>9312.25</v>
      </c>
      <c r="I22" s="2">
        <v>128</v>
      </c>
      <c r="J22" s="2">
        <f>Table834[[#This Row],[Morning Systolic Pressure]]^2</f>
        <v>16384</v>
      </c>
      <c r="K22" s="2">
        <v>76</v>
      </c>
      <c r="L22" s="2">
        <f>Table834[[#This Row],[Morning Diastolic Pressure]]^2</f>
        <v>5776</v>
      </c>
      <c r="M22" s="2">
        <v>74</v>
      </c>
      <c r="N22" s="2">
        <f>Table834[[#This Row],[Morning Pulse]]^2</f>
        <v>5476</v>
      </c>
      <c r="O22" s="2">
        <v>97.1</v>
      </c>
      <c r="P22" s="2">
        <f>Table834[[#This Row],[Night Body Temp]]^2</f>
        <v>9428.409999999998</v>
      </c>
      <c r="Q22" s="2">
        <v>134</v>
      </c>
      <c r="R22" s="2">
        <f>Table834[[#This Row],[Night Systolic Pressure]]^2</f>
        <v>17956</v>
      </c>
      <c r="S22" s="2">
        <v>80</v>
      </c>
      <c r="T22" s="2">
        <f>Table834[[#This Row],[Night Diastolic Pressure]]^2</f>
        <v>6400</v>
      </c>
      <c r="U22" s="2">
        <v>59</v>
      </c>
      <c r="V22" s="2">
        <f>Table834[[#This Row],[Night Pulse]]^2</f>
        <v>3481</v>
      </c>
      <c r="W22" s="2">
        <v>13</v>
      </c>
      <c r="X22" s="2">
        <f>Table834[[#This Row],[Sleep]]^2</f>
        <v>169</v>
      </c>
      <c r="Y22" s="2">
        <f t="shared" si="1"/>
        <v>37.560285714285712</v>
      </c>
      <c r="Z22" s="2">
        <f>Table834[[#This Row],[BMI]]^2</f>
        <v>1410.7750629387754</v>
      </c>
      <c r="AA22" s="2">
        <f t="shared" si="0"/>
        <v>33.308339978650658</v>
      </c>
      <c r="AB22" s="2">
        <f>Table834[[#This Row],[CBF]]^2</f>
        <v>1109.4455121333776</v>
      </c>
      <c r="AC22" s="2">
        <v>1</v>
      </c>
      <c r="AD22" s="2">
        <f>Table834[[#This Row],[Gym]]^2</f>
        <v>1</v>
      </c>
      <c r="AE22" s="2">
        <v>1</v>
      </c>
      <c r="AF22" s="2">
        <f>Table834[[#This Row],[Cardio]]^2</f>
        <v>1</v>
      </c>
      <c r="AG22" s="2">
        <v>1171.1500000000001</v>
      </c>
      <c r="AH22" s="2">
        <f>Table834[[#This Row],[Calories]]^2</f>
        <v>1371592.3225000002</v>
      </c>
      <c r="AI22" s="2">
        <v>124.89999999999998</v>
      </c>
      <c r="AJ22" s="2">
        <f>Table834[[#This Row],[Carbs]]^2</f>
        <v>15600.009999999995</v>
      </c>
      <c r="AK22" s="2">
        <v>43.975000000000001</v>
      </c>
      <c r="AL22" s="2">
        <f>Table834[[#This Row],[Fat ]]^2</f>
        <v>1933.8006250000001</v>
      </c>
      <c r="AM22" s="2">
        <v>63.933333333333337</v>
      </c>
      <c r="AN22" s="2">
        <f>Table834[[#This Row],[Protein]]^2</f>
        <v>4087.4711111111114</v>
      </c>
      <c r="AO22" s="2">
        <v>21.25</v>
      </c>
      <c r="AP22" s="2">
        <f>Table834[[#This Row],[Fiber]]^2</f>
        <v>451.5625</v>
      </c>
      <c r="AQ22" s="2">
        <v>36.741666666666667</v>
      </c>
      <c r="AR22" s="2">
        <f>Table834[[#This Row],[Sugar]]^2</f>
        <v>1349.9500694444446</v>
      </c>
      <c r="AS22" s="2">
        <v>17</v>
      </c>
      <c r="AT22" s="2">
        <f>Table834[[#This Row],[Servings]]^2</f>
        <v>289</v>
      </c>
      <c r="AU22" s="2">
        <v>1.5</v>
      </c>
      <c r="AV22" s="2">
        <f>Table834[[#This Row],[Water]]^2</f>
        <v>2.25</v>
      </c>
      <c r="AW22" s="2">
        <v>395.77500000000003</v>
      </c>
      <c r="AX22" s="2">
        <f>Table834[[#This Row],[Fat Calories]]^2</f>
        <v>156637.85062500002</v>
      </c>
      <c r="AY22" s="3">
        <f>Table834[[#This Row],[Weight]]*Table834[[#This Row],[Waist]]</f>
        <v>12042.800000000001</v>
      </c>
      <c r="AZ22" s="4">
        <f>Table834[[#This Row],[Weight]]*Table834[[#This Row],[Neck]]</f>
        <v>4450.6000000000004</v>
      </c>
      <c r="BA22" s="4">
        <f>Table834[[#This Row],[Weight]]*Table834[[#This Row],[Morning Body Temp]]</f>
        <v>25263.7</v>
      </c>
      <c r="BB22" s="4">
        <f>Table834[[#This Row],[Weight]]*Table834[[#This Row],[Morning Systolic Pressure]]</f>
        <v>33510.400000000001</v>
      </c>
      <c r="BC22" s="11">
        <f>Table834[[#This Row],[Weight]]*Table834[[#This Row],[Morning Diastolic Pressure]]</f>
        <v>19896.8</v>
      </c>
      <c r="BD22" s="2">
        <f>Table834[[#This Row],[Weight]]*Table834[[#This Row],[Morning Pulse]]</f>
        <v>19373.2</v>
      </c>
      <c r="BE22" s="2">
        <f>Table834[[#This Row],[Weight]]*Table834[[#This Row],[Night Body Temp]]</f>
        <v>25420.78</v>
      </c>
      <c r="BF22" s="2">
        <f>Table834[[#This Row],[Weight]]*Table834[[#This Row],[Night Systolic Pressure]]</f>
        <v>35081.200000000004</v>
      </c>
      <c r="BG22" s="4">
        <f>Table83[[#This Row],[Weight]]*Table83[[#This Row],[Night Diastolic Pressure]]</f>
        <v>20944</v>
      </c>
      <c r="BH22" s="2">
        <f>Table834[[#This Row],[Weight]]*Table834[[#This Row],[Night Pulse]]</f>
        <v>15446.2</v>
      </c>
      <c r="BI22" s="2">
        <f>Table834[[#This Row],[Weight]]*Table834[[#This Row],[Sleep]]</f>
        <v>3403.4</v>
      </c>
      <c r="BJ22" s="2">
        <f>Table834[[#This Row],[Weight]]*Table834[[#This Row],[BMI]]</f>
        <v>9833.282799999999</v>
      </c>
      <c r="BK22" s="2">
        <f>Table834[[#This Row],[Weight]]*Table834[[#This Row],[CBF]]</f>
        <v>8720.123406410743</v>
      </c>
      <c r="BL22" s="2">
        <f>Table834[[#This Row],[Weight]]*Table834[[#This Row],[Gym]]</f>
        <v>261.8</v>
      </c>
      <c r="BM22" s="2">
        <f>Table834[[#This Row],[Weight]]*Table834[[#This Row],[Cardio]]</f>
        <v>261.8</v>
      </c>
      <c r="BN22" s="2">
        <f>Table834[[#This Row],[Weight]]*Table834[[#This Row],[Calories]]</f>
        <v>306607.07000000007</v>
      </c>
      <c r="BO22" s="2">
        <f>Table834[[#This Row],[Weight]]*Table834[[#This Row],[Carbs]]</f>
        <v>32698.819999999996</v>
      </c>
      <c r="BP22" s="2">
        <f>Table834[[#This Row],[Weight]]*Table834[[#This Row],[Fat ]]</f>
        <v>11512.655000000001</v>
      </c>
      <c r="BQ22" s="2">
        <f>Table834[[#This Row],[Weight]]*Table834[[#This Row],[Protein]]</f>
        <v>16737.74666666667</v>
      </c>
      <c r="BR22" s="2">
        <f>Table834[[#This Row],[Weight]]*Table834[[#This Row],[Fiber]]</f>
        <v>5563.25</v>
      </c>
      <c r="BS22" s="2">
        <f>Table834[[#This Row],[Weight]]*Table834[[#This Row],[Sugar]]</f>
        <v>9618.9683333333342</v>
      </c>
      <c r="BT22" s="2">
        <f>Table834[[#This Row],[Weight]]*Table834[[#This Row],[Servings]]</f>
        <v>4450.6000000000004</v>
      </c>
      <c r="BU22" s="2">
        <f>Table834[[#This Row],[Weight]]*Table834[[#This Row],[Water]]</f>
        <v>392.70000000000005</v>
      </c>
      <c r="BV22" s="2">
        <f>Table834[[#This Row],[Weight]]*Table834[[#This Row],[Fat Calories]]</f>
        <v>103613.89500000002</v>
      </c>
      <c r="BW22" s="2">
        <f>Table834[[#This Row],[Waist]]*Table834[[#This Row],[Neck]]</f>
        <v>782</v>
      </c>
      <c r="BX22" s="2">
        <f>Table834[[#This Row],[Waist]]*Table834[[#This Row],[Morning Body Temp]]</f>
        <v>4439</v>
      </c>
      <c r="BY22" s="2">
        <f>Table834[[#This Row],[Waist]]*Table834[[#This Row],[Morning Systolic Pressure]]</f>
        <v>5888</v>
      </c>
      <c r="BZ22" s="2">
        <f>Table834[[#This Row],[Waist]]*Table834[[#This Row],[Morning Diastolic Pressure]]</f>
        <v>3496</v>
      </c>
      <c r="CA22" s="2">
        <f>Table834[[#This Row],[Waist]]*Table834[[#This Row],[Morning Pulse]]</f>
        <v>3404</v>
      </c>
      <c r="CB22" s="2">
        <f>Table834[[#This Row],[Waist]]*Table834[[#This Row],[Night Body Temp]]</f>
        <v>4466.5999999999995</v>
      </c>
      <c r="CC22" s="2">
        <f>Table834[[#This Row],[Waist]]*Table834[[#This Row],[Night Systolic Pressure]]</f>
        <v>6164</v>
      </c>
      <c r="CD22" s="4">
        <f>Table83[[#This Row],[Waist]]*Table83[[#This Row],[Night Diastolic Pressure]]</f>
        <v>3680</v>
      </c>
      <c r="CE22" s="2">
        <f>Table834[[#This Row],[Waist]]*Table834[[#This Row],[Night Pulse]]</f>
        <v>2714</v>
      </c>
      <c r="CF22" s="2">
        <f>Table834[[#This Row],[Waist]]*Table834[[#This Row],[Sleep]]</f>
        <v>598</v>
      </c>
      <c r="CG22" s="2">
        <f>Table834[[#This Row],[Waist]]*Table834[[#This Row],[BMI]]</f>
        <v>1727.7731428571428</v>
      </c>
      <c r="CH22" s="2">
        <f>Table834[[#This Row],[Waist]]*Table834[[#This Row],[CBF]]</f>
        <v>1532.1836390179303</v>
      </c>
      <c r="CI22" s="2">
        <f>Table834[[#This Row],[Waist]]*Table834[[#This Row],[Gym]]</f>
        <v>46</v>
      </c>
      <c r="CJ22" s="2">
        <f>Table834[[#This Row],[Waist]]*Table834[[#This Row],[Cardio]]</f>
        <v>46</v>
      </c>
      <c r="CK22" s="2">
        <f>Table834[[#This Row],[Waist]]*Table834[[#This Row],[Calories]]</f>
        <v>53872.9</v>
      </c>
      <c r="CL22" s="2">
        <f>Table834[[#This Row],[Waist]]*Table834[[#This Row],[Carbs]]</f>
        <v>5745.3999999999987</v>
      </c>
      <c r="CM22" s="2">
        <f>Table834[[#This Row],[Waist]]*Table834[[#This Row],[Fat ]]</f>
        <v>2022.8500000000001</v>
      </c>
      <c r="CN22" s="2">
        <f>Table834[[#This Row],[Waist]]*Table834[[#This Row],[Protein]]</f>
        <v>2940.9333333333334</v>
      </c>
      <c r="CO22" s="2">
        <f>Table834[[#This Row],[Waist]]*Table834[[#This Row],[Fiber]]</f>
        <v>977.5</v>
      </c>
      <c r="CP22" s="2">
        <f>Table834[[#This Row],[Waist]]*Table834[[#This Row],[Sugar]]</f>
        <v>1690.1166666666668</v>
      </c>
      <c r="CQ22" s="2">
        <f>Table834[[#This Row],[Waist]]*Table834[[#This Row],[Servings]]</f>
        <v>782</v>
      </c>
      <c r="CR22" s="2">
        <f>Table834[[#This Row],[Waist]]*Table834[[#This Row],[Water]]</f>
        <v>69</v>
      </c>
      <c r="CS22" s="2">
        <f>Table834[[#This Row],[Waist]]*Table834[[#This Row],[Fat Calories]]</f>
        <v>18205.650000000001</v>
      </c>
    </row>
    <row r="23" spans="1:97" x14ac:dyDescent="0.25">
      <c r="A23" s="2">
        <v>261.8</v>
      </c>
      <c r="B23" s="2">
        <f>Table834[[#This Row],[Weight]]^2</f>
        <v>68539.240000000005</v>
      </c>
      <c r="C23" s="2">
        <v>45.5</v>
      </c>
      <c r="D23" s="2">
        <f>Table834[[#This Row],[Waist]]^2</f>
        <v>2070.25</v>
      </c>
      <c r="E23" s="2">
        <v>17</v>
      </c>
      <c r="F23" s="2">
        <f>Table834[[#This Row],[Neck]]^2</f>
        <v>289</v>
      </c>
      <c r="G23" s="2">
        <v>96.1</v>
      </c>
      <c r="H23" s="2">
        <f>Table834[[#This Row],[Morning Body Temp]]^2</f>
        <v>9235.2099999999991</v>
      </c>
      <c r="I23" s="2">
        <v>136</v>
      </c>
      <c r="J23" s="2">
        <f>Table834[[#This Row],[Morning Systolic Pressure]]^2</f>
        <v>18496</v>
      </c>
      <c r="K23" s="2">
        <v>83</v>
      </c>
      <c r="L23" s="2">
        <f>Table834[[#This Row],[Morning Diastolic Pressure]]^2</f>
        <v>6889</v>
      </c>
      <c r="M23" s="2">
        <v>61</v>
      </c>
      <c r="N23" s="2">
        <f>Table834[[#This Row],[Morning Pulse]]^2</f>
        <v>3721</v>
      </c>
      <c r="O23" s="2">
        <v>95.5</v>
      </c>
      <c r="P23" s="2">
        <f>Table834[[#This Row],[Night Body Temp]]^2</f>
        <v>9120.25</v>
      </c>
      <c r="Q23" s="2">
        <v>136</v>
      </c>
      <c r="R23" s="2">
        <f>Table834[[#This Row],[Night Systolic Pressure]]^2</f>
        <v>18496</v>
      </c>
      <c r="S23" s="2">
        <v>73</v>
      </c>
      <c r="T23" s="2">
        <f>Table834[[#This Row],[Night Diastolic Pressure]]^2</f>
        <v>5329</v>
      </c>
      <c r="U23" s="2">
        <v>70</v>
      </c>
      <c r="V23" s="2">
        <f>Table834[[#This Row],[Night Pulse]]^2</f>
        <v>4900</v>
      </c>
      <c r="W23" s="2">
        <v>7.5</v>
      </c>
      <c r="X23" s="2">
        <f>Table834[[#This Row],[Sleep]]^2</f>
        <v>56.25</v>
      </c>
      <c r="Y23" s="2">
        <f t="shared" si="1"/>
        <v>37.560285714285712</v>
      </c>
      <c r="Z23" s="2">
        <f>Table834[[#This Row],[BMI]]^2</f>
        <v>1410.7750629387754</v>
      </c>
      <c r="AA23" s="2">
        <f t="shared" si="0"/>
        <v>32.6586945886934</v>
      </c>
      <c r="AB23" s="2">
        <f>Table834[[#This Row],[CBF]]^2</f>
        <v>1066.5903322375516</v>
      </c>
      <c r="AC23" s="2">
        <v>1</v>
      </c>
      <c r="AD23" s="2">
        <f>Table834[[#This Row],[Gym]]^2</f>
        <v>1</v>
      </c>
      <c r="AE23" s="2">
        <v>1</v>
      </c>
      <c r="AF23" s="2">
        <f>Table834[[#This Row],[Cardio]]^2</f>
        <v>1</v>
      </c>
      <c r="AG23" s="2">
        <v>1103.1424999999999</v>
      </c>
      <c r="AH23" s="2">
        <f>Table834[[#This Row],[Calories]]^2</f>
        <v>1216923.3753062498</v>
      </c>
      <c r="AI23" s="2">
        <v>126.84975</v>
      </c>
      <c r="AJ23" s="2">
        <f>Table834[[#This Row],[Carbs]]^2</f>
        <v>16090.859075062501</v>
      </c>
      <c r="AK23" s="2">
        <v>45.002499999999998</v>
      </c>
      <c r="AL23" s="2">
        <f>Table834[[#This Row],[Fat ]]^2</f>
        <v>2025.2250062499998</v>
      </c>
      <c r="AM23" s="2">
        <v>45.186</v>
      </c>
      <c r="AN23" s="2">
        <f>Table834[[#This Row],[Protein]]^2</f>
        <v>2041.774596</v>
      </c>
      <c r="AO23" s="2">
        <v>5.1777499999999996</v>
      </c>
      <c r="AP23" s="2">
        <f>Table834[[#This Row],[Fiber]]^2</f>
        <v>26.809095062499996</v>
      </c>
      <c r="AQ23" s="2">
        <v>32.655749999999998</v>
      </c>
      <c r="AR23" s="2">
        <f>Table834[[#This Row],[Sugar]]^2</f>
        <v>1066.3980080624999</v>
      </c>
      <c r="AS23" s="2">
        <v>6</v>
      </c>
      <c r="AT23" s="2">
        <f>Table834[[#This Row],[Servings]]^2</f>
        <v>36</v>
      </c>
      <c r="AU23" s="2">
        <v>1</v>
      </c>
      <c r="AV23" s="2">
        <f>Table834[[#This Row],[Water]]^2</f>
        <v>1</v>
      </c>
      <c r="AW23" s="2">
        <v>405.02249999999998</v>
      </c>
      <c r="AX23" s="2">
        <f>Table834[[#This Row],[Fat Calories]]^2</f>
        <v>164043.22550624999</v>
      </c>
      <c r="AY23" s="5">
        <f>Table834[[#This Row],[Weight]]*Table834[[#This Row],[Waist]]</f>
        <v>11911.9</v>
      </c>
      <c r="AZ23" s="6">
        <f>Table834[[#This Row],[Weight]]*Table834[[#This Row],[Neck]]</f>
        <v>4450.6000000000004</v>
      </c>
      <c r="BA23" s="6">
        <f>Table834[[#This Row],[Weight]]*Table834[[#This Row],[Morning Body Temp]]</f>
        <v>25158.98</v>
      </c>
      <c r="BB23" s="6">
        <f>Table834[[#This Row],[Weight]]*Table834[[#This Row],[Morning Systolic Pressure]]</f>
        <v>35604.800000000003</v>
      </c>
      <c r="BC23" s="12">
        <f>Table834[[#This Row],[Weight]]*Table834[[#This Row],[Morning Diastolic Pressure]]</f>
        <v>21729.4</v>
      </c>
      <c r="BD23" s="2">
        <f>Table834[[#This Row],[Weight]]*Table834[[#This Row],[Morning Pulse]]</f>
        <v>15969.800000000001</v>
      </c>
      <c r="BE23" s="2">
        <f>Table834[[#This Row],[Weight]]*Table834[[#This Row],[Night Body Temp]]</f>
        <v>25001.9</v>
      </c>
      <c r="BF23" s="2">
        <f>Table834[[#This Row],[Weight]]*Table834[[#This Row],[Night Systolic Pressure]]</f>
        <v>35604.800000000003</v>
      </c>
      <c r="BG23" s="4">
        <f>Table83[[#This Row],[Weight]]*Table83[[#This Row],[Night Diastolic Pressure]]</f>
        <v>19111.400000000001</v>
      </c>
      <c r="BH23" s="2">
        <f>Table834[[#This Row],[Weight]]*Table834[[#This Row],[Night Pulse]]</f>
        <v>18326</v>
      </c>
      <c r="BI23" s="2">
        <f>Table834[[#This Row],[Weight]]*Table834[[#This Row],[Sleep]]</f>
        <v>1963.5</v>
      </c>
      <c r="BJ23" s="2">
        <f>Table834[[#This Row],[Weight]]*Table834[[#This Row],[BMI]]</f>
        <v>9833.282799999999</v>
      </c>
      <c r="BK23" s="2">
        <f>Table834[[#This Row],[Weight]]*Table834[[#This Row],[CBF]]</f>
        <v>8550.0462433199318</v>
      </c>
      <c r="BL23" s="2">
        <f>Table834[[#This Row],[Weight]]*Table834[[#This Row],[Gym]]</f>
        <v>261.8</v>
      </c>
      <c r="BM23" s="2">
        <f>Table834[[#This Row],[Weight]]*Table834[[#This Row],[Cardio]]</f>
        <v>261.8</v>
      </c>
      <c r="BN23" s="2">
        <f>Table834[[#This Row],[Weight]]*Table834[[#This Row],[Calories]]</f>
        <v>288802.70649999997</v>
      </c>
      <c r="BO23" s="2">
        <f>Table834[[#This Row],[Weight]]*Table834[[#This Row],[Carbs]]</f>
        <v>33209.26455</v>
      </c>
      <c r="BP23" s="2">
        <f>Table834[[#This Row],[Weight]]*Table834[[#This Row],[Fat ]]</f>
        <v>11781.654500000001</v>
      </c>
      <c r="BQ23" s="2">
        <f>Table834[[#This Row],[Weight]]*Table834[[#This Row],[Protein]]</f>
        <v>11829.694800000001</v>
      </c>
      <c r="BR23" s="2">
        <f>Table834[[#This Row],[Weight]]*Table834[[#This Row],[Fiber]]</f>
        <v>1355.53495</v>
      </c>
      <c r="BS23" s="2">
        <f>Table834[[#This Row],[Weight]]*Table834[[#This Row],[Sugar]]</f>
        <v>8549.2753499999999</v>
      </c>
      <c r="BT23" s="2">
        <f>Table834[[#This Row],[Weight]]*Table834[[#This Row],[Servings]]</f>
        <v>1570.8000000000002</v>
      </c>
      <c r="BU23" s="2">
        <f>Table834[[#This Row],[Weight]]*Table834[[#This Row],[Water]]</f>
        <v>261.8</v>
      </c>
      <c r="BV23" s="2">
        <f>Table834[[#This Row],[Weight]]*Table834[[#This Row],[Fat Calories]]</f>
        <v>106034.89049999999</v>
      </c>
      <c r="BW23" s="2">
        <f>Table834[[#This Row],[Waist]]*Table834[[#This Row],[Neck]]</f>
        <v>773.5</v>
      </c>
      <c r="BX23" s="2">
        <f>Table834[[#This Row],[Waist]]*Table834[[#This Row],[Morning Body Temp]]</f>
        <v>4372.55</v>
      </c>
      <c r="BY23" s="2">
        <f>Table834[[#This Row],[Waist]]*Table834[[#This Row],[Morning Systolic Pressure]]</f>
        <v>6188</v>
      </c>
      <c r="BZ23" s="2">
        <f>Table834[[#This Row],[Waist]]*Table834[[#This Row],[Morning Diastolic Pressure]]</f>
        <v>3776.5</v>
      </c>
      <c r="CA23" s="2">
        <f>Table834[[#This Row],[Waist]]*Table834[[#This Row],[Morning Pulse]]</f>
        <v>2775.5</v>
      </c>
      <c r="CB23" s="2">
        <f>Table834[[#This Row],[Waist]]*Table834[[#This Row],[Night Body Temp]]</f>
        <v>4345.25</v>
      </c>
      <c r="CC23" s="2">
        <f>Table834[[#This Row],[Waist]]*Table834[[#This Row],[Night Systolic Pressure]]</f>
        <v>6188</v>
      </c>
      <c r="CD23" s="4">
        <f>Table83[[#This Row],[Waist]]*Table83[[#This Row],[Night Diastolic Pressure]]</f>
        <v>3321.5</v>
      </c>
      <c r="CE23" s="2">
        <f>Table834[[#This Row],[Waist]]*Table834[[#This Row],[Night Pulse]]</f>
        <v>3185</v>
      </c>
      <c r="CF23" s="2">
        <f>Table834[[#This Row],[Waist]]*Table834[[#This Row],[Sleep]]</f>
        <v>341.25</v>
      </c>
      <c r="CG23" s="2">
        <f>Table834[[#This Row],[Waist]]*Table834[[#This Row],[BMI]]</f>
        <v>1708.9929999999999</v>
      </c>
      <c r="CH23" s="2">
        <f>Table834[[#This Row],[Waist]]*Table834[[#This Row],[CBF]]</f>
        <v>1485.9706037855497</v>
      </c>
      <c r="CI23" s="2">
        <f>Table834[[#This Row],[Waist]]*Table834[[#This Row],[Gym]]</f>
        <v>45.5</v>
      </c>
      <c r="CJ23" s="2">
        <f>Table834[[#This Row],[Waist]]*Table834[[#This Row],[Cardio]]</f>
        <v>45.5</v>
      </c>
      <c r="CK23" s="2">
        <f>Table834[[#This Row],[Waist]]*Table834[[#This Row],[Calories]]</f>
        <v>50192.983749999999</v>
      </c>
      <c r="CL23" s="2">
        <f>Table834[[#This Row],[Waist]]*Table834[[#This Row],[Carbs]]</f>
        <v>5771.6636250000001</v>
      </c>
      <c r="CM23" s="2">
        <f>Table834[[#This Row],[Waist]]*Table834[[#This Row],[Fat ]]</f>
        <v>2047.61375</v>
      </c>
      <c r="CN23" s="2">
        <f>Table834[[#This Row],[Waist]]*Table834[[#This Row],[Protein]]</f>
        <v>2055.9630000000002</v>
      </c>
      <c r="CO23" s="2">
        <f>Table834[[#This Row],[Waist]]*Table834[[#This Row],[Fiber]]</f>
        <v>235.58762499999997</v>
      </c>
      <c r="CP23" s="2">
        <f>Table834[[#This Row],[Waist]]*Table834[[#This Row],[Sugar]]</f>
        <v>1485.8366249999999</v>
      </c>
      <c r="CQ23" s="2">
        <f>Table834[[#This Row],[Waist]]*Table834[[#This Row],[Servings]]</f>
        <v>273</v>
      </c>
      <c r="CR23" s="2">
        <f>Table834[[#This Row],[Waist]]*Table834[[#This Row],[Water]]</f>
        <v>45.5</v>
      </c>
      <c r="CS23" s="2">
        <f>Table834[[#This Row],[Waist]]*Table834[[#This Row],[Fat Calories]]</f>
        <v>18428.52375</v>
      </c>
    </row>
    <row r="24" spans="1:97" x14ac:dyDescent="0.25">
      <c r="A24" s="2">
        <v>259.8</v>
      </c>
      <c r="B24" s="2">
        <f>Table834[[#This Row],[Weight]]^2</f>
        <v>67496.040000000008</v>
      </c>
      <c r="C24" s="2">
        <v>45.5</v>
      </c>
      <c r="D24" s="2">
        <f>Table834[[#This Row],[Waist]]^2</f>
        <v>2070.25</v>
      </c>
      <c r="E24" s="2">
        <v>17</v>
      </c>
      <c r="F24" s="2">
        <f>Table834[[#This Row],[Neck]]^2</f>
        <v>289</v>
      </c>
      <c r="G24" s="2">
        <v>97</v>
      </c>
      <c r="H24" s="2">
        <f>Table834[[#This Row],[Morning Body Temp]]^2</f>
        <v>9409</v>
      </c>
      <c r="I24" s="2">
        <v>137</v>
      </c>
      <c r="J24" s="2">
        <f>Table834[[#This Row],[Morning Systolic Pressure]]^2</f>
        <v>18769</v>
      </c>
      <c r="K24" s="2">
        <v>77</v>
      </c>
      <c r="L24" s="2">
        <f>Table834[[#This Row],[Morning Diastolic Pressure]]^2</f>
        <v>5929</v>
      </c>
      <c r="M24" s="2">
        <v>69</v>
      </c>
      <c r="N24" s="2">
        <f>Table834[[#This Row],[Morning Pulse]]^2</f>
        <v>4761</v>
      </c>
      <c r="O24" s="2">
        <v>97.6</v>
      </c>
      <c r="P24" s="2">
        <f>Table834[[#This Row],[Night Body Temp]]^2</f>
        <v>9525.7599999999984</v>
      </c>
      <c r="Q24" s="2">
        <v>132</v>
      </c>
      <c r="R24" s="2">
        <f>Table834[[#This Row],[Night Systolic Pressure]]^2</f>
        <v>17424</v>
      </c>
      <c r="S24" s="2">
        <v>74</v>
      </c>
      <c r="T24" s="2">
        <f>Table834[[#This Row],[Night Diastolic Pressure]]^2</f>
        <v>5476</v>
      </c>
      <c r="U24" s="2">
        <v>73</v>
      </c>
      <c r="V24" s="2">
        <f>Table834[[#This Row],[Night Pulse]]^2</f>
        <v>5329</v>
      </c>
      <c r="W24" s="2">
        <v>11.5</v>
      </c>
      <c r="X24" s="2">
        <f>Table834[[#This Row],[Sleep]]^2</f>
        <v>132.25</v>
      </c>
      <c r="Y24" s="2">
        <f t="shared" si="1"/>
        <v>37.273346938775511</v>
      </c>
      <c r="Z24" s="2">
        <f>Table834[[#This Row],[BMI]]^2</f>
        <v>1389.3023920183257</v>
      </c>
      <c r="AA24" s="2">
        <f t="shared" si="0"/>
        <v>32.6586945886934</v>
      </c>
      <c r="AB24" s="2">
        <f>Table834[[#This Row],[CBF]]^2</f>
        <v>1066.5903322375516</v>
      </c>
      <c r="AC24" s="2">
        <v>1</v>
      </c>
      <c r="AD24" s="2">
        <f>Table834[[#This Row],[Gym]]^2</f>
        <v>1</v>
      </c>
      <c r="AE24" s="2">
        <v>1</v>
      </c>
      <c r="AF24" s="2">
        <f>Table834[[#This Row],[Cardio]]^2</f>
        <v>1</v>
      </c>
      <c r="AG24" s="2">
        <v>1099.3403333333333</v>
      </c>
      <c r="AH24" s="2">
        <f>Table834[[#This Row],[Calories]]^2</f>
        <v>1208549.1684934443</v>
      </c>
      <c r="AI24" s="2">
        <v>136.31986666666666</v>
      </c>
      <c r="AJ24" s="2">
        <f>Table834[[#This Row],[Carbs]]^2</f>
        <v>18583.106048017773</v>
      </c>
      <c r="AK24" s="2">
        <v>36.88773333333333</v>
      </c>
      <c r="AL24" s="2">
        <f>Table834[[#This Row],[Fat ]]^2</f>
        <v>1360.7048704711108</v>
      </c>
      <c r="AM24" s="2">
        <v>50.2958</v>
      </c>
      <c r="AN24" s="2">
        <f>Table834[[#This Row],[Protein]]^2</f>
        <v>2529.66749764</v>
      </c>
      <c r="AO24" s="2">
        <v>6.9224333333333323</v>
      </c>
      <c r="AP24" s="2">
        <f>Table834[[#This Row],[Fiber]]^2</f>
        <v>47.920083254444428</v>
      </c>
      <c r="AQ24" s="2">
        <v>43.19756666666666</v>
      </c>
      <c r="AR24" s="2">
        <f>Table834[[#This Row],[Sugar]]^2</f>
        <v>1866.0297659211105</v>
      </c>
      <c r="AS24" s="2">
        <v>5.2</v>
      </c>
      <c r="AT24" s="2">
        <f>Table834[[#This Row],[Servings]]^2</f>
        <v>27.040000000000003</v>
      </c>
      <c r="AU24" s="2">
        <v>3</v>
      </c>
      <c r="AV24" s="2">
        <f>Table834[[#This Row],[Water]]^2</f>
        <v>9</v>
      </c>
      <c r="AW24" s="2">
        <v>331.9896</v>
      </c>
      <c r="AX24" s="2">
        <f>Table834[[#This Row],[Fat Calories]]^2</f>
        <v>110217.09450815999</v>
      </c>
      <c r="AY24" s="3">
        <f>Table834[[#This Row],[Weight]]*Table834[[#This Row],[Waist]]</f>
        <v>11820.9</v>
      </c>
      <c r="AZ24" s="4">
        <f>Table834[[#This Row],[Weight]]*Table834[[#This Row],[Neck]]</f>
        <v>4416.6000000000004</v>
      </c>
      <c r="BA24" s="4">
        <f>Table834[[#This Row],[Weight]]*Table834[[#This Row],[Morning Body Temp]]</f>
        <v>25200.600000000002</v>
      </c>
      <c r="BB24" s="4">
        <f>Table834[[#This Row],[Weight]]*Table834[[#This Row],[Morning Systolic Pressure]]</f>
        <v>35592.6</v>
      </c>
      <c r="BC24" s="11">
        <f>Table834[[#This Row],[Weight]]*Table834[[#This Row],[Morning Diastolic Pressure]]</f>
        <v>20004.600000000002</v>
      </c>
      <c r="BD24" s="2">
        <f>Table834[[#This Row],[Weight]]*Table834[[#This Row],[Morning Pulse]]</f>
        <v>17926.2</v>
      </c>
      <c r="BE24" s="2">
        <f>Table834[[#This Row],[Weight]]*Table834[[#This Row],[Night Body Temp]]</f>
        <v>25356.48</v>
      </c>
      <c r="BF24" s="2">
        <f>Table834[[#This Row],[Weight]]*Table834[[#This Row],[Night Systolic Pressure]]</f>
        <v>34293.599999999999</v>
      </c>
      <c r="BG24" s="4">
        <f>Table83[[#This Row],[Weight]]*Table83[[#This Row],[Night Diastolic Pressure]]</f>
        <v>19225.2</v>
      </c>
      <c r="BH24" s="2">
        <f>Table834[[#This Row],[Weight]]*Table834[[#This Row],[Night Pulse]]</f>
        <v>18965.400000000001</v>
      </c>
      <c r="BI24" s="2">
        <f>Table834[[#This Row],[Weight]]*Table834[[#This Row],[Sleep]]</f>
        <v>2987.7000000000003</v>
      </c>
      <c r="BJ24" s="2">
        <f>Table834[[#This Row],[Weight]]*Table834[[#This Row],[BMI]]</f>
        <v>9683.6155346938776</v>
      </c>
      <c r="BK24" s="2">
        <f>Table834[[#This Row],[Weight]]*Table834[[#This Row],[CBF]]</f>
        <v>8484.728854142546</v>
      </c>
      <c r="BL24" s="2">
        <f>Table834[[#This Row],[Weight]]*Table834[[#This Row],[Gym]]</f>
        <v>259.8</v>
      </c>
      <c r="BM24" s="2">
        <f>Table834[[#This Row],[Weight]]*Table834[[#This Row],[Cardio]]</f>
        <v>259.8</v>
      </c>
      <c r="BN24" s="2">
        <f>Table834[[#This Row],[Weight]]*Table834[[#This Row],[Calories]]</f>
        <v>285608.61859999999</v>
      </c>
      <c r="BO24" s="2">
        <f>Table834[[#This Row],[Weight]]*Table834[[#This Row],[Carbs]]</f>
        <v>35415.901359999996</v>
      </c>
      <c r="BP24" s="2">
        <f>Table834[[#This Row],[Weight]]*Table834[[#This Row],[Fat ]]</f>
        <v>9583.4331199999997</v>
      </c>
      <c r="BQ24" s="2">
        <f>Table834[[#This Row],[Weight]]*Table834[[#This Row],[Protein]]</f>
        <v>13066.848840000001</v>
      </c>
      <c r="BR24" s="2">
        <f>Table834[[#This Row],[Weight]]*Table834[[#This Row],[Fiber]]</f>
        <v>1798.4481799999999</v>
      </c>
      <c r="BS24" s="2">
        <f>Table834[[#This Row],[Weight]]*Table834[[#This Row],[Sugar]]</f>
        <v>11222.727819999998</v>
      </c>
      <c r="BT24" s="2">
        <f>Table834[[#This Row],[Weight]]*Table834[[#This Row],[Servings]]</f>
        <v>1350.96</v>
      </c>
      <c r="BU24" s="2">
        <f>Table834[[#This Row],[Weight]]*Table834[[#This Row],[Water]]</f>
        <v>779.40000000000009</v>
      </c>
      <c r="BV24" s="2">
        <f>Table834[[#This Row],[Weight]]*Table834[[#This Row],[Fat Calories]]</f>
        <v>86250.898079999999</v>
      </c>
      <c r="BW24" s="2">
        <f>Table834[[#This Row],[Waist]]*Table834[[#This Row],[Neck]]</f>
        <v>773.5</v>
      </c>
      <c r="BX24" s="2">
        <f>Table834[[#This Row],[Waist]]*Table834[[#This Row],[Morning Body Temp]]</f>
        <v>4413.5</v>
      </c>
      <c r="BY24" s="2">
        <f>Table834[[#This Row],[Waist]]*Table834[[#This Row],[Morning Systolic Pressure]]</f>
        <v>6233.5</v>
      </c>
      <c r="BZ24" s="2">
        <f>Table834[[#This Row],[Waist]]*Table834[[#This Row],[Morning Diastolic Pressure]]</f>
        <v>3503.5</v>
      </c>
      <c r="CA24" s="2">
        <f>Table834[[#This Row],[Waist]]*Table834[[#This Row],[Morning Pulse]]</f>
        <v>3139.5</v>
      </c>
      <c r="CB24" s="2">
        <f>Table834[[#This Row],[Waist]]*Table834[[#This Row],[Night Body Temp]]</f>
        <v>4440.8</v>
      </c>
      <c r="CC24" s="2">
        <f>Table834[[#This Row],[Waist]]*Table834[[#This Row],[Night Systolic Pressure]]</f>
        <v>6006</v>
      </c>
      <c r="CD24" s="4">
        <f>Table83[[#This Row],[Waist]]*Table83[[#This Row],[Night Diastolic Pressure]]</f>
        <v>3367</v>
      </c>
      <c r="CE24" s="2">
        <f>Table834[[#This Row],[Waist]]*Table834[[#This Row],[Night Pulse]]</f>
        <v>3321.5</v>
      </c>
      <c r="CF24" s="2">
        <f>Table834[[#This Row],[Waist]]*Table834[[#This Row],[Sleep]]</f>
        <v>523.25</v>
      </c>
      <c r="CG24" s="2">
        <f>Table834[[#This Row],[Waist]]*Table834[[#This Row],[BMI]]</f>
        <v>1695.9372857142857</v>
      </c>
      <c r="CH24" s="2">
        <f>Table834[[#This Row],[Waist]]*Table834[[#This Row],[CBF]]</f>
        <v>1485.9706037855497</v>
      </c>
      <c r="CI24" s="2">
        <f>Table834[[#This Row],[Waist]]*Table834[[#This Row],[Gym]]</f>
        <v>45.5</v>
      </c>
      <c r="CJ24" s="2">
        <f>Table834[[#This Row],[Waist]]*Table834[[#This Row],[Cardio]]</f>
        <v>45.5</v>
      </c>
      <c r="CK24" s="2">
        <f>Table834[[#This Row],[Waist]]*Table834[[#This Row],[Calories]]</f>
        <v>50019.985166666665</v>
      </c>
      <c r="CL24" s="2">
        <f>Table834[[#This Row],[Waist]]*Table834[[#This Row],[Carbs]]</f>
        <v>6202.5539333333327</v>
      </c>
      <c r="CM24" s="2">
        <f>Table834[[#This Row],[Waist]]*Table834[[#This Row],[Fat ]]</f>
        <v>1678.3918666666666</v>
      </c>
      <c r="CN24" s="2">
        <f>Table834[[#This Row],[Waist]]*Table834[[#This Row],[Protein]]</f>
        <v>2288.4589000000001</v>
      </c>
      <c r="CO24" s="2">
        <f>Table834[[#This Row],[Waist]]*Table834[[#This Row],[Fiber]]</f>
        <v>314.97071666666665</v>
      </c>
      <c r="CP24" s="2">
        <f>Table834[[#This Row],[Waist]]*Table834[[#This Row],[Sugar]]</f>
        <v>1965.4892833333331</v>
      </c>
      <c r="CQ24" s="2">
        <f>Table834[[#This Row],[Waist]]*Table834[[#This Row],[Servings]]</f>
        <v>236.6</v>
      </c>
      <c r="CR24" s="2">
        <f>Table834[[#This Row],[Waist]]*Table834[[#This Row],[Water]]</f>
        <v>136.5</v>
      </c>
      <c r="CS24" s="2">
        <f>Table834[[#This Row],[Waist]]*Table834[[#This Row],[Fat Calories]]</f>
        <v>15105.5268</v>
      </c>
    </row>
    <row r="25" spans="1:97" x14ac:dyDescent="0.25">
      <c r="A25" s="2">
        <v>260.2</v>
      </c>
      <c r="B25" s="2">
        <f>Table834[[#This Row],[Weight]]^2</f>
        <v>67704.039999999994</v>
      </c>
      <c r="C25" s="2">
        <v>45</v>
      </c>
      <c r="D25" s="2">
        <f>Table834[[#This Row],[Waist]]^2</f>
        <v>2025</v>
      </c>
      <c r="E25" s="2">
        <v>17</v>
      </c>
      <c r="F25" s="2">
        <f>Table834[[#This Row],[Neck]]^2</f>
        <v>289</v>
      </c>
      <c r="G25" s="2">
        <v>96.4</v>
      </c>
      <c r="H25" s="2">
        <f>Table834[[#This Row],[Morning Body Temp]]^2</f>
        <v>9292.9600000000009</v>
      </c>
      <c r="I25" s="2">
        <v>136</v>
      </c>
      <c r="J25" s="2">
        <f>Table834[[#This Row],[Morning Systolic Pressure]]^2</f>
        <v>18496</v>
      </c>
      <c r="K25" s="2">
        <v>76</v>
      </c>
      <c r="L25" s="2">
        <f>Table834[[#This Row],[Morning Diastolic Pressure]]^2</f>
        <v>5776</v>
      </c>
      <c r="M25" s="2">
        <v>58</v>
      </c>
      <c r="N25" s="2">
        <f>Table834[[#This Row],[Morning Pulse]]^2</f>
        <v>3364</v>
      </c>
      <c r="O25" s="2">
        <v>95.7</v>
      </c>
      <c r="P25" s="2">
        <f>Table834[[#This Row],[Night Body Temp]]^2</f>
        <v>9158.49</v>
      </c>
      <c r="Q25" s="2">
        <v>139</v>
      </c>
      <c r="R25" s="2">
        <f>Table834[[#This Row],[Night Systolic Pressure]]^2</f>
        <v>19321</v>
      </c>
      <c r="S25" s="2">
        <v>77</v>
      </c>
      <c r="T25" s="2">
        <f>Table834[[#This Row],[Night Diastolic Pressure]]^2</f>
        <v>5929</v>
      </c>
      <c r="U25" s="2">
        <v>73</v>
      </c>
      <c r="V25" s="2">
        <f>Table834[[#This Row],[Night Pulse]]^2</f>
        <v>5329</v>
      </c>
      <c r="W25" s="2">
        <v>10</v>
      </c>
      <c r="X25" s="2">
        <f>Table834[[#This Row],[Sleep]]^2</f>
        <v>100</v>
      </c>
      <c r="Y25" s="2">
        <f t="shared" si="1"/>
        <v>37.330734693877552</v>
      </c>
      <c r="Z25" s="2">
        <f>Table834[[#This Row],[BMI]]^2</f>
        <v>1393.5837527846732</v>
      </c>
      <c r="AA25" s="2">
        <f t="shared" si="0"/>
        <v>31.997550455105717</v>
      </c>
      <c r="AB25" s="2">
        <f>Table834[[#This Row],[CBF]]^2</f>
        <v>1023.8432351270361</v>
      </c>
      <c r="AC25" s="2">
        <v>1</v>
      </c>
      <c r="AD25" s="2">
        <f>Table834[[#This Row],[Gym]]^2</f>
        <v>1</v>
      </c>
      <c r="AE25" s="2">
        <v>1</v>
      </c>
      <c r="AF25" s="2">
        <f>Table834[[#This Row],[Cardio]]^2</f>
        <v>1</v>
      </c>
      <c r="AG25" s="2">
        <v>929.57666666666671</v>
      </c>
      <c r="AH25" s="2">
        <f>Table834[[#This Row],[Calories]]^2</f>
        <v>864112.77921111125</v>
      </c>
      <c r="AI25" s="2">
        <v>119.70183333333333</v>
      </c>
      <c r="AJ25" s="2">
        <f>Table834[[#This Row],[Carbs]]^2</f>
        <v>14328.52890336111</v>
      </c>
      <c r="AK25" s="2">
        <v>29.758666666666667</v>
      </c>
      <c r="AL25" s="2">
        <f>Table834[[#This Row],[Fat ]]^2</f>
        <v>885.57824177777775</v>
      </c>
      <c r="AM25" s="2">
        <v>61.1265</v>
      </c>
      <c r="AN25" s="2">
        <f>Table834[[#This Row],[Protein]]^2</f>
        <v>3736.4490022499999</v>
      </c>
      <c r="AO25" s="2">
        <v>38.244666666666667</v>
      </c>
      <c r="AP25" s="2">
        <f>Table834[[#This Row],[Fiber]]^2</f>
        <v>1462.6545284444444</v>
      </c>
      <c r="AQ25" s="2">
        <v>19.880333333333333</v>
      </c>
      <c r="AR25" s="2">
        <f>Table834[[#This Row],[Sugar]]^2</f>
        <v>395.2276534444444</v>
      </c>
      <c r="AS25" s="2">
        <v>16.700000000000003</v>
      </c>
      <c r="AT25" s="2">
        <f>Table834[[#This Row],[Servings]]^2</f>
        <v>278.8900000000001</v>
      </c>
      <c r="AU25" s="2">
        <v>2</v>
      </c>
      <c r="AV25" s="2">
        <f>Table834[[#This Row],[Water]]^2</f>
        <v>4</v>
      </c>
      <c r="AW25" s="2">
        <v>267.82800000000003</v>
      </c>
      <c r="AX25" s="2">
        <f>Table834[[#This Row],[Fat Calories]]^2</f>
        <v>71731.837584000023</v>
      </c>
      <c r="AY25" s="5">
        <f>Table834[[#This Row],[Weight]]*Table834[[#This Row],[Waist]]</f>
        <v>11709</v>
      </c>
      <c r="AZ25" s="6">
        <f>Table834[[#This Row],[Weight]]*Table834[[#This Row],[Neck]]</f>
        <v>4423.3999999999996</v>
      </c>
      <c r="BA25" s="6">
        <f>Table834[[#This Row],[Weight]]*Table834[[#This Row],[Morning Body Temp]]</f>
        <v>25083.279999999999</v>
      </c>
      <c r="BB25" s="6">
        <f>Table834[[#This Row],[Weight]]*Table834[[#This Row],[Morning Systolic Pressure]]</f>
        <v>35387.199999999997</v>
      </c>
      <c r="BC25" s="12">
        <f>Table834[[#This Row],[Weight]]*Table834[[#This Row],[Morning Diastolic Pressure]]</f>
        <v>19775.2</v>
      </c>
      <c r="BD25" s="2">
        <f>Table834[[#This Row],[Weight]]*Table834[[#This Row],[Morning Pulse]]</f>
        <v>15091.599999999999</v>
      </c>
      <c r="BE25" s="2">
        <f>Table834[[#This Row],[Weight]]*Table834[[#This Row],[Night Body Temp]]</f>
        <v>24901.14</v>
      </c>
      <c r="BF25" s="2">
        <f>Table834[[#This Row],[Weight]]*Table834[[#This Row],[Night Systolic Pressure]]</f>
        <v>36167.799999999996</v>
      </c>
      <c r="BG25" s="4">
        <f>Table83[[#This Row],[Weight]]*Table83[[#This Row],[Night Diastolic Pressure]]</f>
        <v>20035.399999999998</v>
      </c>
      <c r="BH25" s="2">
        <f>Table834[[#This Row],[Weight]]*Table834[[#This Row],[Night Pulse]]</f>
        <v>18994.599999999999</v>
      </c>
      <c r="BI25" s="2">
        <f>Table834[[#This Row],[Weight]]*Table834[[#This Row],[Sleep]]</f>
        <v>2602</v>
      </c>
      <c r="BJ25" s="2">
        <f>Table834[[#This Row],[Weight]]*Table834[[#This Row],[BMI]]</f>
        <v>9713.4571673469381</v>
      </c>
      <c r="BK25" s="2">
        <f>Table834[[#This Row],[Weight]]*Table834[[#This Row],[CBF]]</f>
        <v>8325.762628418508</v>
      </c>
      <c r="BL25" s="2">
        <f>Table834[[#This Row],[Weight]]*Table834[[#This Row],[Gym]]</f>
        <v>260.2</v>
      </c>
      <c r="BM25" s="2">
        <f>Table834[[#This Row],[Weight]]*Table834[[#This Row],[Cardio]]</f>
        <v>260.2</v>
      </c>
      <c r="BN25" s="2">
        <f>Table834[[#This Row],[Weight]]*Table834[[#This Row],[Calories]]</f>
        <v>241875.84866666666</v>
      </c>
      <c r="BO25" s="2">
        <f>Table834[[#This Row],[Weight]]*Table834[[#This Row],[Carbs]]</f>
        <v>31146.417033333331</v>
      </c>
      <c r="BP25" s="2">
        <f>Table834[[#This Row],[Weight]]*Table834[[#This Row],[Fat ]]</f>
        <v>7743.2050666666664</v>
      </c>
      <c r="BQ25" s="2">
        <f>Table834[[#This Row],[Weight]]*Table834[[#This Row],[Protein]]</f>
        <v>15905.115299999999</v>
      </c>
      <c r="BR25" s="2">
        <f>Table834[[#This Row],[Weight]]*Table834[[#This Row],[Fiber]]</f>
        <v>9951.2622666666666</v>
      </c>
      <c r="BS25" s="2">
        <f>Table834[[#This Row],[Weight]]*Table834[[#This Row],[Sugar]]</f>
        <v>5172.8627333333334</v>
      </c>
      <c r="BT25" s="2">
        <f>Table834[[#This Row],[Weight]]*Table834[[#This Row],[Servings]]</f>
        <v>4345.34</v>
      </c>
      <c r="BU25" s="2">
        <f>Table834[[#This Row],[Weight]]*Table834[[#This Row],[Water]]</f>
        <v>520.4</v>
      </c>
      <c r="BV25" s="2">
        <f>Table834[[#This Row],[Weight]]*Table834[[#This Row],[Fat Calories]]</f>
        <v>69688.845600000001</v>
      </c>
      <c r="BW25" s="2">
        <f>Table834[[#This Row],[Waist]]*Table834[[#This Row],[Neck]]</f>
        <v>765</v>
      </c>
      <c r="BX25" s="2">
        <f>Table834[[#This Row],[Waist]]*Table834[[#This Row],[Morning Body Temp]]</f>
        <v>4338</v>
      </c>
      <c r="BY25" s="2">
        <f>Table834[[#This Row],[Waist]]*Table834[[#This Row],[Morning Systolic Pressure]]</f>
        <v>6120</v>
      </c>
      <c r="BZ25" s="2">
        <f>Table834[[#This Row],[Waist]]*Table834[[#This Row],[Morning Diastolic Pressure]]</f>
        <v>3420</v>
      </c>
      <c r="CA25" s="2">
        <f>Table834[[#This Row],[Waist]]*Table834[[#This Row],[Morning Pulse]]</f>
        <v>2610</v>
      </c>
      <c r="CB25" s="2">
        <f>Table834[[#This Row],[Waist]]*Table834[[#This Row],[Night Body Temp]]</f>
        <v>4306.5</v>
      </c>
      <c r="CC25" s="2">
        <f>Table834[[#This Row],[Waist]]*Table834[[#This Row],[Night Systolic Pressure]]</f>
        <v>6255</v>
      </c>
      <c r="CD25" s="4">
        <f>Table83[[#This Row],[Waist]]*Table83[[#This Row],[Night Diastolic Pressure]]</f>
        <v>3465</v>
      </c>
      <c r="CE25" s="2">
        <f>Table834[[#This Row],[Waist]]*Table834[[#This Row],[Night Pulse]]</f>
        <v>3285</v>
      </c>
      <c r="CF25" s="2">
        <f>Table834[[#This Row],[Waist]]*Table834[[#This Row],[Sleep]]</f>
        <v>450</v>
      </c>
      <c r="CG25" s="2">
        <f>Table834[[#This Row],[Waist]]*Table834[[#This Row],[BMI]]</f>
        <v>1679.8830612244899</v>
      </c>
      <c r="CH25" s="2">
        <f>Table834[[#This Row],[Waist]]*Table834[[#This Row],[CBF]]</f>
        <v>1439.8897704797573</v>
      </c>
      <c r="CI25" s="2">
        <f>Table834[[#This Row],[Waist]]*Table834[[#This Row],[Gym]]</f>
        <v>45</v>
      </c>
      <c r="CJ25" s="2">
        <f>Table834[[#This Row],[Waist]]*Table834[[#This Row],[Cardio]]</f>
        <v>45</v>
      </c>
      <c r="CK25" s="2">
        <f>Table834[[#This Row],[Waist]]*Table834[[#This Row],[Calories]]</f>
        <v>41830.950000000004</v>
      </c>
      <c r="CL25" s="2">
        <f>Table834[[#This Row],[Waist]]*Table834[[#This Row],[Carbs]]</f>
        <v>5386.5824999999995</v>
      </c>
      <c r="CM25" s="2">
        <f>Table834[[#This Row],[Waist]]*Table834[[#This Row],[Fat ]]</f>
        <v>1339.14</v>
      </c>
      <c r="CN25" s="2">
        <f>Table834[[#This Row],[Waist]]*Table834[[#This Row],[Protein]]</f>
        <v>2750.6925000000001</v>
      </c>
      <c r="CO25" s="2">
        <f>Table834[[#This Row],[Waist]]*Table834[[#This Row],[Fiber]]</f>
        <v>1721.01</v>
      </c>
      <c r="CP25" s="2">
        <f>Table834[[#This Row],[Waist]]*Table834[[#This Row],[Sugar]]</f>
        <v>894.61500000000001</v>
      </c>
      <c r="CQ25" s="2">
        <f>Table834[[#This Row],[Waist]]*Table834[[#This Row],[Servings]]</f>
        <v>751.50000000000011</v>
      </c>
      <c r="CR25" s="2">
        <f>Table834[[#This Row],[Waist]]*Table834[[#This Row],[Water]]</f>
        <v>90</v>
      </c>
      <c r="CS25" s="2">
        <f>Table834[[#This Row],[Waist]]*Table834[[#This Row],[Fat Calories]]</f>
        <v>12052.260000000002</v>
      </c>
    </row>
    <row r="26" spans="1:97" x14ac:dyDescent="0.25">
      <c r="A26" s="2">
        <v>259</v>
      </c>
      <c r="B26" s="2">
        <f>Table834[[#This Row],[Weight]]^2</f>
        <v>67081</v>
      </c>
      <c r="C26" s="2">
        <v>45.5</v>
      </c>
      <c r="D26" s="2">
        <f>Table834[[#This Row],[Waist]]^2</f>
        <v>2070.25</v>
      </c>
      <c r="E26" s="2">
        <v>17</v>
      </c>
      <c r="F26" s="2">
        <f>Table834[[#This Row],[Neck]]^2</f>
        <v>289</v>
      </c>
      <c r="G26" s="2">
        <v>95.7</v>
      </c>
      <c r="H26" s="2">
        <f>Table834[[#This Row],[Morning Body Temp]]^2</f>
        <v>9158.49</v>
      </c>
      <c r="I26" s="2">
        <v>113</v>
      </c>
      <c r="J26" s="2">
        <f>Table834[[#This Row],[Morning Systolic Pressure]]^2</f>
        <v>12769</v>
      </c>
      <c r="K26" s="2">
        <v>74</v>
      </c>
      <c r="L26" s="2">
        <f>Table834[[#This Row],[Morning Diastolic Pressure]]^2</f>
        <v>5476</v>
      </c>
      <c r="M26" s="2">
        <v>59</v>
      </c>
      <c r="N26" s="2">
        <f>Table834[[#This Row],[Morning Pulse]]^2</f>
        <v>3481</v>
      </c>
      <c r="O26" s="2">
        <v>96.3</v>
      </c>
      <c r="P26" s="2">
        <f>Table834[[#This Row],[Night Body Temp]]^2</f>
        <v>9273.6899999999987</v>
      </c>
      <c r="Q26" s="2">
        <v>128</v>
      </c>
      <c r="R26" s="2">
        <f>Table834[[#This Row],[Night Systolic Pressure]]^2</f>
        <v>16384</v>
      </c>
      <c r="S26" s="2">
        <v>72</v>
      </c>
      <c r="T26" s="2">
        <f>Table834[[#This Row],[Night Diastolic Pressure]]^2</f>
        <v>5184</v>
      </c>
      <c r="U26" s="2">
        <v>69</v>
      </c>
      <c r="V26" s="2">
        <f>Table834[[#This Row],[Night Pulse]]^2</f>
        <v>4761</v>
      </c>
      <c r="W26" s="2">
        <v>5</v>
      </c>
      <c r="X26" s="2">
        <f>Table834[[#This Row],[Sleep]]^2</f>
        <v>25</v>
      </c>
      <c r="Y26" s="2">
        <f t="shared" si="1"/>
        <v>37.158571428571427</v>
      </c>
      <c r="Z26" s="2">
        <f>Table834[[#This Row],[BMI]]^2</f>
        <v>1380.7594306122448</v>
      </c>
      <c r="AA26" s="2">
        <f t="shared" si="0"/>
        <v>32.6586945886934</v>
      </c>
      <c r="AB26" s="2">
        <f>Table834[[#This Row],[CBF]]^2</f>
        <v>1066.5903322375516</v>
      </c>
      <c r="AC26" s="2">
        <v>0</v>
      </c>
      <c r="AD26" s="2">
        <f>Table834[[#This Row],[Gym]]^2</f>
        <v>0</v>
      </c>
      <c r="AE26" s="2">
        <v>1</v>
      </c>
      <c r="AF26" s="2">
        <f>Table834[[#This Row],[Cardio]]^2</f>
        <v>1</v>
      </c>
      <c r="AG26" s="2">
        <v>1264.6766666666667</v>
      </c>
      <c r="AH26" s="2">
        <f>Table834[[#This Row],[Calories]]^2</f>
        <v>1599407.0712111113</v>
      </c>
      <c r="AI26" s="2">
        <v>131.39683333333335</v>
      </c>
      <c r="AJ26" s="2">
        <f>Table834[[#This Row],[Carbs]]^2</f>
        <v>17265.127810027781</v>
      </c>
      <c r="AK26" s="2">
        <v>55.948666666666668</v>
      </c>
      <c r="AL26" s="2">
        <f>Table834[[#This Row],[Fat ]]^2</f>
        <v>3130.2533017777778</v>
      </c>
      <c r="AM26" s="2">
        <v>74.95150000000001</v>
      </c>
      <c r="AN26" s="2">
        <f>Table834[[#This Row],[Protein]]^2</f>
        <v>5617.7273522500018</v>
      </c>
      <c r="AO26" s="2">
        <v>39.94466666666667</v>
      </c>
      <c r="AP26" s="2">
        <f>Table834[[#This Row],[Fiber]]^2</f>
        <v>1595.5763951111114</v>
      </c>
      <c r="AQ26" s="2">
        <v>22.310333333333336</v>
      </c>
      <c r="AR26" s="2">
        <f>Table834[[#This Row],[Sugar]]^2</f>
        <v>497.75097344444458</v>
      </c>
      <c r="AS26" s="2">
        <v>20.05</v>
      </c>
      <c r="AT26" s="2">
        <f>Table834[[#This Row],[Servings]]^2</f>
        <v>402.00250000000005</v>
      </c>
      <c r="AU26" s="2">
        <v>1.5</v>
      </c>
      <c r="AV26" s="2">
        <f>Table834[[#This Row],[Water]]^2</f>
        <v>2.25</v>
      </c>
      <c r="AW26" s="2">
        <v>503.53800000000007</v>
      </c>
      <c r="AX26" s="2">
        <f>Table834[[#This Row],[Fat Calories]]^2</f>
        <v>253550.51744400006</v>
      </c>
      <c r="AY26" s="3">
        <f>Table834[[#This Row],[Weight]]*Table834[[#This Row],[Waist]]</f>
        <v>11784.5</v>
      </c>
      <c r="AZ26" s="4">
        <f>Table834[[#This Row],[Weight]]*Table834[[#This Row],[Neck]]</f>
        <v>4403</v>
      </c>
      <c r="BA26" s="4">
        <f>Table834[[#This Row],[Weight]]*Table834[[#This Row],[Morning Body Temp]]</f>
        <v>24786.3</v>
      </c>
      <c r="BB26" s="4">
        <f>Table834[[#This Row],[Weight]]*Table834[[#This Row],[Morning Systolic Pressure]]</f>
        <v>29267</v>
      </c>
      <c r="BC26" s="11">
        <f>Table834[[#This Row],[Weight]]*Table834[[#This Row],[Morning Diastolic Pressure]]</f>
        <v>19166</v>
      </c>
      <c r="BD26" s="2">
        <f>Table834[[#This Row],[Weight]]*Table834[[#This Row],[Morning Pulse]]</f>
        <v>15281</v>
      </c>
      <c r="BE26" s="2">
        <f>Table834[[#This Row],[Weight]]*Table834[[#This Row],[Night Body Temp]]</f>
        <v>24941.7</v>
      </c>
      <c r="BF26" s="2">
        <f>Table834[[#This Row],[Weight]]*Table834[[#This Row],[Night Systolic Pressure]]</f>
        <v>33152</v>
      </c>
      <c r="BG26" s="4">
        <f>Table83[[#This Row],[Weight]]*Table83[[#This Row],[Night Diastolic Pressure]]</f>
        <v>18648</v>
      </c>
      <c r="BH26" s="2">
        <f>Table834[[#This Row],[Weight]]*Table834[[#This Row],[Night Pulse]]</f>
        <v>17871</v>
      </c>
      <c r="BI26" s="2">
        <f>Table834[[#This Row],[Weight]]*Table834[[#This Row],[Sleep]]</f>
        <v>1295</v>
      </c>
      <c r="BJ26" s="2">
        <f>Table834[[#This Row],[Weight]]*Table834[[#This Row],[BMI]]</f>
        <v>9624.07</v>
      </c>
      <c r="BK26" s="2">
        <f>Table834[[#This Row],[Weight]]*Table834[[#This Row],[CBF]]</f>
        <v>8458.6018984715902</v>
      </c>
      <c r="BL26" s="2">
        <f>Table834[[#This Row],[Weight]]*Table834[[#This Row],[Gym]]</f>
        <v>0</v>
      </c>
      <c r="BM26" s="2">
        <f>Table834[[#This Row],[Weight]]*Table834[[#This Row],[Cardio]]</f>
        <v>259</v>
      </c>
      <c r="BN26" s="2">
        <f>Table834[[#This Row],[Weight]]*Table834[[#This Row],[Calories]]</f>
        <v>327551.25666666671</v>
      </c>
      <c r="BO26" s="2">
        <f>Table834[[#This Row],[Weight]]*Table834[[#This Row],[Carbs]]</f>
        <v>34031.779833333334</v>
      </c>
      <c r="BP26" s="2">
        <f>Table834[[#This Row],[Weight]]*Table834[[#This Row],[Fat ]]</f>
        <v>14490.704666666667</v>
      </c>
      <c r="BQ26" s="2">
        <f>Table834[[#This Row],[Weight]]*Table834[[#This Row],[Protein]]</f>
        <v>19412.438500000004</v>
      </c>
      <c r="BR26" s="2">
        <f>Table834[[#This Row],[Weight]]*Table834[[#This Row],[Fiber]]</f>
        <v>10345.668666666668</v>
      </c>
      <c r="BS26" s="2">
        <f>Table834[[#This Row],[Weight]]*Table834[[#This Row],[Sugar]]</f>
        <v>5778.3763333333336</v>
      </c>
      <c r="BT26" s="2">
        <f>Table834[[#This Row],[Weight]]*Table834[[#This Row],[Servings]]</f>
        <v>5192.95</v>
      </c>
      <c r="BU26" s="2">
        <f>Table834[[#This Row],[Weight]]*Table834[[#This Row],[Water]]</f>
        <v>388.5</v>
      </c>
      <c r="BV26" s="2">
        <f>Table834[[#This Row],[Weight]]*Table834[[#This Row],[Fat Calories]]</f>
        <v>130416.34200000002</v>
      </c>
      <c r="BW26" s="2">
        <f>Table834[[#This Row],[Waist]]*Table834[[#This Row],[Neck]]</f>
        <v>773.5</v>
      </c>
      <c r="BX26" s="2">
        <f>Table834[[#This Row],[Waist]]*Table834[[#This Row],[Morning Body Temp]]</f>
        <v>4354.3500000000004</v>
      </c>
      <c r="BY26" s="2">
        <f>Table834[[#This Row],[Waist]]*Table834[[#This Row],[Morning Systolic Pressure]]</f>
        <v>5141.5</v>
      </c>
      <c r="BZ26" s="2">
        <f>Table834[[#This Row],[Waist]]*Table834[[#This Row],[Morning Diastolic Pressure]]</f>
        <v>3367</v>
      </c>
      <c r="CA26" s="2">
        <f>Table834[[#This Row],[Waist]]*Table834[[#This Row],[Morning Pulse]]</f>
        <v>2684.5</v>
      </c>
      <c r="CB26" s="2">
        <f>Table834[[#This Row],[Waist]]*Table834[[#This Row],[Night Body Temp]]</f>
        <v>4381.6499999999996</v>
      </c>
      <c r="CC26" s="2">
        <f>Table834[[#This Row],[Waist]]*Table834[[#This Row],[Night Systolic Pressure]]</f>
        <v>5824</v>
      </c>
      <c r="CD26" s="4">
        <f>Table83[[#This Row],[Waist]]*Table83[[#This Row],[Night Diastolic Pressure]]</f>
        <v>3276</v>
      </c>
      <c r="CE26" s="2">
        <f>Table834[[#This Row],[Waist]]*Table834[[#This Row],[Night Pulse]]</f>
        <v>3139.5</v>
      </c>
      <c r="CF26" s="2">
        <f>Table834[[#This Row],[Waist]]*Table834[[#This Row],[Sleep]]</f>
        <v>227.5</v>
      </c>
      <c r="CG26" s="2">
        <f>Table834[[#This Row],[Waist]]*Table834[[#This Row],[BMI]]</f>
        <v>1690.7149999999999</v>
      </c>
      <c r="CH26" s="2">
        <f>Table834[[#This Row],[Waist]]*Table834[[#This Row],[CBF]]</f>
        <v>1485.9706037855497</v>
      </c>
      <c r="CI26" s="2">
        <f>Table834[[#This Row],[Waist]]*Table834[[#This Row],[Gym]]</f>
        <v>0</v>
      </c>
      <c r="CJ26" s="2">
        <f>Table834[[#This Row],[Waist]]*Table834[[#This Row],[Cardio]]</f>
        <v>45.5</v>
      </c>
      <c r="CK26" s="2">
        <f>Table834[[#This Row],[Waist]]*Table834[[#This Row],[Calories]]</f>
        <v>57542.788333333338</v>
      </c>
      <c r="CL26" s="2">
        <f>Table834[[#This Row],[Waist]]*Table834[[#This Row],[Carbs]]</f>
        <v>5978.5559166666671</v>
      </c>
      <c r="CM26" s="2">
        <f>Table834[[#This Row],[Waist]]*Table834[[#This Row],[Fat ]]</f>
        <v>2545.6643333333332</v>
      </c>
      <c r="CN26" s="2">
        <f>Table834[[#This Row],[Waist]]*Table834[[#This Row],[Protein]]</f>
        <v>3410.2932500000006</v>
      </c>
      <c r="CO26" s="2">
        <f>Table834[[#This Row],[Waist]]*Table834[[#This Row],[Fiber]]</f>
        <v>1817.4823333333336</v>
      </c>
      <c r="CP26" s="2">
        <f>Table834[[#This Row],[Waist]]*Table834[[#This Row],[Sugar]]</f>
        <v>1015.1201666666668</v>
      </c>
      <c r="CQ26" s="2">
        <f>Table834[[#This Row],[Waist]]*Table834[[#This Row],[Servings]]</f>
        <v>912.27499999999998</v>
      </c>
      <c r="CR26" s="2">
        <f>Table834[[#This Row],[Waist]]*Table834[[#This Row],[Water]]</f>
        <v>68.25</v>
      </c>
      <c r="CS26" s="2">
        <f>Table834[[#This Row],[Waist]]*Table834[[#This Row],[Fat Calories]]</f>
        <v>22910.979000000003</v>
      </c>
    </row>
    <row r="27" spans="1:97" x14ac:dyDescent="0.25">
      <c r="A27" s="2">
        <v>257</v>
      </c>
      <c r="B27" s="2">
        <f>Table834[[#This Row],[Weight]]^2</f>
        <v>66049</v>
      </c>
      <c r="C27" s="2">
        <v>45</v>
      </c>
      <c r="D27" s="2">
        <f>Table834[[#This Row],[Waist]]^2</f>
        <v>2025</v>
      </c>
      <c r="E27" s="2">
        <v>17</v>
      </c>
      <c r="F27" s="2">
        <f>Table834[[#This Row],[Neck]]^2</f>
        <v>289</v>
      </c>
      <c r="G27" s="2">
        <v>96.2</v>
      </c>
      <c r="H27" s="2">
        <f>Table834[[#This Row],[Morning Body Temp]]^2</f>
        <v>9254.44</v>
      </c>
      <c r="I27" s="2">
        <v>113</v>
      </c>
      <c r="J27" s="2">
        <f>Table834[[#This Row],[Morning Systolic Pressure]]^2</f>
        <v>12769</v>
      </c>
      <c r="K27" s="2">
        <v>76</v>
      </c>
      <c r="L27" s="2">
        <f>Table834[[#This Row],[Morning Diastolic Pressure]]^2</f>
        <v>5776</v>
      </c>
      <c r="M27" s="2">
        <v>62</v>
      </c>
      <c r="N27" s="2">
        <f>Table834[[#This Row],[Morning Pulse]]^2</f>
        <v>3844</v>
      </c>
      <c r="O27" s="2">
        <v>97.2</v>
      </c>
      <c r="P27" s="2">
        <f>Table834[[#This Row],[Night Body Temp]]^2</f>
        <v>9447.84</v>
      </c>
      <c r="Q27" s="2">
        <v>135</v>
      </c>
      <c r="R27" s="2">
        <f>Table834[[#This Row],[Night Systolic Pressure]]^2</f>
        <v>18225</v>
      </c>
      <c r="S27" s="2">
        <v>69</v>
      </c>
      <c r="T27" s="2">
        <f>Table834[[#This Row],[Night Diastolic Pressure]]^2</f>
        <v>4761</v>
      </c>
      <c r="U27" s="2">
        <v>59</v>
      </c>
      <c r="V27" s="2">
        <f>Table834[[#This Row],[Night Pulse]]^2</f>
        <v>3481</v>
      </c>
      <c r="W27" s="2">
        <v>12</v>
      </c>
      <c r="X27" s="2">
        <f>Table834[[#This Row],[Sleep]]^2</f>
        <v>144</v>
      </c>
      <c r="Y27" s="2">
        <f t="shared" si="1"/>
        <v>36.871632653061219</v>
      </c>
      <c r="Z27" s="2">
        <f>Table834[[#This Row],[BMI]]^2</f>
        <v>1359.5172945022903</v>
      </c>
      <c r="AA27" s="2">
        <f t="shared" si="0"/>
        <v>31.997550455105717</v>
      </c>
      <c r="AB27" s="2">
        <f>Table834[[#This Row],[CBF]]^2</f>
        <v>1023.8432351270361</v>
      </c>
      <c r="AC27" s="2">
        <v>1</v>
      </c>
      <c r="AD27" s="2">
        <f>Table834[[#This Row],[Gym]]^2</f>
        <v>1</v>
      </c>
      <c r="AE27" s="2">
        <v>1</v>
      </c>
      <c r="AF27" s="2">
        <f>Table834[[#This Row],[Cardio]]^2</f>
        <v>1</v>
      </c>
      <c r="AG27" s="2">
        <v>1016.4766666666667</v>
      </c>
      <c r="AH27" s="2">
        <f>Table834[[#This Row],[Calories]]^2</f>
        <v>1033224.8138777778</v>
      </c>
      <c r="AI27" s="2">
        <v>129.08183333333335</v>
      </c>
      <c r="AJ27" s="2">
        <f>Table834[[#This Row],[Carbs]]^2</f>
        <v>16662.119696694448</v>
      </c>
      <c r="AK27" s="2">
        <v>34.86866666666667</v>
      </c>
      <c r="AL27" s="2">
        <f>Table834[[#This Row],[Fat ]]^2</f>
        <v>1215.8239151111113</v>
      </c>
      <c r="AM27" s="2">
        <v>62.576499999999996</v>
      </c>
      <c r="AN27" s="2">
        <f>Table834[[#This Row],[Protein]]^2</f>
        <v>3915.8183522499994</v>
      </c>
      <c r="AO27" s="2">
        <v>39.494666666666667</v>
      </c>
      <c r="AP27" s="2">
        <f>Table834[[#This Row],[Fiber]]^2</f>
        <v>1559.8286951111111</v>
      </c>
      <c r="AQ27" s="2">
        <v>20.500333333333334</v>
      </c>
      <c r="AR27" s="2">
        <f>Table834[[#This Row],[Sugar]]^2</f>
        <v>420.26366677777781</v>
      </c>
      <c r="AS27" s="2">
        <v>17.600000000000001</v>
      </c>
      <c r="AT27" s="2">
        <f>Table834[[#This Row],[Servings]]^2</f>
        <v>309.76000000000005</v>
      </c>
      <c r="AU27" s="2">
        <v>1.5</v>
      </c>
      <c r="AV27" s="2">
        <f>Table834[[#This Row],[Water]]^2</f>
        <v>2.25</v>
      </c>
      <c r="AW27" s="2">
        <v>313.81800000000004</v>
      </c>
      <c r="AX27" s="2">
        <f>Table834[[#This Row],[Fat Calories]]^2</f>
        <v>98481.737124000021</v>
      </c>
      <c r="AY27" s="5">
        <f>Table834[[#This Row],[Weight]]*Table834[[#This Row],[Waist]]</f>
        <v>11565</v>
      </c>
      <c r="AZ27" s="6">
        <f>Table834[[#This Row],[Weight]]*Table834[[#This Row],[Neck]]</f>
        <v>4369</v>
      </c>
      <c r="BA27" s="6">
        <f>Table834[[#This Row],[Weight]]*Table834[[#This Row],[Morning Body Temp]]</f>
        <v>24723.4</v>
      </c>
      <c r="BB27" s="6">
        <f>Table834[[#This Row],[Weight]]*Table834[[#This Row],[Morning Systolic Pressure]]</f>
        <v>29041</v>
      </c>
      <c r="BC27" s="12">
        <f>Table834[[#This Row],[Weight]]*Table834[[#This Row],[Morning Diastolic Pressure]]</f>
        <v>19532</v>
      </c>
      <c r="BD27" s="2">
        <f>Table834[[#This Row],[Weight]]*Table834[[#This Row],[Morning Pulse]]</f>
        <v>15934</v>
      </c>
      <c r="BE27" s="2">
        <f>Table834[[#This Row],[Weight]]*Table834[[#This Row],[Night Body Temp]]</f>
        <v>24980.400000000001</v>
      </c>
      <c r="BF27" s="2">
        <f>Table834[[#This Row],[Weight]]*Table834[[#This Row],[Night Systolic Pressure]]</f>
        <v>34695</v>
      </c>
      <c r="BG27" s="4">
        <f>Table83[[#This Row],[Weight]]*Table83[[#This Row],[Night Diastolic Pressure]]</f>
        <v>17733</v>
      </c>
      <c r="BH27" s="2">
        <f>Table834[[#This Row],[Weight]]*Table834[[#This Row],[Night Pulse]]</f>
        <v>15163</v>
      </c>
      <c r="BI27" s="2">
        <f>Table834[[#This Row],[Weight]]*Table834[[#This Row],[Sleep]]</f>
        <v>3084</v>
      </c>
      <c r="BJ27" s="2">
        <f>Table834[[#This Row],[Weight]]*Table834[[#This Row],[BMI]]</f>
        <v>9476.0095918367333</v>
      </c>
      <c r="BK27" s="2">
        <f>Table834[[#This Row],[Weight]]*Table834[[#This Row],[CBF]]</f>
        <v>8223.3704669621693</v>
      </c>
      <c r="BL27" s="2">
        <f>Table834[[#This Row],[Weight]]*Table834[[#This Row],[Gym]]</f>
        <v>257</v>
      </c>
      <c r="BM27" s="2">
        <f>Table834[[#This Row],[Weight]]*Table834[[#This Row],[Cardio]]</f>
        <v>257</v>
      </c>
      <c r="BN27" s="2">
        <f>Table834[[#This Row],[Weight]]*Table834[[#This Row],[Calories]]</f>
        <v>261234.50333333333</v>
      </c>
      <c r="BO27" s="2">
        <f>Table834[[#This Row],[Weight]]*Table834[[#This Row],[Carbs]]</f>
        <v>33174.031166666668</v>
      </c>
      <c r="BP27" s="2">
        <f>Table834[[#This Row],[Weight]]*Table834[[#This Row],[Fat ]]</f>
        <v>8961.2473333333346</v>
      </c>
      <c r="BQ27" s="2">
        <f>Table834[[#This Row],[Weight]]*Table834[[#This Row],[Protein]]</f>
        <v>16082.160499999998</v>
      </c>
      <c r="BR27" s="2">
        <f>Table834[[#This Row],[Weight]]*Table834[[#This Row],[Fiber]]</f>
        <v>10150.129333333334</v>
      </c>
      <c r="BS27" s="2">
        <f>Table834[[#This Row],[Weight]]*Table834[[#This Row],[Sugar]]</f>
        <v>5268.5856666666668</v>
      </c>
      <c r="BT27" s="2">
        <f>Table834[[#This Row],[Weight]]*Table834[[#This Row],[Servings]]</f>
        <v>4523.2000000000007</v>
      </c>
      <c r="BU27" s="2">
        <f>Table834[[#This Row],[Weight]]*Table834[[#This Row],[Water]]</f>
        <v>385.5</v>
      </c>
      <c r="BV27" s="2">
        <f>Table834[[#This Row],[Weight]]*Table834[[#This Row],[Fat Calories]]</f>
        <v>80651.22600000001</v>
      </c>
      <c r="BW27" s="2">
        <f>Table834[[#This Row],[Waist]]*Table834[[#This Row],[Neck]]</f>
        <v>765</v>
      </c>
      <c r="BX27" s="2">
        <f>Table834[[#This Row],[Waist]]*Table834[[#This Row],[Morning Body Temp]]</f>
        <v>4329</v>
      </c>
      <c r="BY27" s="2">
        <f>Table834[[#This Row],[Waist]]*Table834[[#This Row],[Morning Systolic Pressure]]</f>
        <v>5085</v>
      </c>
      <c r="BZ27" s="2">
        <f>Table834[[#This Row],[Waist]]*Table834[[#This Row],[Morning Diastolic Pressure]]</f>
        <v>3420</v>
      </c>
      <c r="CA27" s="2">
        <f>Table834[[#This Row],[Waist]]*Table834[[#This Row],[Morning Pulse]]</f>
        <v>2790</v>
      </c>
      <c r="CB27" s="2">
        <f>Table834[[#This Row],[Waist]]*Table834[[#This Row],[Night Body Temp]]</f>
        <v>4374</v>
      </c>
      <c r="CC27" s="2">
        <f>Table834[[#This Row],[Waist]]*Table834[[#This Row],[Night Systolic Pressure]]</f>
        <v>6075</v>
      </c>
      <c r="CD27" s="4">
        <f>Table83[[#This Row],[Waist]]*Table83[[#This Row],[Night Diastolic Pressure]]</f>
        <v>3105</v>
      </c>
      <c r="CE27" s="2">
        <f>Table834[[#This Row],[Waist]]*Table834[[#This Row],[Night Pulse]]</f>
        <v>2655</v>
      </c>
      <c r="CF27" s="2">
        <f>Table834[[#This Row],[Waist]]*Table834[[#This Row],[Sleep]]</f>
        <v>540</v>
      </c>
      <c r="CG27" s="2">
        <f>Table834[[#This Row],[Waist]]*Table834[[#This Row],[BMI]]</f>
        <v>1659.2234693877549</v>
      </c>
      <c r="CH27" s="2">
        <f>Table834[[#This Row],[Waist]]*Table834[[#This Row],[CBF]]</f>
        <v>1439.8897704797573</v>
      </c>
      <c r="CI27" s="2">
        <f>Table834[[#This Row],[Waist]]*Table834[[#This Row],[Gym]]</f>
        <v>45</v>
      </c>
      <c r="CJ27" s="2">
        <f>Table834[[#This Row],[Waist]]*Table834[[#This Row],[Cardio]]</f>
        <v>45</v>
      </c>
      <c r="CK27" s="2">
        <f>Table834[[#This Row],[Waist]]*Table834[[#This Row],[Calories]]</f>
        <v>45741.450000000004</v>
      </c>
      <c r="CL27" s="2">
        <f>Table834[[#This Row],[Waist]]*Table834[[#This Row],[Carbs]]</f>
        <v>5808.6825000000008</v>
      </c>
      <c r="CM27" s="2">
        <f>Table834[[#This Row],[Waist]]*Table834[[#This Row],[Fat ]]</f>
        <v>1569.0900000000001</v>
      </c>
      <c r="CN27" s="2">
        <f>Table834[[#This Row],[Waist]]*Table834[[#This Row],[Protein]]</f>
        <v>2815.9424999999997</v>
      </c>
      <c r="CO27" s="2">
        <f>Table834[[#This Row],[Waist]]*Table834[[#This Row],[Fiber]]</f>
        <v>1777.26</v>
      </c>
      <c r="CP27" s="2">
        <f>Table834[[#This Row],[Waist]]*Table834[[#This Row],[Sugar]]</f>
        <v>922.51499999999999</v>
      </c>
      <c r="CQ27" s="2">
        <f>Table834[[#This Row],[Waist]]*Table834[[#This Row],[Servings]]</f>
        <v>792.00000000000011</v>
      </c>
      <c r="CR27" s="2">
        <f>Table834[[#This Row],[Waist]]*Table834[[#This Row],[Water]]</f>
        <v>67.5</v>
      </c>
      <c r="CS27" s="2">
        <f>Table834[[#This Row],[Waist]]*Table834[[#This Row],[Fat Calories]]</f>
        <v>14121.810000000001</v>
      </c>
    </row>
    <row r="28" spans="1:97" x14ac:dyDescent="0.25">
      <c r="A28" s="2">
        <v>259.8</v>
      </c>
      <c r="B28" s="2">
        <f>Table834[[#This Row],[Weight]]^2</f>
        <v>67496.040000000008</v>
      </c>
      <c r="C28" s="2">
        <v>46</v>
      </c>
      <c r="D28" s="2">
        <f>Table834[[#This Row],[Waist]]^2</f>
        <v>2116</v>
      </c>
      <c r="E28" s="2">
        <v>17</v>
      </c>
      <c r="F28" s="2">
        <f>Table834[[#This Row],[Neck]]^2</f>
        <v>289</v>
      </c>
      <c r="G28" s="2">
        <v>97.1</v>
      </c>
      <c r="H28" s="2">
        <f>Table834[[#This Row],[Morning Body Temp]]^2</f>
        <v>9428.409999999998</v>
      </c>
      <c r="I28" s="2">
        <v>148</v>
      </c>
      <c r="J28" s="2">
        <f>Table834[[#This Row],[Morning Systolic Pressure]]^2</f>
        <v>21904</v>
      </c>
      <c r="K28" s="2">
        <v>79</v>
      </c>
      <c r="L28" s="2">
        <f>Table834[[#This Row],[Morning Diastolic Pressure]]^2</f>
        <v>6241</v>
      </c>
      <c r="M28" s="2">
        <v>65</v>
      </c>
      <c r="N28" s="2">
        <f>Table834[[#This Row],[Morning Pulse]]^2</f>
        <v>4225</v>
      </c>
      <c r="O28" s="2">
        <v>97.3</v>
      </c>
      <c r="P28" s="2">
        <f>Table834[[#This Row],[Night Body Temp]]^2</f>
        <v>9467.2899999999991</v>
      </c>
      <c r="Q28" s="2">
        <v>136</v>
      </c>
      <c r="R28" s="2">
        <f>Table834[[#This Row],[Night Systolic Pressure]]^2</f>
        <v>18496</v>
      </c>
      <c r="S28" s="2">
        <v>67</v>
      </c>
      <c r="T28" s="2">
        <f>Table834[[#This Row],[Night Diastolic Pressure]]^2</f>
        <v>4489</v>
      </c>
      <c r="U28" s="2">
        <v>73</v>
      </c>
      <c r="V28" s="2">
        <f>Table834[[#This Row],[Night Pulse]]^2</f>
        <v>5329</v>
      </c>
      <c r="W28" s="2">
        <v>0</v>
      </c>
      <c r="X28" s="2">
        <f>Table834[[#This Row],[Sleep]]^2</f>
        <v>0</v>
      </c>
      <c r="Y28" s="2">
        <f t="shared" si="1"/>
        <v>37.273346938775511</v>
      </c>
      <c r="Z28" s="2">
        <f>Table834[[#This Row],[BMI]]^2</f>
        <v>1389.3023920183257</v>
      </c>
      <c r="AA28" s="2">
        <f t="shared" si="0"/>
        <v>33.308339978650658</v>
      </c>
      <c r="AB28" s="2">
        <f>Table834[[#This Row],[CBF]]^2</f>
        <v>1109.4455121333776</v>
      </c>
      <c r="AC28" s="2">
        <v>1</v>
      </c>
      <c r="AD28" s="2">
        <f>Table834[[#This Row],[Gym]]^2</f>
        <v>1</v>
      </c>
      <c r="AE28" s="2">
        <v>1</v>
      </c>
      <c r="AF28" s="2">
        <f>Table834[[#This Row],[Cardio]]^2</f>
        <v>1</v>
      </c>
      <c r="AG28" s="2">
        <v>1494.2766666666666</v>
      </c>
      <c r="AH28" s="2">
        <f>Table834[[#This Row],[Calories]]^2</f>
        <v>2232862.7565444442</v>
      </c>
      <c r="AI28" s="2">
        <v>168.80183333333335</v>
      </c>
      <c r="AJ28" s="2">
        <f>Table834[[#This Row],[Carbs]]^2</f>
        <v>28494.058936694451</v>
      </c>
      <c r="AK28" s="2">
        <v>64.888666666666666</v>
      </c>
      <c r="AL28" s="2">
        <f>Table834[[#This Row],[Fat ]]^2</f>
        <v>4210.5390617777775</v>
      </c>
      <c r="AM28" s="2">
        <v>75.656499999999994</v>
      </c>
      <c r="AN28" s="2">
        <f>Table834[[#This Row],[Protein]]^2</f>
        <v>5723.9059922499991</v>
      </c>
      <c r="AO28" s="2">
        <v>49.134666666666668</v>
      </c>
      <c r="AP28" s="2">
        <f>Table834[[#This Row],[Fiber]]^2</f>
        <v>2414.2154684444445</v>
      </c>
      <c r="AQ28" s="2">
        <v>26.580333333333336</v>
      </c>
      <c r="AR28" s="2">
        <f>Table834[[#This Row],[Sugar]]^2</f>
        <v>706.5141201111112</v>
      </c>
      <c r="AS28" s="2">
        <v>24</v>
      </c>
      <c r="AT28" s="2">
        <f>Table834[[#This Row],[Servings]]^2</f>
        <v>576</v>
      </c>
      <c r="AU28" s="2">
        <v>1</v>
      </c>
      <c r="AV28" s="2">
        <f>Table834[[#This Row],[Water]]^2</f>
        <v>1</v>
      </c>
      <c r="AW28" s="2">
        <v>583.99800000000005</v>
      </c>
      <c r="AX28" s="2">
        <f>Table834[[#This Row],[Fat Calories]]^2</f>
        <v>341053.66400400008</v>
      </c>
      <c r="AY28" s="3">
        <f>Table834[[#This Row],[Weight]]*Table834[[#This Row],[Waist]]</f>
        <v>11950.800000000001</v>
      </c>
      <c r="AZ28" s="4">
        <f>Table834[[#This Row],[Weight]]*Table834[[#This Row],[Neck]]</f>
        <v>4416.6000000000004</v>
      </c>
      <c r="BA28" s="4">
        <f>Table834[[#This Row],[Weight]]*Table834[[#This Row],[Morning Body Temp]]</f>
        <v>25226.579999999998</v>
      </c>
      <c r="BB28" s="4">
        <f>Table834[[#This Row],[Weight]]*Table834[[#This Row],[Morning Systolic Pressure]]</f>
        <v>38450.400000000001</v>
      </c>
      <c r="BC28" s="11">
        <f>Table834[[#This Row],[Weight]]*Table834[[#This Row],[Morning Diastolic Pressure]]</f>
        <v>20524.2</v>
      </c>
      <c r="BD28" s="2">
        <f>Table834[[#This Row],[Weight]]*Table834[[#This Row],[Morning Pulse]]</f>
        <v>16887</v>
      </c>
      <c r="BE28" s="2">
        <f>Table834[[#This Row],[Weight]]*Table834[[#This Row],[Night Body Temp]]</f>
        <v>25278.54</v>
      </c>
      <c r="BF28" s="2">
        <f>Table834[[#This Row],[Weight]]*Table834[[#This Row],[Night Systolic Pressure]]</f>
        <v>35332.800000000003</v>
      </c>
      <c r="BG28" s="4">
        <f>Table83[[#This Row],[Weight]]*Table83[[#This Row],[Night Diastolic Pressure]]</f>
        <v>17406.600000000002</v>
      </c>
      <c r="BH28" s="2">
        <f>Table834[[#This Row],[Weight]]*Table834[[#This Row],[Night Pulse]]</f>
        <v>18965.400000000001</v>
      </c>
      <c r="BI28" s="2">
        <f>Table834[[#This Row],[Weight]]*Table834[[#This Row],[Sleep]]</f>
        <v>0</v>
      </c>
      <c r="BJ28" s="2">
        <f>Table834[[#This Row],[Weight]]*Table834[[#This Row],[BMI]]</f>
        <v>9683.6155346938776</v>
      </c>
      <c r="BK28" s="2">
        <f>Table834[[#This Row],[Weight]]*Table834[[#This Row],[CBF]]</f>
        <v>8653.5067264534409</v>
      </c>
      <c r="BL28" s="2">
        <f>Table834[[#This Row],[Weight]]*Table834[[#This Row],[Gym]]</f>
        <v>259.8</v>
      </c>
      <c r="BM28" s="2">
        <f>Table834[[#This Row],[Weight]]*Table834[[#This Row],[Cardio]]</f>
        <v>259.8</v>
      </c>
      <c r="BN28" s="2">
        <f>Table834[[#This Row],[Weight]]*Table834[[#This Row],[Calories]]</f>
        <v>388213.07800000004</v>
      </c>
      <c r="BO28" s="2">
        <f>Table834[[#This Row],[Weight]]*Table834[[#This Row],[Carbs]]</f>
        <v>43854.716300000007</v>
      </c>
      <c r="BP28" s="2">
        <f>Table834[[#This Row],[Weight]]*Table834[[#This Row],[Fat ]]</f>
        <v>16858.0756</v>
      </c>
      <c r="BQ28" s="2">
        <f>Table834[[#This Row],[Weight]]*Table834[[#This Row],[Protein]]</f>
        <v>19655.558699999998</v>
      </c>
      <c r="BR28" s="2">
        <f>Table834[[#This Row],[Weight]]*Table834[[#This Row],[Fiber]]</f>
        <v>12765.186400000001</v>
      </c>
      <c r="BS28" s="2">
        <f>Table834[[#This Row],[Weight]]*Table834[[#This Row],[Sugar]]</f>
        <v>6905.5706000000009</v>
      </c>
      <c r="BT28" s="2">
        <f>Table834[[#This Row],[Weight]]*Table834[[#This Row],[Servings]]</f>
        <v>6235.2000000000007</v>
      </c>
      <c r="BU28" s="2">
        <f>Table834[[#This Row],[Weight]]*Table834[[#This Row],[Water]]</f>
        <v>259.8</v>
      </c>
      <c r="BV28" s="2">
        <f>Table834[[#This Row],[Weight]]*Table834[[#This Row],[Fat Calories]]</f>
        <v>151722.68040000001</v>
      </c>
      <c r="BW28" s="2">
        <f>Table834[[#This Row],[Waist]]*Table834[[#This Row],[Neck]]</f>
        <v>782</v>
      </c>
      <c r="BX28" s="2">
        <f>Table834[[#This Row],[Waist]]*Table834[[#This Row],[Morning Body Temp]]</f>
        <v>4466.5999999999995</v>
      </c>
      <c r="BY28" s="2">
        <f>Table834[[#This Row],[Waist]]*Table834[[#This Row],[Morning Systolic Pressure]]</f>
        <v>6808</v>
      </c>
      <c r="BZ28" s="2">
        <f>Table834[[#This Row],[Waist]]*Table834[[#This Row],[Morning Diastolic Pressure]]</f>
        <v>3634</v>
      </c>
      <c r="CA28" s="2">
        <f>Table834[[#This Row],[Waist]]*Table834[[#This Row],[Morning Pulse]]</f>
        <v>2990</v>
      </c>
      <c r="CB28" s="2">
        <f>Table834[[#This Row],[Waist]]*Table834[[#This Row],[Night Body Temp]]</f>
        <v>4475.8</v>
      </c>
      <c r="CC28" s="2">
        <f>Table834[[#This Row],[Waist]]*Table834[[#This Row],[Night Systolic Pressure]]</f>
        <v>6256</v>
      </c>
      <c r="CD28" s="4">
        <f>Table83[[#This Row],[Waist]]*Table83[[#This Row],[Night Diastolic Pressure]]</f>
        <v>3082</v>
      </c>
      <c r="CE28" s="2">
        <f>Table834[[#This Row],[Waist]]*Table834[[#This Row],[Night Pulse]]</f>
        <v>3358</v>
      </c>
      <c r="CF28" s="2">
        <f>Table834[[#This Row],[Waist]]*Table834[[#This Row],[Sleep]]</f>
        <v>0</v>
      </c>
      <c r="CG28" s="2">
        <f>Table834[[#This Row],[Waist]]*Table834[[#This Row],[BMI]]</f>
        <v>1714.5739591836734</v>
      </c>
      <c r="CH28" s="2">
        <f>Table834[[#This Row],[Waist]]*Table834[[#This Row],[CBF]]</f>
        <v>1532.1836390179303</v>
      </c>
      <c r="CI28" s="2">
        <f>Table834[[#This Row],[Waist]]*Table834[[#This Row],[Gym]]</f>
        <v>46</v>
      </c>
      <c r="CJ28" s="2">
        <f>Table834[[#This Row],[Waist]]*Table834[[#This Row],[Cardio]]</f>
        <v>46</v>
      </c>
      <c r="CK28" s="2">
        <f>Table834[[#This Row],[Waist]]*Table834[[#This Row],[Calories]]</f>
        <v>68736.726666666669</v>
      </c>
      <c r="CL28" s="2">
        <f>Table834[[#This Row],[Waist]]*Table834[[#This Row],[Carbs]]</f>
        <v>7764.8843333333343</v>
      </c>
      <c r="CM28" s="2">
        <f>Table834[[#This Row],[Waist]]*Table834[[#This Row],[Fat ]]</f>
        <v>2984.8786666666665</v>
      </c>
      <c r="CN28" s="2">
        <f>Table834[[#This Row],[Waist]]*Table834[[#This Row],[Protein]]</f>
        <v>3480.1989999999996</v>
      </c>
      <c r="CO28" s="2">
        <f>Table834[[#This Row],[Waist]]*Table834[[#This Row],[Fiber]]</f>
        <v>2260.1946666666668</v>
      </c>
      <c r="CP28" s="2">
        <f>Table834[[#This Row],[Waist]]*Table834[[#This Row],[Sugar]]</f>
        <v>1222.6953333333333</v>
      </c>
      <c r="CQ28" s="2">
        <f>Table834[[#This Row],[Waist]]*Table834[[#This Row],[Servings]]</f>
        <v>1104</v>
      </c>
      <c r="CR28" s="2">
        <f>Table834[[#This Row],[Waist]]*Table834[[#This Row],[Water]]</f>
        <v>46</v>
      </c>
      <c r="CS28" s="2">
        <f>Table834[[#This Row],[Waist]]*Table834[[#This Row],[Fat Calories]]</f>
        <v>26863.908000000003</v>
      </c>
    </row>
    <row r="29" spans="1:97" x14ac:dyDescent="0.25">
      <c r="A29" s="2">
        <v>259.8</v>
      </c>
      <c r="B29" s="2">
        <f>Table834[[#This Row],[Weight]]^2</f>
        <v>67496.040000000008</v>
      </c>
      <c r="C29" s="2">
        <v>45</v>
      </c>
      <c r="D29" s="2">
        <f>Table834[[#This Row],[Waist]]^2</f>
        <v>2025</v>
      </c>
      <c r="E29" s="2">
        <v>17</v>
      </c>
      <c r="F29" s="2">
        <f>Table834[[#This Row],[Neck]]^2</f>
        <v>289</v>
      </c>
      <c r="G29" s="2">
        <v>96.5</v>
      </c>
      <c r="H29" s="2">
        <f>Table834[[#This Row],[Morning Body Temp]]^2</f>
        <v>9312.25</v>
      </c>
      <c r="I29" s="2">
        <v>138</v>
      </c>
      <c r="J29" s="2">
        <f>Table834[[#This Row],[Morning Systolic Pressure]]^2</f>
        <v>19044</v>
      </c>
      <c r="K29" s="2">
        <v>74</v>
      </c>
      <c r="L29" s="2">
        <f>Table834[[#This Row],[Morning Diastolic Pressure]]^2</f>
        <v>5476</v>
      </c>
      <c r="M29" s="2">
        <v>73</v>
      </c>
      <c r="N29" s="2">
        <f>Table834[[#This Row],[Morning Pulse]]^2</f>
        <v>5329</v>
      </c>
      <c r="O29" s="2">
        <v>97.1</v>
      </c>
      <c r="P29" s="2">
        <f>Table834[[#This Row],[Night Body Temp]]^2</f>
        <v>9428.409999999998</v>
      </c>
      <c r="Q29" s="2">
        <v>138</v>
      </c>
      <c r="R29" s="2">
        <f>Table834[[#This Row],[Night Systolic Pressure]]^2</f>
        <v>19044</v>
      </c>
      <c r="S29" s="2">
        <v>73</v>
      </c>
      <c r="T29" s="2">
        <f>Table834[[#This Row],[Night Diastolic Pressure]]^2</f>
        <v>5329</v>
      </c>
      <c r="U29" s="2">
        <v>61</v>
      </c>
      <c r="V29" s="2">
        <f>Table834[[#This Row],[Night Pulse]]^2</f>
        <v>3721</v>
      </c>
      <c r="W29" s="2">
        <v>8</v>
      </c>
      <c r="X29" s="2">
        <f>Table834[[#This Row],[Sleep]]^2</f>
        <v>64</v>
      </c>
      <c r="Y29" s="2">
        <f t="shared" si="1"/>
        <v>37.273346938775511</v>
      </c>
      <c r="Z29" s="2">
        <f>Table834[[#This Row],[BMI]]^2</f>
        <v>1389.3023920183257</v>
      </c>
      <c r="AA29" s="2">
        <f t="shared" si="0"/>
        <v>31.997550455105717</v>
      </c>
      <c r="AB29" s="2">
        <f>Table834[[#This Row],[CBF]]^2</f>
        <v>1023.8432351270361</v>
      </c>
      <c r="AC29" s="2">
        <v>1</v>
      </c>
      <c r="AD29" s="2">
        <f>Table834[[#This Row],[Gym]]^2</f>
        <v>1</v>
      </c>
      <c r="AE29" s="2">
        <v>1</v>
      </c>
      <c r="AF29" s="2">
        <f>Table834[[#This Row],[Cardio]]^2</f>
        <v>1</v>
      </c>
      <c r="AG29" s="2">
        <v>1373.0766666666666</v>
      </c>
      <c r="AH29" s="2">
        <f>Table834[[#This Row],[Calories]]^2</f>
        <v>1885339.5325444443</v>
      </c>
      <c r="AI29" s="2">
        <v>150.42183333333332</v>
      </c>
      <c r="AJ29" s="2">
        <f>Table834[[#This Row],[Carbs]]^2</f>
        <v>22626.727943361107</v>
      </c>
      <c r="AK29" s="2">
        <v>56.808666666666667</v>
      </c>
      <c r="AL29" s="2">
        <f>Table834[[#This Row],[Fat ]]^2</f>
        <v>3227.2246084444446</v>
      </c>
      <c r="AM29" s="2">
        <v>58.336499999999994</v>
      </c>
      <c r="AN29" s="2">
        <f>Table834[[#This Row],[Protein]]^2</f>
        <v>3403.1472322499994</v>
      </c>
      <c r="AO29" s="2">
        <v>23.074666666666662</v>
      </c>
      <c r="AP29" s="2">
        <f>Table834[[#This Row],[Fiber]]^2</f>
        <v>532.4402417777776</v>
      </c>
      <c r="AQ29" s="2">
        <v>32.760333333333335</v>
      </c>
      <c r="AR29" s="2">
        <f>Table834[[#This Row],[Sugar]]^2</f>
        <v>1073.2394401111112</v>
      </c>
      <c r="AS29" s="2">
        <v>18.399999999999999</v>
      </c>
      <c r="AT29" s="2">
        <f>Table834[[#This Row],[Servings]]^2</f>
        <v>338.55999999999995</v>
      </c>
      <c r="AU29" s="2">
        <v>1</v>
      </c>
      <c r="AV29" s="2">
        <f>Table834[[#This Row],[Water]]^2</f>
        <v>1</v>
      </c>
      <c r="AW29" s="2">
        <v>511.27800000000008</v>
      </c>
      <c r="AX29" s="2">
        <f>Table834[[#This Row],[Fat Calories]]^2</f>
        <v>261405.19328400007</v>
      </c>
      <c r="AY29" s="5">
        <f>Table834[[#This Row],[Weight]]*Table834[[#This Row],[Waist]]</f>
        <v>11691</v>
      </c>
      <c r="AZ29" s="6">
        <f>Table834[[#This Row],[Weight]]*Table834[[#This Row],[Neck]]</f>
        <v>4416.6000000000004</v>
      </c>
      <c r="BA29" s="6">
        <f>Table834[[#This Row],[Weight]]*Table834[[#This Row],[Morning Body Temp]]</f>
        <v>25070.7</v>
      </c>
      <c r="BB29" s="6">
        <f>Table834[[#This Row],[Weight]]*Table834[[#This Row],[Morning Systolic Pressure]]</f>
        <v>35852.400000000001</v>
      </c>
      <c r="BC29" s="12">
        <f>Table834[[#This Row],[Weight]]*Table834[[#This Row],[Morning Diastolic Pressure]]</f>
        <v>19225.2</v>
      </c>
      <c r="BD29" s="2">
        <f>Table834[[#This Row],[Weight]]*Table834[[#This Row],[Morning Pulse]]</f>
        <v>18965.400000000001</v>
      </c>
      <c r="BE29" s="2">
        <f>Table834[[#This Row],[Weight]]*Table834[[#This Row],[Night Body Temp]]</f>
        <v>25226.579999999998</v>
      </c>
      <c r="BF29" s="2">
        <f>Table834[[#This Row],[Weight]]*Table834[[#This Row],[Night Systolic Pressure]]</f>
        <v>35852.400000000001</v>
      </c>
      <c r="BG29" s="4">
        <f>Table83[[#This Row],[Weight]]*Table83[[#This Row],[Night Diastolic Pressure]]</f>
        <v>18965.400000000001</v>
      </c>
      <c r="BH29" s="2">
        <f>Table834[[#This Row],[Weight]]*Table834[[#This Row],[Night Pulse]]</f>
        <v>15847.800000000001</v>
      </c>
      <c r="BI29" s="2">
        <f>Table834[[#This Row],[Weight]]*Table834[[#This Row],[Sleep]]</f>
        <v>2078.4</v>
      </c>
      <c r="BJ29" s="2">
        <f>Table834[[#This Row],[Weight]]*Table834[[#This Row],[BMI]]</f>
        <v>9683.6155346938776</v>
      </c>
      <c r="BK29" s="2">
        <f>Table834[[#This Row],[Weight]]*Table834[[#This Row],[CBF]]</f>
        <v>8312.963608236465</v>
      </c>
      <c r="BL29" s="2">
        <f>Table834[[#This Row],[Weight]]*Table834[[#This Row],[Gym]]</f>
        <v>259.8</v>
      </c>
      <c r="BM29" s="2">
        <f>Table834[[#This Row],[Weight]]*Table834[[#This Row],[Cardio]]</f>
        <v>259.8</v>
      </c>
      <c r="BN29" s="2">
        <f>Table834[[#This Row],[Weight]]*Table834[[#This Row],[Calories]]</f>
        <v>356725.31799999997</v>
      </c>
      <c r="BO29" s="2">
        <f>Table834[[#This Row],[Weight]]*Table834[[#This Row],[Carbs]]</f>
        <v>39079.592299999997</v>
      </c>
      <c r="BP29" s="2">
        <f>Table834[[#This Row],[Weight]]*Table834[[#This Row],[Fat ]]</f>
        <v>14758.891600000001</v>
      </c>
      <c r="BQ29" s="2">
        <f>Table834[[#This Row],[Weight]]*Table834[[#This Row],[Protein]]</f>
        <v>15155.822699999999</v>
      </c>
      <c r="BR29" s="2">
        <f>Table834[[#This Row],[Weight]]*Table834[[#This Row],[Fiber]]</f>
        <v>5994.7983999999988</v>
      </c>
      <c r="BS29" s="2">
        <f>Table834[[#This Row],[Weight]]*Table834[[#This Row],[Sugar]]</f>
        <v>8511.1346000000012</v>
      </c>
      <c r="BT29" s="2">
        <f>Table834[[#This Row],[Weight]]*Table834[[#This Row],[Servings]]</f>
        <v>4780.32</v>
      </c>
      <c r="BU29" s="2">
        <f>Table834[[#This Row],[Weight]]*Table834[[#This Row],[Water]]</f>
        <v>259.8</v>
      </c>
      <c r="BV29" s="2">
        <f>Table834[[#This Row],[Weight]]*Table834[[#This Row],[Fat Calories]]</f>
        <v>132830.02440000002</v>
      </c>
      <c r="BW29" s="2">
        <f>Table834[[#This Row],[Waist]]*Table834[[#This Row],[Neck]]</f>
        <v>765</v>
      </c>
      <c r="BX29" s="2">
        <f>Table834[[#This Row],[Waist]]*Table834[[#This Row],[Morning Body Temp]]</f>
        <v>4342.5</v>
      </c>
      <c r="BY29" s="2">
        <f>Table834[[#This Row],[Waist]]*Table834[[#This Row],[Morning Systolic Pressure]]</f>
        <v>6210</v>
      </c>
      <c r="BZ29" s="2">
        <f>Table834[[#This Row],[Waist]]*Table834[[#This Row],[Morning Diastolic Pressure]]</f>
        <v>3330</v>
      </c>
      <c r="CA29" s="2">
        <f>Table834[[#This Row],[Waist]]*Table834[[#This Row],[Morning Pulse]]</f>
        <v>3285</v>
      </c>
      <c r="CB29" s="2">
        <f>Table834[[#This Row],[Waist]]*Table834[[#This Row],[Night Body Temp]]</f>
        <v>4369.5</v>
      </c>
      <c r="CC29" s="2">
        <f>Table834[[#This Row],[Waist]]*Table834[[#This Row],[Night Systolic Pressure]]</f>
        <v>6210</v>
      </c>
      <c r="CD29" s="4">
        <f>Table83[[#This Row],[Waist]]*Table83[[#This Row],[Night Diastolic Pressure]]</f>
        <v>3285</v>
      </c>
      <c r="CE29" s="2">
        <f>Table834[[#This Row],[Waist]]*Table834[[#This Row],[Night Pulse]]</f>
        <v>2745</v>
      </c>
      <c r="CF29" s="2">
        <f>Table834[[#This Row],[Waist]]*Table834[[#This Row],[Sleep]]</f>
        <v>360</v>
      </c>
      <c r="CG29" s="2">
        <f>Table834[[#This Row],[Waist]]*Table834[[#This Row],[BMI]]</f>
        <v>1677.300612244898</v>
      </c>
      <c r="CH29" s="2">
        <f>Table834[[#This Row],[Waist]]*Table834[[#This Row],[CBF]]</f>
        <v>1439.8897704797573</v>
      </c>
      <c r="CI29" s="2">
        <f>Table834[[#This Row],[Waist]]*Table834[[#This Row],[Gym]]</f>
        <v>45</v>
      </c>
      <c r="CJ29" s="2">
        <f>Table834[[#This Row],[Waist]]*Table834[[#This Row],[Cardio]]</f>
        <v>45</v>
      </c>
      <c r="CK29" s="2">
        <f>Table834[[#This Row],[Waist]]*Table834[[#This Row],[Calories]]</f>
        <v>61788.45</v>
      </c>
      <c r="CL29" s="2">
        <f>Table834[[#This Row],[Waist]]*Table834[[#This Row],[Carbs]]</f>
        <v>6768.9825000000001</v>
      </c>
      <c r="CM29" s="2">
        <f>Table834[[#This Row],[Waist]]*Table834[[#This Row],[Fat ]]</f>
        <v>2556.39</v>
      </c>
      <c r="CN29" s="2">
        <f>Table834[[#This Row],[Waist]]*Table834[[#This Row],[Protein]]</f>
        <v>2625.1424999999999</v>
      </c>
      <c r="CO29" s="2">
        <f>Table834[[#This Row],[Waist]]*Table834[[#This Row],[Fiber]]</f>
        <v>1038.3599999999999</v>
      </c>
      <c r="CP29" s="2">
        <f>Table834[[#This Row],[Waist]]*Table834[[#This Row],[Sugar]]</f>
        <v>1474.2150000000001</v>
      </c>
      <c r="CQ29" s="2">
        <f>Table834[[#This Row],[Waist]]*Table834[[#This Row],[Servings]]</f>
        <v>827.99999999999989</v>
      </c>
      <c r="CR29" s="2">
        <f>Table834[[#This Row],[Waist]]*Table834[[#This Row],[Water]]</f>
        <v>45</v>
      </c>
      <c r="CS29" s="2">
        <f>Table834[[#This Row],[Waist]]*Table834[[#This Row],[Fat Calories]]</f>
        <v>23007.510000000002</v>
      </c>
    </row>
    <row r="30" spans="1:97" x14ac:dyDescent="0.25">
      <c r="A30" s="2">
        <v>259</v>
      </c>
      <c r="B30" s="2">
        <f>Table834[[#This Row],[Weight]]^2</f>
        <v>67081</v>
      </c>
      <c r="C30" s="2">
        <v>45</v>
      </c>
      <c r="D30" s="2">
        <f>Table834[[#This Row],[Waist]]^2</f>
        <v>2025</v>
      </c>
      <c r="E30" s="2">
        <v>17</v>
      </c>
      <c r="F30" s="2">
        <f>Table834[[#This Row],[Neck]]^2</f>
        <v>289</v>
      </c>
      <c r="G30" s="2">
        <v>96.3</v>
      </c>
      <c r="H30" s="2">
        <f>Table834[[#This Row],[Morning Body Temp]]^2</f>
        <v>9273.6899999999987</v>
      </c>
      <c r="I30" s="2">
        <v>112</v>
      </c>
      <c r="J30" s="2">
        <f>Table834[[#This Row],[Morning Systolic Pressure]]^2</f>
        <v>12544</v>
      </c>
      <c r="K30" s="2">
        <v>68</v>
      </c>
      <c r="L30" s="2">
        <f>Table834[[#This Row],[Morning Diastolic Pressure]]^2</f>
        <v>4624</v>
      </c>
      <c r="M30" s="2">
        <v>61</v>
      </c>
      <c r="N30" s="2">
        <f>Table834[[#This Row],[Morning Pulse]]^2</f>
        <v>3721</v>
      </c>
      <c r="O30" s="2">
        <v>96.2</v>
      </c>
      <c r="P30" s="2">
        <f>Table834[[#This Row],[Night Body Temp]]^2</f>
        <v>9254.44</v>
      </c>
      <c r="Q30" s="2">
        <v>132</v>
      </c>
      <c r="R30" s="2">
        <f>Table834[[#This Row],[Night Systolic Pressure]]^2</f>
        <v>17424</v>
      </c>
      <c r="S30" s="2">
        <v>73</v>
      </c>
      <c r="T30" s="2">
        <f>Table834[[#This Row],[Night Diastolic Pressure]]^2</f>
        <v>5329</v>
      </c>
      <c r="U30" s="2">
        <v>62</v>
      </c>
      <c r="V30" s="2">
        <f>Table834[[#This Row],[Night Pulse]]^2</f>
        <v>3844</v>
      </c>
      <c r="W30" s="2">
        <v>5</v>
      </c>
      <c r="X30" s="2">
        <f>Table834[[#This Row],[Sleep]]^2</f>
        <v>25</v>
      </c>
      <c r="Y30" s="2">
        <f t="shared" si="1"/>
        <v>37.158571428571427</v>
      </c>
      <c r="Z30" s="2">
        <f>Table834[[#This Row],[BMI]]^2</f>
        <v>1380.7594306122448</v>
      </c>
      <c r="AA30" s="2">
        <f t="shared" si="0"/>
        <v>31.997550455105717</v>
      </c>
      <c r="AB30" s="2">
        <f>Table834[[#This Row],[CBF]]^2</f>
        <v>1023.8432351270361</v>
      </c>
      <c r="AC30" s="2">
        <v>0</v>
      </c>
      <c r="AD30" s="2">
        <f>Table834[[#This Row],[Gym]]^2</f>
        <v>0</v>
      </c>
      <c r="AE30" s="2">
        <v>0</v>
      </c>
      <c r="AF30" s="2">
        <f>Table834[[#This Row],[Cardio]]^2</f>
        <v>0</v>
      </c>
      <c r="AG30" s="2">
        <v>1208.0766666666666</v>
      </c>
      <c r="AH30" s="2">
        <f>Table834[[#This Row],[Calories]]^2</f>
        <v>1459449.2325444443</v>
      </c>
      <c r="AI30" s="2">
        <v>172.42183333333332</v>
      </c>
      <c r="AJ30" s="2">
        <f>Table834[[#This Row],[Carbs]]^2</f>
        <v>29729.288610027776</v>
      </c>
      <c r="AK30" s="2">
        <v>31.808666666666667</v>
      </c>
      <c r="AL30" s="2">
        <f>Table834[[#This Row],[Fat ]]^2</f>
        <v>1011.7912751111112</v>
      </c>
      <c r="AM30" s="2">
        <v>53.336499999999994</v>
      </c>
      <c r="AN30" s="2">
        <f>Table834[[#This Row],[Protein]]^2</f>
        <v>2844.7822322499992</v>
      </c>
      <c r="AO30" s="2">
        <v>17.074666666666666</v>
      </c>
      <c r="AP30" s="2">
        <f>Table834[[#This Row],[Fiber]]^2</f>
        <v>291.54424177777776</v>
      </c>
      <c r="AQ30" s="2">
        <v>96.760333333333335</v>
      </c>
      <c r="AR30" s="2">
        <f>Table834[[#This Row],[Sugar]]^2</f>
        <v>9362.5621067777774</v>
      </c>
      <c r="AS30" s="2">
        <v>15.4</v>
      </c>
      <c r="AT30" s="2">
        <f>Table834[[#This Row],[Servings]]^2</f>
        <v>237.16000000000003</v>
      </c>
      <c r="AU30" s="2">
        <v>1</v>
      </c>
      <c r="AV30" s="2">
        <f>Table834[[#This Row],[Water]]^2</f>
        <v>1</v>
      </c>
      <c r="AW30" s="2">
        <v>286.27800000000008</v>
      </c>
      <c r="AX30" s="2">
        <f>Table834[[#This Row],[Fat Calories]]^2</f>
        <v>81955.093284000046</v>
      </c>
      <c r="AY30" s="3">
        <f>Table834[[#This Row],[Weight]]*Table834[[#This Row],[Waist]]</f>
        <v>11655</v>
      </c>
      <c r="AZ30" s="4">
        <f>Table834[[#This Row],[Weight]]*Table834[[#This Row],[Neck]]</f>
        <v>4403</v>
      </c>
      <c r="BA30" s="4">
        <f>Table834[[#This Row],[Weight]]*Table834[[#This Row],[Morning Body Temp]]</f>
        <v>24941.7</v>
      </c>
      <c r="BB30" s="4">
        <f>Table834[[#This Row],[Weight]]*Table834[[#This Row],[Morning Systolic Pressure]]</f>
        <v>29008</v>
      </c>
      <c r="BC30" s="11">
        <f>Table834[[#This Row],[Weight]]*Table834[[#This Row],[Morning Diastolic Pressure]]</f>
        <v>17612</v>
      </c>
      <c r="BD30" s="2">
        <f>Table834[[#This Row],[Weight]]*Table834[[#This Row],[Morning Pulse]]</f>
        <v>15799</v>
      </c>
      <c r="BE30" s="2">
        <f>Table834[[#This Row],[Weight]]*Table834[[#This Row],[Night Body Temp]]</f>
        <v>24915.8</v>
      </c>
      <c r="BF30" s="2">
        <f>Table834[[#This Row],[Weight]]*Table834[[#This Row],[Night Systolic Pressure]]</f>
        <v>34188</v>
      </c>
      <c r="BG30" s="4">
        <f>Table83[[#This Row],[Weight]]*Table83[[#This Row],[Night Diastolic Pressure]]</f>
        <v>18907</v>
      </c>
      <c r="BH30" s="2">
        <f>Table834[[#This Row],[Weight]]*Table834[[#This Row],[Night Pulse]]</f>
        <v>16058</v>
      </c>
      <c r="BI30" s="2">
        <f>Table834[[#This Row],[Weight]]*Table834[[#This Row],[Sleep]]</f>
        <v>1295</v>
      </c>
      <c r="BJ30" s="2">
        <f>Table834[[#This Row],[Weight]]*Table834[[#This Row],[BMI]]</f>
        <v>9624.07</v>
      </c>
      <c r="BK30" s="2">
        <f>Table834[[#This Row],[Weight]]*Table834[[#This Row],[CBF]]</f>
        <v>8287.3655678723808</v>
      </c>
      <c r="BL30" s="2">
        <f>Table834[[#This Row],[Weight]]*Table834[[#This Row],[Gym]]</f>
        <v>0</v>
      </c>
      <c r="BM30" s="2">
        <f>Table834[[#This Row],[Weight]]*Table834[[#This Row],[Cardio]]</f>
        <v>0</v>
      </c>
      <c r="BN30" s="2">
        <f>Table834[[#This Row],[Weight]]*Table834[[#This Row],[Calories]]</f>
        <v>312891.85666666663</v>
      </c>
      <c r="BO30" s="2">
        <f>Table834[[#This Row],[Weight]]*Table834[[#This Row],[Carbs]]</f>
        <v>44657.254833333332</v>
      </c>
      <c r="BP30" s="2">
        <f>Table834[[#This Row],[Weight]]*Table834[[#This Row],[Fat ]]</f>
        <v>8238.4446666666663</v>
      </c>
      <c r="BQ30" s="2">
        <f>Table834[[#This Row],[Weight]]*Table834[[#This Row],[Protein]]</f>
        <v>13814.153499999999</v>
      </c>
      <c r="BR30" s="2">
        <f>Table834[[#This Row],[Weight]]*Table834[[#This Row],[Fiber]]</f>
        <v>4422.3386666666665</v>
      </c>
      <c r="BS30" s="2">
        <f>Table834[[#This Row],[Weight]]*Table834[[#This Row],[Sugar]]</f>
        <v>25060.926333333333</v>
      </c>
      <c r="BT30" s="2">
        <f>Table834[[#This Row],[Weight]]*Table834[[#This Row],[Servings]]</f>
        <v>3988.6</v>
      </c>
      <c r="BU30" s="2">
        <f>Table834[[#This Row],[Weight]]*Table834[[#This Row],[Water]]</f>
        <v>259</v>
      </c>
      <c r="BV30" s="2">
        <f>Table834[[#This Row],[Weight]]*Table834[[#This Row],[Fat Calories]]</f>
        <v>74146.002000000022</v>
      </c>
      <c r="BW30" s="2">
        <f>Table834[[#This Row],[Waist]]*Table834[[#This Row],[Neck]]</f>
        <v>765</v>
      </c>
      <c r="BX30" s="2">
        <f>Table834[[#This Row],[Waist]]*Table834[[#This Row],[Morning Body Temp]]</f>
        <v>4333.5</v>
      </c>
      <c r="BY30" s="2">
        <f>Table834[[#This Row],[Waist]]*Table834[[#This Row],[Morning Systolic Pressure]]</f>
        <v>5040</v>
      </c>
      <c r="BZ30" s="2">
        <f>Table834[[#This Row],[Waist]]*Table834[[#This Row],[Morning Diastolic Pressure]]</f>
        <v>3060</v>
      </c>
      <c r="CA30" s="2">
        <f>Table834[[#This Row],[Waist]]*Table834[[#This Row],[Morning Pulse]]</f>
        <v>2745</v>
      </c>
      <c r="CB30" s="2">
        <f>Table834[[#This Row],[Waist]]*Table834[[#This Row],[Night Body Temp]]</f>
        <v>4329</v>
      </c>
      <c r="CC30" s="2">
        <f>Table834[[#This Row],[Waist]]*Table834[[#This Row],[Night Systolic Pressure]]</f>
        <v>5940</v>
      </c>
      <c r="CD30" s="4">
        <f>Table83[[#This Row],[Waist]]*Table83[[#This Row],[Night Diastolic Pressure]]</f>
        <v>3285</v>
      </c>
      <c r="CE30" s="2">
        <f>Table834[[#This Row],[Waist]]*Table834[[#This Row],[Night Pulse]]</f>
        <v>2790</v>
      </c>
      <c r="CF30" s="2">
        <f>Table834[[#This Row],[Waist]]*Table834[[#This Row],[Sleep]]</f>
        <v>225</v>
      </c>
      <c r="CG30" s="2">
        <f>Table834[[#This Row],[Waist]]*Table834[[#This Row],[BMI]]</f>
        <v>1672.1357142857141</v>
      </c>
      <c r="CH30" s="2">
        <f>Table834[[#This Row],[Waist]]*Table834[[#This Row],[CBF]]</f>
        <v>1439.8897704797573</v>
      </c>
      <c r="CI30" s="2">
        <f>Table834[[#This Row],[Waist]]*Table834[[#This Row],[Gym]]</f>
        <v>0</v>
      </c>
      <c r="CJ30" s="2">
        <f>Table834[[#This Row],[Waist]]*Table834[[#This Row],[Cardio]]</f>
        <v>0</v>
      </c>
      <c r="CK30" s="2">
        <f>Table834[[#This Row],[Waist]]*Table834[[#This Row],[Calories]]</f>
        <v>54363.45</v>
      </c>
      <c r="CL30" s="2">
        <f>Table834[[#This Row],[Waist]]*Table834[[#This Row],[Carbs]]</f>
        <v>7758.9825000000001</v>
      </c>
      <c r="CM30" s="2">
        <f>Table834[[#This Row],[Waist]]*Table834[[#This Row],[Fat ]]</f>
        <v>1431.39</v>
      </c>
      <c r="CN30" s="2">
        <f>Table834[[#This Row],[Waist]]*Table834[[#This Row],[Protein]]</f>
        <v>2400.1424999999999</v>
      </c>
      <c r="CO30" s="2">
        <f>Table834[[#This Row],[Waist]]*Table834[[#This Row],[Fiber]]</f>
        <v>768.3599999999999</v>
      </c>
      <c r="CP30" s="2">
        <f>Table834[[#This Row],[Waist]]*Table834[[#This Row],[Sugar]]</f>
        <v>4354.2150000000001</v>
      </c>
      <c r="CQ30" s="2">
        <f>Table834[[#This Row],[Waist]]*Table834[[#This Row],[Servings]]</f>
        <v>693</v>
      </c>
      <c r="CR30" s="2">
        <f>Table834[[#This Row],[Waist]]*Table834[[#This Row],[Water]]</f>
        <v>45</v>
      </c>
      <c r="CS30" s="2">
        <f>Table834[[#This Row],[Waist]]*Table834[[#This Row],[Fat Calories]]</f>
        <v>12882.510000000004</v>
      </c>
    </row>
    <row r="31" spans="1:97" x14ac:dyDescent="0.25">
      <c r="A31" s="2">
        <v>258.2</v>
      </c>
      <c r="B31" s="2">
        <f>Table834[[#This Row],[Weight]]^2</f>
        <v>66667.239999999991</v>
      </c>
      <c r="C31" s="2">
        <v>45</v>
      </c>
      <c r="D31" s="2">
        <f>Table834[[#This Row],[Waist]]^2</f>
        <v>2025</v>
      </c>
      <c r="E31" s="2">
        <v>17</v>
      </c>
      <c r="F31" s="2">
        <f>Table834[[#This Row],[Neck]]^2</f>
        <v>289</v>
      </c>
      <c r="G31" s="2">
        <v>96.1</v>
      </c>
      <c r="H31" s="2">
        <f>Table834[[#This Row],[Morning Body Temp]]^2</f>
        <v>9235.2099999999991</v>
      </c>
      <c r="I31" s="2">
        <v>134</v>
      </c>
      <c r="J31" s="2">
        <f>Table834[[#This Row],[Morning Systolic Pressure]]^2</f>
        <v>17956</v>
      </c>
      <c r="K31" s="2">
        <v>76</v>
      </c>
      <c r="L31" s="2">
        <f>Table834[[#This Row],[Morning Diastolic Pressure]]^2</f>
        <v>5776</v>
      </c>
      <c r="M31" s="2">
        <v>72</v>
      </c>
      <c r="N31" s="2">
        <f>Table834[[#This Row],[Morning Pulse]]^2</f>
        <v>5184</v>
      </c>
      <c r="O31" s="2">
        <v>97.2</v>
      </c>
      <c r="P31" s="2">
        <f>Table834[[#This Row],[Night Body Temp]]^2</f>
        <v>9447.84</v>
      </c>
      <c r="Q31" s="2">
        <v>134</v>
      </c>
      <c r="R31" s="2">
        <f>Table834[[#This Row],[Night Systolic Pressure]]^2</f>
        <v>17956</v>
      </c>
      <c r="S31" s="2">
        <v>71</v>
      </c>
      <c r="T31" s="2">
        <f>Table834[[#This Row],[Night Diastolic Pressure]]^2</f>
        <v>5041</v>
      </c>
      <c r="U31" s="2">
        <v>71</v>
      </c>
      <c r="V31" s="2">
        <f>Table834[[#This Row],[Night Pulse]]^2</f>
        <v>5041</v>
      </c>
      <c r="W31" s="2">
        <v>10</v>
      </c>
      <c r="X31" s="2">
        <f>Table834[[#This Row],[Sleep]]^2</f>
        <v>100</v>
      </c>
      <c r="Y31" s="2">
        <f t="shared" si="1"/>
        <v>37.043795918367344</v>
      </c>
      <c r="Z31" s="2">
        <f>Table834[[#This Row],[BMI]]^2</f>
        <v>1372.2428160416491</v>
      </c>
      <c r="AA31" s="2">
        <f t="shared" si="0"/>
        <v>31.997550455105717</v>
      </c>
      <c r="AB31" s="2">
        <f>Table834[[#This Row],[CBF]]^2</f>
        <v>1023.8432351270361</v>
      </c>
      <c r="AC31" s="2">
        <v>1</v>
      </c>
      <c r="AD31" s="2">
        <f>Table834[[#This Row],[Gym]]^2</f>
        <v>1</v>
      </c>
      <c r="AE31" s="2">
        <v>1</v>
      </c>
      <c r="AF31" s="2">
        <f>Table834[[#This Row],[Cardio]]^2</f>
        <v>1</v>
      </c>
      <c r="AG31" s="2">
        <v>1084.4850000000001</v>
      </c>
      <c r="AH31" s="2">
        <f>Table834[[#This Row],[Calories]]^2</f>
        <v>1176107.7152250002</v>
      </c>
      <c r="AI31" s="2">
        <v>112.8995</v>
      </c>
      <c r="AJ31" s="2">
        <f>Table834[[#This Row],[Carbs]]^2</f>
        <v>12746.29710025</v>
      </c>
      <c r="AK31" s="2">
        <v>44.83</v>
      </c>
      <c r="AL31" s="2">
        <f>Table834[[#This Row],[Fat ]]^2</f>
        <v>2009.7288999999998</v>
      </c>
      <c r="AM31" s="2">
        <v>55.384499999999996</v>
      </c>
      <c r="AN31" s="2">
        <f>Table834[[#This Row],[Protein]]^2</f>
        <v>3067.4428402499993</v>
      </c>
      <c r="AO31" s="2">
        <v>3.8554999999999993</v>
      </c>
      <c r="AP31" s="2">
        <f>Table834[[#This Row],[Fiber]]^2</f>
        <v>14.864880249999993</v>
      </c>
      <c r="AQ31" s="2">
        <v>41.361499999999992</v>
      </c>
      <c r="AR31" s="2">
        <f>Table834[[#This Row],[Sugar]]^2</f>
        <v>1710.7736822499994</v>
      </c>
      <c r="AS31" s="2">
        <v>7</v>
      </c>
      <c r="AT31" s="2">
        <f>Table834[[#This Row],[Servings]]^2</f>
        <v>49</v>
      </c>
      <c r="AU31" s="2">
        <v>1.5</v>
      </c>
      <c r="AV31" s="2">
        <f>Table834[[#This Row],[Water]]^2</f>
        <v>2.25</v>
      </c>
      <c r="AW31" s="2">
        <v>403.46999999999997</v>
      </c>
      <c r="AX31" s="2">
        <f>Table834[[#This Row],[Fat Calories]]^2</f>
        <v>162788.04089999996</v>
      </c>
      <c r="AY31" s="5">
        <f>Table834[[#This Row],[Weight]]*Table834[[#This Row],[Waist]]</f>
        <v>11619</v>
      </c>
      <c r="AZ31" s="6">
        <f>Table834[[#This Row],[Weight]]*Table834[[#This Row],[Neck]]</f>
        <v>4389.3999999999996</v>
      </c>
      <c r="BA31" s="6">
        <f>Table834[[#This Row],[Weight]]*Table834[[#This Row],[Morning Body Temp]]</f>
        <v>24813.019999999997</v>
      </c>
      <c r="BB31" s="6">
        <f>Table834[[#This Row],[Weight]]*Table834[[#This Row],[Morning Systolic Pressure]]</f>
        <v>34598.799999999996</v>
      </c>
      <c r="BC31" s="12">
        <f>Table834[[#This Row],[Weight]]*Table834[[#This Row],[Morning Diastolic Pressure]]</f>
        <v>19623.2</v>
      </c>
      <c r="BD31" s="2">
        <f>Table834[[#This Row],[Weight]]*Table834[[#This Row],[Morning Pulse]]</f>
        <v>18590.399999999998</v>
      </c>
      <c r="BE31" s="2">
        <f>Table834[[#This Row],[Weight]]*Table834[[#This Row],[Night Body Temp]]</f>
        <v>25097.040000000001</v>
      </c>
      <c r="BF31" s="2">
        <f>Table834[[#This Row],[Weight]]*Table834[[#This Row],[Night Systolic Pressure]]</f>
        <v>34598.799999999996</v>
      </c>
      <c r="BG31" s="4">
        <f>Table83[[#This Row],[Weight]]*Table83[[#This Row],[Night Diastolic Pressure]]</f>
        <v>18332.2</v>
      </c>
      <c r="BH31" s="2">
        <f>Table834[[#This Row],[Weight]]*Table834[[#This Row],[Night Pulse]]</f>
        <v>18332.2</v>
      </c>
      <c r="BI31" s="2">
        <f>Table834[[#This Row],[Weight]]*Table834[[#This Row],[Sleep]]</f>
        <v>2582</v>
      </c>
      <c r="BJ31" s="2">
        <f>Table834[[#This Row],[Weight]]*Table834[[#This Row],[BMI]]</f>
        <v>9564.7081061224471</v>
      </c>
      <c r="BK31" s="2">
        <f>Table834[[#This Row],[Weight]]*Table834[[#This Row],[CBF]]</f>
        <v>8261.7675275082966</v>
      </c>
      <c r="BL31" s="2">
        <f>Table834[[#This Row],[Weight]]*Table834[[#This Row],[Gym]]</f>
        <v>258.2</v>
      </c>
      <c r="BM31" s="2">
        <f>Table834[[#This Row],[Weight]]*Table834[[#This Row],[Cardio]]</f>
        <v>258.2</v>
      </c>
      <c r="BN31" s="2">
        <f>Table834[[#This Row],[Weight]]*Table834[[#This Row],[Calories]]</f>
        <v>280014.027</v>
      </c>
      <c r="BO31" s="2">
        <f>Table834[[#This Row],[Weight]]*Table834[[#This Row],[Carbs]]</f>
        <v>29150.650900000001</v>
      </c>
      <c r="BP31" s="2">
        <f>Table834[[#This Row],[Weight]]*Table834[[#This Row],[Fat ]]</f>
        <v>11575.106</v>
      </c>
      <c r="BQ31" s="2">
        <f>Table834[[#This Row],[Weight]]*Table834[[#This Row],[Protein]]</f>
        <v>14300.277899999999</v>
      </c>
      <c r="BR31" s="2">
        <f>Table834[[#This Row],[Weight]]*Table834[[#This Row],[Fiber]]</f>
        <v>995.49009999999976</v>
      </c>
      <c r="BS31" s="2">
        <f>Table834[[#This Row],[Weight]]*Table834[[#This Row],[Sugar]]</f>
        <v>10679.539299999997</v>
      </c>
      <c r="BT31" s="2">
        <f>Table834[[#This Row],[Weight]]*Table834[[#This Row],[Servings]]</f>
        <v>1807.3999999999999</v>
      </c>
      <c r="BU31" s="2">
        <f>Table834[[#This Row],[Weight]]*Table834[[#This Row],[Water]]</f>
        <v>387.29999999999995</v>
      </c>
      <c r="BV31" s="2">
        <f>Table834[[#This Row],[Weight]]*Table834[[#This Row],[Fat Calories]]</f>
        <v>104175.95399999998</v>
      </c>
      <c r="BW31" s="2">
        <f>Table834[[#This Row],[Waist]]*Table834[[#This Row],[Neck]]</f>
        <v>765</v>
      </c>
      <c r="BX31" s="2">
        <f>Table834[[#This Row],[Waist]]*Table834[[#This Row],[Morning Body Temp]]</f>
        <v>4324.5</v>
      </c>
      <c r="BY31" s="2">
        <f>Table834[[#This Row],[Waist]]*Table834[[#This Row],[Morning Systolic Pressure]]</f>
        <v>6030</v>
      </c>
      <c r="BZ31" s="2">
        <f>Table834[[#This Row],[Waist]]*Table834[[#This Row],[Morning Diastolic Pressure]]</f>
        <v>3420</v>
      </c>
      <c r="CA31" s="2">
        <f>Table834[[#This Row],[Waist]]*Table834[[#This Row],[Morning Pulse]]</f>
        <v>3240</v>
      </c>
      <c r="CB31" s="2">
        <f>Table834[[#This Row],[Waist]]*Table834[[#This Row],[Night Body Temp]]</f>
        <v>4374</v>
      </c>
      <c r="CC31" s="2">
        <f>Table834[[#This Row],[Waist]]*Table834[[#This Row],[Night Systolic Pressure]]</f>
        <v>6030</v>
      </c>
      <c r="CD31" s="4">
        <f>Table83[[#This Row],[Waist]]*Table83[[#This Row],[Night Diastolic Pressure]]</f>
        <v>3195</v>
      </c>
      <c r="CE31" s="2">
        <f>Table834[[#This Row],[Waist]]*Table834[[#This Row],[Night Pulse]]</f>
        <v>3195</v>
      </c>
      <c r="CF31" s="2">
        <f>Table834[[#This Row],[Waist]]*Table834[[#This Row],[Sleep]]</f>
        <v>450</v>
      </c>
      <c r="CG31" s="2">
        <f>Table834[[#This Row],[Waist]]*Table834[[#This Row],[BMI]]</f>
        <v>1666.9708163265304</v>
      </c>
      <c r="CH31" s="2">
        <f>Table834[[#This Row],[Waist]]*Table834[[#This Row],[CBF]]</f>
        <v>1439.8897704797573</v>
      </c>
      <c r="CI31" s="2">
        <f>Table834[[#This Row],[Waist]]*Table834[[#This Row],[Gym]]</f>
        <v>45</v>
      </c>
      <c r="CJ31" s="2">
        <f>Table834[[#This Row],[Waist]]*Table834[[#This Row],[Cardio]]</f>
        <v>45</v>
      </c>
      <c r="CK31" s="2">
        <f>Table834[[#This Row],[Waist]]*Table834[[#This Row],[Calories]]</f>
        <v>48801.825000000004</v>
      </c>
      <c r="CL31" s="2">
        <f>Table834[[#This Row],[Waist]]*Table834[[#This Row],[Carbs]]</f>
        <v>5080.4775</v>
      </c>
      <c r="CM31" s="2">
        <f>Table834[[#This Row],[Waist]]*Table834[[#This Row],[Fat ]]</f>
        <v>2017.35</v>
      </c>
      <c r="CN31" s="2">
        <f>Table834[[#This Row],[Waist]]*Table834[[#This Row],[Protein]]</f>
        <v>2492.3024999999998</v>
      </c>
      <c r="CO31" s="2">
        <f>Table834[[#This Row],[Waist]]*Table834[[#This Row],[Fiber]]</f>
        <v>173.49749999999997</v>
      </c>
      <c r="CP31" s="2">
        <f>Table834[[#This Row],[Waist]]*Table834[[#This Row],[Sugar]]</f>
        <v>1861.2674999999997</v>
      </c>
      <c r="CQ31" s="2">
        <f>Table834[[#This Row],[Waist]]*Table834[[#This Row],[Servings]]</f>
        <v>315</v>
      </c>
      <c r="CR31" s="2">
        <f>Table834[[#This Row],[Waist]]*Table834[[#This Row],[Water]]</f>
        <v>67.5</v>
      </c>
      <c r="CS31" s="2">
        <f>Table834[[#This Row],[Waist]]*Table834[[#This Row],[Fat Calories]]</f>
        <v>18156.149999999998</v>
      </c>
    </row>
    <row r="32" spans="1:97" x14ac:dyDescent="0.25">
      <c r="A32" s="2">
        <v>258</v>
      </c>
      <c r="B32" s="2">
        <f>Table834[[#This Row],[Weight]]^2</f>
        <v>66564</v>
      </c>
      <c r="C32" s="2">
        <v>45</v>
      </c>
      <c r="D32" s="2">
        <f>Table834[[#This Row],[Waist]]^2</f>
        <v>2025</v>
      </c>
      <c r="E32" s="2">
        <v>17</v>
      </c>
      <c r="F32" s="2">
        <f>Table834[[#This Row],[Neck]]^2</f>
        <v>289</v>
      </c>
      <c r="G32" s="2">
        <v>96.8</v>
      </c>
      <c r="H32" s="2">
        <f>Table834[[#This Row],[Morning Body Temp]]^2</f>
        <v>9370.24</v>
      </c>
      <c r="I32" s="2">
        <v>128</v>
      </c>
      <c r="J32" s="2">
        <f>Table834[[#This Row],[Morning Systolic Pressure]]^2</f>
        <v>16384</v>
      </c>
      <c r="K32" s="2">
        <v>70</v>
      </c>
      <c r="L32" s="2">
        <f>Table834[[#This Row],[Morning Diastolic Pressure]]^2</f>
        <v>4900</v>
      </c>
      <c r="M32" s="2">
        <v>70</v>
      </c>
      <c r="N32" s="2">
        <f>Table834[[#This Row],[Morning Pulse]]^2</f>
        <v>4900</v>
      </c>
      <c r="O32" s="2">
        <v>98</v>
      </c>
      <c r="P32" s="2">
        <f>Table834[[#This Row],[Night Body Temp]]^2</f>
        <v>9604</v>
      </c>
      <c r="Q32" s="2">
        <v>125</v>
      </c>
      <c r="R32" s="2">
        <f>Table834[[#This Row],[Night Systolic Pressure]]^2</f>
        <v>15625</v>
      </c>
      <c r="S32" s="2">
        <v>69</v>
      </c>
      <c r="T32" s="2">
        <f>Table834[[#This Row],[Night Diastolic Pressure]]^2</f>
        <v>4761</v>
      </c>
      <c r="U32" s="2">
        <v>69</v>
      </c>
      <c r="V32" s="2">
        <f>Table834[[#This Row],[Night Pulse]]^2</f>
        <v>4761</v>
      </c>
      <c r="W32" s="2">
        <v>10</v>
      </c>
      <c r="X32" s="2">
        <f>Table834[[#This Row],[Sleep]]^2</f>
        <v>100</v>
      </c>
      <c r="Y32" s="2">
        <f t="shared" si="1"/>
        <v>37.015102040816323</v>
      </c>
      <c r="Z32" s="2">
        <f>Table834[[#This Row],[BMI]]^2</f>
        <v>1370.1177790920447</v>
      </c>
      <c r="AA32" s="2">
        <f t="shared" si="0"/>
        <v>31.997550455105717</v>
      </c>
      <c r="AB32" s="2">
        <f>Table834[[#This Row],[CBF]]^2</f>
        <v>1023.8432351270361</v>
      </c>
      <c r="AC32" s="2">
        <v>1</v>
      </c>
      <c r="AD32" s="2">
        <f>Table834[[#This Row],[Gym]]^2</f>
        <v>1</v>
      </c>
      <c r="AE32" s="2">
        <v>1</v>
      </c>
      <c r="AF32" s="2">
        <f>Table834[[#This Row],[Cardio]]^2</f>
        <v>1</v>
      </c>
      <c r="AG32" s="2">
        <v>838.5150000000001</v>
      </c>
      <c r="AH32" s="2">
        <f>Table834[[#This Row],[Calories]]^2</f>
        <v>703107.40522500011</v>
      </c>
      <c r="AI32" s="2">
        <v>90.527500000000003</v>
      </c>
      <c r="AJ32" s="2">
        <f>Table834[[#This Row],[Carbs]]^2</f>
        <v>8195.2282562500004</v>
      </c>
      <c r="AK32" s="2">
        <v>35.345666666666673</v>
      </c>
      <c r="AL32" s="2">
        <f>Table834[[#This Row],[Fat ]]^2</f>
        <v>1249.3161521111115</v>
      </c>
      <c r="AM32" s="2">
        <v>56.428166666666677</v>
      </c>
      <c r="AN32" s="2">
        <f>Table834[[#This Row],[Protein]]^2</f>
        <v>3184.1379933611124</v>
      </c>
      <c r="AO32" s="2">
        <v>29.824666666666666</v>
      </c>
      <c r="AP32" s="2">
        <f>Table834[[#This Row],[Fiber]]^2</f>
        <v>889.51074177777775</v>
      </c>
      <c r="AQ32" s="2">
        <v>23.225166666666667</v>
      </c>
      <c r="AR32" s="2">
        <f>Table834[[#This Row],[Sugar]]^2</f>
        <v>539.40836669444445</v>
      </c>
      <c r="AS32" s="2">
        <v>11</v>
      </c>
      <c r="AT32" s="2">
        <f>Table834[[#This Row],[Servings]]^2</f>
        <v>121</v>
      </c>
      <c r="AU32" s="2">
        <v>1.5</v>
      </c>
      <c r="AV32" s="2">
        <f>Table834[[#This Row],[Water]]^2</f>
        <v>2.25</v>
      </c>
      <c r="AW32" s="2">
        <v>318.11100000000005</v>
      </c>
      <c r="AX32" s="2">
        <f>Table834[[#This Row],[Fat Calories]]^2</f>
        <v>101194.60832100004</v>
      </c>
      <c r="AY32" s="3">
        <f>Table834[[#This Row],[Weight]]*Table834[[#This Row],[Waist]]</f>
        <v>11610</v>
      </c>
      <c r="AZ32" s="4">
        <f>Table834[[#This Row],[Weight]]*Table834[[#This Row],[Neck]]</f>
        <v>4386</v>
      </c>
      <c r="BA32" s="4">
        <f>Table834[[#This Row],[Weight]]*Table834[[#This Row],[Morning Body Temp]]</f>
        <v>24974.399999999998</v>
      </c>
      <c r="BB32" s="4">
        <f>Table834[[#This Row],[Weight]]*Table834[[#This Row],[Morning Systolic Pressure]]</f>
        <v>33024</v>
      </c>
      <c r="BC32" s="11">
        <f>Table834[[#This Row],[Weight]]*Table834[[#This Row],[Morning Diastolic Pressure]]</f>
        <v>18060</v>
      </c>
      <c r="BD32" s="2">
        <f>Table834[[#This Row],[Weight]]*Table834[[#This Row],[Morning Pulse]]</f>
        <v>18060</v>
      </c>
      <c r="BE32" s="2">
        <f>Table834[[#This Row],[Weight]]*Table834[[#This Row],[Night Body Temp]]</f>
        <v>25284</v>
      </c>
      <c r="BF32" s="2">
        <f>Table834[[#This Row],[Weight]]*Table834[[#This Row],[Night Systolic Pressure]]</f>
        <v>32250</v>
      </c>
      <c r="BG32" s="4">
        <f>Table83[[#This Row],[Weight]]*Table83[[#This Row],[Night Diastolic Pressure]]</f>
        <v>17802</v>
      </c>
      <c r="BH32" s="2">
        <f>Table834[[#This Row],[Weight]]*Table834[[#This Row],[Night Pulse]]</f>
        <v>17802</v>
      </c>
      <c r="BI32" s="2">
        <f>Table834[[#This Row],[Weight]]*Table834[[#This Row],[Sleep]]</f>
        <v>2580</v>
      </c>
      <c r="BJ32" s="2">
        <f>Table834[[#This Row],[Weight]]*Table834[[#This Row],[BMI]]</f>
        <v>9549.896326530612</v>
      </c>
      <c r="BK32" s="2">
        <f>Table834[[#This Row],[Weight]]*Table834[[#This Row],[CBF]]</f>
        <v>8255.368017417275</v>
      </c>
      <c r="BL32" s="2">
        <f>Table834[[#This Row],[Weight]]*Table834[[#This Row],[Gym]]</f>
        <v>258</v>
      </c>
      <c r="BM32" s="2">
        <f>Table834[[#This Row],[Weight]]*Table834[[#This Row],[Cardio]]</f>
        <v>258</v>
      </c>
      <c r="BN32" s="2">
        <f>Table834[[#This Row],[Weight]]*Table834[[#This Row],[Calories]]</f>
        <v>216336.87000000002</v>
      </c>
      <c r="BO32" s="2">
        <f>Table834[[#This Row],[Weight]]*Table834[[#This Row],[Carbs]]</f>
        <v>23356.095000000001</v>
      </c>
      <c r="BP32" s="2">
        <f>Table834[[#This Row],[Weight]]*Table834[[#This Row],[Fat ]]</f>
        <v>9119.1820000000025</v>
      </c>
      <c r="BQ32" s="2">
        <f>Table834[[#This Row],[Weight]]*Table834[[#This Row],[Protein]]</f>
        <v>14558.467000000002</v>
      </c>
      <c r="BR32" s="2">
        <f>Table834[[#This Row],[Weight]]*Table834[[#This Row],[Fiber]]</f>
        <v>7694.7640000000001</v>
      </c>
      <c r="BS32" s="2">
        <f>Table834[[#This Row],[Weight]]*Table834[[#This Row],[Sugar]]</f>
        <v>5992.0929999999998</v>
      </c>
      <c r="BT32" s="2">
        <f>Table834[[#This Row],[Weight]]*Table834[[#This Row],[Servings]]</f>
        <v>2838</v>
      </c>
      <c r="BU32" s="2">
        <f>Table834[[#This Row],[Weight]]*Table834[[#This Row],[Water]]</f>
        <v>387</v>
      </c>
      <c r="BV32" s="2">
        <f>Table834[[#This Row],[Weight]]*Table834[[#This Row],[Fat Calories]]</f>
        <v>82072.638000000006</v>
      </c>
      <c r="BW32" s="2">
        <f>Table834[[#This Row],[Waist]]*Table834[[#This Row],[Neck]]</f>
        <v>765</v>
      </c>
      <c r="BX32" s="2">
        <f>Table834[[#This Row],[Waist]]*Table834[[#This Row],[Morning Body Temp]]</f>
        <v>4356</v>
      </c>
      <c r="BY32" s="2">
        <f>Table834[[#This Row],[Waist]]*Table834[[#This Row],[Morning Systolic Pressure]]</f>
        <v>5760</v>
      </c>
      <c r="BZ32" s="2">
        <f>Table834[[#This Row],[Waist]]*Table834[[#This Row],[Morning Diastolic Pressure]]</f>
        <v>3150</v>
      </c>
      <c r="CA32" s="2">
        <f>Table834[[#This Row],[Waist]]*Table834[[#This Row],[Morning Pulse]]</f>
        <v>3150</v>
      </c>
      <c r="CB32" s="2">
        <f>Table834[[#This Row],[Waist]]*Table834[[#This Row],[Night Body Temp]]</f>
        <v>4410</v>
      </c>
      <c r="CC32" s="2">
        <f>Table834[[#This Row],[Waist]]*Table834[[#This Row],[Night Systolic Pressure]]</f>
        <v>5625</v>
      </c>
      <c r="CD32" s="4">
        <f>Table83[[#This Row],[Waist]]*Table83[[#This Row],[Night Diastolic Pressure]]</f>
        <v>3105</v>
      </c>
      <c r="CE32" s="2">
        <f>Table834[[#This Row],[Waist]]*Table834[[#This Row],[Night Pulse]]</f>
        <v>3105</v>
      </c>
      <c r="CF32" s="2">
        <f>Table834[[#This Row],[Waist]]*Table834[[#This Row],[Sleep]]</f>
        <v>450</v>
      </c>
      <c r="CG32" s="2">
        <f>Table834[[#This Row],[Waist]]*Table834[[#This Row],[BMI]]</f>
        <v>1665.6795918367345</v>
      </c>
      <c r="CH32" s="2">
        <f>Table834[[#This Row],[Waist]]*Table834[[#This Row],[CBF]]</f>
        <v>1439.8897704797573</v>
      </c>
      <c r="CI32" s="2">
        <f>Table834[[#This Row],[Waist]]*Table834[[#This Row],[Gym]]</f>
        <v>45</v>
      </c>
      <c r="CJ32" s="2">
        <f>Table834[[#This Row],[Waist]]*Table834[[#This Row],[Cardio]]</f>
        <v>45</v>
      </c>
      <c r="CK32" s="2">
        <f>Table834[[#This Row],[Waist]]*Table834[[#This Row],[Calories]]</f>
        <v>37733.175000000003</v>
      </c>
      <c r="CL32" s="2">
        <f>Table834[[#This Row],[Waist]]*Table834[[#This Row],[Carbs]]</f>
        <v>4073.7375000000002</v>
      </c>
      <c r="CM32" s="2">
        <f>Table834[[#This Row],[Waist]]*Table834[[#This Row],[Fat ]]</f>
        <v>1590.5550000000003</v>
      </c>
      <c r="CN32" s="2">
        <f>Table834[[#This Row],[Waist]]*Table834[[#This Row],[Protein]]</f>
        <v>2539.2675000000004</v>
      </c>
      <c r="CO32" s="2">
        <f>Table834[[#This Row],[Waist]]*Table834[[#This Row],[Fiber]]</f>
        <v>1342.11</v>
      </c>
      <c r="CP32" s="2">
        <f>Table834[[#This Row],[Waist]]*Table834[[#This Row],[Sugar]]</f>
        <v>1045.1324999999999</v>
      </c>
      <c r="CQ32" s="2">
        <f>Table834[[#This Row],[Waist]]*Table834[[#This Row],[Servings]]</f>
        <v>495</v>
      </c>
      <c r="CR32" s="2">
        <f>Table834[[#This Row],[Waist]]*Table834[[#This Row],[Water]]</f>
        <v>67.5</v>
      </c>
      <c r="CS32" s="2">
        <f>Table834[[#This Row],[Waist]]*Table834[[#This Row],[Fat Calories]]</f>
        <v>14314.995000000003</v>
      </c>
    </row>
    <row r="33" spans="1:97" x14ac:dyDescent="0.25">
      <c r="A33" s="2">
        <v>256</v>
      </c>
      <c r="B33" s="2">
        <f>Table834[[#This Row],[Weight]]^2</f>
        <v>65536</v>
      </c>
      <c r="C33" s="2">
        <v>45</v>
      </c>
      <c r="D33" s="2">
        <f>Table834[[#This Row],[Waist]]^2</f>
        <v>2025</v>
      </c>
      <c r="E33" s="2">
        <v>17</v>
      </c>
      <c r="F33" s="2">
        <f>Table834[[#This Row],[Neck]]^2</f>
        <v>289</v>
      </c>
      <c r="G33" s="2">
        <v>96.4</v>
      </c>
      <c r="H33" s="2">
        <f>Table834[[#This Row],[Morning Body Temp]]^2</f>
        <v>9292.9600000000009</v>
      </c>
      <c r="I33" s="2">
        <v>120</v>
      </c>
      <c r="J33" s="2">
        <f>Table834[[#This Row],[Morning Systolic Pressure]]^2</f>
        <v>14400</v>
      </c>
      <c r="K33" s="2">
        <v>71</v>
      </c>
      <c r="L33" s="2">
        <f>Table834[[#This Row],[Morning Diastolic Pressure]]^2</f>
        <v>5041</v>
      </c>
      <c r="M33" s="2">
        <v>70</v>
      </c>
      <c r="N33" s="2">
        <f>Table834[[#This Row],[Morning Pulse]]^2</f>
        <v>4900</v>
      </c>
      <c r="O33" s="2">
        <v>96.5</v>
      </c>
      <c r="P33" s="2">
        <f>Table834[[#This Row],[Night Body Temp]]^2</f>
        <v>9312.25</v>
      </c>
      <c r="Q33" s="2">
        <v>122</v>
      </c>
      <c r="R33" s="2">
        <f>Table834[[#This Row],[Night Systolic Pressure]]^2</f>
        <v>14884</v>
      </c>
      <c r="S33" s="2">
        <v>77</v>
      </c>
      <c r="T33" s="2">
        <f>Table834[[#This Row],[Night Diastolic Pressure]]^2</f>
        <v>5929</v>
      </c>
      <c r="U33" s="2">
        <v>69</v>
      </c>
      <c r="V33" s="2">
        <f>Table834[[#This Row],[Night Pulse]]^2</f>
        <v>4761</v>
      </c>
      <c r="W33" s="2">
        <v>7.5</v>
      </c>
      <c r="X33" s="2">
        <f>Table834[[#This Row],[Sleep]]^2</f>
        <v>56.25</v>
      </c>
      <c r="Y33" s="2">
        <f t="shared" si="1"/>
        <v>36.728163265306122</v>
      </c>
      <c r="Z33" s="2">
        <f>Table834[[#This Row],[BMI]]^2</f>
        <v>1348.9579768429821</v>
      </c>
      <c r="AA33" s="2">
        <f t="shared" si="0"/>
        <v>31.997550455105717</v>
      </c>
      <c r="AB33" s="2">
        <f>Table834[[#This Row],[CBF]]^2</f>
        <v>1023.8432351270361</v>
      </c>
      <c r="AC33" s="2">
        <v>1</v>
      </c>
      <c r="AD33" s="2">
        <f>Table834[[#This Row],[Gym]]^2</f>
        <v>1</v>
      </c>
      <c r="AE33" s="2">
        <v>1</v>
      </c>
      <c r="AF33" s="2">
        <f>Table834[[#This Row],[Cardio]]^2</f>
        <v>1</v>
      </c>
      <c r="AG33" s="2">
        <v>1120.8966666666668</v>
      </c>
      <c r="AH33" s="2">
        <f>Table834[[#This Row],[Calories]]^2</f>
        <v>1256409.3373444446</v>
      </c>
      <c r="AI33" s="2">
        <v>68.50333333333333</v>
      </c>
      <c r="AJ33" s="2">
        <f>Table834[[#This Row],[Carbs]]^2</f>
        <v>4692.7066777777773</v>
      </c>
      <c r="AK33" s="2">
        <v>65.075666666666677</v>
      </c>
      <c r="AL33" s="2">
        <f>Table834[[#This Row],[Fat ]]^2</f>
        <v>4234.8423921111125</v>
      </c>
      <c r="AM33" s="2">
        <v>67.36966666666666</v>
      </c>
      <c r="AN33" s="2">
        <f>Table834[[#This Row],[Protein]]^2</f>
        <v>4538.6719867777765</v>
      </c>
      <c r="AO33" s="2">
        <v>11.389666666666667</v>
      </c>
      <c r="AP33" s="2">
        <f>Table834[[#This Row],[Fiber]]^2</f>
        <v>129.72450677777778</v>
      </c>
      <c r="AQ33" s="2">
        <v>18.669833333333337</v>
      </c>
      <c r="AR33" s="2">
        <f>Table834[[#This Row],[Sugar]]^2</f>
        <v>348.56267669444458</v>
      </c>
      <c r="AS33" s="2">
        <v>8</v>
      </c>
      <c r="AT33" s="2">
        <f>Table834[[#This Row],[Servings]]^2</f>
        <v>64</v>
      </c>
      <c r="AU33" s="2">
        <v>2.5</v>
      </c>
      <c r="AV33" s="2">
        <f>Table834[[#This Row],[Water]]^2</f>
        <v>6.25</v>
      </c>
      <c r="AW33" s="2">
        <v>585.68100000000004</v>
      </c>
      <c r="AX33" s="2">
        <f>Table834[[#This Row],[Fat Calories]]^2</f>
        <v>343022.23376100004</v>
      </c>
      <c r="AY33" s="5">
        <f>Table834[[#This Row],[Weight]]*Table834[[#This Row],[Waist]]</f>
        <v>11520</v>
      </c>
      <c r="AZ33" s="6">
        <f>Table834[[#This Row],[Weight]]*Table834[[#This Row],[Neck]]</f>
        <v>4352</v>
      </c>
      <c r="BA33" s="6">
        <f>Table834[[#This Row],[Weight]]*Table834[[#This Row],[Morning Body Temp]]</f>
        <v>24678.400000000001</v>
      </c>
      <c r="BB33" s="6">
        <f>Table834[[#This Row],[Weight]]*Table834[[#This Row],[Morning Systolic Pressure]]</f>
        <v>30720</v>
      </c>
      <c r="BC33" s="12">
        <f>Table834[[#This Row],[Weight]]*Table834[[#This Row],[Morning Diastolic Pressure]]</f>
        <v>18176</v>
      </c>
      <c r="BD33" s="2">
        <f>Table834[[#This Row],[Weight]]*Table834[[#This Row],[Morning Pulse]]</f>
        <v>17920</v>
      </c>
      <c r="BE33" s="2">
        <f>Table834[[#This Row],[Weight]]*Table834[[#This Row],[Night Body Temp]]</f>
        <v>24704</v>
      </c>
      <c r="BF33" s="2">
        <f>Table834[[#This Row],[Weight]]*Table834[[#This Row],[Night Systolic Pressure]]</f>
        <v>31232</v>
      </c>
      <c r="BG33" s="4">
        <f>Table83[[#This Row],[Weight]]*Table83[[#This Row],[Night Diastolic Pressure]]</f>
        <v>19712</v>
      </c>
      <c r="BH33" s="2">
        <f>Table834[[#This Row],[Weight]]*Table834[[#This Row],[Night Pulse]]</f>
        <v>17664</v>
      </c>
      <c r="BI33" s="2">
        <f>Table834[[#This Row],[Weight]]*Table834[[#This Row],[Sleep]]</f>
        <v>1920</v>
      </c>
      <c r="BJ33" s="2">
        <f>Table834[[#This Row],[Weight]]*Table834[[#This Row],[BMI]]</f>
        <v>9402.4097959183673</v>
      </c>
      <c r="BK33" s="2">
        <f>Table834[[#This Row],[Weight]]*Table834[[#This Row],[CBF]]</f>
        <v>8191.3729165070636</v>
      </c>
      <c r="BL33" s="2">
        <f>Table834[[#This Row],[Weight]]*Table834[[#This Row],[Gym]]</f>
        <v>256</v>
      </c>
      <c r="BM33" s="2">
        <f>Table834[[#This Row],[Weight]]*Table834[[#This Row],[Cardio]]</f>
        <v>256</v>
      </c>
      <c r="BN33" s="2">
        <f>Table834[[#This Row],[Weight]]*Table834[[#This Row],[Calories]]</f>
        <v>286949.54666666669</v>
      </c>
      <c r="BO33" s="2">
        <f>Table834[[#This Row],[Weight]]*Table834[[#This Row],[Carbs]]</f>
        <v>17536.853333333333</v>
      </c>
      <c r="BP33" s="2">
        <f>Table834[[#This Row],[Weight]]*Table834[[#This Row],[Fat ]]</f>
        <v>16659.370666666669</v>
      </c>
      <c r="BQ33" s="2">
        <f>Table834[[#This Row],[Weight]]*Table834[[#This Row],[Protein]]</f>
        <v>17246.634666666665</v>
      </c>
      <c r="BR33" s="2">
        <f>Table834[[#This Row],[Weight]]*Table834[[#This Row],[Fiber]]</f>
        <v>2915.7546666666667</v>
      </c>
      <c r="BS33" s="2">
        <f>Table834[[#This Row],[Weight]]*Table834[[#This Row],[Sugar]]</f>
        <v>4779.4773333333342</v>
      </c>
      <c r="BT33" s="2">
        <f>Table834[[#This Row],[Weight]]*Table834[[#This Row],[Servings]]</f>
        <v>2048</v>
      </c>
      <c r="BU33" s="2">
        <f>Table834[[#This Row],[Weight]]*Table834[[#This Row],[Water]]</f>
        <v>640</v>
      </c>
      <c r="BV33" s="2">
        <f>Table834[[#This Row],[Weight]]*Table834[[#This Row],[Fat Calories]]</f>
        <v>149934.33600000001</v>
      </c>
      <c r="BW33" s="2">
        <f>Table834[[#This Row],[Waist]]*Table834[[#This Row],[Neck]]</f>
        <v>765</v>
      </c>
      <c r="BX33" s="2">
        <f>Table834[[#This Row],[Waist]]*Table834[[#This Row],[Morning Body Temp]]</f>
        <v>4338</v>
      </c>
      <c r="BY33" s="2">
        <f>Table834[[#This Row],[Waist]]*Table834[[#This Row],[Morning Systolic Pressure]]</f>
        <v>5400</v>
      </c>
      <c r="BZ33" s="2">
        <f>Table834[[#This Row],[Waist]]*Table834[[#This Row],[Morning Diastolic Pressure]]</f>
        <v>3195</v>
      </c>
      <c r="CA33" s="2">
        <f>Table834[[#This Row],[Waist]]*Table834[[#This Row],[Morning Pulse]]</f>
        <v>3150</v>
      </c>
      <c r="CB33" s="2">
        <f>Table834[[#This Row],[Waist]]*Table834[[#This Row],[Night Body Temp]]</f>
        <v>4342.5</v>
      </c>
      <c r="CC33" s="2">
        <f>Table834[[#This Row],[Waist]]*Table834[[#This Row],[Night Systolic Pressure]]</f>
        <v>5490</v>
      </c>
      <c r="CD33" s="4">
        <f>Table83[[#This Row],[Waist]]*Table83[[#This Row],[Night Diastolic Pressure]]</f>
        <v>3465</v>
      </c>
      <c r="CE33" s="2">
        <f>Table834[[#This Row],[Waist]]*Table834[[#This Row],[Night Pulse]]</f>
        <v>3105</v>
      </c>
      <c r="CF33" s="2">
        <f>Table834[[#This Row],[Waist]]*Table834[[#This Row],[Sleep]]</f>
        <v>337.5</v>
      </c>
      <c r="CG33" s="2">
        <f>Table834[[#This Row],[Waist]]*Table834[[#This Row],[BMI]]</f>
        <v>1652.7673469387755</v>
      </c>
      <c r="CH33" s="2">
        <f>Table834[[#This Row],[Waist]]*Table834[[#This Row],[CBF]]</f>
        <v>1439.8897704797573</v>
      </c>
      <c r="CI33" s="2">
        <f>Table834[[#This Row],[Waist]]*Table834[[#This Row],[Gym]]</f>
        <v>45</v>
      </c>
      <c r="CJ33" s="2">
        <f>Table834[[#This Row],[Waist]]*Table834[[#This Row],[Cardio]]</f>
        <v>45</v>
      </c>
      <c r="CK33" s="2">
        <f>Table834[[#This Row],[Waist]]*Table834[[#This Row],[Calories]]</f>
        <v>50440.350000000006</v>
      </c>
      <c r="CL33" s="2">
        <f>Table834[[#This Row],[Waist]]*Table834[[#This Row],[Carbs]]</f>
        <v>3082.6499999999996</v>
      </c>
      <c r="CM33" s="2">
        <f>Table834[[#This Row],[Waist]]*Table834[[#This Row],[Fat ]]</f>
        <v>2928.4050000000007</v>
      </c>
      <c r="CN33" s="2">
        <f>Table834[[#This Row],[Waist]]*Table834[[#This Row],[Protein]]</f>
        <v>3031.6349999999998</v>
      </c>
      <c r="CO33" s="2">
        <f>Table834[[#This Row],[Waist]]*Table834[[#This Row],[Fiber]]</f>
        <v>512.53499999999997</v>
      </c>
      <c r="CP33" s="2">
        <f>Table834[[#This Row],[Waist]]*Table834[[#This Row],[Sugar]]</f>
        <v>840.14250000000015</v>
      </c>
      <c r="CQ33" s="2">
        <f>Table834[[#This Row],[Waist]]*Table834[[#This Row],[Servings]]</f>
        <v>360</v>
      </c>
      <c r="CR33" s="2">
        <f>Table834[[#This Row],[Waist]]*Table834[[#This Row],[Water]]</f>
        <v>112.5</v>
      </c>
      <c r="CS33" s="2">
        <f>Table834[[#This Row],[Waist]]*Table834[[#This Row],[Fat Calories]]</f>
        <v>26355.645</v>
      </c>
    </row>
    <row r="34" spans="1:97" x14ac:dyDescent="0.25">
      <c r="A34" s="2">
        <v>256</v>
      </c>
      <c r="B34" s="2">
        <f>Table834[[#This Row],[Weight]]^2</f>
        <v>65536</v>
      </c>
      <c r="C34" s="2">
        <v>44.5</v>
      </c>
      <c r="D34" s="2">
        <f>Table834[[#This Row],[Waist]]^2</f>
        <v>1980.25</v>
      </c>
      <c r="E34" s="2">
        <v>17</v>
      </c>
      <c r="F34" s="2">
        <f>Table834[[#This Row],[Neck]]^2</f>
        <v>289</v>
      </c>
      <c r="G34" s="2">
        <v>96.7</v>
      </c>
      <c r="H34" s="2">
        <f>Table834[[#This Row],[Morning Body Temp]]^2</f>
        <v>9350.8900000000012</v>
      </c>
      <c r="I34" s="2">
        <v>128</v>
      </c>
      <c r="J34" s="2">
        <f>Table834[[#This Row],[Morning Systolic Pressure]]^2</f>
        <v>16384</v>
      </c>
      <c r="K34" s="2">
        <v>79</v>
      </c>
      <c r="L34" s="2">
        <f>Table834[[#This Row],[Morning Diastolic Pressure]]^2</f>
        <v>6241</v>
      </c>
      <c r="M34" s="2">
        <v>64</v>
      </c>
      <c r="N34" s="2">
        <f>Table834[[#This Row],[Morning Pulse]]^2</f>
        <v>4096</v>
      </c>
      <c r="O34" s="2">
        <v>96.5</v>
      </c>
      <c r="P34" s="2">
        <f>Table834[[#This Row],[Night Body Temp]]^2</f>
        <v>9312.25</v>
      </c>
      <c r="Q34" s="2">
        <v>127</v>
      </c>
      <c r="R34" s="2">
        <f>Table834[[#This Row],[Night Systolic Pressure]]^2</f>
        <v>16129</v>
      </c>
      <c r="S34" s="2">
        <v>76</v>
      </c>
      <c r="T34" s="2">
        <f>Table834[[#This Row],[Night Diastolic Pressure]]^2</f>
        <v>5776</v>
      </c>
      <c r="U34" s="2">
        <v>71</v>
      </c>
      <c r="V34" s="2">
        <f>Table834[[#This Row],[Night Pulse]]^2</f>
        <v>5041</v>
      </c>
      <c r="W34" s="2">
        <v>9</v>
      </c>
      <c r="X34" s="2">
        <f>Table834[[#This Row],[Sleep]]^2</f>
        <v>81</v>
      </c>
      <c r="Y34" s="2">
        <f t="shared" si="1"/>
        <v>36.728163265306122</v>
      </c>
      <c r="Z34" s="2">
        <f>Table834[[#This Row],[BMI]]^2</f>
        <v>1348.9579768429821</v>
      </c>
      <c r="AA34" s="2">
        <f t="shared" si="0"/>
        <v>31.324493175702337</v>
      </c>
      <c r="AB34" s="2">
        <f>Table834[[#This Row],[CBF]]^2</f>
        <v>981.2238727146223</v>
      </c>
      <c r="AC34" s="2">
        <v>1</v>
      </c>
      <c r="AD34" s="2">
        <f>Table834[[#This Row],[Gym]]^2</f>
        <v>1</v>
      </c>
      <c r="AE34" s="2">
        <v>1</v>
      </c>
      <c r="AF34" s="2">
        <f>Table834[[#This Row],[Cardio]]^2</f>
        <v>1</v>
      </c>
      <c r="AG34" s="2">
        <v>961.5150000000001</v>
      </c>
      <c r="AH34" s="2">
        <f>Table834[[#This Row],[Calories]]^2</f>
        <v>924511.09522500017</v>
      </c>
      <c r="AI34" s="2">
        <v>99.227499999999992</v>
      </c>
      <c r="AJ34" s="2">
        <f>Table834[[#This Row],[Carbs]]^2</f>
        <v>9846.0967562499991</v>
      </c>
      <c r="AK34" s="2">
        <v>42.745666666666679</v>
      </c>
      <c r="AL34" s="2">
        <f>Table834[[#This Row],[Fat ]]^2</f>
        <v>1827.1920187777789</v>
      </c>
      <c r="AM34" s="2">
        <v>58.128166666666672</v>
      </c>
      <c r="AN34" s="2">
        <f>Table834[[#This Row],[Protein]]^2</f>
        <v>3378.8837600277784</v>
      </c>
      <c r="AO34" s="2">
        <v>27.424666666666667</v>
      </c>
      <c r="AP34" s="2">
        <f>Table834[[#This Row],[Fiber]]^2</f>
        <v>752.11234177777783</v>
      </c>
      <c r="AQ34" s="2">
        <v>29.625166666666665</v>
      </c>
      <c r="AR34" s="2">
        <f>Table834[[#This Row],[Sugar]]^2</f>
        <v>877.65050002777764</v>
      </c>
      <c r="AS34" s="2">
        <v>15.3</v>
      </c>
      <c r="AT34" s="2">
        <f>Table834[[#This Row],[Servings]]^2</f>
        <v>234.09000000000003</v>
      </c>
      <c r="AU34" s="2">
        <v>2</v>
      </c>
      <c r="AV34" s="2">
        <f>Table834[[#This Row],[Water]]^2</f>
        <v>4</v>
      </c>
      <c r="AW34" s="2">
        <v>384.71100000000007</v>
      </c>
      <c r="AX34" s="2">
        <f>Table834[[#This Row],[Fat Calories]]^2</f>
        <v>148002.55352100005</v>
      </c>
      <c r="AY34" s="3">
        <f>Table834[[#This Row],[Weight]]*Table834[[#This Row],[Waist]]</f>
        <v>11392</v>
      </c>
      <c r="AZ34" s="4">
        <f>Table834[[#This Row],[Weight]]*Table834[[#This Row],[Neck]]</f>
        <v>4352</v>
      </c>
      <c r="BA34" s="4">
        <f>Table834[[#This Row],[Weight]]*Table834[[#This Row],[Morning Body Temp]]</f>
        <v>24755.200000000001</v>
      </c>
      <c r="BB34" s="4">
        <f>Table834[[#This Row],[Weight]]*Table834[[#This Row],[Morning Systolic Pressure]]</f>
        <v>32768</v>
      </c>
      <c r="BC34" s="11">
        <f>Table834[[#This Row],[Weight]]*Table834[[#This Row],[Morning Diastolic Pressure]]</f>
        <v>20224</v>
      </c>
      <c r="BD34" s="2">
        <f>Table834[[#This Row],[Weight]]*Table834[[#This Row],[Morning Pulse]]</f>
        <v>16384</v>
      </c>
      <c r="BE34" s="2">
        <f>Table834[[#This Row],[Weight]]*Table834[[#This Row],[Night Body Temp]]</f>
        <v>24704</v>
      </c>
      <c r="BF34" s="2">
        <f>Table834[[#This Row],[Weight]]*Table834[[#This Row],[Night Systolic Pressure]]</f>
        <v>32512</v>
      </c>
      <c r="BG34" s="4">
        <f>Table83[[#This Row],[Weight]]*Table83[[#This Row],[Night Diastolic Pressure]]</f>
        <v>19456</v>
      </c>
      <c r="BH34" s="2">
        <f>Table834[[#This Row],[Weight]]*Table834[[#This Row],[Night Pulse]]</f>
        <v>18176</v>
      </c>
      <c r="BI34" s="2">
        <f>Table834[[#This Row],[Weight]]*Table834[[#This Row],[Sleep]]</f>
        <v>2304</v>
      </c>
      <c r="BJ34" s="2">
        <f>Table834[[#This Row],[Weight]]*Table834[[#This Row],[BMI]]</f>
        <v>9402.4097959183673</v>
      </c>
      <c r="BK34" s="2">
        <f>Table834[[#This Row],[Weight]]*Table834[[#This Row],[CBF]]</f>
        <v>8019.0702529797982</v>
      </c>
      <c r="BL34" s="2">
        <f>Table834[[#This Row],[Weight]]*Table834[[#This Row],[Gym]]</f>
        <v>256</v>
      </c>
      <c r="BM34" s="2">
        <f>Table834[[#This Row],[Weight]]*Table834[[#This Row],[Cardio]]</f>
        <v>256</v>
      </c>
      <c r="BN34" s="2">
        <f>Table834[[#This Row],[Weight]]*Table834[[#This Row],[Calories]]</f>
        <v>246147.84000000003</v>
      </c>
      <c r="BO34" s="2">
        <f>Table834[[#This Row],[Weight]]*Table834[[#This Row],[Carbs]]</f>
        <v>25402.239999999998</v>
      </c>
      <c r="BP34" s="2">
        <f>Table834[[#This Row],[Weight]]*Table834[[#This Row],[Fat ]]</f>
        <v>10942.89066666667</v>
      </c>
      <c r="BQ34" s="2">
        <f>Table834[[#This Row],[Weight]]*Table834[[#This Row],[Protein]]</f>
        <v>14880.810666666668</v>
      </c>
      <c r="BR34" s="2">
        <f>Table834[[#This Row],[Weight]]*Table834[[#This Row],[Fiber]]</f>
        <v>7020.7146666666667</v>
      </c>
      <c r="BS34" s="2">
        <f>Table834[[#This Row],[Weight]]*Table834[[#This Row],[Sugar]]</f>
        <v>7584.0426666666663</v>
      </c>
      <c r="BT34" s="2">
        <f>Table834[[#This Row],[Weight]]*Table834[[#This Row],[Servings]]</f>
        <v>3916.8</v>
      </c>
      <c r="BU34" s="2">
        <f>Table834[[#This Row],[Weight]]*Table834[[#This Row],[Water]]</f>
        <v>512</v>
      </c>
      <c r="BV34" s="2">
        <f>Table834[[#This Row],[Weight]]*Table834[[#This Row],[Fat Calories]]</f>
        <v>98486.016000000018</v>
      </c>
      <c r="BW34" s="2">
        <f>Table834[[#This Row],[Waist]]*Table834[[#This Row],[Neck]]</f>
        <v>756.5</v>
      </c>
      <c r="BX34" s="2">
        <f>Table834[[#This Row],[Waist]]*Table834[[#This Row],[Morning Body Temp]]</f>
        <v>4303.1500000000005</v>
      </c>
      <c r="BY34" s="2">
        <f>Table834[[#This Row],[Waist]]*Table834[[#This Row],[Morning Systolic Pressure]]</f>
        <v>5696</v>
      </c>
      <c r="BZ34" s="2">
        <f>Table834[[#This Row],[Waist]]*Table834[[#This Row],[Morning Diastolic Pressure]]</f>
        <v>3515.5</v>
      </c>
      <c r="CA34" s="2">
        <f>Table834[[#This Row],[Waist]]*Table834[[#This Row],[Morning Pulse]]</f>
        <v>2848</v>
      </c>
      <c r="CB34" s="2">
        <f>Table834[[#This Row],[Waist]]*Table834[[#This Row],[Night Body Temp]]</f>
        <v>4294.25</v>
      </c>
      <c r="CC34" s="2">
        <f>Table834[[#This Row],[Waist]]*Table834[[#This Row],[Night Systolic Pressure]]</f>
        <v>5651.5</v>
      </c>
      <c r="CD34" s="4">
        <f>Table83[[#This Row],[Waist]]*Table83[[#This Row],[Night Diastolic Pressure]]</f>
        <v>3382</v>
      </c>
      <c r="CE34" s="2">
        <f>Table834[[#This Row],[Waist]]*Table834[[#This Row],[Night Pulse]]</f>
        <v>3159.5</v>
      </c>
      <c r="CF34" s="2">
        <f>Table834[[#This Row],[Waist]]*Table834[[#This Row],[Sleep]]</f>
        <v>400.5</v>
      </c>
      <c r="CG34" s="2">
        <f>Table834[[#This Row],[Waist]]*Table834[[#This Row],[BMI]]</f>
        <v>1634.4032653061224</v>
      </c>
      <c r="CH34" s="2">
        <f>Table834[[#This Row],[Waist]]*Table834[[#This Row],[CBF]]</f>
        <v>1393.939946318754</v>
      </c>
      <c r="CI34" s="2">
        <f>Table834[[#This Row],[Waist]]*Table834[[#This Row],[Gym]]</f>
        <v>44.5</v>
      </c>
      <c r="CJ34" s="2">
        <f>Table834[[#This Row],[Waist]]*Table834[[#This Row],[Cardio]]</f>
        <v>44.5</v>
      </c>
      <c r="CK34" s="2">
        <f>Table834[[#This Row],[Waist]]*Table834[[#This Row],[Calories]]</f>
        <v>42787.417500000003</v>
      </c>
      <c r="CL34" s="2">
        <f>Table834[[#This Row],[Waist]]*Table834[[#This Row],[Carbs]]</f>
        <v>4415.6237499999997</v>
      </c>
      <c r="CM34" s="2">
        <f>Table834[[#This Row],[Waist]]*Table834[[#This Row],[Fat ]]</f>
        <v>1902.1821666666672</v>
      </c>
      <c r="CN34" s="2">
        <f>Table834[[#This Row],[Waist]]*Table834[[#This Row],[Protein]]</f>
        <v>2586.7034166666667</v>
      </c>
      <c r="CO34" s="2">
        <f>Table834[[#This Row],[Waist]]*Table834[[#This Row],[Fiber]]</f>
        <v>1220.3976666666667</v>
      </c>
      <c r="CP34" s="2">
        <f>Table834[[#This Row],[Waist]]*Table834[[#This Row],[Sugar]]</f>
        <v>1318.3199166666666</v>
      </c>
      <c r="CQ34" s="2">
        <f>Table834[[#This Row],[Waist]]*Table834[[#This Row],[Servings]]</f>
        <v>680.85</v>
      </c>
      <c r="CR34" s="2">
        <f>Table834[[#This Row],[Waist]]*Table834[[#This Row],[Water]]</f>
        <v>89</v>
      </c>
      <c r="CS34" s="2">
        <f>Table834[[#This Row],[Waist]]*Table834[[#This Row],[Fat Calories]]</f>
        <v>17119.639500000005</v>
      </c>
    </row>
    <row r="35" spans="1:97" x14ac:dyDescent="0.25">
      <c r="A35" s="2">
        <v>255</v>
      </c>
      <c r="B35" s="2">
        <f>Table834[[#This Row],[Weight]]^2</f>
        <v>65025</v>
      </c>
      <c r="C35" s="2">
        <v>44.5</v>
      </c>
      <c r="D35" s="2">
        <f>Table834[[#This Row],[Waist]]^2</f>
        <v>1980.25</v>
      </c>
      <c r="E35" s="2">
        <v>17</v>
      </c>
      <c r="F35" s="2">
        <f>Table834[[#This Row],[Neck]]^2</f>
        <v>289</v>
      </c>
      <c r="G35" s="2">
        <v>97.1</v>
      </c>
      <c r="H35" s="2">
        <f>Table834[[#This Row],[Morning Body Temp]]^2</f>
        <v>9428.409999999998</v>
      </c>
      <c r="I35" s="2">
        <v>124</v>
      </c>
      <c r="J35" s="2">
        <f>Table834[[#This Row],[Morning Systolic Pressure]]^2</f>
        <v>15376</v>
      </c>
      <c r="K35" s="2">
        <v>74</v>
      </c>
      <c r="L35" s="2">
        <f>Table834[[#This Row],[Morning Diastolic Pressure]]^2</f>
        <v>5476</v>
      </c>
      <c r="M35" s="2">
        <v>55</v>
      </c>
      <c r="N35" s="2">
        <f>Table834[[#This Row],[Morning Pulse]]^2</f>
        <v>3025</v>
      </c>
      <c r="O35" s="2">
        <v>96.1</v>
      </c>
      <c r="P35" s="2">
        <f>Table834[[#This Row],[Night Body Temp]]^2</f>
        <v>9235.2099999999991</v>
      </c>
      <c r="Q35" s="2">
        <v>128</v>
      </c>
      <c r="R35" s="2">
        <f>Table834[[#This Row],[Night Systolic Pressure]]^2</f>
        <v>16384</v>
      </c>
      <c r="S35" s="2">
        <v>76</v>
      </c>
      <c r="T35" s="2">
        <f>Table834[[#This Row],[Night Diastolic Pressure]]^2</f>
        <v>5776</v>
      </c>
      <c r="U35" s="2">
        <v>53</v>
      </c>
      <c r="V35" s="2">
        <f>Table834[[#This Row],[Night Pulse]]^2</f>
        <v>2809</v>
      </c>
      <c r="W35" s="2">
        <v>9.5</v>
      </c>
      <c r="X35" s="2">
        <f>Table834[[#This Row],[Sleep]]^2</f>
        <v>90.25</v>
      </c>
      <c r="Y35" s="2">
        <f t="shared" si="1"/>
        <v>36.584693877551018</v>
      </c>
      <c r="Z35" s="2">
        <f>Table834[[#This Row],[BMI]]^2</f>
        <v>1338.4398261141189</v>
      </c>
      <c r="AA35" s="2">
        <f t="shared" si="0"/>
        <v>31.324493175702337</v>
      </c>
      <c r="AB35" s="2">
        <f>Table834[[#This Row],[CBF]]^2</f>
        <v>981.2238727146223</v>
      </c>
      <c r="AC35" s="2">
        <v>1</v>
      </c>
      <c r="AD35" s="2">
        <f>Table834[[#This Row],[Gym]]^2</f>
        <v>1</v>
      </c>
      <c r="AE35" s="2">
        <v>1</v>
      </c>
      <c r="AF35" s="2">
        <f>Table834[[#This Row],[Cardio]]^2</f>
        <v>1</v>
      </c>
      <c r="AG35" s="2">
        <v>1679.0300000000002</v>
      </c>
      <c r="AH35" s="2">
        <f>Table834[[#This Row],[Calories]]^2</f>
        <v>2819141.7409000006</v>
      </c>
      <c r="AI35" s="2">
        <v>119.35499999999999</v>
      </c>
      <c r="AJ35" s="2">
        <f>Table834[[#This Row],[Carbs]]^2</f>
        <v>14245.616024999998</v>
      </c>
      <c r="AK35" s="2">
        <v>89.591333333333353</v>
      </c>
      <c r="AL35" s="2">
        <f>Table834[[#This Row],[Fat ]]^2</f>
        <v>8026.6070084444482</v>
      </c>
      <c r="AM35" s="2">
        <v>122.55633333333336</v>
      </c>
      <c r="AN35" s="2">
        <f>Table834[[#This Row],[Protein]]^2</f>
        <v>15020.054840111117</v>
      </c>
      <c r="AO35" s="2">
        <v>44.24933333333334</v>
      </c>
      <c r="AP35" s="2">
        <f>Table834[[#This Row],[Fiber]]^2</f>
        <v>1958.0035004444451</v>
      </c>
      <c r="AQ35" s="2">
        <v>24.250333333333334</v>
      </c>
      <c r="AR35" s="2">
        <f>Table834[[#This Row],[Sugar]]^2</f>
        <v>588.07866677777781</v>
      </c>
      <c r="AS35" s="2">
        <v>20.5</v>
      </c>
      <c r="AT35" s="2">
        <f>Table834[[#This Row],[Servings]]^2</f>
        <v>420.25</v>
      </c>
      <c r="AU35" s="2">
        <v>2</v>
      </c>
      <c r="AV35" s="2">
        <f>Table834[[#This Row],[Water]]^2</f>
        <v>4</v>
      </c>
      <c r="AW35" s="2">
        <v>806.32200000000012</v>
      </c>
      <c r="AX35" s="2">
        <f>Table834[[#This Row],[Fat Calories]]^2</f>
        <v>650155.16768400022</v>
      </c>
      <c r="AY35" s="5">
        <f>Table834[[#This Row],[Weight]]*Table834[[#This Row],[Waist]]</f>
        <v>11347.5</v>
      </c>
      <c r="AZ35" s="6">
        <f>Table834[[#This Row],[Weight]]*Table834[[#This Row],[Neck]]</f>
        <v>4335</v>
      </c>
      <c r="BA35" s="6">
        <f>Table834[[#This Row],[Weight]]*Table834[[#This Row],[Morning Body Temp]]</f>
        <v>24760.5</v>
      </c>
      <c r="BB35" s="6">
        <f>Table834[[#This Row],[Weight]]*Table834[[#This Row],[Morning Systolic Pressure]]</f>
        <v>31620</v>
      </c>
      <c r="BC35" s="12">
        <f>Table834[[#This Row],[Weight]]*Table834[[#This Row],[Morning Diastolic Pressure]]</f>
        <v>18870</v>
      </c>
      <c r="BD35" s="2">
        <f>Table834[[#This Row],[Weight]]*Table834[[#This Row],[Morning Pulse]]</f>
        <v>14025</v>
      </c>
      <c r="BE35" s="2">
        <f>Table834[[#This Row],[Weight]]*Table834[[#This Row],[Night Body Temp]]</f>
        <v>24505.5</v>
      </c>
      <c r="BF35" s="2">
        <f>Table834[[#This Row],[Weight]]*Table834[[#This Row],[Night Systolic Pressure]]</f>
        <v>32640</v>
      </c>
      <c r="BG35" s="4">
        <f>Table83[[#This Row],[Weight]]*Table83[[#This Row],[Night Diastolic Pressure]]</f>
        <v>19380</v>
      </c>
      <c r="BH35" s="2">
        <f>Table834[[#This Row],[Weight]]*Table834[[#This Row],[Night Pulse]]</f>
        <v>13515</v>
      </c>
      <c r="BI35" s="2">
        <f>Table834[[#This Row],[Weight]]*Table834[[#This Row],[Sleep]]</f>
        <v>2422.5</v>
      </c>
      <c r="BJ35" s="2">
        <f>Table834[[#This Row],[Weight]]*Table834[[#This Row],[BMI]]</f>
        <v>9329.0969387755104</v>
      </c>
      <c r="BK35" s="2">
        <f>Table834[[#This Row],[Weight]]*Table834[[#This Row],[CBF]]</f>
        <v>7987.7457598040955</v>
      </c>
      <c r="BL35" s="2">
        <f>Table834[[#This Row],[Weight]]*Table834[[#This Row],[Gym]]</f>
        <v>255</v>
      </c>
      <c r="BM35" s="2">
        <f>Table834[[#This Row],[Weight]]*Table834[[#This Row],[Cardio]]</f>
        <v>255</v>
      </c>
      <c r="BN35" s="2">
        <f>Table834[[#This Row],[Weight]]*Table834[[#This Row],[Calories]]</f>
        <v>428152.65</v>
      </c>
      <c r="BO35" s="2">
        <f>Table834[[#This Row],[Weight]]*Table834[[#This Row],[Carbs]]</f>
        <v>30435.524999999998</v>
      </c>
      <c r="BP35" s="2">
        <f>Table834[[#This Row],[Weight]]*Table834[[#This Row],[Fat ]]</f>
        <v>22845.790000000005</v>
      </c>
      <c r="BQ35" s="2">
        <f>Table834[[#This Row],[Weight]]*Table834[[#This Row],[Protein]]</f>
        <v>31251.865000000005</v>
      </c>
      <c r="BR35" s="2">
        <f>Table834[[#This Row],[Weight]]*Table834[[#This Row],[Fiber]]</f>
        <v>11283.580000000002</v>
      </c>
      <c r="BS35" s="2">
        <f>Table834[[#This Row],[Weight]]*Table834[[#This Row],[Sugar]]</f>
        <v>6183.835</v>
      </c>
      <c r="BT35" s="2">
        <f>Table834[[#This Row],[Weight]]*Table834[[#This Row],[Servings]]</f>
        <v>5227.5</v>
      </c>
      <c r="BU35" s="2">
        <f>Table834[[#This Row],[Weight]]*Table834[[#This Row],[Water]]</f>
        <v>510</v>
      </c>
      <c r="BV35" s="2">
        <f>Table834[[#This Row],[Weight]]*Table834[[#This Row],[Fat Calories]]</f>
        <v>205612.11000000004</v>
      </c>
      <c r="BW35" s="2">
        <f>Table834[[#This Row],[Waist]]*Table834[[#This Row],[Neck]]</f>
        <v>756.5</v>
      </c>
      <c r="BX35" s="2">
        <f>Table834[[#This Row],[Waist]]*Table834[[#This Row],[Morning Body Temp]]</f>
        <v>4320.95</v>
      </c>
      <c r="BY35" s="2">
        <f>Table834[[#This Row],[Waist]]*Table834[[#This Row],[Morning Systolic Pressure]]</f>
        <v>5518</v>
      </c>
      <c r="BZ35" s="2">
        <f>Table834[[#This Row],[Waist]]*Table834[[#This Row],[Morning Diastolic Pressure]]</f>
        <v>3293</v>
      </c>
      <c r="CA35" s="2">
        <f>Table834[[#This Row],[Waist]]*Table834[[#This Row],[Morning Pulse]]</f>
        <v>2447.5</v>
      </c>
      <c r="CB35" s="2">
        <f>Table834[[#This Row],[Waist]]*Table834[[#This Row],[Night Body Temp]]</f>
        <v>4276.45</v>
      </c>
      <c r="CC35" s="2">
        <f>Table834[[#This Row],[Waist]]*Table834[[#This Row],[Night Systolic Pressure]]</f>
        <v>5696</v>
      </c>
      <c r="CD35" s="4">
        <f>Table83[[#This Row],[Waist]]*Table83[[#This Row],[Night Diastolic Pressure]]</f>
        <v>3382</v>
      </c>
      <c r="CE35" s="2">
        <f>Table834[[#This Row],[Waist]]*Table834[[#This Row],[Night Pulse]]</f>
        <v>2358.5</v>
      </c>
      <c r="CF35" s="2">
        <f>Table834[[#This Row],[Waist]]*Table834[[#This Row],[Sleep]]</f>
        <v>422.75</v>
      </c>
      <c r="CG35" s="2">
        <f>Table834[[#This Row],[Waist]]*Table834[[#This Row],[BMI]]</f>
        <v>1628.0188775510203</v>
      </c>
      <c r="CH35" s="2">
        <f>Table834[[#This Row],[Waist]]*Table834[[#This Row],[CBF]]</f>
        <v>1393.939946318754</v>
      </c>
      <c r="CI35" s="2">
        <f>Table834[[#This Row],[Waist]]*Table834[[#This Row],[Gym]]</f>
        <v>44.5</v>
      </c>
      <c r="CJ35" s="2">
        <f>Table834[[#This Row],[Waist]]*Table834[[#This Row],[Cardio]]</f>
        <v>44.5</v>
      </c>
      <c r="CK35" s="2">
        <f>Table834[[#This Row],[Waist]]*Table834[[#This Row],[Calories]]</f>
        <v>74716.835000000006</v>
      </c>
      <c r="CL35" s="2">
        <f>Table834[[#This Row],[Waist]]*Table834[[#This Row],[Carbs]]</f>
        <v>5311.2974999999997</v>
      </c>
      <c r="CM35" s="2">
        <f>Table834[[#This Row],[Waist]]*Table834[[#This Row],[Fat ]]</f>
        <v>3986.8143333333342</v>
      </c>
      <c r="CN35" s="2">
        <f>Table834[[#This Row],[Waist]]*Table834[[#This Row],[Protein]]</f>
        <v>5453.7568333333347</v>
      </c>
      <c r="CO35" s="2">
        <f>Table834[[#This Row],[Waist]]*Table834[[#This Row],[Fiber]]</f>
        <v>1969.0953333333337</v>
      </c>
      <c r="CP35" s="2">
        <f>Table834[[#This Row],[Waist]]*Table834[[#This Row],[Sugar]]</f>
        <v>1079.1398333333334</v>
      </c>
      <c r="CQ35" s="2">
        <f>Table834[[#This Row],[Waist]]*Table834[[#This Row],[Servings]]</f>
        <v>912.25</v>
      </c>
      <c r="CR35" s="2">
        <f>Table834[[#This Row],[Waist]]*Table834[[#This Row],[Water]]</f>
        <v>89</v>
      </c>
      <c r="CS35" s="2">
        <f>Table834[[#This Row],[Waist]]*Table834[[#This Row],[Fat Calories]]</f>
        <v>35881.329000000005</v>
      </c>
    </row>
    <row r="36" spans="1:97" x14ac:dyDescent="0.25">
      <c r="A36" s="2">
        <v>255.6</v>
      </c>
      <c r="B36" s="2">
        <f>Table834[[#This Row],[Weight]]^2</f>
        <v>65331.360000000001</v>
      </c>
      <c r="C36" s="2">
        <v>44.5</v>
      </c>
      <c r="D36" s="2">
        <f>Table834[[#This Row],[Waist]]^2</f>
        <v>1980.25</v>
      </c>
      <c r="E36" s="2">
        <v>17</v>
      </c>
      <c r="F36" s="2">
        <f>Table834[[#This Row],[Neck]]^2</f>
        <v>289</v>
      </c>
      <c r="G36" s="2">
        <v>96.2</v>
      </c>
      <c r="H36" s="2">
        <f>Table834[[#This Row],[Morning Body Temp]]^2</f>
        <v>9254.44</v>
      </c>
      <c r="I36" s="2">
        <v>137</v>
      </c>
      <c r="J36" s="2">
        <f>Table834[[#This Row],[Morning Systolic Pressure]]^2</f>
        <v>18769</v>
      </c>
      <c r="K36" s="2">
        <v>75</v>
      </c>
      <c r="L36" s="2">
        <f>Table834[[#This Row],[Morning Diastolic Pressure]]^2</f>
        <v>5625</v>
      </c>
      <c r="M36" s="2">
        <v>60</v>
      </c>
      <c r="N36" s="2">
        <f>Table834[[#This Row],[Morning Pulse]]^2</f>
        <v>3600</v>
      </c>
      <c r="O36" s="2">
        <v>98</v>
      </c>
      <c r="P36" s="2">
        <f>Table834[[#This Row],[Night Body Temp]]^2</f>
        <v>9604</v>
      </c>
      <c r="Q36" s="2">
        <v>132</v>
      </c>
      <c r="R36" s="2">
        <f>Table834[[#This Row],[Night Systolic Pressure]]^2</f>
        <v>17424</v>
      </c>
      <c r="S36" s="2">
        <v>72</v>
      </c>
      <c r="T36" s="2">
        <f>Table834[[#This Row],[Night Diastolic Pressure]]^2</f>
        <v>5184</v>
      </c>
      <c r="U36" s="2">
        <v>65</v>
      </c>
      <c r="V36" s="2">
        <f>Table834[[#This Row],[Night Pulse]]^2</f>
        <v>4225</v>
      </c>
      <c r="W36" s="2">
        <v>6.5</v>
      </c>
      <c r="X36" s="2">
        <f>Table834[[#This Row],[Sleep]]^2</f>
        <v>42.25</v>
      </c>
      <c r="Y36" s="2">
        <f t="shared" si="1"/>
        <v>36.670775510204081</v>
      </c>
      <c r="Z36" s="2">
        <f>Table834[[#This Row],[BMI]]^2</f>
        <v>1344.7457765197832</v>
      </c>
      <c r="AA36" s="2">
        <f t="shared" si="0"/>
        <v>31.324493175702337</v>
      </c>
      <c r="AB36" s="2">
        <f>Table834[[#This Row],[CBF]]^2</f>
        <v>981.2238727146223</v>
      </c>
      <c r="AC36" s="2">
        <v>1</v>
      </c>
      <c r="AD36" s="2">
        <f>Table834[[#This Row],[Gym]]^2</f>
        <v>1</v>
      </c>
      <c r="AE36" s="2">
        <v>1</v>
      </c>
      <c r="AF36" s="2">
        <f>Table834[[#This Row],[Cardio]]^2</f>
        <v>1</v>
      </c>
      <c r="AG36" s="2">
        <v>910.89666666666676</v>
      </c>
      <c r="AH36" s="2">
        <f>Table834[[#This Row],[Calories]]^2</f>
        <v>829732.73734444461</v>
      </c>
      <c r="AI36" s="2">
        <v>43.003333333333337</v>
      </c>
      <c r="AJ36" s="2">
        <f>Table834[[#This Row],[Carbs]]^2</f>
        <v>1849.2866777777781</v>
      </c>
      <c r="AK36" s="2">
        <v>52.075666666666677</v>
      </c>
      <c r="AL36" s="2">
        <f>Table834[[#This Row],[Fat ]]^2</f>
        <v>2711.875058777779</v>
      </c>
      <c r="AM36" s="2">
        <v>70.36966666666666</v>
      </c>
      <c r="AN36" s="2">
        <f>Table834[[#This Row],[Protein]]^2</f>
        <v>4951.8899867777773</v>
      </c>
      <c r="AO36" s="2">
        <v>7.3896666666666668</v>
      </c>
      <c r="AP36" s="2">
        <f>Table834[[#This Row],[Fiber]]^2</f>
        <v>54.607173444444449</v>
      </c>
      <c r="AQ36" s="2">
        <v>16.669833333333337</v>
      </c>
      <c r="AR36" s="2">
        <f>Table834[[#This Row],[Sugar]]^2</f>
        <v>277.8833433611112</v>
      </c>
      <c r="AS36" s="2">
        <v>7</v>
      </c>
      <c r="AT36" s="2">
        <f>Table834[[#This Row],[Servings]]^2</f>
        <v>49</v>
      </c>
      <c r="AU36" s="2">
        <v>1</v>
      </c>
      <c r="AV36" s="2">
        <f>Table834[[#This Row],[Water]]^2</f>
        <v>1</v>
      </c>
      <c r="AW36" s="2">
        <v>468.68100000000004</v>
      </c>
      <c r="AX36" s="2">
        <f>Table834[[#This Row],[Fat Calories]]^2</f>
        <v>219661.87976100005</v>
      </c>
      <c r="AY36" s="3">
        <f>Table834[[#This Row],[Weight]]*Table834[[#This Row],[Waist]]</f>
        <v>11374.199999999999</v>
      </c>
      <c r="AZ36" s="4">
        <f>Table834[[#This Row],[Weight]]*Table834[[#This Row],[Neck]]</f>
        <v>4345.2</v>
      </c>
      <c r="BA36" s="4">
        <f>Table834[[#This Row],[Weight]]*Table834[[#This Row],[Morning Body Temp]]</f>
        <v>24588.720000000001</v>
      </c>
      <c r="BB36" s="4">
        <f>Table834[[#This Row],[Weight]]*Table834[[#This Row],[Morning Systolic Pressure]]</f>
        <v>35017.199999999997</v>
      </c>
      <c r="BC36" s="11">
        <f>Table834[[#This Row],[Weight]]*Table834[[#This Row],[Morning Diastolic Pressure]]</f>
        <v>19170</v>
      </c>
      <c r="BD36" s="2">
        <f>Table834[[#This Row],[Weight]]*Table834[[#This Row],[Morning Pulse]]</f>
        <v>15336</v>
      </c>
      <c r="BE36" s="2">
        <f>Table834[[#This Row],[Weight]]*Table834[[#This Row],[Night Body Temp]]</f>
        <v>25048.799999999999</v>
      </c>
      <c r="BF36" s="2">
        <f>Table834[[#This Row],[Weight]]*Table834[[#This Row],[Night Systolic Pressure]]</f>
        <v>33739.199999999997</v>
      </c>
      <c r="BG36" s="4">
        <f>Table83[[#This Row],[Weight]]*Table83[[#This Row],[Night Diastolic Pressure]]</f>
        <v>18403.2</v>
      </c>
      <c r="BH36" s="2">
        <f>Table834[[#This Row],[Weight]]*Table834[[#This Row],[Night Pulse]]</f>
        <v>16614</v>
      </c>
      <c r="BI36" s="2">
        <f>Table834[[#This Row],[Weight]]*Table834[[#This Row],[Sleep]]</f>
        <v>1661.3999999999999</v>
      </c>
      <c r="BJ36" s="2">
        <f>Table834[[#This Row],[Weight]]*Table834[[#This Row],[BMI]]</f>
        <v>9373.0502204081622</v>
      </c>
      <c r="BK36" s="2">
        <f>Table834[[#This Row],[Weight]]*Table834[[#This Row],[CBF]]</f>
        <v>8006.5404557095171</v>
      </c>
      <c r="BL36" s="2">
        <f>Table834[[#This Row],[Weight]]*Table834[[#This Row],[Gym]]</f>
        <v>255.6</v>
      </c>
      <c r="BM36" s="2">
        <f>Table834[[#This Row],[Weight]]*Table834[[#This Row],[Cardio]]</f>
        <v>255.6</v>
      </c>
      <c r="BN36" s="2">
        <f>Table834[[#This Row],[Weight]]*Table834[[#This Row],[Calories]]</f>
        <v>232825.18800000002</v>
      </c>
      <c r="BO36" s="2">
        <f>Table834[[#This Row],[Weight]]*Table834[[#This Row],[Carbs]]</f>
        <v>10991.652</v>
      </c>
      <c r="BP36" s="2">
        <f>Table834[[#This Row],[Weight]]*Table834[[#This Row],[Fat ]]</f>
        <v>13310.540400000002</v>
      </c>
      <c r="BQ36" s="2">
        <f>Table834[[#This Row],[Weight]]*Table834[[#This Row],[Protein]]</f>
        <v>17986.486799999999</v>
      </c>
      <c r="BR36" s="2">
        <f>Table834[[#This Row],[Weight]]*Table834[[#This Row],[Fiber]]</f>
        <v>1888.7988</v>
      </c>
      <c r="BS36" s="2">
        <f>Table834[[#This Row],[Weight]]*Table834[[#This Row],[Sugar]]</f>
        <v>4260.809400000001</v>
      </c>
      <c r="BT36" s="2">
        <f>Table834[[#This Row],[Weight]]*Table834[[#This Row],[Servings]]</f>
        <v>1789.2</v>
      </c>
      <c r="BU36" s="2">
        <f>Table834[[#This Row],[Weight]]*Table834[[#This Row],[Water]]</f>
        <v>255.6</v>
      </c>
      <c r="BV36" s="2">
        <f>Table834[[#This Row],[Weight]]*Table834[[#This Row],[Fat Calories]]</f>
        <v>119794.86360000001</v>
      </c>
      <c r="BW36" s="2">
        <f>Table834[[#This Row],[Waist]]*Table834[[#This Row],[Neck]]</f>
        <v>756.5</v>
      </c>
      <c r="BX36" s="2">
        <f>Table834[[#This Row],[Waist]]*Table834[[#This Row],[Morning Body Temp]]</f>
        <v>4280.9000000000005</v>
      </c>
      <c r="BY36" s="2">
        <f>Table834[[#This Row],[Waist]]*Table834[[#This Row],[Morning Systolic Pressure]]</f>
        <v>6096.5</v>
      </c>
      <c r="BZ36" s="2">
        <f>Table834[[#This Row],[Waist]]*Table834[[#This Row],[Morning Diastolic Pressure]]</f>
        <v>3337.5</v>
      </c>
      <c r="CA36" s="2">
        <f>Table834[[#This Row],[Waist]]*Table834[[#This Row],[Morning Pulse]]</f>
        <v>2670</v>
      </c>
      <c r="CB36" s="2">
        <f>Table834[[#This Row],[Waist]]*Table834[[#This Row],[Night Body Temp]]</f>
        <v>4361</v>
      </c>
      <c r="CC36" s="2">
        <f>Table834[[#This Row],[Waist]]*Table834[[#This Row],[Night Systolic Pressure]]</f>
        <v>5874</v>
      </c>
      <c r="CD36" s="4">
        <f>Table83[[#This Row],[Waist]]*Table83[[#This Row],[Night Diastolic Pressure]]</f>
        <v>3204</v>
      </c>
      <c r="CE36" s="2">
        <f>Table834[[#This Row],[Waist]]*Table834[[#This Row],[Night Pulse]]</f>
        <v>2892.5</v>
      </c>
      <c r="CF36" s="2">
        <f>Table834[[#This Row],[Waist]]*Table834[[#This Row],[Sleep]]</f>
        <v>289.25</v>
      </c>
      <c r="CG36" s="2">
        <f>Table834[[#This Row],[Waist]]*Table834[[#This Row],[BMI]]</f>
        <v>1631.8495102040815</v>
      </c>
      <c r="CH36" s="2">
        <f>Table834[[#This Row],[Waist]]*Table834[[#This Row],[CBF]]</f>
        <v>1393.939946318754</v>
      </c>
      <c r="CI36" s="2">
        <f>Table834[[#This Row],[Waist]]*Table834[[#This Row],[Gym]]</f>
        <v>44.5</v>
      </c>
      <c r="CJ36" s="2">
        <f>Table834[[#This Row],[Waist]]*Table834[[#This Row],[Cardio]]</f>
        <v>44.5</v>
      </c>
      <c r="CK36" s="2">
        <f>Table834[[#This Row],[Waist]]*Table834[[#This Row],[Calories]]</f>
        <v>40534.901666666672</v>
      </c>
      <c r="CL36" s="2">
        <f>Table834[[#This Row],[Waist]]*Table834[[#This Row],[Carbs]]</f>
        <v>1913.6483333333335</v>
      </c>
      <c r="CM36" s="2">
        <f>Table834[[#This Row],[Waist]]*Table834[[#This Row],[Fat ]]</f>
        <v>2317.3671666666673</v>
      </c>
      <c r="CN36" s="2">
        <f>Table834[[#This Row],[Waist]]*Table834[[#This Row],[Protein]]</f>
        <v>3131.4501666666665</v>
      </c>
      <c r="CO36" s="2">
        <f>Table834[[#This Row],[Waist]]*Table834[[#This Row],[Fiber]]</f>
        <v>328.84016666666668</v>
      </c>
      <c r="CP36" s="2">
        <f>Table834[[#This Row],[Waist]]*Table834[[#This Row],[Sugar]]</f>
        <v>741.80758333333347</v>
      </c>
      <c r="CQ36" s="2">
        <f>Table834[[#This Row],[Waist]]*Table834[[#This Row],[Servings]]</f>
        <v>311.5</v>
      </c>
      <c r="CR36" s="2">
        <f>Table834[[#This Row],[Waist]]*Table834[[#This Row],[Water]]</f>
        <v>44.5</v>
      </c>
      <c r="CS36" s="2">
        <f>Table834[[#This Row],[Waist]]*Table834[[#This Row],[Fat Calories]]</f>
        <v>20856.304500000002</v>
      </c>
    </row>
    <row r="37" spans="1:97" x14ac:dyDescent="0.25">
      <c r="A37" s="2">
        <v>255.6</v>
      </c>
      <c r="B37" s="2">
        <f>Table834[[#This Row],[Weight]]^2</f>
        <v>65331.360000000001</v>
      </c>
      <c r="C37" s="2">
        <v>44.5</v>
      </c>
      <c r="D37" s="2">
        <f>Table834[[#This Row],[Waist]]^2</f>
        <v>1980.25</v>
      </c>
      <c r="E37" s="2">
        <v>17</v>
      </c>
      <c r="F37" s="2">
        <f>Table834[[#This Row],[Neck]]^2</f>
        <v>289</v>
      </c>
      <c r="G37" s="2">
        <v>96.2</v>
      </c>
      <c r="H37" s="2">
        <f>Table834[[#This Row],[Morning Body Temp]]^2</f>
        <v>9254.44</v>
      </c>
      <c r="I37" s="2">
        <v>141</v>
      </c>
      <c r="J37" s="2">
        <f>Table834[[#This Row],[Morning Systolic Pressure]]^2</f>
        <v>19881</v>
      </c>
      <c r="K37" s="2">
        <v>72</v>
      </c>
      <c r="L37" s="2">
        <f>Table834[[#This Row],[Morning Diastolic Pressure]]^2</f>
        <v>5184</v>
      </c>
      <c r="M37" s="2">
        <v>64</v>
      </c>
      <c r="N37" s="2">
        <f>Table834[[#This Row],[Morning Pulse]]^2</f>
        <v>4096</v>
      </c>
      <c r="O37" s="2">
        <v>97.5</v>
      </c>
      <c r="P37" s="2">
        <f>Table834[[#This Row],[Night Body Temp]]^2</f>
        <v>9506.25</v>
      </c>
      <c r="Q37" s="2">
        <v>127</v>
      </c>
      <c r="R37" s="2">
        <f>Table834[[#This Row],[Night Systolic Pressure]]^2</f>
        <v>16129</v>
      </c>
      <c r="S37" s="2">
        <v>67</v>
      </c>
      <c r="T37" s="2">
        <f>Table834[[#This Row],[Night Diastolic Pressure]]^2</f>
        <v>4489</v>
      </c>
      <c r="U37" s="2">
        <v>70</v>
      </c>
      <c r="V37" s="2">
        <f>Table834[[#This Row],[Night Pulse]]^2</f>
        <v>4900</v>
      </c>
      <c r="W37" s="2">
        <v>1</v>
      </c>
      <c r="X37" s="2">
        <f>Table834[[#This Row],[Sleep]]^2</f>
        <v>1</v>
      </c>
      <c r="Y37" s="2">
        <f t="shared" si="1"/>
        <v>36.670775510204081</v>
      </c>
      <c r="Z37" s="2">
        <f>Table834[[#This Row],[BMI]]^2</f>
        <v>1344.7457765197832</v>
      </c>
      <c r="AA37" s="2">
        <f t="shared" si="0"/>
        <v>31.324493175702337</v>
      </c>
      <c r="AB37" s="2">
        <f>Table834[[#This Row],[CBF]]^2</f>
        <v>981.2238727146223</v>
      </c>
      <c r="AC37" s="2">
        <v>1</v>
      </c>
      <c r="AD37" s="2">
        <f>Table834[[#This Row],[Gym]]^2</f>
        <v>1</v>
      </c>
      <c r="AE37" s="2">
        <v>0</v>
      </c>
      <c r="AF37" s="2">
        <f>Table834[[#This Row],[Cardio]]^2</f>
        <v>0</v>
      </c>
      <c r="AG37" s="2">
        <v>1913</v>
      </c>
      <c r="AH37" s="2">
        <f>Table834[[#This Row],[Calories]]^2</f>
        <v>3659569</v>
      </c>
      <c r="AI37" s="2">
        <v>146.79999999999998</v>
      </c>
      <c r="AJ37" s="2">
        <f>Table834[[#This Row],[Carbs]]^2</f>
        <v>21550.239999999994</v>
      </c>
      <c r="AK37" s="2">
        <v>93.5</v>
      </c>
      <c r="AL37" s="2">
        <f>Table834[[#This Row],[Fat ]]^2</f>
        <v>8742.25</v>
      </c>
      <c r="AM37" s="2">
        <v>60.4</v>
      </c>
      <c r="AN37" s="2">
        <f>Table834[[#This Row],[Protein]]^2</f>
        <v>3648.16</v>
      </c>
      <c r="AO37" s="2">
        <v>9</v>
      </c>
      <c r="AP37" s="2">
        <f>Table834[[#This Row],[Fiber]]^2</f>
        <v>81</v>
      </c>
      <c r="AQ37" s="2">
        <v>88.4</v>
      </c>
      <c r="AR37" s="2">
        <f>Table834[[#This Row],[Sugar]]^2</f>
        <v>7814.5600000000013</v>
      </c>
      <c r="AS37" s="2">
        <v>14</v>
      </c>
      <c r="AT37" s="2">
        <f>Table834[[#This Row],[Servings]]^2</f>
        <v>196</v>
      </c>
      <c r="AU37" s="2">
        <v>1.5</v>
      </c>
      <c r="AV37" s="2">
        <f>Table834[[#This Row],[Water]]^2</f>
        <v>2.25</v>
      </c>
      <c r="AW37" s="2">
        <v>841.5</v>
      </c>
      <c r="AX37" s="2">
        <f>Table834[[#This Row],[Fat Calories]]^2</f>
        <v>708122.25</v>
      </c>
      <c r="AY37" s="5">
        <f>Table834[[#This Row],[Weight]]*Table834[[#This Row],[Waist]]</f>
        <v>11374.199999999999</v>
      </c>
      <c r="AZ37" s="6">
        <f>Table834[[#This Row],[Weight]]*Table834[[#This Row],[Neck]]</f>
        <v>4345.2</v>
      </c>
      <c r="BA37" s="6">
        <f>Table834[[#This Row],[Weight]]*Table834[[#This Row],[Morning Body Temp]]</f>
        <v>24588.720000000001</v>
      </c>
      <c r="BB37" s="6">
        <f>Table834[[#This Row],[Weight]]*Table834[[#This Row],[Morning Systolic Pressure]]</f>
        <v>36039.599999999999</v>
      </c>
      <c r="BC37" s="12">
        <f>Table834[[#This Row],[Weight]]*Table834[[#This Row],[Morning Diastolic Pressure]]</f>
        <v>18403.2</v>
      </c>
      <c r="BD37" s="2">
        <f>Table834[[#This Row],[Weight]]*Table834[[#This Row],[Morning Pulse]]</f>
        <v>16358.4</v>
      </c>
      <c r="BE37" s="2">
        <f>Table834[[#This Row],[Weight]]*Table834[[#This Row],[Night Body Temp]]</f>
        <v>24921</v>
      </c>
      <c r="BF37" s="2">
        <f>Table834[[#This Row],[Weight]]*Table834[[#This Row],[Night Systolic Pressure]]</f>
        <v>32461.200000000001</v>
      </c>
      <c r="BG37" s="4">
        <f>Table83[[#This Row],[Weight]]*Table83[[#This Row],[Night Diastolic Pressure]]</f>
        <v>17125.2</v>
      </c>
      <c r="BH37" s="2">
        <f>Table834[[#This Row],[Weight]]*Table834[[#This Row],[Night Pulse]]</f>
        <v>17892</v>
      </c>
      <c r="BI37" s="2">
        <f>Table834[[#This Row],[Weight]]*Table834[[#This Row],[Sleep]]</f>
        <v>255.6</v>
      </c>
      <c r="BJ37" s="2">
        <f>Table834[[#This Row],[Weight]]*Table834[[#This Row],[BMI]]</f>
        <v>9373.0502204081622</v>
      </c>
      <c r="BK37" s="2">
        <f>Table834[[#This Row],[Weight]]*Table834[[#This Row],[CBF]]</f>
        <v>8006.5404557095171</v>
      </c>
      <c r="BL37" s="2">
        <f>Table834[[#This Row],[Weight]]*Table834[[#This Row],[Gym]]</f>
        <v>255.6</v>
      </c>
      <c r="BM37" s="2">
        <f>Table834[[#This Row],[Weight]]*Table834[[#This Row],[Cardio]]</f>
        <v>0</v>
      </c>
      <c r="BN37" s="2">
        <f>Table834[[#This Row],[Weight]]*Table834[[#This Row],[Calories]]</f>
        <v>488962.8</v>
      </c>
      <c r="BO37" s="2">
        <f>Table834[[#This Row],[Weight]]*Table834[[#This Row],[Carbs]]</f>
        <v>37522.079999999994</v>
      </c>
      <c r="BP37" s="2">
        <f>Table834[[#This Row],[Weight]]*Table834[[#This Row],[Fat ]]</f>
        <v>23898.6</v>
      </c>
      <c r="BQ37" s="2">
        <f>Table834[[#This Row],[Weight]]*Table834[[#This Row],[Protein]]</f>
        <v>15438.24</v>
      </c>
      <c r="BR37" s="2">
        <f>Table834[[#This Row],[Weight]]*Table834[[#This Row],[Fiber]]</f>
        <v>2300.4</v>
      </c>
      <c r="BS37" s="2">
        <f>Table834[[#This Row],[Weight]]*Table834[[#This Row],[Sugar]]</f>
        <v>22595.040000000001</v>
      </c>
      <c r="BT37" s="2">
        <f>Table834[[#This Row],[Weight]]*Table834[[#This Row],[Servings]]</f>
        <v>3578.4</v>
      </c>
      <c r="BU37" s="2">
        <f>Table834[[#This Row],[Weight]]*Table834[[#This Row],[Water]]</f>
        <v>383.4</v>
      </c>
      <c r="BV37" s="2">
        <f>Table834[[#This Row],[Weight]]*Table834[[#This Row],[Fat Calories]]</f>
        <v>215087.4</v>
      </c>
      <c r="BW37" s="2">
        <f>Table834[[#This Row],[Waist]]*Table834[[#This Row],[Neck]]</f>
        <v>756.5</v>
      </c>
      <c r="BX37" s="2">
        <f>Table834[[#This Row],[Waist]]*Table834[[#This Row],[Morning Body Temp]]</f>
        <v>4280.9000000000005</v>
      </c>
      <c r="BY37" s="2">
        <f>Table834[[#This Row],[Waist]]*Table834[[#This Row],[Morning Systolic Pressure]]</f>
        <v>6274.5</v>
      </c>
      <c r="BZ37" s="2">
        <f>Table834[[#This Row],[Waist]]*Table834[[#This Row],[Morning Diastolic Pressure]]</f>
        <v>3204</v>
      </c>
      <c r="CA37" s="2">
        <f>Table834[[#This Row],[Waist]]*Table834[[#This Row],[Morning Pulse]]</f>
        <v>2848</v>
      </c>
      <c r="CB37" s="2">
        <f>Table834[[#This Row],[Waist]]*Table834[[#This Row],[Night Body Temp]]</f>
        <v>4338.75</v>
      </c>
      <c r="CC37" s="2">
        <f>Table834[[#This Row],[Waist]]*Table834[[#This Row],[Night Systolic Pressure]]</f>
        <v>5651.5</v>
      </c>
      <c r="CD37" s="4">
        <f>Table83[[#This Row],[Waist]]*Table83[[#This Row],[Night Diastolic Pressure]]</f>
        <v>2981.5</v>
      </c>
      <c r="CE37" s="2">
        <f>Table834[[#This Row],[Waist]]*Table834[[#This Row],[Night Pulse]]</f>
        <v>3115</v>
      </c>
      <c r="CF37" s="2">
        <f>Table834[[#This Row],[Waist]]*Table834[[#This Row],[Sleep]]</f>
        <v>44.5</v>
      </c>
      <c r="CG37" s="2">
        <f>Table834[[#This Row],[Waist]]*Table834[[#This Row],[BMI]]</f>
        <v>1631.8495102040815</v>
      </c>
      <c r="CH37" s="2">
        <f>Table834[[#This Row],[Waist]]*Table834[[#This Row],[CBF]]</f>
        <v>1393.939946318754</v>
      </c>
      <c r="CI37" s="2">
        <f>Table834[[#This Row],[Waist]]*Table834[[#This Row],[Gym]]</f>
        <v>44.5</v>
      </c>
      <c r="CJ37" s="2">
        <f>Table834[[#This Row],[Waist]]*Table834[[#This Row],[Cardio]]</f>
        <v>0</v>
      </c>
      <c r="CK37" s="2">
        <f>Table834[[#This Row],[Waist]]*Table834[[#This Row],[Calories]]</f>
        <v>85128.5</v>
      </c>
      <c r="CL37" s="2">
        <f>Table834[[#This Row],[Waist]]*Table834[[#This Row],[Carbs]]</f>
        <v>6532.5999999999995</v>
      </c>
      <c r="CM37" s="2">
        <f>Table834[[#This Row],[Waist]]*Table834[[#This Row],[Fat ]]</f>
        <v>4160.75</v>
      </c>
      <c r="CN37" s="2">
        <f>Table834[[#This Row],[Waist]]*Table834[[#This Row],[Protein]]</f>
        <v>2687.7999999999997</v>
      </c>
      <c r="CO37" s="2">
        <f>Table834[[#This Row],[Waist]]*Table834[[#This Row],[Fiber]]</f>
        <v>400.5</v>
      </c>
      <c r="CP37" s="2">
        <f>Table834[[#This Row],[Waist]]*Table834[[#This Row],[Sugar]]</f>
        <v>3933.8</v>
      </c>
      <c r="CQ37" s="2">
        <f>Table834[[#This Row],[Waist]]*Table834[[#This Row],[Servings]]</f>
        <v>623</v>
      </c>
      <c r="CR37" s="2">
        <f>Table834[[#This Row],[Waist]]*Table834[[#This Row],[Water]]</f>
        <v>66.75</v>
      </c>
      <c r="CS37" s="2">
        <f>Table834[[#This Row],[Waist]]*Table834[[#This Row],[Fat Calories]]</f>
        <v>37446.75</v>
      </c>
    </row>
    <row r="38" spans="1:97" x14ac:dyDescent="0.25">
      <c r="A38" s="2">
        <v>252.8</v>
      </c>
      <c r="B38" s="2">
        <f>Table834[[#This Row],[Weight]]^2</f>
        <v>63907.840000000004</v>
      </c>
      <c r="C38" s="2">
        <v>44.5</v>
      </c>
      <c r="D38" s="2">
        <f>Table834[[#This Row],[Waist]]^2</f>
        <v>1980.25</v>
      </c>
      <c r="E38" s="2">
        <v>17</v>
      </c>
      <c r="F38" s="2">
        <f>Table834[[#This Row],[Neck]]^2</f>
        <v>289</v>
      </c>
      <c r="G38" s="2">
        <v>96.1</v>
      </c>
      <c r="H38" s="2">
        <f>Table834[[#This Row],[Morning Body Temp]]^2</f>
        <v>9235.2099999999991</v>
      </c>
      <c r="I38" s="2">
        <v>128</v>
      </c>
      <c r="J38" s="2">
        <f>Table834[[#This Row],[Morning Systolic Pressure]]^2</f>
        <v>16384</v>
      </c>
      <c r="K38" s="2">
        <v>72</v>
      </c>
      <c r="L38" s="2">
        <f>Table834[[#This Row],[Morning Diastolic Pressure]]^2</f>
        <v>5184</v>
      </c>
      <c r="M38" s="2">
        <v>68</v>
      </c>
      <c r="N38" s="2">
        <f>Table834[[#This Row],[Morning Pulse]]^2</f>
        <v>4624</v>
      </c>
      <c r="O38" s="2">
        <v>98</v>
      </c>
      <c r="P38" s="2">
        <f>Table834[[#This Row],[Night Body Temp]]^2</f>
        <v>9604</v>
      </c>
      <c r="Q38" s="2">
        <v>140</v>
      </c>
      <c r="R38" s="2">
        <f>Table834[[#This Row],[Night Systolic Pressure]]^2</f>
        <v>19600</v>
      </c>
      <c r="S38" s="2">
        <v>79</v>
      </c>
      <c r="T38" s="2">
        <f>Table834[[#This Row],[Night Diastolic Pressure]]^2</f>
        <v>6241</v>
      </c>
      <c r="U38" s="2">
        <v>87</v>
      </c>
      <c r="V38" s="2">
        <f>Table834[[#This Row],[Night Pulse]]^2</f>
        <v>7569</v>
      </c>
      <c r="W38" s="2">
        <v>9.5</v>
      </c>
      <c r="X38" s="2">
        <f>Table834[[#This Row],[Sleep]]^2</f>
        <v>90.25</v>
      </c>
      <c r="Y38" s="2">
        <f t="shared" si="1"/>
        <v>36.269061224489796</v>
      </c>
      <c r="Z38" s="2">
        <f>Table834[[#This Row],[BMI]]^2</f>
        <v>1315.4448021057892</v>
      </c>
      <c r="AA38" s="2">
        <f t="shared" si="0"/>
        <v>31.324493175702337</v>
      </c>
      <c r="AB38" s="2">
        <f>Table834[[#This Row],[CBF]]^2</f>
        <v>981.2238727146223</v>
      </c>
      <c r="AC38" s="2">
        <v>1</v>
      </c>
      <c r="AD38" s="2">
        <f>Table834[[#This Row],[Gym]]^2</f>
        <v>1</v>
      </c>
      <c r="AE38" s="2">
        <v>1</v>
      </c>
      <c r="AF38" s="2">
        <f>Table834[[#This Row],[Cardio]]^2</f>
        <v>1</v>
      </c>
      <c r="AG38" s="2">
        <v>660.31500000000005</v>
      </c>
      <c r="AH38" s="2">
        <f>Table834[[#This Row],[Calories]]^2</f>
        <v>436015.89922500006</v>
      </c>
      <c r="AI38" s="2">
        <v>48.047499999999999</v>
      </c>
      <c r="AJ38" s="2">
        <f>Table834[[#This Row],[Carbs]]^2</f>
        <v>2308.5622562499998</v>
      </c>
      <c r="AK38" s="2">
        <v>29.865666666666673</v>
      </c>
      <c r="AL38" s="2">
        <f>Table834[[#This Row],[Fat ]]^2</f>
        <v>891.95804544444479</v>
      </c>
      <c r="AM38" s="2">
        <v>45.608166666666669</v>
      </c>
      <c r="AN38" s="2">
        <f>Table834[[#This Row],[Protein]]^2</f>
        <v>2080.1048666944448</v>
      </c>
      <c r="AO38" s="2">
        <v>5.7646666666666668</v>
      </c>
      <c r="AP38" s="2">
        <f>Table834[[#This Row],[Fiber]]^2</f>
        <v>33.231381777777777</v>
      </c>
      <c r="AQ38" s="2">
        <v>21.505166666666668</v>
      </c>
      <c r="AR38" s="2">
        <f>Table834[[#This Row],[Sugar]]^2</f>
        <v>462.47219336111118</v>
      </c>
      <c r="AS38" s="2">
        <v>12.4</v>
      </c>
      <c r="AT38" s="2">
        <f>Table834[[#This Row],[Servings]]^2</f>
        <v>153.76000000000002</v>
      </c>
      <c r="AU38" s="2">
        <v>2</v>
      </c>
      <c r="AV38" s="2">
        <f>Table834[[#This Row],[Water]]^2</f>
        <v>4</v>
      </c>
      <c r="AW38" s="2">
        <v>268.79100000000005</v>
      </c>
      <c r="AX38" s="2">
        <f>Table834[[#This Row],[Fat Calories]]^2</f>
        <v>72248.601681000029</v>
      </c>
      <c r="AY38" s="3">
        <f>Table834[[#This Row],[Weight]]*Table834[[#This Row],[Waist]]</f>
        <v>11249.6</v>
      </c>
      <c r="AZ38" s="4">
        <f>Table834[[#This Row],[Weight]]*Table834[[#This Row],[Neck]]</f>
        <v>4297.6000000000004</v>
      </c>
      <c r="BA38" s="4">
        <f>Table834[[#This Row],[Weight]]*Table834[[#This Row],[Morning Body Temp]]</f>
        <v>24294.079999999998</v>
      </c>
      <c r="BB38" s="4">
        <f>Table834[[#This Row],[Weight]]*Table834[[#This Row],[Morning Systolic Pressure]]</f>
        <v>32358.400000000001</v>
      </c>
      <c r="BC38" s="11">
        <f>Table834[[#This Row],[Weight]]*Table834[[#This Row],[Morning Diastolic Pressure]]</f>
        <v>18201.600000000002</v>
      </c>
      <c r="BD38" s="2">
        <f>Table834[[#This Row],[Weight]]*Table834[[#This Row],[Morning Pulse]]</f>
        <v>17190.400000000001</v>
      </c>
      <c r="BE38" s="2">
        <f>Table834[[#This Row],[Weight]]*Table834[[#This Row],[Night Body Temp]]</f>
        <v>24774.400000000001</v>
      </c>
      <c r="BF38" s="2">
        <f>Table834[[#This Row],[Weight]]*Table834[[#This Row],[Night Systolic Pressure]]</f>
        <v>35392</v>
      </c>
      <c r="BG38" s="4">
        <f>Table83[[#This Row],[Weight]]*Table83[[#This Row],[Night Diastolic Pressure]]</f>
        <v>19971.2</v>
      </c>
      <c r="BH38" s="2">
        <f>Table834[[#This Row],[Weight]]*Table834[[#This Row],[Night Pulse]]</f>
        <v>21993.600000000002</v>
      </c>
      <c r="BI38" s="2">
        <f>Table834[[#This Row],[Weight]]*Table834[[#This Row],[Sleep]]</f>
        <v>2401.6</v>
      </c>
      <c r="BJ38" s="2">
        <f>Table834[[#This Row],[Weight]]*Table834[[#This Row],[BMI]]</f>
        <v>9168.8186775510203</v>
      </c>
      <c r="BK38" s="2">
        <f>Table834[[#This Row],[Weight]]*Table834[[#This Row],[CBF]]</f>
        <v>7918.8318748175507</v>
      </c>
      <c r="BL38" s="2">
        <f>Table834[[#This Row],[Weight]]*Table834[[#This Row],[Gym]]</f>
        <v>252.8</v>
      </c>
      <c r="BM38" s="2">
        <f>Table834[[#This Row],[Weight]]*Table834[[#This Row],[Cardio]]</f>
        <v>252.8</v>
      </c>
      <c r="BN38" s="2">
        <f>Table834[[#This Row],[Weight]]*Table834[[#This Row],[Calories]]</f>
        <v>166927.63200000001</v>
      </c>
      <c r="BO38" s="2">
        <f>Table834[[#This Row],[Weight]]*Table834[[#This Row],[Carbs]]</f>
        <v>12146.408000000001</v>
      </c>
      <c r="BP38" s="2">
        <f>Table834[[#This Row],[Weight]]*Table834[[#This Row],[Fat ]]</f>
        <v>7550.0405333333356</v>
      </c>
      <c r="BQ38" s="2">
        <f>Table834[[#This Row],[Weight]]*Table834[[#This Row],[Protein]]</f>
        <v>11529.744533333334</v>
      </c>
      <c r="BR38" s="2">
        <f>Table834[[#This Row],[Weight]]*Table834[[#This Row],[Fiber]]</f>
        <v>1457.3077333333335</v>
      </c>
      <c r="BS38" s="2">
        <f>Table834[[#This Row],[Weight]]*Table834[[#This Row],[Sugar]]</f>
        <v>5436.5061333333342</v>
      </c>
      <c r="BT38" s="2">
        <f>Table834[[#This Row],[Weight]]*Table834[[#This Row],[Servings]]</f>
        <v>3134.7200000000003</v>
      </c>
      <c r="BU38" s="2">
        <f>Table834[[#This Row],[Weight]]*Table834[[#This Row],[Water]]</f>
        <v>505.6</v>
      </c>
      <c r="BV38" s="2">
        <f>Table834[[#This Row],[Weight]]*Table834[[#This Row],[Fat Calories]]</f>
        <v>67950.36480000001</v>
      </c>
      <c r="BW38" s="2">
        <f>Table834[[#This Row],[Waist]]*Table834[[#This Row],[Neck]]</f>
        <v>756.5</v>
      </c>
      <c r="BX38" s="2">
        <f>Table834[[#This Row],[Waist]]*Table834[[#This Row],[Morning Body Temp]]</f>
        <v>4276.45</v>
      </c>
      <c r="BY38" s="2">
        <f>Table834[[#This Row],[Waist]]*Table834[[#This Row],[Morning Systolic Pressure]]</f>
        <v>5696</v>
      </c>
      <c r="BZ38" s="2">
        <f>Table834[[#This Row],[Waist]]*Table834[[#This Row],[Morning Diastolic Pressure]]</f>
        <v>3204</v>
      </c>
      <c r="CA38" s="2">
        <f>Table834[[#This Row],[Waist]]*Table834[[#This Row],[Morning Pulse]]</f>
        <v>3026</v>
      </c>
      <c r="CB38" s="2">
        <f>Table834[[#This Row],[Waist]]*Table834[[#This Row],[Night Body Temp]]</f>
        <v>4361</v>
      </c>
      <c r="CC38" s="2">
        <f>Table834[[#This Row],[Waist]]*Table834[[#This Row],[Night Systolic Pressure]]</f>
        <v>6230</v>
      </c>
      <c r="CD38" s="4">
        <f>Table83[[#This Row],[Waist]]*Table83[[#This Row],[Night Diastolic Pressure]]</f>
        <v>3515.5</v>
      </c>
      <c r="CE38" s="2">
        <f>Table834[[#This Row],[Waist]]*Table834[[#This Row],[Night Pulse]]</f>
        <v>3871.5</v>
      </c>
      <c r="CF38" s="2">
        <f>Table834[[#This Row],[Waist]]*Table834[[#This Row],[Sleep]]</f>
        <v>422.75</v>
      </c>
      <c r="CG38" s="2">
        <f>Table834[[#This Row],[Waist]]*Table834[[#This Row],[BMI]]</f>
        <v>1613.9732244897959</v>
      </c>
      <c r="CH38" s="2">
        <f>Table834[[#This Row],[Waist]]*Table834[[#This Row],[CBF]]</f>
        <v>1393.939946318754</v>
      </c>
      <c r="CI38" s="2">
        <f>Table834[[#This Row],[Waist]]*Table834[[#This Row],[Gym]]</f>
        <v>44.5</v>
      </c>
      <c r="CJ38" s="2">
        <f>Table834[[#This Row],[Waist]]*Table834[[#This Row],[Cardio]]</f>
        <v>44.5</v>
      </c>
      <c r="CK38" s="2">
        <f>Table834[[#This Row],[Waist]]*Table834[[#This Row],[Calories]]</f>
        <v>29384.017500000002</v>
      </c>
      <c r="CL38" s="2">
        <f>Table834[[#This Row],[Waist]]*Table834[[#This Row],[Carbs]]</f>
        <v>2138.11375</v>
      </c>
      <c r="CM38" s="2">
        <f>Table834[[#This Row],[Waist]]*Table834[[#This Row],[Fat ]]</f>
        <v>1329.0221666666669</v>
      </c>
      <c r="CN38" s="2">
        <f>Table834[[#This Row],[Waist]]*Table834[[#This Row],[Protein]]</f>
        <v>2029.5634166666669</v>
      </c>
      <c r="CO38" s="2">
        <f>Table834[[#This Row],[Waist]]*Table834[[#This Row],[Fiber]]</f>
        <v>256.52766666666668</v>
      </c>
      <c r="CP38" s="2">
        <f>Table834[[#This Row],[Waist]]*Table834[[#This Row],[Sugar]]</f>
        <v>956.97991666666667</v>
      </c>
      <c r="CQ38" s="2">
        <f>Table834[[#This Row],[Waist]]*Table834[[#This Row],[Servings]]</f>
        <v>551.80000000000007</v>
      </c>
      <c r="CR38" s="2">
        <f>Table834[[#This Row],[Waist]]*Table834[[#This Row],[Water]]</f>
        <v>89</v>
      </c>
      <c r="CS38" s="2">
        <f>Table834[[#This Row],[Waist]]*Table834[[#This Row],[Fat Calories]]</f>
        <v>11961.199500000002</v>
      </c>
    </row>
    <row r="39" spans="1:97" x14ac:dyDescent="0.25">
      <c r="A39" s="2">
        <v>252.8</v>
      </c>
      <c r="B39" s="2">
        <f>Table834[[#This Row],[Weight]]^2</f>
        <v>63907.840000000004</v>
      </c>
      <c r="C39" s="2">
        <v>44.5</v>
      </c>
      <c r="D39" s="2">
        <f>Table834[[#This Row],[Waist]]^2</f>
        <v>1980.25</v>
      </c>
      <c r="E39" s="2">
        <v>17</v>
      </c>
      <c r="F39" s="2">
        <f>Table834[[#This Row],[Neck]]^2</f>
        <v>289</v>
      </c>
      <c r="G39" s="2">
        <v>96.3</v>
      </c>
      <c r="H39" s="2">
        <f>Table834[[#This Row],[Morning Body Temp]]^2</f>
        <v>9273.6899999999987</v>
      </c>
      <c r="I39" s="2">
        <v>126</v>
      </c>
      <c r="J39" s="2">
        <f>Table834[[#This Row],[Morning Systolic Pressure]]^2</f>
        <v>15876</v>
      </c>
      <c r="K39" s="2">
        <v>68</v>
      </c>
      <c r="L39" s="2">
        <f>Table834[[#This Row],[Morning Diastolic Pressure]]^2</f>
        <v>4624</v>
      </c>
      <c r="M39" s="2">
        <v>73</v>
      </c>
      <c r="N39" s="2">
        <f>Table834[[#This Row],[Morning Pulse]]^2</f>
        <v>5329</v>
      </c>
      <c r="O39" s="2">
        <v>97</v>
      </c>
      <c r="P39" s="2">
        <f>Table834[[#This Row],[Night Body Temp]]^2</f>
        <v>9409</v>
      </c>
      <c r="Q39" s="2">
        <v>159</v>
      </c>
      <c r="R39" s="2">
        <f>Table834[[#This Row],[Night Systolic Pressure]]^2</f>
        <v>25281</v>
      </c>
      <c r="S39" s="2">
        <v>70</v>
      </c>
      <c r="T39" s="2">
        <f>Table834[[#This Row],[Night Diastolic Pressure]]^2</f>
        <v>4900</v>
      </c>
      <c r="U39" s="2">
        <v>97</v>
      </c>
      <c r="V39" s="2">
        <f>Table834[[#This Row],[Night Pulse]]^2</f>
        <v>9409</v>
      </c>
      <c r="W39" s="2">
        <v>2</v>
      </c>
      <c r="X39" s="2">
        <f>Table834[[#This Row],[Sleep]]^2</f>
        <v>4</v>
      </c>
      <c r="Y39" s="2">
        <f t="shared" si="1"/>
        <v>36.269061224489796</v>
      </c>
      <c r="Z39" s="2">
        <f>Table834[[#This Row],[BMI]]^2</f>
        <v>1315.4448021057892</v>
      </c>
      <c r="AA39" s="2">
        <f t="shared" si="0"/>
        <v>31.324493175702337</v>
      </c>
      <c r="AB39" s="2">
        <f>Table834[[#This Row],[CBF]]^2</f>
        <v>981.2238727146223</v>
      </c>
      <c r="AC39" s="2">
        <v>1</v>
      </c>
      <c r="AD39" s="2">
        <f>Table834[[#This Row],[Gym]]^2</f>
        <v>1</v>
      </c>
      <c r="AE39" s="2">
        <v>1</v>
      </c>
      <c r="AF39" s="2">
        <f>Table834[[#This Row],[Cardio]]^2</f>
        <v>1</v>
      </c>
      <c r="AG39" s="2">
        <v>8729</v>
      </c>
      <c r="AH39" s="2">
        <f>Table834[[#This Row],[Calories]]^2</f>
        <v>76195441</v>
      </c>
      <c r="AI39" s="2">
        <v>908.85000000000014</v>
      </c>
      <c r="AJ39" s="2">
        <f>Table834[[#This Row],[Carbs]]^2</f>
        <v>826008.32250000024</v>
      </c>
      <c r="AK39" s="2">
        <v>275.95</v>
      </c>
      <c r="AL39" s="2">
        <f>Table834[[#This Row],[Fat ]]^2</f>
        <v>76148.402499999997</v>
      </c>
      <c r="AM39" s="2">
        <v>182.9</v>
      </c>
      <c r="AN39" s="2">
        <f>Table834[[#This Row],[Protein]]^2</f>
        <v>33452.410000000003</v>
      </c>
      <c r="AO39" s="2">
        <v>35.450000000000003</v>
      </c>
      <c r="AP39" s="2">
        <f>Table834[[#This Row],[Fiber]]^2</f>
        <v>1256.7025000000001</v>
      </c>
      <c r="AQ39" s="2">
        <v>478.34999999999997</v>
      </c>
      <c r="AR39" s="2">
        <f>Table834[[#This Row],[Sugar]]^2</f>
        <v>228818.72249999997</v>
      </c>
      <c r="AS39" s="2">
        <v>166.5</v>
      </c>
      <c r="AT39" s="2">
        <f>Table834[[#This Row],[Servings]]^2</f>
        <v>27722.25</v>
      </c>
      <c r="AU39" s="2">
        <v>1</v>
      </c>
      <c r="AV39" s="2">
        <f>Table834[[#This Row],[Water]]^2</f>
        <v>1</v>
      </c>
      <c r="AW39" s="2">
        <v>2483.5499999999997</v>
      </c>
      <c r="AX39" s="2">
        <f>Table834[[#This Row],[Fat Calories]]^2</f>
        <v>6168020.6024999991</v>
      </c>
      <c r="AY39" s="5">
        <f>Table834[[#This Row],[Weight]]*Table834[[#This Row],[Waist]]</f>
        <v>11249.6</v>
      </c>
      <c r="AZ39" s="6">
        <f>Table834[[#This Row],[Weight]]*Table834[[#This Row],[Neck]]</f>
        <v>4297.6000000000004</v>
      </c>
      <c r="BA39" s="6">
        <f>Table834[[#This Row],[Weight]]*Table834[[#This Row],[Morning Body Temp]]</f>
        <v>24344.639999999999</v>
      </c>
      <c r="BB39" s="6">
        <f>Table834[[#This Row],[Weight]]*Table834[[#This Row],[Morning Systolic Pressure]]</f>
        <v>31852.800000000003</v>
      </c>
      <c r="BC39" s="12">
        <f>Table834[[#This Row],[Weight]]*Table834[[#This Row],[Morning Diastolic Pressure]]</f>
        <v>17190.400000000001</v>
      </c>
      <c r="BD39" s="2">
        <f>Table834[[#This Row],[Weight]]*Table834[[#This Row],[Morning Pulse]]</f>
        <v>18454.400000000001</v>
      </c>
      <c r="BE39" s="2">
        <f>Table834[[#This Row],[Weight]]*Table834[[#This Row],[Night Body Temp]]</f>
        <v>24521.600000000002</v>
      </c>
      <c r="BF39" s="2">
        <f>Table834[[#This Row],[Weight]]*Table834[[#This Row],[Night Systolic Pressure]]</f>
        <v>40195.200000000004</v>
      </c>
      <c r="BG39" s="4">
        <f>Table83[[#This Row],[Weight]]*Table83[[#This Row],[Night Diastolic Pressure]]</f>
        <v>17696</v>
      </c>
      <c r="BH39" s="2">
        <f>Table834[[#This Row],[Weight]]*Table834[[#This Row],[Night Pulse]]</f>
        <v>24521.600000000002</v>
      </c>
      <c r="BI39" s="2">
        <f>Table834[[#This Row],[Weight]]*Table834[[#This Row],[Sleep]]</f>
        <v>505.6</v>
      </c>
      <c r="BJ39" s="2">
        <f>Table834[[#This Row],[Weight]]*Table834[[#This Row],[BMI]]</f>
        <v>9168.8186775510203</v>
      </c>
      <c r="BK39" s="2">
        <f>Table834[[#This Row],[Weight]]*Table834[[#This Row],[CBF]]</f>
        <v>7918.8318748175507</v>
      </c>
      <c r="BL39" s="2">
        <f>Table834[[#This Row],[Weight]]*Table834[[#This Row],[Gym]]</f>
        <v>252.8</v>
      </c>
      <c r="BM39" s="2">
        <f>Table834[[#This Row],[Weight]]*Table834[[#This Row],[Cardio]]</f>
        <v>252.8</v>
      </c>
      <c r="BN39" s="2">
        <f>Table834[[#This Row],[Weight]]*Table834[[#This Row],[Calories]]</f>
        <v>2206691.2000000002</v>
      </c>
      <c r="BO39" s="2">
        <f>Table834[[#This Row],[Weight]]*Table834[[#This Row],[Carbs]]</f>
        <v>229757.28000000006</v>
      </c>
      <c r="BP39" s="2">
        <f>Table834[[#This Row],[Weight]]*Table834[[#This Row],[Fat ]]</f>
        <v>69760.160000000003</v>
      </c>
      <c r="BQ39" s="2">
        <f>Table834[[#This Row],[Weight]]*Table834[[#This Row],[Protein]]</f>
        <v>46237.120000000003</v>
      </c>
      <c r="BR39" s="2">
        <f>Table834[[#This Row],[Weight]]*Table834[[#This Row],[Fiber]]</f>
        <v>8961.76</v>
      </c>
      <c r="BS39" s="2">
        <f>Table834[[#This Row],[Weight]]*Table834[[#This Row],[Sugar]]</f>
        <v>120926.87999999999</v>
      </c>
      <c r="BT39" s="2">
        <f>Table834[[#This Row],[Weight]]*Table834[[#This Row],[Servings]]</f>
        <v>42091.200000000004</v>
      </c>
      <c r="BU39" s="2">
        <f>Table834[[#This Row],[Weight]]*Table834[[#This Row],[Water]]</f>
        <v>252.8</v>
      </c>
      <c r="BV39" s="2">
        <f>Table834[[#This Row],[Weight]]*Table834[[#This Row],[Fat Calories]]</f>
        <v>627841.43999999994</v>
      </c>
      <c r="BW39" s="2">
        <f>Table834[[#This Row],[Waist]]*Table834[[#This Row],[Neck]]</f>
        <v>756.5</v>
      </c>
      <c r="BX39" s="2">
        <f>Table834[[#This Row],[Waist]]*Table834[[#This Row],[Morning Body Temp]]</f>
        <v>4285.3499999999995</v>
      </c>
      <c r="BY39" s="2">
        <f>Table834[[#This Row],[Waist]]*Table834[[#This Row],[Morning Systolic Pressure]]</f>
        <v>5607</v>
      </c>
      <c r="BZ39" s="2">
        <f>Table834[[#This Row],[Waist]]*Table834[[#This Row],[Morning Diastolic Pressure]]</f>
        <v>3026</v>
      </c>
      <c r="CA39" s="2">
        <f>Table834[[#This Row],[Waist]]*Table834[[#This Row],[Morning Pulse]]</f>
        <v>3248.5</v>
      </c>
      <c r="CB39" s="2">
        <f>Table834[[#This Row],[Waist]]*Table834[[#This Row],[Night Body Temp]]</f>
        <v>4316.5</v>
      </c>
      <c r="CC39" s="2">
        <f>Table834[[#This Row],[Waist]]*Table834[[#This Row],[Night Systolic Pressure]]</f>
        <v>7075.5</v>
      </c>
      <c r="CD39" s="4">
        <f>Table83[[#This Row],[Waist]]*Table83[[#This Row],[Night Diastolic Pressure]]</f>
        <v>3115</v>
      </c>
      <c r="CE39" s="2">
        <f>Table834[[#This Row],[Waist]]*Table834[[#This Row],[Night Pulse]]</f>
        <v>4316.5</v>
      </c>
      <c r="CF39" s="2">
        <f>Table834[[#This Row],[Waist]]*Table834[[#This Row],[Sleep]]</f>
        <v>89</v>
      </c>
      <c r="CG39" s="2">
        <f>Table834[[#This Row],[Waist]]*Table834[[#This Row],[BMI]]</f>
        <v>1613.9732244897959</v>
      </c>
      <c r="CH39" s="2">
        <f>Table834[[#This Row],[Waist]]*Table834[[#This Row],[CBF]]</f>
        <v>1393.939946318754</v>
      </c>
      <c r="CI39" s="2">
        <f>Table834[[#This Row],[Waist]]*Table834[[#This Row],[Gym]]</f>
        <v>44.5</v>
      </c>
      <c r="CJ39" s="2">
        <f>Table834[[#This Row],[Waist]]*Table834[[#This Row],[Cardio]]</f>
        <v>44.5</v>
      </c>
      <c r="CK39" s="2">
        <f>Table834[[#This Row],[Waist]]*Table834[[#This Row],[Calories]]</f>
        <v>388440.5</v>
      </c>
      <c r="CL39" s="2">
        <f>Table834[[#This Row],[Waist]]*Table834[[#This Row],[Carbs]]</f>
        <v>40443.825000000004</v>
      </c>
      <c r="CM39" s="2">
        <f>Table834[[#This Row],[Waist]]*Table834[[#This Row],[Fat ]]</f>
        <v>12279.775</v>
      </c>
      <c r="CN39" s="2">
        <f>Table834[[#This Row],[Waist]]*Table834[[#This Row],[Protein]]</f>
        <v>8139.05</v>
      </c>
      <c r="CO39" s="2">
        <f>Table834[[#This Row],[Waist]]*Table834[[#This Row],[Fiber]]</f>
        <v>1577.5250000000001</v>
      </c>
      <c r="CP39" s="2">
        <f>Table834[[#This Row],[Waist]]*Table834[[#This Row],[Sugar]]</f>
        <v>21286.574999999997</v>
      </c>
      <c r="CQ39" s="2">
        <f>Table834[[#This Row],[Waist]]*Table834[[#This Row],[Servings]]</f>
        <v>7409.25</v>
      </c>
      <c r="CR39" s="2">
        <f>Table834[[#This Row],[Waist]]*Table834[[#This Row],[Water]]</f>
        <v>44.5</v>
      </c>
      <c r="CS39" s="2">
        <f>Table834[[#This Row],[Waist]]*Table834[[#This Row],[Fat Calories]]</f>
        <v>110517.97499999999</v>
      </c>
    </row>
    <row r="40" spans="1:97" x14ac:dyDescent="0.25">
      <c r="A40" s="2">
        <v>257</v>
      </c>
      <c r="B40" s="2">
        <f>Table834[[#This Row],[Weight]]^2</f>
        <v>66049</v>
      </c>
      <c r="C40" s="2">
        <v>45</v>
      </c>
      <c r="D40" s="2">
        <f>Table834[[#This Row],[Waist]]^2</f>
        <v>2025</v>
      </c>
      <c r="E40" s="2">
        <v>17</v>
      </c>
      <c r="F40" s="2">
        <f>Table834[[#This Row],[Neck]]^2</f>
        <v>289</v>
      </c>
      <c r="G40" s="2">
        <v>97.1</v>
      </c>
      <c r="H40" s="2">
        <f>Table834[[#This Row],[Morning Body Temp]]^2</f>
        <v>9428.409999999998</v>
      </c>
      <c r="I40" s="2">
        <v>140</v>
      </c>
      <c r="J40" s="2">
        <f>Table834[[#This Row],[Morning Systolic Pressure]]^2</f>
        <v>19600</v>
      </c>
      <c r="K40" s="2">
        <v>81</v>
      </c>
      <c r="L40" s="2">
        <f>Table834[[#This Row],[Morning Diastolic Pressure]]^2</f>
        <v>6561</v>
      </c>
      <c r="M40" s="2">
        <v>69</v>
      </c>
      <c r="N40" s="2">
        <f>Table834[[#This Row],[Morning Pulse]]^2</f>
        <v>4761</v>
      </c>
      <c r="O40" s="2">
        <v>98</v>
      </c>
      <c r="P40" s="2">
        <f>Table834[[#This Row],[Night Body Temp]]^2</f>
        <v>9604</v>
      </c>
      <c r="Q40" s="2">
        <v>118</v>
      </c>
      <c r="R40" s="2">
        <f>Table834[[#This Row],[Night Systolic Pressure]]^2</f>
        <v>13924</v>
      </c>
      <c r="S40" s="2">
        <v>83</v>
      </c>
      <c r="T40" s="2">
        <f>Table834[[#This Row],[Night Diastolic Pressure]]^2</f>
        <v>6889</v>
      </c>
      <c r="U40" s="2">
        <v>71</v>
      </c>
      <c r="V40" s="2">
        <f>Table834[[#This Row],[Night Pulse]]^2</f>
        <v>5041</v>
      </c>
      <c r="W40" s="2">
        <v>12</v>
      </c>
      <c r="X40" s="2">
        <f>Table834[[#This Row],[Sleep]]^2</f>
        <v>144</v>
      </c>
      <c r="Y40" s="2">
        <f t="shared" si="1"/>
        <v>36.871632653061219</v>
      </c>
      <c r="Z40" s="2">
        <f>Table834[[#This Row],[BMI]]^2</f>
        <v>1359.5172945022903</v>
      </c>
      <c r="AA40" s="2">
        <f t="shared" si="0"/>
        <v>31.997550455105717</v>
      </c>
      <c r="AB40" s="2">
        <f>Table834[[#This Row],[CBF]]^2</f>
        <v>1023.8432351270361</v>
      </c>
      <c r="AC40" s="2">
        <v>0</v>
      </c>
      <c r="AD40" s="2">
        <f>Table834[[#This Row],[Gym]]^2</f>
        <v>0</v>
      </c>
      <c r="AE40" s="2">
        <v>0</v>
      </c>
      <c r="AF40" s="2">
        <f>Table834[[#This Row],[Cardio]]^2</f>
        <v>0</v>
      </c>
      <c r="AG40" s="2">
        <v>5246</v>
      </c>
      <c r="AH40" s="2">
        <f>Table834[[#This Row],[Calories]]^2</f>
        <v>27520516</v>
      </c>
      <c r="AI40" s="2">
        <v>622.20000000000005</v>
      </c>
      <c r="AJ40" s="2">
        <f>Table834[[#This Row],[Carbs]]^2</f>
        <v>387132.84000000008</v>
      </c>
      <c r="AK40" s="2">
        <v>233.5</v>
      </c>
      <c r="AL40" s="2">
        <f>Table834[[#This Row],[Fat ]]^2</f>
        <v>54522.25</v>
      </c>
      <c r="AM40" s="2">
        <v>172</v>
      </c>
      <c r="AN40" s="2">
        <f>Table834[[#This Row],[Protein]]^2</f>
        <v>29584</v>
      </c>
      <c r="AO40" s="2">
        <v>23.75</v>
      </c>
      <c r="AP40" s="2">
        <f>Table834[[#This Row],[Fiber]]^2</f>
        <v>564.0625</v>
      </c>
      <c r="AQ40" s="2">
        <v>252.2</v>
      </c>
      <c r="AR40" s="2">
        <f>Table834[[#This Row],[Sugar]]^2</f>
        <v>63604.84</v>
      </c>
      <c r="AS40" s="2">
        <v>76.5</v>
      </c>
      <c r="AT40" s="2">
        <f>Table834[[#This Row],[Servings]]^2</f>
        <v>5852.25</v>
      </c>
      <c r="AU40" s="2">
        <v>2</v>
      </c>
      <c r="AV40" s="2">
        <f>Table834[[#This Row],[Water]]^2</f>
        <v>4</v>
      </c>
      <c r="AW40" s="2">
        <v>626</v>
      </c>
      <c r="AX40" s="2">
        <f>Table834[[#This Row],[Fat Calories]]^2</f>
        <v>391876</v>
      </c>
      <c r="AY40" s="3">
        <f>Table834[[#This Row],[Weight]]*Table834[[#This Row],[Waist]]</f>
        <v>11565</v>
      </c>
      <c r="AZ40" s="4">
        <f>Table834[[#This Row],[Weight]]*Table834[[#This Row],[Neck]]</f>
        <v>4369</v>
      </c>
      <c r="BA40" s="4">
        <f>Table834[[#This Row],[Weight]]*Table834[[#This Row],[Morning Body Temp]]</f>
        <v>24954.699999999997</v>
      </c>
      <c r="BB40" s="4">
        <f>Table834[[#This Row],[Weight]]*Table834[[#This Row],[Morning Systolic Pressure]]</f>
        <v>35980</v>
      </c>
      <c r="BC40" s="11">
        <f>Table834[[#This Row],[Weight]]*Table834[[#This Row],[Morning Diastolic Pressure]]</f>
        <v>20817</v>
      </c>
      <c r="BD40" s="2">
        <f>Table834[[#This Row],[Weight]]*Table834[[#This Row],[Morning Pulse]]</f>
        <v>17733</v>
      </c>
      <c r="BE40" s="2">
        <f>Table834[[#This Row],[Weight]]*Table834[[#This Row],[Night Body Temp]]</f>
        <v>25186</v>
      </c>
      <c r="BF40" s="2">
        <f>Table834[[#This Row],[Weight]]*Table834[[#This Row],[Night Systolic Pressure]]</f>
        <v>30326</v>
      </c>
      <c r="BG40" s="4">
        <f>Table83[[#This Row],[Weight]]*Table83[[#This Row],[Night Diastolic Pressure]]</f>
        <v>21331</v>
      </c>
      <c r="BH40" s="2">
        <f>Table834[[#This Row],[Weight]]*Table834[[#This Row],[Night Pulse]]</f>
        <v>18247</v>
      </c>
      <c r="BI40" s="2">
        <f>Table834[[#This Row],[Weight]]*Table834[[#This Row],[Sleep]]</f>
        <v>3084</v>
      </c>
      <c r="BJ40" s="2">
        <f>Table834[[#This Row],[Weight]]*Table834[[#This Row],[BMI]]</f>
        <v>9476.0095918367333</v>
      </c>
      <c r="BK40" s="2">
        <f>Table834[[#This Row],[Weight]]*Table834[[#This Row],[CBF]]</f>
        <v>8223.3704669621693</v>
      </c>
      <c r="BL40" s="2">
        <f>Table834[[#This Row],[Weight]]*Table834[[#This Row],[Gym]]</f>
        <v>0</v>
      </c>
      <c r="BM40" s="2">
        <f>Table834[[#This Row],[Weight]]*Table834[[#This Row],[Cardio]]</f>
        <v>0</v>
      </c>
      <c r="BN40" s="2">
        <f>Table834[[#This Row],[Weight]]*Table834[[#This Row],[Calories]]</f>
        <v>1348222</v>
      </c>
      <c r="BO40" s="2">
        <f>Table834[[#This Row],[Weight]]*Table834[[#This Row],[Carbs]]</f>
        <v>159905.40000000002</v>
      </c>
      <c r="BP40" s="2">
        <f>Table834[[#This Row],[Weight]]*Table834[[#This Row],[Fat ]]</f>
        <v>60009.5</v>
      </c>
      <c r="BQ40" s="2">
        <f>Table834[[#This Row],[Weight]]*Table834[[#This Row],[Protein]]</f>
        <v>44204</v>
      </c>
      <c r="BR40" s="2">
        <f>Table834[[#This Row],[Weight]]*Table834[[#This Row],[Fiber]]</f>
        <v>6103.75</v>
      </c>
      <c r="BS40" s="2">
        <f>Table834[[#This Row],[Weight]]*Table834[[#This Row],[Sugar]]</f>
        <v>64815.399999999994</v>
      </c>
      <c r="BT40" s="2">
        <f>Table834[[#This Row],[Weight]]*Table834[[#This Row],[Servings]]</f>
        <v>19660.5</v>
      </c>
      <c r="BU40" s="2">
        <f>Table834[[#This Row],[Weight]]*Table834[[#This Row],[Water]]</f>
        <v>514</v>
      </c>
      <c r="BV40" s="2">
        <f>Table834[[#This Row],[Weight]]*Table834[[#This Row],[Fat Calories]]</f>
        <v>160882</v>
      </c>
      <c r="BW40" s="2">
        <f>Table834[[#This Row],[Waist]]*Table834[[#This Row],[Neck]]</f>
        <v>765</v>
      </c>
      <c r="BX40" s="2">
        <f>Table834[[#This Row],[Waist]]*Table834[[#This Row],[Morning Body Temp]]</f>
        <v>4369.5</v>
      </c>
      <c r="BY40" s="2">
        <f>Table834[[#This Row],[Waist]]*Table834[[#This Row],[Morning Systolic Pressure]]</f>
        <v>6300</v>
      </c>
      <c r="BZ40" s="2">
        <f>Table834[[#This Row],[Waist]]*Table834[[#This Row],[Morning Diastolic Pressure]]</f>
        <v>3645</v>
      </c>
      <c r="CA40" s="2">
        <f>Table834[[#This Row],[Waist]]*Table834[[#This Row],[Morning Pulse]]</f>
        <v>3105</v>
      </c>
      <c r="CB40" s="2">
        <f>Table834[[#This Row],[Waist]]*Table834[[#This Row],[Night Body Temp]]</f>
        <v>4410</v>
      </c>
      <c r="CC40" s="2">
        <f>Table834[[#This Row],[Waist]]*Table834[[#This Row],[Night Systolic Pressure]]</f>
        <v>5310</v>
      </c>
      <c r="CD40" s="4">
        <f>Table83[[#This Row],[Waist]]*Table83[[#This Row],[Night Diastolic Pressure]]</f>
        <v>3735</v>
      </c>
      <c r="CE40" s="2">
        <f>Table834[[#This Row],[Waist]]*Table834[[#This Row],[Night Pulse]]</f>
        <v>3195</v>
      </c>
      <c r="CF40" s="2">
        <f>Table834[[#This Row],[Waist]]*Table834[[#This Row],[Sleep]]</f>
        <v>540</v>
      </c>
      <c r="CG40" s="2">
        <f>Table834[[#This Row],[Waist]]*Table834[[#This Row],[BMI]]</f>
        <v>1659.2234693877549</v>
      </c>
      <c r="CH40" s="2">
        <f>Table834[[#This Row],[Waist]]*Table834[[#This Row],[CBF]]</f>
        <v>1439.8897704797573</v>
      </c>
      <c r="CI40" s="2">
        <f>Table834[[#This Row],[Waist]]*Table834[[#This Row],[Gym]]</f>
        <v>0</v>
      </c>
      <c r="CJ40" s="2">
        <f>Table834[[#This Row],[Waist]]*Table834[[#This Row],[Cardio]]</f>
        <v>0</v>
      </c>
      <c r="CK40" s="2">
        <f>Table834[[#This Row],[Waist]]*Table834[[#This Row],[Calories]]</f>
        <v>236070</v>
      </c>
      <c r="CL40" s="2">
        <f>Table834[[#This Row],[Waist]]*Table834[[#This Row],[Carbs]]</f>
        <v>27999.000000000004</v>
      </c>
      <c r="CM40" s="2">
        <f>Table834[[#This Row],[Waist]]*Table834[[#This Row],[Fat ]]</f>
        <v>10507.5</v>
      </c>
      <c r="CN40" s="2">
        <f>Table834[[#This Row],[Waist]]*Table834[[#This Row],[Protein]]</f>
        <v>7740</v>
      </c>
      <c r="CO40" s="2">
        <f>Table834[[#This Row],[Waist]]*Table834[[#This Row],[Fiber]]</f>
        <v>1068.75</v>
      </c>
      <c r="CP40" s="2">
        <f>Table834[[#This Row],[Waist]]*Table834[[#This Row],[Sugar]]</f>
        <v>11349</v>
      </c>
      <c r="CQ40" s="2">
        <f>Table834[[#This Row],[Waist]]*Table834[[#This Row],[Servings]]</f>
        <v>3442.5</v>
      </c>
      <c r="CR40" s="2">
        <f>Table834[[#This Row],[Waist]]*Table834[[#This Row],[Water]]</f>
        <v>90</v>
      </c>
      <c r="CS40" s="2">
        <f>Table834[[#This Row],[Waist]]*Table834[[#This Row],[Fat Calories]]</f>
        <v>28170</v>
      </c>
    </row>
    <row r="41" spans="1:97" x14ac:dyDescent="0.25">
      <c r="A41" s="2">
        <v>261.2</v>
      </c>
      <c r="B41" s="2">
        <f>Table834[[#This Row],[Weight]]^2</f>
        <v>68225.439999999988</v>
      </c>
      <c r="C41" s="2">
        <v>45</v>
      </c>
      <c r="D41" s="2">
        <f>Table834[[#This Row],[Waist]]^2</f>
        <v>2025</v>
      </c>
      <c r="E41" s="2">
        <v>17</v>
      </c>
      <c r="F41" s="2">
        <f>Table834[[#This Row],[Neck]]^2</f>
        <v>289</v>
      </c>
      <c r="G41" s="2">
        <v>97</v>
      </c>
      <c r="H41" s="2">
        <f>Table834[[#This Row],[Morning Body Temp]]^2</f>
        <v>9409</v>
      </c>
      <c r="I41" s="2">
        <v>149</v>
      </c>
      <c r="J41" s="2">
        <f>Table834[[#This Row],[Morning Systolic Pressure]]^2</f>
        <v>22201</v>
      </c>
      <c r="K41" s="2">
        <v>89</v>
      </c>
      <c r="L41" s="2">
        <f>Table834[[#This Row],[Morning Diastolic Pressure]]^2</f>
        <v>7921</v>
      </c>
      <c r="M41" s="2">
        <v>76</v>
      </c>
      <c r="N41" s="2">
        <f>Table834[[#This Row],[Morning Pulse]]^2</f>
        <v>5776</v>
      </c>
      <c r="O41" s="2">
        <v>98</v>
      </c>
      <c r="P41" s="2">
        <f>Table834[[#This Row],[Night Body Temp]]^2</f>
        <v>9604</v>
      </c>
      <c r="Q41" s="2">
        <v>140</v>
      </c>
      <c r="R41" s="2">
        <f>Table834[[#This Row],[Night Systolic Pressure]]^2</f>
        <v>19600</v>
      </c>
      <c r="S41" s="2">
        <v>83</v>
      </c>
      <c r="T41" s="2">
        <f>Table834[[#This Row],[Night Diastolic Pressure]]^2</f>
        <v>6889</v>
      </c>
      <c r="U41" s="2">
        <v>82</v>
      </c>
      <c r="V41" s="2">
        <f>Table834[[#This Row],[Night Pulse]]^2</f>
        <v>6724</v>
      </c>
      <c r="W41" s="2">
        <v>12</v>
      </c>
      <c r="X41" s="2">
        <f>Table834[[#This Row],[Sleep]]^2</f>
        <v>144</v>
      </c>
      <c r="Y41" s="2">
        <f t="shared" si="1"/>
        <v>37.474204081632649</v>
      </c>
      <c r="Z41" s="2">
        <f>Table834[[#This Row],[BMI]]^2</f>
        <v>1404.3159715518532</v>
      </c>
      <c r="AA41" s="2">
        <f t="shared" si="0"/>
        <v>31.997550455105717</v>
      </c>
      <c r="AB41" s="2">
        <f>Table834[[#This Row],[CBF]]^2</f>
        <v>1023.8432351270361</v>
      </c>
      <c r="AC41" s="2">
        <v>0</v>
      </c>
      <c r="AD41" s="2">
        <f>Table834[[#This Row],[Gym]]^2</f>
        <v>0</v>
      </c>
      <c r="AE41" s="2">
        <v>0</v>
      </c>
      <c r="AF41" s="2">
        <f>Table834[[#This Row],[Cardio]]^2</f>
        <v>0</v>
      </c>
      <c r="AG41" s="2">
        <v>4250</v>
      </c>
      <c r="AH41" s="2">
        <f>Table834[[#This Row],[Calories]]^2</f>
        <v>18062500</v>
      </c>
      <c r="AI41" s="2">
        <v>572.5</v>
      </c>
      <c r="AJ41" s="2">
        <f>Table834[[#This Row],[Carbs]]^2</f>
        <v>327756.25</v>
      </c>
      <c r="AK41" s="2">
        <v>165</v>
      </c>
      <c r="AL41" s="2">
        <f>Table834[[#This Row],[Fat ]]^2</f>
        <v>27225</v>
      </c>
      <c r="AM41" s="2">
        <v>133.5</v>
      </c>
      <c r="AN41" s="2">
        <f>Table834[[#This Row],[Protein]]^2</f>
        <v>17822.25</v>
      </c>
      <c r="AO41" s="2">
        <v>64.5</v>
      </c>
      <c r="AP41" s="2">
        <f>Table834[[#This Row],[Fiber]]^2</f>
        <v>4160.25</v>
      </c>
      <c r="AQ41" s="2">
        <v>325.75</v>
      </c>
      <c r="AR41" s="2">
        <f>Table834[[#This Row],[Sugar]]^2</f>
        <v>106113.0625</v>
      </c>
      <c r="AS41" s="2">
        <v>78</v>
      </c>
      <c r="AT41" s="2">
        <f>Table834[[#This Row],[Servings]]^2</f>
        <v>6084</v>
      </c>
      <c r="AU41" s="2">
        <v>0</v>
      </c>
      <c r="AV41" s="2">
        <f>Table834[[#This Row],[Water]]^2</f>
        <v>0</v>
      </c>
      <c r="AW41" s="2">
        <v>1485</v>
      </c>
      <c r="AX41" s="2">
        <f>Table834[[#This Row],[Fat Calories]]^2</f>
        <v>2205225</v>
      </c>
      <c r="AY41" s="5">
        <f>Table834[[#This Row],[Weight]]*Table834[[#This Row],[Waist]]</f>
        <v>11754</v>
      </c>
      <c r="AZ41" s="6">
        <f>Table834[[#This Row],[Weight]]*Table834[[#This Row],[Neck]]</f>
        <v>4440.3999999999996</v>
      </c>
      <c r="BA41" s="6">
        <f>Table834[[#This Row],[Weight]]*Table834[[#This Row],[Morning Body Temp]]</f>
        <v>25336.399999999998</v>
      </c>
      <c r="BB41" s="6">
        <f>Table834[[#This Row],[Weight]]*Table834[[#This Row],[Morning Systolic Pressure]]</f>
        <v>38918.799999999996</v>
      </c>
      <c r="BC41" s="12">
        <f>Table834[[#This Row],[Weight]]*Table834[[#This Row],[Morning Diastolic Pressure]]</f>
        <v>23246.799999999999</v>
      </c>
      <c r="BD41" s="2">
        <f>Table834[[#This Row],[Weight]]*Table834[[#This Row],[Morning Pulse]]</f>
        <v>19851.2</v>
      </c>
      <c r="BE41" s="2">
        <f>Table834[[#This Row],[Weight]]*Table834[[#This Row],[Night Body Temp]]</f>
        <v>25597.599999999999</v>
      </c>
      <c r="BF41" s="2">
        <f>Table834[[#This Row],[Weight]]*Table834[[#This Row],[Night Systolic Pressure]]</f>
        <v>36568</v>
      </c>
      <c r="BG41" s="4">
        <f>Table83[[#This Row],[Weight]]*Table83[[#This Row],[Night Diastolic Pressure]]</f>
        <v>21679.599999999999</v>
      </c>
      <c r="BH41" s="2">
        <f>Table834[[#This Row],[Weight]]*Table834[[#This Row],[Night Pulse]]</f>
        <v>21418.399999999998</v>
      </c>
      <c r="BI41" s="2">
        <f>Table834[[#This Row],[Weight]]*Table834[[#This Row],[Sleep]]</f>
        <v>3134.3999999999996</v>
      </c>
      <c r="BJ41" s="2">
        <f>Table834[[#This Row],[Weight]]*Table834[[#This Row],[BMI]]</f>
        <v>9788.2621061224472</v>
      </c>
      <c r="BK41" s="2">
        <f>Table834[[#This Row],[Weight]]*Table834[[#This Row],[CBF]]</f>
        <v>8357.7601788736138</v>
      </c>
      <c r="BL41" s="2">
        <f>Table834[[#This Row],[Weight]]*Table834[[#This Row],[Gym]]</f>
        <v>0</v>
      </c>
      <c r="BM41" s="2">
        <f>Table834[[#This Row],[Weight]]*Table834[[#This Row],[Cardio]]</f>
        <v>0</v>
      </c>
      <c r="BN41" s="2">
        <f>Table834[[#This Row],[Weight]]*Table834[[#This Row],[Calories]]</f>
        <v>1110100</v>
      </c>
      <c r="BO41" s="2">
        <f>Table834[[#This Row],[Weight]]*Table834[[#This Row],[Carbs]]</f>
        <v>149537</v>
      </c>
      <c r="BP41" s="2">
        <f>Table834[[#This Row],[Weight]]*Table834[[#This Row],[Fat ]]</f>
        <v>43098</v>
      </c>
      <c r="BQ41" s="2">
        <f>Table834[[#This Row],[Weight]]*Table834[[#This Row],[Protein]]</f>
        <v>34870.199999999997</v>
      </c>
      <c r="BR41" s="2">
        <f>Table834[[#This Row],[Weight]]*Table834[[#This Row],[Fiber]]</f>
        <v>16847.399999999998</v>
      </c>
      <c r="BS41" s="2">
        <f>Table834[[#This Row],[Weight]]*Table834[[#This Row],[Sugar]]</f>
        <v>85085.9</v>
      </c>
      <c r="BT41" s="2">
        <f>Table834[[#This Row],[Weight]]*Table834[[#This Row],[Servings]]</f>
        <v>20373.599999999999</v>
      </c>
      <c r="BU41" s="2">
        <f>Table834[[#This Row],[Weight]]*Table834[[#This Row],[Water]]</f>
        <v>0</v>
      </c>
      <c r="BV41" s="2">
        <f>Table834[[#This Row],[Weight]]*Table834[[#This Row],[Fat Calories]]</f>
        <v>387882</v>
      </c>
      <c r="BW41" s="2">
        <f>Table834[[#This Row],[Waist]]*Table834[[#This Row],[Neck]]</f>
        <v>765</v>
      </c>
      <c r="BX41" s="2">
        <f>Table834[[#This Row],[Waist]]*Table834[[#This Row],[Morning Body Temp]]</f>
        <v>4365</v>
      </c>
      <c r="BY41" s="2">
        <f>Table834[[#This Row],[Waist]]*Table834[[#This Row],[Morning Systolic Pressure]]</f>
        <v>6705</v>
      </c>
      <c r="BZ41" s="2">
        <f>Table834[[#This Row],[Waist]]*Table834[[#This Row],[Morning Diastolic Pressure]]</f>
        <v>4005</v>
      </c>
      <c r="CA41" s="2">
        <f>Table834[[#This Row],[Waist]]*Table834[[#This Row],[Morning Pulse]]</f>
        <v>3420</v>
      </c>
      <c r="CB41" s="2">
        <f>Table834[[#This Row],[Waist]]*Table834[[#This Row],[Night Body Temp]]</f>
        <v>4410</v>
      </c>
      <c r="CC41" s="2">
        <f>Table834[[#This Row],[Waist]]*Table834[[#This Row],[Night Systolic Pressure]]</f>
        <v>6300</v>
      </c>
      <c r="CD41" s="4">
        <f>Table83[[#This Row],[Waist]]*Table83[[#This Row],[Night Diastolic Pressure]]</f>
        <v>3735</v>
      </c>
      <c r="CE41" s="2">
        <f>Table834[[#This Row],[Waist]]*Table834[[#This Row],[Night Pulse]]</f>
        <v>3690</v>
      </c>
      <c r="CF41" s="2">
        <f>Table834[[#This Row],[Waist]]*Table834[[#This Row],[Sleep]]</f>
        <v>540</v>
      </c>
      <c r="CG41" s="2">
        <f>Table834[[#This Row],[Waist]]*Table834[[#This Row],[BMI]]</f>
        <v>1686.3391836734693</v>
      </c>
      <c r="CH41" s="2">
        <f>Table834[[#This Row],[Waist]]*Table834[[#This Row],[CBF]]</f>
        <v>1439.8897704797573</v>
      </c>
      <c r="CI41" s="2">
        <f>Table834[[#This Row],[Waist]]*Table834[[#This Row],[Gym]]</f>
        <v>0</v>
      </c>
      <c r="CJ41" s="2">
        <f>Table834[[#This Row],[Waist]]*Table834[[#This Row],[Cardio]]</f>
        <v>0</v>
      </c>
      <c r="CK41" s="2">
        <f>Table834[[#This Row],[Waist]]*Table834[[#This Row],[Calories]]</f>
        <v>191250</v>
      </c>
      <c r="CL41" s="2">
        <f>Table834[[#This Row],[Waist]]*Table834[[#This Row],[Carbs]]</f>
        <v>25762.5</v>
      </c>
      <c r="CM41" s="2">
        <f>Table834[[#This Row],[Waist]]*Table834[[#This Row],[Fat ]]</f>
        <v>7425</v>
      </c>
      <c r="CN41" s="2">
        <f>Table834[[#This Row],[Waist]]*Table834[[#This Row],[Protein]]</f>
        <v>6007.5</v>
      </c>
      <c r="CO41" s="2">
        <f>Table834[[#This Row],[Waist]]*Table834[[#This Row],[Fiber]]</f>
        <v>2902.5</v>
      </c>
      <c r="CP41" s="2">
        <f>Table834[[#This Row],[Waist]]*Table834[[#This Row],[Sugar]]</f>
        <v>14658.75</v>
      </c>
      <c r="CQ41" s="2">
        <f>Table834[[#This Row],[Waist]]*Table834[[#This Row],[Servings]]</f>
        <v>3510</v>
      </c>
      <c r="CR41" s="2">
        <f>Table834[[#This Row],[Waist]]*Table834[[#This Row],[Water]]</f>
        <v>0</v>
      </c>
      <c r="CS41" s="2">
        <f>Table834[[#This Row],[Waist]]*Table834[[#This Row],[Fat Calories]]</f>
        <v>66825</v>
      </c>
    </row>
    <row r="42" spans="1:97" x14ac:dyDescent="0.25">
      <c r="A42" s="2">
        <v>261</v>
      </c>
      <c r="B42" s="2">
        <f>Table834[[#This Row],[Weight]]^2</f>
        <v>68121</v>
      </c>
      <c r="C42" s="2">
        <v>44</v>
      </c>
      <c r="D42" s="2">
        <f>Table834[[#This Row],[Waist]]^2</f>
        <v>1936</v>
      </c>
      <c r="E42" s="2">
        <v>17</v>
      </c>
      <c r="F42" s="2">
        <f>Table834[[#This Row],[Neck]]^2</f>
        <v>289</v>
      </c>
      <c r="G42" s="2">
        <v>96.7</v>
      </c>
      <c r="H42" s="2">
        <f>Table834[[#This Row],[Morning Body Temp]]^2</f>
        <v>9350.8900000000012</v>
      </c>
      <c r="I42" s="2">
        <v>143</v>
      </c>
      <c r="J42" s="2">
        <f>Table834[[#This Row],[Morning Systolic Pressure]]^2</f>
        <v>20449</v>
      </c>
      <c r="K42" s="2">
        <v>78</v>
      </c>
      <c r="L42" s="2">
        <f>Table834[[#This Row],[Morning Diastolic Pressure]]^2</f>
        <v>6084</v>
      </c>
      <c r="M42" s="2">
        <v>83</v>
      </c>
      <c r="N42" s="2">
        <f>Table834[[#This Row],[Morning Pulse]]^2</f>
        <v>6889</v>
      </c>
      <c r="O42" s="2">
        <v>99.2</v>
      </c>
      <c r="P42" s="2">
        <f>Table834[[#This Row],[Night Body Temp]]^2</f>
        <v>9840.6400000000012</v>
      </c>
      <c r="Q42" s="2">
        <v>138</v>
      </c>
      <c r="R42" s="2">
        <f>Table834[[#This Row],[Night Systolic Pressure]]^2</f>
        <v>19044</v>
      </c>
      <c r="S42" s="2">
        <v>93</v>
      </c>
      <c r="T42" s="2">
        <f>Table834[[#This Row],[Night Diastolic Pressure]]^2</f>
        <v>8649</v>
      </c>
      <c r="U42" s="2">
        <v>96</v>
      </c>
      <c r="V42" s="2">
        <f>Table834[[#This Row],[Night Pulse]]^2</f>
        <v>9216</v>
      </c>
      <c r="W42" s="2">
        <v>5</v>
      </c>
      <c r="X42" s="2">
        <f>Table834[[#This Row],[Sleep]]^2</f>
        <v>25</v>
      </c>
      <c r="Y42" s="2">
        <f t="shared" si="1"/>
        <v>37.445510204081636</v>
      </c>
      <c r="Z42" s="2">
        <f>Table834[[#This Row],[BMI]]^2</f>
        <v>1402.1662344439819</v>
      </c>
      <c r="AA42" s="2">
        <f t="shared" si="0"/>
        <v>30.639085534675949</v>
      </c>
      <c r="AB42" s="2">
        <f>Table834[[#This Row],[CBF]]^2</f>
        <v>938.75356240118901</v>
      </c>
      <c r="AC42" s="2">
        <v>0</v>
      </c>
      <c r="AD42" s="2">
        <f>Table834[[#This Row],[Gym]]^2</f>
        <v>0</v>
      </c>
      <c r="AE42" s="2">
        <v>0</v>
      </c>
      <c r="AF42" s="2">
        <f>Table834[[#This Row],[Cardio]]^2</f>
        <v>0</v>
      </c>
      <c r="AG42" s="2">
        <v>3910</v>
      </c>
      <c r="AH42" s="2">
        <f>Table834[[#This Row],[Calories]]^2</f>
        <v>15288100</v>
      </c>
      <c r="AI42" s="2">
        <v>655</v>
      </c>
      <c r="AJ42" s="2">
        <f>Table834[[#This Row],[Carbs]]^2</f>
        <v>429025</v>
      </c>
      <c r="AK42" s="2">
        <v>99.25</v>
      </c>
      <c r="AL42" s="2">
        <f>Table834[[#This Row],[Fat ]]^2</f>
        <v>9850.5625</v>
      </c>
      <c r="AM42" s="2">
        <v>117</v>
      </c>
      <c r="AN42" s="2">
        <f>Table834[[#This Row],[Protein]]^2</f>
        <v>13689</v>
      </c>
      <c r="AO42" s="2">
        <v>67</v>
      </c>
      <c r="AP42" s="2">
        <f>Table834[[#This Row],[Fiber]]^2</f>
        <v>4489</v>
      </c>
      <c r="AQ42" s="2">
        <v>328.25</v>
      </c>
      <c r="AR42" s="2">
        <f>Table834[[#This Row],[Sugar]]^2</f>
        <v>107748.0625</v>
      </c>
      <c r="AS42" s="2">
        <v>84.5</v>
      </c>
      <c r="AT42" s="2">
        <f>Table834[[#This Row],[Servings]]^2</f>
        <v>7140.25</v>
      </c>
      <c r="AU42" s="2">
        <v>0</v>
      </c>
      <c r="AV42" s="2">
        <f>Table834[[#This Row],[Water]]^2</f>
        <v>0</v>
      </c>
      <c r="AW42" s="2">
        <v>893.25</v>
      </c>
      <c r="AX42" s="2">
        <f>Table834[[#This Row],[Fat Calories]]^2</f>
        <v>797895.5625</v>
      </c>
      <c r="AY42" s="3">
        <f>Table834[[#This Row],[Weight]]*Table834[[#This Row],[Waist]]</f>
        <v>11484</v>
      </c>
      <c r="AZ42" s="4">
        <f>Table834[[#This Row],[Weight]]*Table834[[#This Row],[Neck]]</f>
        <v>4437</v>
      </c>
      <c r="BA42" s="4">
        <f>Table834[[#This Row],[Weight]]*Table834[[#This Row],[Morning Body Temp]]</f>
        <v>25238.7</v>
      </c>
      <c r="BB42" s="4">
        <f>Table834[[#This Row],[Weight]]*Table834[[#This Row],[Morning Systolic Pressure]]</f>
        <v>37323</v>
      </c>
      <c r="BC42" s="11">
        <f>Table834[[#This Row],[Weight]]*Table834[[#This Row],[Morning Diastolic Pressure]]</f>
        <v>20358</v>
      </c>
      <c r="BD42" s="2">
        <f>Table834[[#This Row],[Weight]]*Table834[[#This Row],[Morning Pulse]]</f>
        <v>21663</v>
      </c>
      <c r="BE42" s="2">
        <f>Table834[[#This Row],[Weight]]*Table834[[#This Row],[Night Body Temp]]</f>
        <v>25891.200000000001</v>
      </c>
      <c r="BF42" s="2">
        <f>Table834[[#This Row],[Weight]]*Table834[[#This Row],[Night Systolic Pressure]]</f>
        <v>36018</v>
      </c>
      <c r="BG42" s="4">
        <f>Table83[[#This Row],[Weight]]*Table83[[#This Row],[Night Diastolic Pressure]]</f>
        <v>24273</v>
      </c>
      <c r="BH42" s="2">
        <f>Table834[[#This Row],[Weight]]*Table834[[#This Row],[Night Pulse]]</f>
        <v>25056</v>
      </c>
      <c r="BI42" s="2">
        <f>Table834[[#This Row],[Weight]]*Table834[[#This Row],[Sleep]]</f>
        <v>1305</v>
      </c>
      <c r="BJ42" s="2">
        <f>Table834[[#This Row],[Weight]]*Table834[[#This Row],[BMI]]</f>
        <v>9773.2781632653077</v>
      </c>
      <c r="BK42" s="2">
        <f>Table834[[#This Row],[Weight]]*Table834[[#This Row],[CBF]]</f>
        <v>7996.8013245504226</v>
      </c>
      <c r="BL42" s="2">
        <f>Table834[[#This Row],[Weight]]*Table834[[#This Row],[Gym]]</f>
        <v>0</v>
      </c>
      <c r="BM42" s="2">
        <f>Table834[[#This Row],[Weight]]*Table834[[#This Row],[Cardio]]</f>
        <v>0</v>
      </c>
      <c r="BN42" s="2">
        <f>Table834[[#This Row],[Weight]]*Table834[[#This Row],[Calories]]</f>
        <v>1020510</v>
      </c>
      <c r="BO42" s="2">
        <f>Table834[[#This Row],[Weight]]*Table834[[#This Row],[Carbs]]</f>
        <v>170955</v>
      </c>
      <c r="BP42" s="2">
        <f>Table834[[#This Row],[Weight]]*Table834[[#This Row],[Fat ]]</f>
        <v>25904.25</v>
      </c>
      <c r="BQ42" s="2">
        <f>Table834[[#This Row],[Weight]]*Table834[[#This Row],[Protein]]</f>
        <v>30537</v>
      </c>
      <c r="BR42" s="2">
        <f>Table834[[#This Row],[Weight]]*Table834[[#This Row],[Fiber]]</f>
        <v>17487</v>
      </c>
      <c r="BS42" s="2">
        <f>Table834[[#This Row],[Weight]]*Table834[[#This Row],[Sugar]]</f>
        <v>85673.25</v>
      </c>
      <c r="BT42" s="2">
        <f>Table834[[#This Row],[Weight]]*Table834[[#This Row],[Servings]]</f>
        <v>22054.5</v>
      </c>
      <c r="BU42" s="2">
        <f>Table834[[#This Row],[Weight]]*Table834[[#This Row],[Water]]</f>
        <v>0</v>
      </c>
      <c r="BV42" s="2">
        <f>Table834[[#This Row],[Weight]]*Table834[[#This Row],[Fat Calories]]</f>
        <v>233138.25</v>
      </c>
      <c r="BW42" s="2">
        <f>Table834[[#This Row],[Waist]]*Table834[[#This Row],[Neck]]</f>
        <v>748</v>
      </c>
      <c r="BX42" s="2">
        <f>Table834[[#This Row],[Waist]]*Table834[[#This Row],[Morning Body Temp]]</f>
        <v>4254.8</v>
      </c>
      <c r="BY42" s="2">
        <f>Table834[[#This Row],[Waist]]*Table834[[#This Row],[Morning Systolic Pressure]]</f>
        <v>6292</v>
      </c>
      <c r="BZ42" s="2">
        <f>Table834[[#This Row],[Waist]]*Table834[[#This Row],[Morning Diastolic Pressure]]</f>
        <v>3432</v>
      </c>
      <c r="CA42" s="2">
        <f>Table834[[#This Row],[Waist]]*Table834[[#This Row],[Morning Pulse]]</f>
        <v>3652</v>
      </c>
      <c r="CB42" s="2">
        <f>Table834[[#This Row],[Waist]]*Table834[[#This Row],[Night Body Temp]]</f>
        <v>4364.8</v>
      </c>
      <c r="CC42" s="2">
        <f>Table834[[#This Row],[Waist]]*Table834[[#This Row],[Night Systolic Pressure]]</f>
        <v>6072</v>
      </c>
      <c r="CD42" s="4">
        <f>Table83[[#This Row],[Waist]]*Table83[[#This Row],[Night Diastolic Pressure]]</f>
        <v>4092</v>
      </c>
      <c r="CE42" s="2">
        <f>Table834[[#This Row],[Waist]]*Table834[[#This Row],[Night Pulse]]</f>
        <v>4224</v>
      </c>
      <c r="CF42" s="2">
        <f>Table834[[#This Row],[Waist]]*Table834[[#This Row],[Sleep]]</f>
        <v>220</v>
      </c>
      <c r="CG42" s="2">
        <f>Table834[[#This Row],[Waist]]*Table834[[#This Row],[BMI]]</f>
        <v>1647.6024489795921</v>
      </c>
      <c r="CH42" s="2">
        <f>Table834[[#This Row],[Waist]]*Table834[[#This Row],[CBF]]</f>
        <v>1348.1197635257417</v>
      </c>
      <c r="CI42" s="2">
        <f>Table834[[#This Row],[Waist]]*Table834[[#This Row],[Gym]]</f>
        <v>0</v>
      </c>
      <c r="CJ42" s="2">
        <f>Table834[[#This Row],[Waist]]*Table834[[#This Row],[Cardio]]</f>
        <v>0</v>
      </c>
      <c r="CK42" s="2">
        <f>Table834[[#This Row],[Waist]]*Table834[[#This Row],[Calories]]</f>
        <v>172040</v>
      </c>
      <c r="CL42" s="2">
        <f>Table834[[#This Row],[Waist]]*Table834[[#This Row],[Carbs]]</f>
        <v>28820</v>
      </c>
      <c r="CM42" s="2">
        <f>Table834[[#This Row],[Waist]]*Table834[[#This Row],[Fat ]]</f>
        <v>4367</v>
      </c>
      <c r="CN42" s="2">
        <f>Table834[[#This Row],[Waist]]*Table834[[#This Row],[Protein]]</f>
        <v>5148</v>
      </c>
      <c r="CO42" s="2">
        <f>Table834[[#This Row],[Waist]]*Table834[[#This Row],[Fiber]]</f>
        <v>2948</v>
      </c>
      <c r="CP42" s="2">
        <f>Table834[[#This Row],[Waist]]*Table834[[#This Row],[Sugar]]</f>
        <v>14443</v>
      </c>
      <c r="CQ42" s="2">
        <f>Table834[[#This Row],[Waist]]*Table834[[#This Row],[Servings]]</f>
        <v>3718</v>
      </c>
      <c r="CR42" s="2">
        <f>Table834[[#This Row],[Waist]]*Table834[[#This Row],[Water]]</f>
        <v>0</v>
      </c>
      <c r="CS42" s="2">
        <f>Table834[[#This Row],[Waist]]*Table834[[#This Row],[Fat Calories]]</f>
        <v>39303</v>
      </c>
    </row>
    <row r="43" spans="1:97" x14ac:dyDescent="0.25">
      <c r="A43" s="2">
        <v>258.60000000000002</v>
      </c>
      <c r="B43" s="2">
        <f>Table834[[#This Row],[Weight]]^2</f>
        <v>66873.960000000006</v>
      </c>
      <c r="C43" s="2">
        <v>44.5</v>
      </c>
      <c r="D43" s="2">
        <f>Table834[[#This Row],[Waist]]^2</f>
        <v>1980.25</v>
      </c>
      <c r="E43" s="2">
        <v>17</v>
      </c>
      <c r="F43" s="2">
        <f>Table834[[#This Row],[Neck]]^2</f>
        <v>289</v>
      </c>
      <c r="G43" s="2">
        <v>96.4</v>
      </c>
      <c r="H43" s="2">
        <f>Table834[[#This Row],[Morning Body Temp]]^2</f>
        <v>9292.9600000000009</v>
      </c>
      <c r="I43" s="2">
        <v>133</v>
      </c>
      <c r="J43" s="2">
        <f>Table834[[#This Row],[Morning Systolic Pressure]]^2</f>
        <v>17689</v>
      </c>
      <c r="K43" s="2">
        <v>86</v>
      </c>
      <c r="L43" s="2">
        <f>Table834[[#This Row],[Morning Diastolic Pressure]]^2</f>
        <v>7396</v>
      </c>
      <c r="M43" s="2">
        <v>81</v>
      </c>
      <c r="N43" s="2">
        <f>Table834[[#This Row],[Morning Pulse]]^2</f>
        <v>6561</v>
      </c>
      <c r="O43" s="2">
        <v>97.6</v>
      </c>
      <c r="P43" s="2">
        <f>Table834[[#This Row],[Night Body Temp]]^2</f>
        <v>9525.7599999999984</v>
      </c>
      <c r="Q43" s="2">
        <v>152</v>
      </c>
      <c r="R43" s="2">
        <f>Table834[[#This Row],[Night Systolic Pressure]]^2</f>
        <v>23104</v>
      </c>
      <c r="S43" s="2">
        <v>89</v>
      </c>
      <c r="T43" s="2">
        <f>Table834[[#This Row],[Night Diastolic Pressure]]^2</f>
        <v>7921</v>
      </c>
      <c r="U43" s="2">
        <v>81</v>
      </c>
      <c r="V43" s="2">
        <f>Table834[[#This Row],[Night Pulse]]^2</f>
        <v>6561</v>
      </c>
      <c r="W43" s="2">
        <v>10</v>
      </c>
      <c r="X43" s="2">
        <f>Table834[[#This Row],[Sleep]]^2</f>
        <v>100</v>
      </c>
      <c r="Y43" s="2">
        <f t="shared" si="1"/>
        <v>37.101183673469393</v>
      </c>
      <c r="Z43" s="2">
        <f>Table834[[#This Row],[BMI]]^2</f>
        <v>1376.4978299725119</v>
      </c>
      <c r="AA43" s="2">
        <f t="shared" si="0"/>
        <v>31.324493175702337</v>
      </c>
      <c r="AB43" s="2">
        <f>Table834[[#This Row],[CBF]]^2</f>
        <v>981.2238727146223</v>
      </c>
      <c r="AC43" s="2">
        <v>1</v>
      </c>
      <c r="AD43" s="2">
        <f>Table834[[#This Row],[Gym]]^2</f>
        <v>1</v>
      </c>
      <c r="AE43" s="2">
        <v>0</v>
      </c>
      <c r="AF43" s="2">
        <f>Table834[[#This Row],[Cardio]]^2</f>
        <v>0</v>
      </c>
      <c r="AG43" s="2">
        <v>2672</v>
      </c>
      <c r="AH43" s="2">
        <f>Table834[[#This Row],[Calories]]^2</f>
        <v>7139584</v>
      </c>
      <c r="AI43" s="2">
        <v>340.8</v>
      </c>
      <c r="AJ43" s="2">
        <f>Table834[[#This Row],[Carbs]]^2</f>
        <v>116144.64000000001</v>
      </c>
      <c r="AK43" s="2">
        <v>119.6</v>
      </c>
      <c r="AL43" s="2">
        <f>Table834[[#This Row],[Fat ]]^2</f>
        <v>14304.159999999998</v>
      </c>
      <c r="AM43" s="2">
        <v>93.2</v>
      </c>
      <c r="AN43" s="2">
        <f>Table834[[#This Row],[Protein]]^2</f>
        <v>8686.24</v>
      </c>
      <c r="AO43" s="2">
        <v>15.6</v>
      </c>
      <c r="AP43" s="2">
        <f>Table834[[#This Row],[Fiber]]^2</f>
        <v>243.35999999999999</v>
      </c>
      <c r="AQ43" s="2">
        <v>272</v>
      </c>
      <c r="AR43" s="2">
        <f>Table834[[#This Row],[Sugar]]^2</f>
        <v>73984</v>
      </c>
      <c r="AS43" s="2">
        <v>80</v>
      </c>
      <c r="AT43" s="2">
        <f>Table834[[#This Row],[Servings]]^2</f>
        <v>6400</v>
      </c>
      <c r="AU43" s="2">
        <v>0</v>
      </c>
      <c r="AV43" s="2">
        <f>Table834[[#This Row],[Water]]^2</f>
        <v>0</v>
      </c>
      <c r="AW43" s="2">
        <v>1076.4000000000001</v>
      </c>
      <c r="AX43" s="2">
        <f>Table834[[#This Row],[Fat Calories]]^2</f>
        <v>1158636.9600000002</v>
      </c>
      <c r="AY43" s="5">
        <f>Table834[[#This Row],[Weight]]*Table834[[#This Row],[Waist]]</f>
        <v>11507.7</v>
      </c>
      <c r="AZ43" s="6">
        <f>Table834[[#This Row],[Weight]]*Table834[[#This Row],[Neck]]</f>
        <v>4396.2000000000007</v>
      </c>
      <c r="BA43" s="6">
        <f>Table834[[#This Row],[Weight]]*Table834[[#This Row],[Morning Body Temp]]</f>
        <v>24929.040000000005</v>
      </c>
      <c r="BB43" s="6">
        <f>Table834[[#This Row],[Weight]]*Table834[[#This Row],[Morning Systolic Pressure]]</f>
        <v>34393.800000000003</v>
      </c>
      <c r="BC43" s="12">
        <f>Table834[[#This Row],[Weight]]*Table834[[#This Row],[Morning Diastolic Pressure]]</f>
        <v>22239.600000000002</v>
      </c>
      <c r="BD43" s="2">
        <f>Table834[[#This Row],[Weight]]*Table834[[#This Row],[Morning Pulse]]</f>
        <v>20946.600000000002</v>
      </c>
      <c r="BE43" s="2">
        <f>Table834[[#This Row],[Weight]]*Table834[[#This Row],[Night Body Temp]]</f>
        <v>25239.360000000001</v>
      </c>
      <c r="BF43" s="2">
        <f>Table834[[#This Row],[Weight]]*Table834[[#This Row],[Night Systolic Pressure]]</f>
        <v>39307.200000000004</v>
      </c>
      <c r="BG43" s="4">
        <f>Table83[[#This Row],[Weight]]*Table83[[#This Row],[Night Diastolic Pressure]]</f>
        <v>23015.4</v>
      </c>
      <c r="BH43" s="2">
        <f>Table834[[#This Row],[Weight]]*Table834[[#This Row],[Night Pulse]]</f>
        <v>20946.600000000002</v>
      </c>
      <c r="BI43" s="2">
        <f>Table834[[#This Row],[Weight]]*Table834[[#This Row],[Sleep]]</f>
        <v>2586</v>
      </c>
      <c r="BJ43" s="2">
        <f>Table834[[#This Row],[Weight]]*Table834[[#This Row],[BMI]]</f>
        <v>9594.3660979591859</v>
      </c>
      <c r="BK43" s="2">
        <f>Table834[[#This Row],[Weight]]*Table834[[#This Row],[CBF]]</f>
        <v>8100.513935236625</v>
      </c>
      <c r="BL43" s="2">
        <f>Table834[[#This Row],[Weight]]*Table834[[#This Row],[Gym]]</f>
        <v>258.60000000000002</v>
      </c>
      <c r="BM43" s="2">
        <f>Table834[[#This Row],[Weight]]*Table834[[#This Row],[Cardio]]</f>
        <v>0</v>
      </c>
      <c r="BN43" s="2">
        <f>Table834[[#This Row],[Weight]]*Table834[[#This Row],[Calories]]</f>
        <v>690979.20000000007</v>
      </c>
      <c r="BO43" s="2">
        <f>Table834[[#This Row],[Weight]]*Table834[[#This Row],[Carbs]]</f>
        <v>88130.880000000005</v>
      </c>
      <c r="BP43" s="2">
        <f>Table834[[#This Row],[Weight]]*Table834[[#This Row],[Fat ]]</f>
        <v>30928.560000000001</v>
      </c>
      <c r="BQ43" s="2">
        <f>Table834[[#This Row],[Weight]]*Table834[[#This Row],[Protein]]</f>
        <v>24101.520000000004</v>
      </c>
      <c r="BR43" s="2">
        <f>Table834[[#This Row],[Weight]]*Table834[[#This Row],[Fiber]]</f>
        <v>4034.1600000000003</v>
      </c>
      <c r="BS43" s="2">
        <f>Table834[[#This Row],[Weight]]*Table834[[#This Row],[Sugar]]</f>
        <v>70339.200000000012</v>
      </c>
      <c r="BT43" s="2">
        <f>Table834[[#This Row],[Weight]]*Table834[[#This Row],[Servings]]</f>
        <v>20688</v>
      </c>
      <c r="BU43" s="2">
        <f>Table834[[#This Row],[Weight]]*Table834[[#This Row],[Water]]</f>
        <v>0</v>
      </c>
      <c r="BV43" s="2">
        <f>Table834[[#This Row],[Weight]]*Table834[[#This Row],[Fat Calories]]</f>
        <v>278357.04000000004</v>
      </c>
      <c r="BW43" s="2">
        <f>Table834[[#This Row],[Waist]]*Table834[[#This Row],[Neck]]</f>
        <v>756.5</v>
      </c>
      <c r="BX43" s="2">
        <f>Table834[[#This Row],[Waist]]*Table834[[#This Row],[Morning Body Temp]]</f>
        <v>4289.8</v>
      </c>
      <c r="BY43" s="2">
        <f>Table834[[#This Row],[Waist]]*Table834[[#This Row],[Morning Systolic Pressure]]</f>
        <v>5918.5</v>
      </c>
      <c r="BZ43" s="2">
        <f>Table834[[#This Row],[Waist]]*Table834[[#This Row],[Morning Diastolic Pressure]]</f>
        <v>3827</v>
      </c>
      <c r="CA43" s="2">
        <f>Table834[[#This Row],[Waist]]*Table834[[#This Row],[Morning Pulse]]</f>
        <v>3604.5</v>
      </c>
      <c r="CB43" s="2">
        <f>Table834[[#This Row],[Waist]]*Table834[[#This Row],[Night Body Temp]]</f>
        <v>4343.2</v>
      </c>
      <c r="CC43" s="2">
        <f>Table834[[#This Row],[Waist]]*Table834[[#This Row],[Night Systolic Pressure]]</f>
        <v>6764</v>
      </c>
      <c r="CD43" s="4">
        <f>Table83[[#This Row],[Waist]]*Table83[[#This Row],[Night Diastolic Pressure]]</f>
        <v>3960.5</v>
      </c>
      <c r="CE43" s="2">
        <f>Table834[[#This Row],[Waist]]*Table834[[#This Row],[Night Pulse]]</f>
        <v>3604.5</v>
      </c>
      <c r="CF43" s="2">
        <f>Table834[[#This Row],[Waist]]*Table834[[#This Row],[Sleep]]</f>
        <v>445</v>
      </c>
      <c r="CG43" s="2">
        <f>Table834[[#This Row],[Waist]]*Table834[[#This Row],[BMI]]</f>
        <v>1651.0026734693879</v>
      </c>
      <c r="CH43" s="2">
        <f>Table834[[#This Row],[Waist]]*Table834[[#This Row],[CBF]]</f>
        <v>1393.939946318754</v>
      </c>
      <c r="CI43" s="2">
        <f>Table834[[#This Row],[Waist]]*Table834[[#This Row],[Gym]]</f>
        <v>44.5</v>
      </c>
      <c r="CJ43" s="2">
        <f>Table834[[#This Row],[Waist]]*Table834[[#This Row],[Cardio]]</f>
        <v>0</v>
      </c>
      <c r="CK43" s="2">
        <f>Table834[[#This Row],[Waist]]*Table834[[#This Row],[Calories]]</f>
        <v>118904</v>
      </c>
      <c r="CL43" s="2">
        <f>Table834[[#This Row],[Waist]]*Table834[[#This Row],[Carbs]]</f>
        <v>15165.6</v>
      </c>
      <c r="CM43" s="2">
        <f>Table834[[#This Row],[Waist]]*Table834[[#This Row],[Fat ]]</f>
        <v>5322.2</v>
      </c>
      <c r="CN43" s="2">
        <f>Table834[[#This Row],[Waist]]*Table834[[#This Row],[Protein]]</f>
        <v>4147.4000000000005</v>
      </c>
      <c r="CO43" s="2">
        <f>Table834[[#This Row],[Waist]]*Table834[[#This Row],[Fiber]]</f>
        <v>694.19999999999993</v>
      </c>
      <c r="CP43" s="2">
        <f>Table834[[#This Row],[Waist]]*Table834[[#This Row],[Sugar]]</f>
        <v>12104</v>
      </c>
      <c r="CQ43" s="2">
        <f>Table834[[#This Row],[Waist]]*Table834[[#This Row],[Servings]]</f>
        <v>3560</v>
      </c>
      <c r="CR43" s="2">
        <f>Table834[[#This Row],[Waist]]*Table834[[#This Row],[Water]]</f>
        <v>0</v>
      </c>
      <c r="CS43" s="2">
        <f>Table834[[#This Row],[Waist]]*Table834[[#This Row],[Fat Calories]]</f>
        <v>47899.8</v>
      </c>
    </row>
    <row r="44" spans="1:97" x14ac:dyDescent="0.25">
      <c r="A44" s="2">
        <v>258</v>
      </c>
      <c r="B44" s="2">
        <f>Table834[[#This Row],[Weight]]^2</f>
        <v>66564</v>
      </c>
      <c r="C44" s="2">
        <v>44.5</v>
      </c>
      <c r="D44" s="2">
        <f>Table834[[#This Row],[Waist]]^2</f>
        <v>1980.25</v>
      </c>
      <c r="E44" s="2">
        <v>17</v>
      </c>
      <c r="F44" s="2">
        <f>Table834[[#This Row],[Neck]]^2</f>
        <v>289</v>
      </c>
      <c r="G44" s="2">
        <v>97.6</v>
      </c>
      <c r="H44" s="2">
        <f>Table834[[#This Row],[Morning Body Temp]]^2</f>
        <v>9525.7599999999984</v>
      </c>
      <c r="I44" s="2">
        <v>141</v>
      </c>
      <c r="J44" s="2">
        <f>Table834[[#This Row],[Morning Systolic Pressure]]^2</f>
        <v>19881</v>
      </c>
      <c r="K44" s="2">
        <v>83</v>
      </c>
      <c r="L44" s="2">
        <f>Table834[[#This Row],[Morning Diastolic Pressure]]^2</f>
        <v>6889</v>
      </c>
      <c r="M44" s="2">
        <v>73</v>
      </c>
      <c r="N44" s="2">
        <f>Table834[[#This Row],[Morning Pulse]]^2</f>
        <v>5329</v>
      </c>
      <c r="O44" s="2">
        <v>97.3</v>
      </c>
      <c r="P44" s="2">
        <f>Table834[[#This Row],[Night Body Temp]]^2</f>
        <v>9467.2899999999991</v>
      </c>
      <c r="Q44" s="2">
        <v>138</v>
      </c>
      <c r="R44" s="2">
        <f>Table834[[#This Row],[Night Systolic Pressure]]^2</f>
        <v>19044</v>
      </c>
      <c r="S44" s="2">
        <v>87</v>
      </c>
      <c r="T44" s="2">
        <f>Table834[[#This Row],[Night Diastolic Pressure]]^2</f>
        <v>7569</v>
      </c>
      <c r="U44" s="2">
        <v>74</v>
      </c>
      <c r="V44" s="2">
        <f>Table834[[#This Row],[Night Pulse]]^2</f>
        <v>5476</v>
      </c>
      <c r="W44" s="2">
        <v>6</v>
      </c>
      <c r="X44" s="2">
        <f>Table834[[#This Row],[Sleep]]^2</f>
        <v>36</v>
      </c>
      <c r="Y44" s="2">
        <f t="shared" si="1"/>
        <v>37.015102040816323</v>
      </c>
      <c r="Z44" s="2">
        <f>Table834[[#This Row],[BMI]]^2</f>
        <v>1370.1177790920447</v>
      </c>
      <c r="AA44" s="2">
        <f t="shared" si="0"/>
        <v>31.324493175702337</v>
      </c>
      <c r="AB44" s="2">
        <f>Table834[[#This Row],[CBF]]^2</f>
        <v>981.2238727146223</v>
      </c>
      <c r="AC44" s="2">
        <v>0</v>
      </c>
      <c r="AD44" s="2">
        <f>Table834[[#This Row],[Gym]]^2</f>
        <v>0</v>
      </c>
      <c r="AE44" s="2">
        <v>0</v>
      </c>
      <c r="AF44" s="2">
        <f>Table834[[#This Row],[Cardio]]^2</f>
        <v>0</v>
      </c>
      <c r="AG44" s="2">
        <v>2990</v>
      </c>
      <c r="AH44" s="2">
        <f>Table834[[#This Row],[Calories]]^2</f>
        <v>8940100</v>
      </c>
      <c r="AI44" s="2">
        <v>364</v>
      </c>
      <c r="AJ44" s="2">
        <f>Table834[[#This Row],[Carbs]]^2</f>
        <v>132496</v>
      </c>
      <c r="AK44" s="2">
        <v>135</v>
      </c>
      <c r="AL44" s="2">
        <f>Table834[[#This Row],[Fat ]]^2</f>
        <v>18225</v>
      </c>
      <c r="AM44" s="2">
        <v>57</v>
      </c>
      <c r="AN44" s="2">
        <f>Table834[[#This Row],[Protein]]^2</f>
        <v>3249</v>
      </c>
      <c r="AO44" s="2">
        <v>26.5</v>
      </c>
      <c r="AP44" s="2">
        <f>Table834[[#This Row],[Fiber]]^2</f>
        <v>702.25</v>
      </c>
      <c r="AQ44" s="2">
        <v>134</v>
      </c>
      <c r="AR44" s="2">
        <f>Table834[[#This Row],[Sugar]]^2</f>
        <v>17956</v>
      </c>
      <c r="AS44" s="2">
        <v>11</v>
      </c>
      <c r="AT44" s="2">
        <f>Table834[[#This Row],[Servings]]^2</f>
        <v>121</v>
      </c>
      <c r="AU44" s="2">
        <v>0.5</v>
      </c>
      <c r="AV44" s="2">
        <f>Table834[[#This Row],[Water]]^2</f>
        <v>0.25</v>
      </c>
      <c r="AW44" s="2">
        <v>1215</v>
      </c>
      <c r="AX44" s="2">
        <f>Table834[[#This Row],[Fat Calories]]^2</f>
        <v>1476225</v>
      </c>
      <c r="AY44" s="3">
        <f>Table834[[#This Row],[Weight]]*Table834[[#This Row],[Waist]]</f>
        <v>11481</v>
      </c>
      <c r="AZ44" s="4">
        <f>Table834[[#This Row],[Weight]]*Table834[[#This Row],[Neck]]</f>
        <v>4386</v>
      </c>
      <c r="BA44" s="4">
        <f>Table834[[#This Row],[Weight]]*Table834[[#This Row],[Morning Body Temp]]</f>
        <v>25180.799999999999</v>
      </c>
      <c r="BB44" s="4">
        <f>Table834[[#This Row],[Weight]]*Table834[[#This Row],[Morning Systolic Pressure]]</f>
        <v>36378</v>
      </c>
      <c r="BC44" s="11">
        <f>Table834[[#This Row],[Weight]]*Table834[[#This Row],[Morning Diastolic Pressure]]</f>
        <v>21414</v>
      </c>
      <c r="BD44" s="2">
        <f>Table834[[#This Row],[Weight]]*Table834[[#This Row],[Morning Pulse]]</f>
        <v>18834</v>
      </c>
      <c r="BE44" s="2">
        <f>Table834[[#This Row],[Weight]]*Table834[[#This Row],[Night Body Temp]]</f>
        <v>25103.399999999998</v>
      </c>
      <c r="BF44" s="2">
        <f>Table834[[#This Row],[Weight]]*Table834[[#This Row],[Night Systolic Pressure]]</f>
        <v>35604</v>
      </c>
      <c r="BG44" s="4">
        <f>Table83[[#This Row],[Weight]]*Table83[[#This Row],[Night Diastolic Pressure]]</f>
        <v>22446</v>
      </c>
      <c r="BH44" s="2">
        <f>Table834[[#This Row],[Weight]]*Table834[[#This Row],[Night Pulse]]</f>
        <v>19092</v>
      </c>
      <c r="BI44" s="2">
        <f>Table834[[#This Row],[Weight]]*Table834[[#This Row],[Sleep]]</f>
        <v>1548</v>
      </c>
      <c r="BJ44" s="2">
        <f>Table834[[#This Row],[Weight]]*Table834[[#This Row],[BMI]]</f>
        <v>9549.896326530612</v>
      </c>
      <c r="BK44" s="2">
        <f>Table834[[#This Row],[Weight]]*Table834[[#This Row],[CBF]]</f>
        <v>8081.7192393312025</v>
      </c>
      <c r="BL44" s="2">
        <f>Table834[[#This Row],[Weight]]*Table834[[#This Row],[Gym]]</f>
        <v>0</v>
      </c>
      <c r="BM44" s="2">
        <f>Table834[[#This Row],[Weight]]*Table834[[#This Row],[Cardio]]</f>
        <v>0</v>
      </c>
      <c r="BN44" s="2">
        <f>Table834[[#This Row],[Weight]]*Table834[[#This Row],[Calories]]</f>
        <v>771420</v>
      </c>
      <c r="BO44" s="2">
        <f>Table834[[#This Row],[Weight]]*Table834[[#This Row],[Carbs]]</f>
        <v>93912</v>
      </c>
      <c r="BP44" s="2">
        <f>Table834[[#This Row],[Weight]]*Table834[[#This Row],[Fat ]]</f>
        <v>34830</v>
      </c>
      <c r="BQ44" s="2">
        <f>Table834[[#This Row],[Weight]]*Table834[[#This Row],[Protein]]</f>
        <v>14706</v>
      </c>
      <c r="BR44" s="2">
        <f>Table834[[#This Row],[Weight]]*Table834[[#This Row],[Fiber]]</f>
        <v>6837</v>
      </c>
      <c r="BS44" s="2">
        <f>Table834[[#This Row],[Weight]]*Table834[[#This Row],[Sugar]]</f>
        <v>34572</v>
      </c>
      <c r="BT44" s="2">
        <f>Table834[[#This Row],[Weight]]*Table834[[#This Row],[Servings]]</f>
        <v>2838</v>
      </c>
      <c r="BU44" s="2">
        <f>Table834[[#This Row],[Weight]]*Table834[[#This Row],[Water]]</f>
        <v>129</v>
      </c>
      <c r="BV44" s="2">
        <f>Table834[[#This Row],[Weight]]*Table834[[#This Row],[Fat Calories]]</f>
        <v>313470</v>
      </c>
      <c r="BW44" s="2">
        <f>Table834[[#This Row],[Waist]]*Table834[[#This Row],[Neck]]</f>
        <v>756.5</v>
      </c>
      <c r="BX44" s="2">
        <f>Table834[[#This Row],[Waist]]*Table834[[#This Row],[Morning Body Temp]]</f>
        <v>4343.2</v>
      </c>
      <c r="BY44" s="2">
        <f>Table834[[#This Row],[Waist]]*Table834[[#This Row],[Morning Systolic Pressure]]</f>
        <v>6274.5</v>
      </c>
      <c r="BZ44" s="2">
        <f>Table834[[#This Row],[Waist]]*Table834[[#This Row],[Morning Diastolic Pressure]]</f>
        <v>3693.5</v>
      </c>
      <c r="CA44" s="2">
        <f>Table834[[#This Row],[Waist]]*Table834[[#This Row],[Morning Pulse]]</f>
        <v>3248.5</v>
      </c>
      <c r="CB44" s="2">
        <f>Table834[[#This Row],[Waist]]*Table834[[#This Row],[Night Body Temp]]</f>
        <v>4329.8499999999995</v>
      </c>
      <c r="CC44" s="2">
        <f>Table834[[#This Row],[Waist]]*Table834[[#This Row],[Night Systolic Pressure]]</f>
        <v>6141</v>
      </c>
      <c r="CD44" s="4">
        <f>Table83[[#This Row],[Waist]]*Table83[[#This Row],[Night Diastolic Pressure]]</f>
        <v>3871.5</v>
      </c>
      <c r="CE44" s="2">
        <f>Table834[[#This Row],[Waist]]*Table834[[#This Row],[Night Pulse]]</f>
        <v>3293</v>
      </c>
      <c r="CF44" s="2">
        <f>Table834[[#This Row],[Waist]]*Table834[[#This Row],[Sleep]]</f>
        <v>267</v>
      </c>
      <c r="CG44" s="2">
        <f>Table834[[#This Row],[Waist]]*Table834[[#This Row],[BMI]]</f>
        <v>1647.1720408163264</v>
      </c>
      <c r="CH44" s="2">
        <f>Table834[[#This Row],[Waist]]*Table834[[#This Row],[CBF]]</f>
        <v>1393.939946318754</v>
      </c>
      <c r="CI44" s="2">
        <f>Table834[[#This Row],[Waist]]*Table834[[#This Row],[Gym]]</f>
        <v>0</v>
      </c>
      <c r="CJ44" s="2">
        <f>Table834[[#This Row],[Waist]]*Table834[[#This Row],[Cardio]]</f>
        <v>0</v>
      </c>
      <c r="CK44" s="2">
        <f>Table834[[#This Row],[Waist]]*Table834[[#This Row],[Calories]]</f>
        <v>133055</v>
      </c>
      <c r="CL44" s="2">
        <f>Table834[[#This Row],[Waist]]*Table834[[#This Row],[Carbs]]</f>
        <v>16198</v>
      </c>
      <c r="CM44" s="2">
        <f>Table834[[#This Row],[Waist]]*Table834[[#This Row],[Fat ]]</f>
        <v>6007.5</v>
      </c>
      <c r="CN44" s="2">
        <f>Table834[[#This Row],[Waist]]*Table834[[#This Row],[Protein]]</f>
        <v>2536.5</v>
      </c>
      <c r="CO44" s="2">
        <f>Table834[[#This Row],[Waist]]*Table834[[#This Row],[Fiber]]</f>
        <v>1179.25</v>
      </c>
      <c r="CP44" s="2">
        <f>Table834[[#This Row],[Waist]]*Table834[[#This Row],[Sugar]]</f>
        <v>5963</v>
      </c>
      <c r="CQ44" s="2">
        <f>Table834[[#This Row],[Waist]]*Table834[[#This Row],[Servings]]</f>
        <v>489.5</v>
      </c>
      <c r="CR44" s="2">
        <f>Table834[[#This Row],[Waist]]*Table834[[#This Row],[Water]]</f>
        <v>22.25</v>
      </c>
      <c r="CS44" s="2">
        <f>Table834[[#This Row],[Waist]]*Table834[[#This Row],[Fat Calories]]</f>
        <v>54067.5</v>
      </c>
    </row>
    <row r="45" spans="1:97" x14ac:dyDescent="0.25">
      <c r="A45" s="2">
        <v>260</v>
      </c>
      <c r="B45" s="2">
        <f>Table834[[#This Row],[Weight]]^2</f>
        <v>67600</v>
      </c>
      <c r="C45" s="2">
        <v>44.5</v>
      </c>
      <c r="D45" s="2">
        <f>Table834[[#This Row],[Waist]]^2</f>
        <v>1980.25</v>
      </c>
      <c r="E45" s="2">
        <v>17</v>
      </c>
      <c r="F45" s="2">
        <f>Table834[[#This Row],[Neck]]^2</f>
        <v>289</v>
      </c>
      <c r="G45" s="2">
        <v>96</v>
      </c>
      <c r="H45" s="2">
        <f>Table834[[#This Row],[Morning Body Temp]]^2</f>
        <v>9216</v>
      </c>
      <c r="I45" s="2">
        <v>143</v>
      </c>
      <c r="J45" s="2">
        <f>Table834[[#This Row],[Morning Systolic Pressure]]^2</f>
        <v>20449</v>
      </c>
      <c r="K45" s="2">
        <v>92</v>
      </c>
      <c r="L45" s="2">
        <f>Table834[[#This Row],[Morning Diastolic Pressure]]^2</f>
        <v>8464</v>
      </c>
      <c r="M45" s="2">
        <v>72</v>
      </c>
      <c r="N45" s="2">
        <f>Table834[[#This Row],[Morning Pulse]]^2</f>
        <v>5184</v>
      </c>
      <c r="O45" s="2">
        <v>97.2</v>
      </c>
      <c r="P45" s="2">
        <f>Table834[[#This Row],[Night Body Temp]]^2</f>
        <v>9447.84</v>
      </c>
      <c r="Q45" s="2">
        <v>152</v>
      </c>
      <c r="R45" s="2">
        <f>Table834[[#This Row],[Night Systolic Pressure]]^2</f>
        <v>23104</v>
      </c>
      <c r="S45" s="2">
        <v>92</v>
      </c>
      <c r="T45" s="2">
        <f>Table834[[#This Row],[Night Diastolic Pressure]]^2</f>
        <v>8464</v>
      </c>
      <c r="U45" s="2">
        <v>82</v>
      </c>
      <c r="V45" s="2">
        <f>Table834[[#This Row],[Night Pulse]]^2</f>
        <v>6724</v>
      </c>
      <c r="W45" s="2">
        <v>8</v>
      </c>
      <c r="X45" s="2">
        <f>Table834[[#This Row],[Sleep]]^2</f>
        <v>64</v>
      </c>
      <c r="Y45" s="2">
        <f t="shared" si="1"/>
        <v>37.302040816326532</v>
      </c>
      <c r="Z45" s="2">
        <f>Table834[[#This Row],[BMI]]^2</f>
        <v>1391.4422490628906</v>
      </c>
      <c r="AA45" s="2">
        <f t="shared" si="0"/>
        <v>31.324493175702337</v>
      </c>
      <c r="AB45" s="2">
        <f>Table834[[#This Row],[CBF]]^2</f>
        <v>981.2238727146223</v>
      </c>
      <c r="AC45" s="2">
        <v>0</v>
      </c>
      <c r="AD45" s="2">
        <f>Table834[[#This Row],[Gym]]^2</f>
        <v>0</v>
      </c>
      <c r="AE45" s="2">
        <v>0</v>
      </c>
      <c r="AF45" s="2">
        <f>Table834[[#This Row],[Cardio]]^2</f>
        <v>0</v>
      </c>
      <c r="AG45" s="2">
        <v>4480</v>
      </c>
      <c r="AH45" s="2">
        <f>Table834[[#This Row],[Calories]]^2</f>
        <v>20070400</v>
      </c>
      <c r="AI45" s="2">
        <v>575</v>
      </c>
      <c r="AJ45" s="2">
        <f>Table834[[#This Row],[Carbs]]^2</f>
        <v>330625</v>
      </c>
      <c r="AK45" s="2">
        <v>198</v>
      </c>
      <c r="AL45" s="2">
        <f>Table834[[#This Row],[Fat ]]^2</f>
        <v>39204</v>
      </c>
      <c r="AM45" s="2">
        <v>120</v>
      </c>
      <c r="AN45" s="2">
        <f>Table834[[#This Row],[Protein]]^2</f>
        <v>14400</v>
      </c>
      <c r="AO45" s="2">
        <v>32</v>
      </c>
      <c r="AP45" s="2">
        <f>Table834[[#This Row],[Fiber]]^2</f>
        <v>1024</v>
      </c>
      <c r="AQ45" s="2">
        <v>290</v>
      </c>
      <c r="AR45" s="2">
        <f>Table834[[#This Row],[Sugar]]^2</f>
        <v>84100</v>
      </c>
      <c r="AS45" s="2">
        <v>74</v>
      </c>
      <c r="AT45" s="2">
        <f>Table834[[#This Row],[Servings]]^2</f>
        <v>5476</v>
      </c>
      <c r="AU45" s="2">
        <v>0.5</v>
      </c>
      <c r="AV45" s="2">
        <f>Table834[[#This Row],[Water]]^2</f>
        <v>0.25</v>
      </c>
      <c r="AW45" s="2">
        <v>1782</v>
      </c>
      <c r="AX45" s="2">
        <f>Table834[[#This Row],[Fat Calories]]^2</f>
        <v>3175524</v>
      </c>
      <c r="AY45" s="5">
        <f>Table834[[#This Row],[Weight]]*Table834[[#This Row],[Waist]]</f>
        <v>11570</v>
      </c>
      <c r="AZ45" s="6">
        <f>Table834[[#This Row],[Weight]]*Table834[[#This Row],[Neck]]</f>
        <v>4420</v>
      </c>
      <c r="BA45" s="6">
        <f>Table834[[#This Row],[Weight]]*Table834[[#This Row],[Morning Body Temp]]</f>
        <v>24960</v>
      </c>
      <c r="BB45" s="6">
        <f>Table834[[#This Row],[Weight]]*Table834[[#This Row],[Morning Systolic Pressure]]</f>
        <v>37180</v>
      </c>
      <c r="BC45" s="12">
        <f>Table834[[#This Row],[Weight]]*Table834[[#This Row],[Morning Diastolic Pressure]]</f>
        <v>23920</v>
      </c>
      <c r="BD45" s="2">
        <f>Table834[[#This Row],[Weight]]*Table834[[#This Row],[Morning Pulse]]</f>
        <v>18720</v>
      </c>
      <c r="BE45" s="2">
        <f>Table834[[#This Row],[Weight]]*Table834[[#This Row],[Night Body Temp]]</f>
        <v>25272</v>
      </c>
      <c r="BF45" s="2">
        <f>Table834[[#This Row],[Weight]]*Table834[[#This Row],[Night Systolic Pressure]]</f>
        <v>39520</v>
      </c>
      <c r="BG45" s="4">
        <f>Table83[[#This Row],[Weight]]*Table83[[#This Row],[Night Diastolic Pressure]]</f>
        <v>23920</v>
      </c>
      <c r="BH45" s="2">
        <f>Table834[[#This Row],[Weight]]*Table834[[#This Row],[Night Pulse]]</f>
        <v>21320</v>
      </c>
      <c r="BI45" s="2">
        <f>Table834[[#This Row],[Weight]]*Table834[[#This Row],[Sleep]]</f>
        <v>2080</v>
      </c>
      <c r="BJ45" s="2">
        <f>Table834[[#This Row],[Weight]]*Table834[[#This Row],[BMI]]</f>
        <v>9698.5306122448983</v>
      </c>
      <c r="BK45" s="2">
        <f>Table834[[#This Row],[Weight]]*Table834[[#This Row],[CBF]]</f>
        <v>8144.3682256826078</v>
      </c>
      <c r="BL45" s="2">
        <f>Table834[[#This Row],[Weight]]*Table834[[#This Row],[Gym]]</f>
        <v>0</v>
      </c>
      <c r="BM45" s="2">
        <f>Table834[[#This Row],[Weight]]*Table834[[#This Row],[Cardio]]</f>
        <v>0</v>
      </c>
      <c r="BN45" s="2">
        <f>Table834[[#This Row],[Weight]]*Table834[[#This Row],[Calories]]</f>
        <v>1164800</v>
      </c>
      <c r="BO45" s="2">
        <f>Table834[[#This Row],[Weight]]*Table834[[#This Row],[Carbs]]</f>
        <v>149500</v>
      </c>
      <c r="BP45" s="2">
        <f>Table834[[#This Row],[Weight]]*Table834[[#This Row],[Fat ]]</f>
        <v>51480</v>
      </c>
      <c r="BQ45" s="2">
        <f>Table834[[#This Row],[Weight]]*Table834[[#This Row],[Protein]]</f>
        <v>31200</v>
      </c>
      <c r="BR45" s="2">
        <f>Table834[[#This Row],[Weight]]*Table834[[#This Row],[Fiber]]</f>
        <v>8320</v>
      </c>
      <c r="BS45" s="2">
        <f>Table834[[#This Row],[Weight]]*Table834[[#This Row],[Sugar]]</f>
        <v>75400</v>
      </c>
      <c r="BT45" s="2">
        <f>Table834[[#This Row],[Weight]]*Table834[[#This Row],[Servings]]</f>
        <v>19240</v>
      </c>
      <c r="BU45" s="2">
        <f>Table834[[#This Row],[Weight]]*Table834[[#This Row],[Water]]</f>
        <v>130</v>
      </c>
      <c r="BV45" s="2">
        <f>Table834[[#This Row],[Weight]]*Table834[[#This Row],[Fat Calories]]</f>
        <v>463320</v>
      </c>
      <c r="BW45" s="2">
        <f>Table834[[#This Row],[Waist]]*Table834[[#This Row],[Neck]]</f>
        <v>756.5</v>
      </c>
      <c r="BX45" s="2">
        <f>Table834[[#This Row],[Waist]]*Table834[[#This Row],[Morning Body Temp]]</f>
        <v>4272</v>
      </c>
      <c r="BY45" s="2">
        <f>Table834[[#This Row],[Waist]]*Table834[[#This Row],[Morning Systolic Pressure]]</f>
        <v>6363.5</v>
      </c>
      <c r="BZ45" s="2">
        <f>Table834[[#This Row],[Waist]]*Table834[[#This Row],[Morning Diastolic Pressure]]</f>
        <v>4094</v>
      </c>
      <c r="CA45" s="2">
        <f>Table834[[#This Row],[Waist]]*Table834[[#This Row],[Morning Pulse]]</f>
        <v>3204</v>
      </c>
      <c r="CB45" s="2">
        <f>Table834[[#This Row],[Waist]]*Table834[[#This Row],[Night Body Temp]]</f>
        <v>4325.4000000000005</v>
      </c>
      <c r="CC45" s="2">
        <f>Table834[[#This Row],[Waist]]*Table834[[#This Row],[Night Systolic Pressure]]</f>
        <v>6764</v>
      </c>
      <c r="CD45" s="4">
        <f>Table83[[#This Row],[Waist]]*Table83[[#This Row],[Night Diastolic Pressure]]</f>
        <v>4094</v>
      </c>
      <c r="CE45" s="2">
        <f>Table834[[#This Row],[Waist]]*Table834[[#This Row],[Night Pulse]]</f>
        <v>3649</v>
      </c>
      <c r="CF45" s="2">
        <f>Table834[[#This Row],[Waist]]*Table834[[#This Row],[Sleep]]</f>
        <v>356</v>
      </c>
      <c r="CG45" s="2">
        <f>Table834[[#This Row],[Waist]]*Table834[[#This Row],[BMI]]</f>
        <v>1659.9408163265307</v>
      </c>
      <c r="CH45" s="2">
        <f>Table834[[#This Row],[Waist]]*Table834[[#This Row],[CBF]]</f>
        <v>1393.939946318754</v>
      </c>
      <c r="CI45" s="2">
        <f>Table834[[#This Row],[Waist]]*Table834[[#This Row],[Gym]]</f>
        <v>0</v>
      </c>
      <c r="CJ45" s="2">
        <f>Table834[[#This Row],[Waist]]*Table834[[#This Row],[Cardio]]</f>
        <v>0</v>
      </c>
      <c r="CK45" s="2">
        <f>Table834[[#This Row],[Waist]]*Table834[[#This Row],[Calories]]</f>
        <v>199360</v>
      </c>
      <c r="CL45" s="2">
        <f>Table834[[#This Row],[Waist]]*Table834[[#This Row],[Carbs]]</f>
        <v>25587.5</v>
      </c>
      <c r="CM45" s="2">
        <f>Table834[[#This Row],[Waist]]*Table834[[#This Row],[Fat ]]</f>
        <v>8811</v>
      </c>
      <c r="CN45" s="2">
        <f>Table834[[#This Row],[Waist]]*Table834[[#This Row],[Protein]]</f>
        <v>5340</v>
      </c>
      <c r="CO45" s="2">
        <f>Table834[[#This Row],[Waist]]*Table834[[#This Row],[Fiber]]</f>
        <v>1424</v>
      </c>
      <c r="CP45" s="2">
        <f>Table834[[#This Row],[Waist]]*Table834[[#This Row],[Sugar]]</f>
        <v>12905</v>
      </c>
      <c r="CQ45" s="2">
        <f>Table834[[#This Row],[Waist]]*Table834[[#This Row],[Servings]]</f>
        <v>3293</v>
      </c>
      <c r="CR45" s="2">
        <f>Table834[[#This Row],[Waist]]*Table834[[#This Row],[Water]]</f>
        <v>22.25</v>
      </c>
      <c r="CS45" s="2">
        <f>Table834[[#This Row],[Waist]]*Table834[[#This Row],[Fat Calories]]</f>
        <v>79299</v>
      </c>
    </row>
    <row r="46" spans="1:97" x14ac:dyDescent="0.25">
      <c r="A46" s="2">
        <v>259.2</v>
      </c>
      <c r="B46" s="2">
        <f>Table834[[#This Row],[Weight]]^2</f>
        <v>67184.639999999999</v>
      </c>
      <c r="C46" s="2">
        <v>44.5</v>
      </c>
      <c r="D46" s="2">
        <f>Table834[[#This Row],[Waist]]^2</f>
        <v>1980.25</v>
      </c>
      <c r="E46" s="2">
        <v>17</v>
      </c>
      <c r="F46" s="2">
        <f>Table834[[#This Row],[Neck]]^2</f>
        <v>289</v>
      </c>
      <c r="G46" s="2">
        <v>95.9</v>
      </c>
      <c r="H46" s="2">
        <f>Table834[[#This Row],[Morning Body Temp]]^2</f>
        <v>9196.8100000000013</v>
      </c>
      <c r="I46" s="2">
        <v>141</v>
      </c>
      <c r="J46" s="2">
        <f>Table834[[#This Row],[Morning Systolic Pressure]]^2</f>
        <v>19881</v>
      </c>
      <c r="K46" s="2">
        <v>87</v>
      </c>
      <c r="L46" s="2">
        <f>Table834[[#This Row],[Morning Diastolic Pressure]]^2</f>
        <v>7569</v>
      </c>
      <c r="M46" s="2">
        <v>76</v>
      </c>
      <c r="N46" s="2">
        <f>Table834[[#This Row],[Morning Pulse]]^2</f>
        <v>5776</v>
      </c>
      <c r="O46" s="2">
        <v>97.6</v>
      </c>
      <c r="P46" s="2">
        <f>Table834[[#This Row],[Night Body Temp]]^2</f>
        <v>9525.7599999999984</v>
      </c>
      <c r="Q46" s="2">
        <v>155</v>
      </c>
      <c r="R46" s="2">
        <f>Table834[[#This Row],[Night Systolic Pressure]]^2</f>
        <v>24025</v>
      </c>
      <c r="S46" s="2">
        <v>87</v>
      </c>
      <c r="T46" s="2">
        <f>Table834[[#This Row],[Night Diastolic Pressure]]^2</f>
        <v>7569</v>
      </c>
      <c r="U46" s="2">
        <v>81</v>
      </c>
      <c r="V46" s="2">
        <f>Table834[[#This Row],[Night Pulse]]^2</f>
        <v>6561</v>
      </c>
      <c r="W46" s="2">
        <v>12</v>
      </c>
      <c r="X46" s="2">
        <f>Table834[[#This Row],[Sleep]]^2</f>
        <v>144</v>
      </c>
      <c r="Y46" s="2">
        <f t="shared" si="1"/>
        <v>37.187265306122448</v>
      </c>
      <c r="Z46" s="2">
        <f>Table834[[#This Row],[BMI]]^2</f>
        <v>1382.8927009479382</v>
      </c>
      <c r="AA46" s="2">
        <f t="shared" si="0"/>
        <v>31.324493175702337</v>
      </c>
      <c r="AB46" s="2">
        <f>Table834[[#This Row],[CBF]]^2</f>
        <v>981.2238727146223</v>
      </c>
      <c r="AC46" s="2">
        <v>0</v>
      </c>
      <c r="AD46" s="2">
        <f>Table834[[#This Row],[Gym]]^2</f>
        <v>0</v>
      </c>
      <c r="AE46" s="2">
        <v>0</v>
      </c>
      <c r="AF46" s="2">
        <f>Table834[[#This Row],[Cardio]]^2</f>
        <v>0</v>
      </c>
      <c r="AG46" s="2">
        <v>4097.0910000000003</v>
      </c>
      <c r="AH46" s="2">
        <f>Table834[[#This Row],[Calories]]^2</f>
        <v>16786154.662281003</v>
      </c>
      <c r="AI46" s="2">
        <v>628.79999999999995</v>
      </c>
      <c r="AJ46" s="2">
        <f>Table834[[#This Row],[Carbs]]^2</f>
        <v>395389.43999999994</v>
      </c>
      <c r="AK46" s="2">
        <v>116.2924</v>
      </c>
      <c r="AL46" s="2">
        <f>Table834[[#This Row],[Fat ]]^2</f>
        <v>13523.92229776</v>
      </c>
      <c r="AM46" s="2">
        <v>166.13659999999999</v>
      </c>
      <c r="AN46" s="2">
        <f>Table834[[#This Row],[Protein]]^2</f>
        <v>27601.369859559996</v>
      </c>
      <c r="AO46" s="2">
        <v>30.093800000000002</v>
      </c>
      <c r="AP46" s="2">
        <f>Table834[[#This Row],[Fiber]]^2</f>
        <v>905.63679844000012</v>
      </c>
      <c r="AQ46" s="2">
        <v>322.23899999999998</v>
      </c>
      <c r="AR46" s="2">
        <f>Table834[[#This Row],[Sugar]]^2</f>
        <v>103837.97312099999</v>
      </c>
      <c r="AS46" s="2">
        <v>83.75</v>
      </c>
      <c r="AT46" s="2">
        <f>Table834[[#This Row],[Servings]]^2</f>
        <v>7014.0625</v>
      </c>
      <c r="AU46" s="2">
        <v>0.5</v>
      </c>
      <c r="AV46" s="2">
        <f>Table834[[#This Row],[Water]]^2</f>
        <v>0.25</v>
      </c>
      <c r="AW46" s="2">
        <v>1046.6315999999999</v>
      </c>
      <c r="AX46" s="2">
        <f>Table834[[#This Row],[Fat Calories]]^2</f>
        <v>1095437.7061185599</v>
      </c>
      <c r="AY46" s="3">
        <f>Table834[[#This Row],[Weight]]*Table834[[#This Row],[Waist]]</f>
        <v>11534.4</v>
      </c>
      <c r="AZ46" s="4">
        <f>Table834[[#This Row],[Weight]]*Table834[[#This Row],[Neck]]</f>
        <v>4406.3999999999996</v>
      </c>
      <c r="BA46" s="4">
        <f>Table834[[#This Row],[Weight]]*Table834[[#This Row],[Morning Body Temp]]</f>
        <v>24857.279999999999</v>
      </c>
      <c r="BB46" s="4">
        <f>Table834[[#This Row],[Weight]]*Table834[[#This Row],[Morning Systolic Pressure]]</f>
        <v>36547.199999999997</v>
      </c>
      <c r="BC46" s="11">
        <f>Table834[[#This Row],[Weight]]*Table834[[#This Row],[Morning Diastolic Pressure]]</f>
        <v>22550.399999999998</v>
      </c>
      <c r="BD46" s="2">
        <f>Table834[[#This Row],[Weight]]*Table834[[#This Row],[Morning Pulse]]</f>
        <v>19699.2</v>
      </c>
      <c r="BE46" s="2">
        <f>Table834[[#This Row],[Weight]]*Table834[[#This Row],[Night Body Temp]]</f>
        <v>25297.919999999998</v>
      </c>
      <c r="BF46" s="2">
        <f>Table834[[#This Row],[Weight]]*Table834[[#This Row],[Night Systolic Pressure]]</f>
        <v>40176</v>
      </c>
      <c r="BG46" s="4">
        <f>Table83[[#This Row],[Weight]]*Table83[[#This Row],[Night Diastolic Pressure]]</f>
        <v>22550.399999999998</v>
      </c>
      <c r="BH46" s="2">
        <f>Table834[[#This Row],[Weight]]*Table834[[#This Row],[Night Pulse]]</f>
        <v>20995.200000000001</v>
      </c>
      <c r="BI46" s="2">
        <f>Table834[[#This Row],[Weight]]*Table834[[#This Row],[Sleep]]</f>
        <v>3110.3999999999996</v>
      </c>
      <c r="BJ46" s="2">
        <f>Table834[[#This Row],[Weight]]*Table834[[#This Row],[BMI]]</f>
        <v>9638.9391673469381</v>
      </c>
      <c r="BK46" s="2">
        <f>Table834[[#This Row],[Weight]]*Table834[[#This Row],[CBF]]</f>
        <v>8119.3086311420457</v>
      </c>
      <c r="BL46" s="2">
        <f>Table834[[#This Row],[Weight]]*Table834[[#This Row],[Gym]]</f>
        <v>0</v>
      </c>
      <c r="BM46" s="2">
        <f>Table834[[#This Row],[Weight]]*Table834[[#This Row],[Cardio]]</f>
        <v>0</v>
      </c>
      <c r="BN46" s="2">
        <f>Table834[[#This Row],[Weight]]*Table834[[#This Row],[Calories]]</f>
        <v>1061965.9872000001</v>
      </c>
      <c r="BO46" s="2">
        <f>Table834[[#This Row],[Weight]]*Table834[[#This Row],[Carbs]]</f>
        <v>162984.95999999999</v>
      </c>
      <c r="BP46" s="2">
        <f>Table834[[#This Row],[Weight]]*Table834[[#This Row],[Fat ]]</f>
        <v>30142.99008</v>
      </c>
      <c r="BQ46" s="2">
        <f>Table834[[#This Row],[Weight]]*Table834[[#This Row],[Protein]]</f>
        <v>43062.606719999996</v>
      </c>
      <c r="BR46" s="2">
        <f>Table834[[#This Row],[Weight]]*Table834[[#This Row],[Fiber]]</f>
        <v>7800.3129600000002</v>
      </c>
      <c r="BS46" s="2">
        <f>Table834[[#This Row],[Weight]]*Table834[[#This Row],[Sugar]]</f>
        <v>83524.348799999992</v>
      </c>
      <c r="BT46" s="2">
        <f>Table834[[#This Row],[Weight]]*Table834[[#This Row],[Servings]]</f>
        <v>21708</v>
      </c>
      <c r="BU46" s="2">
        <f>Table834[[#This Row],[Weight]]*Table834[[#This Row],[Water]]</f>
        <v>129.6</v>
      </c>
      <c r="BV46" s="2">
        <f>Table834[[#This Row],[Weight]]*Table834[[#This Row],[Fat Calories]]</f>
        <v>271286.91071999999</v>
      </c>
      <c r="BW46" s="2">
        <f>Table834[[#This Row],[Waist]]*Table834[[#This Row],[Neck]]</f>
        <v>756.5</v>
      </c>
      <c r="BX46" s="2">
        <f>Table834[[#This Row],[Waist]]*Table834[[#This Row],[Morning Body Temp]]</f>
        <v>4267.55</v>
      </c>
      <c r="BY46" s="2">
        <f>Table834[[#This Row],[Waist]]*Table834[[#This Row],[Morning Systolic Pressure]]</f>
        <v>6274.5</v>
      </c>
      <c r="BZ46" s="2">
        <f>Table834[[#This Row],[Waist]]*Table834[[#This Row],[Morning Diastolic Pressure]]</f>
        <v>3871.5</v>
      </c>
      <c r="CA46" s="2">
        <f>Table834[[#This Row],[Waist]]*Table834[[#This Row],[Morning Pulse]]</f>
        <v>3382</v>
      </c>
      <c r="CB46" s="2">
        <f>Table834[[#This Row],[Waist]]*Table834[[#This Row],[Night Body Temp]]</f>
        <v>4343.2</v>
      </c>
      <c r="CC46" s="2">
        <f>Table834[[#This Row],[Waist]]*Table834[[#This Row],[Night Systolic Pressure]]</f>
        <v>6897.5</v>
      </c>
      <c r="CD46" s="4">
        <f>Table83[[#This Row],[Waist]]*Table83[[#This Row],[Night Diastolic Pressure]]</f>
        <v>3871.5</v>
      </c>
      <c r="CE46" s="2">
        <f>Table834[[#This Row],[Waist]]*Table834[[#This Row],[Night Pulse]]</f>
        <v>3604.5</v>
      </c>
      <c r="CF46" s="2">
        <f>Table834[[#This Row],[Waist]]*Table834[[#This Row],[Sleep]]</f>
        <v>534</v>
      </c>
      <c r="CG46" s="2">
        <f>Table834[[#This Row],[Waist]]*Table834[[#This Row],[BMI]]</f>
        <v>1654.8333061224489</v>
      </c>
      <c r="CH46" s="2">
        <f>Table834[[#This Row],[Waist]]*Table834[[#This Row],[CBF]]</f>
        <v>1393.939946318754</v>
      </c>
      <c r="CI46" s="2">
        <f>Table834[[#This Row],[Waist]]*Table834[[#This Row],[Gym]]</f>
        <v>0</v>
      </c>
      <c r="CJ46" s="2">
        <f>Table834[[#This Row],[Waist]]*Table834[[#This Row],[Cardio]]</f>
        <v>0</v>
      </c>
      <c r="CK46" s="2">
        <f>Table834[[#This Row],[Waist]]*Table834[[#This Row],[Calories]]</f>
        <v>182320.54950000002</v>
      </c>
      <c r="CL46" s="2">
        <f>Table834[[#This Row],[Waist]]*Table834[[#This Row],[Carbs]]</f>
        <v>27981.599999999999</v>
      </c>
      <c r="CM46" s="2">
        <f>Table834[[#This Row],[Waist]]*Table834[[#This Row],[Fat ]]</f>
        <v>5175.0118000000002</v>
      </c>
      <c r="CN46" s="2">
        <f>Table834[[#This Row],[Waist]]*Table834[[#This Row],[Protein]]</f>
        <v>7393.0786999999991</v>
      </c>
      <c r="CO46" s="2">
        <f>Table834[[#This Row],[Waist]]*Table834[[#This Row],[Fiber]]</f>
        <v>1339.1741000000002</v>
      </c>
      <c r="CP46" s="2">
        <f>Table834[[#This Row],[Waist]]*Table834[[#This Row],[Sugar]]</f>
        <v>14339.635499999999</v>
      </c>
      <c r="CQ46" s="2">
        <f>Table834[[#This Row],[Waist]]*Table834[[#This Row],[Servings]]</f>
        <v>3726.875</v>
      </c>
      <c r="CR46" s="2">
        <f>Table834[[#This Row],[Waist]]*Table834[[#This Row],[Water]]</f>
        <v>22.25</v>
      </c>
      <c r="CS46" s="2">
        <f>Table834[[#This Row],[Waist]]*Table834[[#This Row],[Fat Calories]]</f>
        <v>46575.106199999995</v>
      </c>
    </row>
    <row r="47" spans="1:97" x14ac:dyDescent="0.25">
      <c r="A47" s="2">
        <v>260.8</v>
      </c>
      <c r="B47" s="2">
        <f>Table834[[#This Row],[Weight]]^2</f>
        <v>68016.639999999999</v>
      </c>
      <c r="C47" s="2">
        <v>45</v>
      </c>
      <c r="D47" s="2">
        <f>Table834[[#This Row],[Waist]]^2</f>
        <v>2025</v>
      </c>
      <c r="E47" s="2">
        <v>17</v>
      </c>
      <c r="F47" s="2">
        <f>Table834[[#This Row],[Neck]]^2</f>
        <v>289</v>
      </c>
      <c r="G47" s="2">
        <v>96.7</v>
      </c>
      <c r="H47" s="2">
        <f>Table834[[#This Row],[Morning Body Temp]]^2</f>
        <v>9350.8900000000012</v>
      </c>
      <c r="I47" s="2">
        <v>134</v>
      </c>
      <c r="J47" s="2">
        <f>Table834[[#This Row],[Morning Systolic Pressure]]^2</f>
        <v>17956</v>
      </c>
      <c r="K47" s="2">
        <v>77</v>
      </c>
      <c r="L47" s="2">
        <f>Table834[[#This Row],[Morning Diastolic Pressure]]^2</f>
        <v>5929</v>
      </c>
      <c r="M47" s="2">
        <v>74</v>
      </c>
      <c r="N47" s="2">
        <f>Table834[[#This Row],[Morning Pulse]]^2</f>
        <v>5476</v>
      </c>
      <c r="O47" s="2">
        <v>97.3</v>
      </c>
      <c r="P47" s="2">
        <f>Table834[[#This Row],[Night Body Temp]]^2</f>
        <v>9467.2899999999991</v>
      </c>
      <c r="Q47" s="2">
        <v>144</v>
      </c>
      <c r="R47" s="2">
        <f>Table834[[#This Row],[Night Systolic Pressure]]^2</f>
        <v>20736</v>
      </c>
      <c r="S47" s="2">
        <v>76</v>
      </c>
      <c r="T47" s="2">
        <f>Table834[[#This Row],[Night Diastolic Pressure]]^2</f>
        <v>5776</v>
      </c>
      <c r="U47" s="2">
        <v>86</v>
      </c>
      <c r="V47" s="2">
        <f>Table834[[#This Row],[Night Pulse]]^2</f>
        <v>7396</v>
      </c>
      <c r="W47" s="2">
        <v>11</v>
      </c>
      <c r="X47" s="2">
        <f>Table834[[#This Row],[Sleep]]^2</f>
        <v>121</v>
      </c>
      <c r="Y47" s="2">
        <f t="shared" si="1"/>
        <v>37.416816326530615</v>
      </c>
      <c r="Z47" s="2">
        <f>Table834[[#This Row],[BMI]]^2</f>
        <v>1400.0181440133281</v>
      </c>
      <c r="AA47" s="2">
        <f t="shared" si="0"/>
        <v>31.997550455105717</v>
      </c>
      <c r="AB47" s="2">
        <f>Table834[[#This Row],[CBF]]^2</f>
        <v>1023.8432351270361</v>
      </c>
      <c r="AC47" s="2">
        <v>0</v>
      </c>
      <c r="AD47" s="2">
        <f>Table834[[#This Row],[Gym]]^2</f>
        <v>0</v>
      </c>
      <c r="AE47" s="2">
        <v>0</v>
      </c>
      <c r="AF47" s="2">
        <f>Table834[[#This Row],[Cardio]]^2</f>
        <v>0</v>
      </c>
      <c r="AG47" s="2">
        <v>4807.8961428571429</v>
      </c>
      <c r="AH47" s="2">
        <f>Table834[[#This Row],[Calories]]^2</f>
        <v>23115865.320500594</v>
      </c>
      <c r="AI47" s="2">
        <v>631.78571428571422</v>
      </c>
      <c r="AJ47" s="2">
        <f>Table834[[#This Row],[Carbs]]^2</f>
        <v>399153.18877551012</v>
      </c>
      <c r="AK47" s="2">
        <v>189.84674285714286</v>
      </c>
      <c r="AL47" s="2">
        <f>Table834[[#This Row],[Fat ]]^2</f>
        <v>36041.785773466123</v>
      </c>
      <c r="AM47" s="2">
        <v>158.75139999999999</v>
      </c>
      <c r="AN47" s="2">
        <f>Table834[[#This Row],[Protein]]^2</f>
        <v>25202.007001959995</v>
      </c>
      <c r="AO47" s="2">
        <v>20.440199999999997</v>
      </c>
      <c r="AP47" s="2">
        <f>Table834[[#This Row],[Fiber]]^2</f>
        <v>417.80177603999988</v>
      </c>
      <c r="AQ47" s="2">
        <v>341.44171428571428</v>
      </c>
      <c r="AR47" s="2">
        <f>Table834[[#This Row],[Sugar]]^2</f>
        <v>116582.44425436735</v>
      </c>
      <c r="AS47" s="2">
        <v>98</v>
      </c>
      <c r="AT47" s="2">
        <f>Table834[[#This Row],[Servings]]^2</f>
        <v>9604</v>
      </c>
      <c r="AU47" s="2">
        <v>0.5</v>
      </c>
      <c r="AV47" s="2">
        <f>Table834[[#This Row],[Water]]^2</f>
        <v>0.25</v>
      </c>
      <c r="AW47" s="2">
        <v>1708.6206857142856</v>
      </c>
      <c r="AX47" s="2">
        <f>Table834[[#This Row],[Fat Calories]]^2</f>
        <v>2919384.6476507555</v>
      </c>
      <c r="AY47" s="5">
        <f>Table834[[#This Row],[Weight]]*Table834[[#This Row],[Waist]]</f>
        <v>11736</v>
      </c>
      <c r="AZ47" s="6">
        <f>Table834[[#This Row],[Weight]]*Table834[[#This Row],[Neck]]</f>
        <v>4433.6000000000004</v>
      </c>
      <c r="BA47" s="6">
        <f>Table834[[#This Row],[Weight]]*Table834[[#This Row],[Morning Body Temp]]</f>
        <v>25219.360000000001</v>
      </c>
      <c r="BB47" s="6">
        <f>Table834[[#This Row],[Weight]]*Table834[[#This Row],[Morning Systolic Pressure]]</f>
        <v>34947.200000000004</v>
      </c>
      <c r="BC47" s="12">
        <f>Table834[[#This Row],[Weight]]*Table834[[#This Row],[Morning Diastolic Pressure]]</f>
        <v>20081.600000000002</v>
      </c>
      <c r="BD47" s="2">
        <f>Table834[[#This Row],[Weight]]*Table834[[#This Row],[Morning Pulse]]</f>
        <v>19299.2</v>
      </c>
      <c r="BE47" s="2">
        <f>Table834[[#This Row],[Weight]]*Table834[[#This Row],[Night Body Temp]]</f>
        <v>25375.84</v>
      </c>
      <c r="BF47" s="2">
        <f>Table834[[#This Row],[Weight]]*Table834[[#This Row],[Night Systolic Pressure]]</f>
        <v>37555.200000000004</v>
      </c>
      <c r="BG47" s="4">
        <f>Table83[[#This Row],[Weight]]*Table83[[#This Row],[Night Diastolic Pressure]]</f>
        <v>19820.8</v>
      </c>
      <c r="BH47" s="2">
        <f>Table834[[#This Row],[Weight]]*Table834[[#This Row],[Night Pulse]]</f>
        <v>22428.799999999999</v>
      </c>
      <c r="BI47" s="2">
        <f>Table834[[#This Row],[Weight]]*Table834[[#This Row],[Sleep]]</f>
        <v>2868.8</v>
      </c>
      <c r="BJ47" s="2">
        <f>Table834[[#This Row],[Weight]]*Table834[[#This Row],[BMI]]</f>
        <v>9758.3056979591856</v>
      </c>
      <c r="BK47" s="2">
        <f>Table834[[#This Row],[Weight]]*Table834[[#This Row],[CBF]]</f>
        <v>8344.9611586915707</v>
      </c>
      <c r="BL47" s="2">
        <f>Table834[[#This Row],[Weight]]*Table834[[#This Row],[Gym]]</f>
        <v>0</v>
      </c>
      <c r="BM47" s="2">
        <f>Table834[[#This Row],[Weight]]*Table834[[#This Row],[Cardio]]</f>
        <v>0</v>
      </c>
      <c r="BN47" s="2">
        <f>Table834[[#This Row],[Weight]]*Table834[[#This Row],[Calories]]</f>
        <v>1253899.3140571429</v>
      </c>
      <c r="BO47" s="2">
        <f>Table834[[#This Row],[Weight]]*Table834[[#This Row],[Carbs]]</f>
        <v>164769.71428571429</v>
      </c>
      <c r="BP47" s="2">
        <f>Table834[[#This Row],[Weight]]*Table834[[#This Row],[Fat ]]</f>
        <v>49512.030537142862</v>
      </c>
      <c r="BQ47" s="2">
        <f>Table834[[#This Row],[Weight]]*Table834[[#This Row],[Protein]]</f>
        <v>41402.365120000002</v>
      </c>
      <c r="BR47" s="2">
        <f>Table834[[#This Row],[Weight]]*Table834[[#This Row],[Fiber]]</f>
        <v>5330.8041599999997</v>
      </c>
      <c r="BS47" s="2">
        <f>Table834[[#This Row],[Weight]]*Table834[[#This Row],[Sugar]]</f>
        <v>89047.999085714284</v>
      </c>
      <c r="BT47" s="2">
        <f>Table834[[#This Row],[Weight]]*Table834[[#This Row],[Servings]]</f>
        <v>25558.400000000001</v>
      </c>
      <c r="BU47" s="2">
        <f>Table834[[#This Row],[Weight]]*Table834[[#This Row],[Water]]</f>
        <v>130.4</v>
      </c>
      <c r="BV47" s="2">
        <f>Table834[[#This Row],[Weight]]*Table834[[#This Row],[Fat Calories]]</f>
        <v>445608.27483428572</v>
      </c>
      <c r="BW47" s="2">
        <f>Table834[[#This Row],[Waist]]*Table834[[#This Row],[Neck]]</f>
        <v>765</v>
      </c>
      <c r="BX47" s="2">
        <f>Table834[[#This Row],[Waist]]*Table834[[#This Row],[Morning Body Temp]]</f>
        <v>4351.5</v>
      </c>
      <c r="BY47" s="2">
        <f>Table834[[#This Row],[Waist]]*Table834[[#This Row],[Morning Systolic Pressure]]</f>
        <v>6030</v>
      </c>
      <c r="BZ47" s="2">
        <f>Table834[[#This Row],[Waist]]*Table834[[#This Row],[Morning Diastolic Pressure]]</f>
        <v>3465</v>
      </c>
      <c r="CA47" s="2">
        <f>Table834[[#This Row],[Waist]]*Table834[[#This Row],[Morning Pulse]]</f>
        <v>3330</v>
      </c>
      <c r="CB47" s="2">
        <f>Table834[[#This Row],[Waist]]*Table834[[#This Row],[Night Body Temp]]</f>
        <v>4378.5</v>
      </c>
      <c r="CC47" s="2">
        <f>Table834[[#This Row],[Waist]]*Table834[[#This Row],[Night Systolic Pressure]]</f>
        <v>6480</v>
      </c>
      <c r="CD47" s="4">
        <f>Table83[[#This Row],[Waist]]*Table83[[#This Row],[Night Diastolic Pressure]]</f>
        <v>3420</v>
      </c>
      <c r="CE47" s="2">
        <f>Table834[[#This Row],[Waist]]*Table834[[#This Row],[Night Pulse]]</f>
        <v>3870</v>
      </c>
      <c r="CF47" s="2">
        <f>Table834[[#This Row],[Waist]]*Table834[[#This Row],[Sleep]]</f>
        <v>495</v>
      </c>
      <c r="CG47" s="2">
        <f>Table834[[#This Row],[Waist]]*Table834[[#This Row],[BMI]]</f>
        <v>1683.7567346938777</v>
      </c>
      <c r="CH47" s="2">
        <f>Table834[[#This Row],[Waist]]*Table834[[#This Row],[CBF]]</f>
        <v>1439.8897704797573</v>
      </c>
      <c r="CI47" s="2">
        <f>Table834[[#This Row],[Waist]]*Table834[[#This Row],[Gym]]</f>
        <v>0</v>
      </c>
      <c r="CJ47" s="2">
        <f>Table834[[#This Row],[Waist]]*Table834[[#This Row],[Cardio]]</f>
        <v>0</v>
      </c>
      <c r="CK47" s="2">
        <f>Table834[[#This Row],[Waist]]*Table834[[#This Row],[Calories]]</f>
        <v>216355.32642857142</v>
      </c>
      <c r="CL47" s="2">
        <f>Table834[[#This Row],[Waist]]*Table834[[#This Row],[Carbs]]</f>
        <v>28430.357142857141</v>
      </c>
      <c r="CM47" s="2">
        <f>Table834[[#This Row],[Waist]]*Table834[[#This Row],[Fat ]]</f>
        <v>8543.1034285714286</v>
      </c>
      <c r="CN47" s="2">
        <f>Table834[[#This Row],[Waist]]*Table834[[#This Row],[Protein]]</f>
        <v>7143.8129999999992</v>
      </c>
      <c r="CO47" s="2">
        <f>Table834[[#This Row],[Waist]]*Table834[[#This Row],[Fiber]]</f>
        <v>919.80899999999986</v>
      </c>
      <c r="CP47" s="2">
        <f>Table834[[#This Row],[Waist]]*Table834[[#This Row],[Sugar]]</f>
        <v>15364.877142857144</v>
      </c>
      <c r="CQ47" s="2">
        <f>Table834[[#This Row],[Waist]]*Table834[[#This Row],[Servings]]</f>
        <v>4410</v>
      </c>
      <c r="CR47" s="2">
        <f>Table834[[#This Row],[Waist]]*Table834[[#This Row],[Water]]</f>
        <v>22.5</v>
      </c>
      <c r="CS47" s="2">
        <f>Table834[[#This Row],[Waist]]*Table834[[#This Row],[Fat Calories]]</f>
        <v>76887.930857142856</v>
      </c>
    </row>
    <row r="48" spans="1:97" x14ac:dyDescent="0.25">
      <c r="A48" s="2">
        <v>261.8</v>
      </c>
      <c r="B48" s="2">
        <f>Table834[[#This Row],[Weight]]^2</f>
        <v>68539.240000000005</v>
      </c>
      <c r="C48" s="2">
        <v>45</v>
      </c>
      <c r="D48" s="2">
        <f>Table834[[#This Row],[Waist]]^2</f>
        <v>2025</v>
      </c>
      <c r="E48" s="2">
        <v>17</v>
      </c>
      <c r="F48" s="2">
        <f>Table834[[#This Row],[Neck]]^2</f>
        <v>289</v>
      </c>
      <c r="G48" s="2">
        <v>97</v>
      </c>
      <c r="H48" s="2">
        <f>Table834[[#This Row],[Morning Body Temp]]^2</f>
        <v>9409</v>
      </c>
      <c r="I48" s="2">
        <v>111</v>
      </c>
      <c r="J48" s="2">
        <f>Table834[[#This Row],[Morning Systolic Pressure]]^2</f>
        <v>12321</v>
      </c>
      <c r="K48" s="2">
        <v>85</v>
      </c>
      <c r="L48" s="2">
        <f>Table834[[#This Row],[Morning Diastolic Pressure]]^2</f>
        <v>7225</v>
      </c>
      <c r="M48" s="2">
        <v>86</v>
      </c>
      <c r="N48" s="2">
        <f>Table834[[#This Row],[Morning Pulse]]^2</f>
        <v>7396</v>
      </c>
      <c r="O48" s="2">
        <v>97.6</v>
      </c>
      <c r="P48" s="2">
        <f>Table834[[#This Row],[Night Body Temp]]^2</f>
        <v>9525.7599999999984</v>
      </c>
      <c r="Q48" s="2">
        <v>140</v>
      </c>
      <c r="R48" s="2">
        <f>Table834[[#This Row],[Night Systolic Pressure]]^2</f>
        <v>19600</v>
      </c>
      <c r="S48" s="2">
        <v>75</v>
      </c>
      <c r="T48" s="2">
        <f>Table834[[#This Row],[Night Diastolic Pressure]]^2</f>
        <v>5625</v>
      </c>
      <c r="U48" s="2">
        <v>77</v>
      </c>
      <c r="V48" s="2">
        <f>Table834[[#This Row],[Night Pulse]]^2</f>
        <v>5929</v>
      </c>
      <c r="W48" s="2">
        <v>8.5</v>
      </c>
      <c r="X48" s="2">
        <f>Table834[[#This Row],[Sleep]]^2</f>
        <v>72.25</v>
      </c>
      <c r="Y48" s="2">
        <f t="shared" si="1"/>
        <v>37.560285714285712</v>
      </c>
      <c r="Z48" s="2">
        <f>Table834[[#This Row],[BMI]]^2</f>
        <v>1410.7750629387754</v>
      </c>
      <c r="AA48" s="2">
        <f t="shared" si="0"/>
        <v>31.997550455105717</v>
      </c>
      <c r="AB48" s="2">
        <f>Table834[[#This Row],[CBF]]^2</f>
        <v>1023.8432351270361</v>
      </c>
      <c r="AC48" s="2">
        <v>1</v>
      </c>
      <c r="AD48" s="2">
        <f>Table834[[#This Row],[Gym]]^2</f>
        <v>1</v>
      </c>
      <c r="AE48" s="2">
        <v>1</v>
      </c>
      <c r="AF48" s="2">
        <f>Table834[[#This Row],[Cardio]]^2</f>
        <v>1</v>
      </c>
      <c r="AG48" s="2">
        <v>1731.8363095238096</v>
      </c>
      <c r="AH48" s="2">
        <f>Table834[[#This Row],[Calories]]^2</f>
        <v>2999257.0029850486</v>
      </c>
      <c r="AI48" s="2">
        <v>303.92931547619042</v>
      </c>
      <c r="AJ48" s="2">
        <f>Table834[[#This Row],[Carbs]]^2</f>
        <v>92373.028805825685</v>
      </c>
      <c r="AK48" s="2">
        <v>49.472916666666663</v>
      </c>
      <c r="AL48" s="2">
        <f>Table834[[#This Row],[Fat ]]^2</f>
        <v>2447.5694835069439</v>
      </c>
      <c r="AM48" s="2">
        <v>23.972023809523812</v>
      </c>
      <c r="AN48" s="2">
        <f>Table834[[#This Row],[Protein]]^2</f>
        <v>574.65792552437654</v>
      </c>
      <c r="AO48" s="2">
        <v>7.8666666666666671</v>
      </c>
      <c r="AP48" s="2">
        <f>Table834[[#This Row],[Fiber]]^2</f>
        <v>61.884444444444455</v>
      </c>
      <c r="AQ48" s="2">
        <v>212.22544642857144</v>
      </c>
      <c r="AR48" s="2">
        <f>Table834[[#This Row],[Sugar]]^2</f>
        <v>45039.640111806446</v>
      </c>
      <c r="AS48" s="2">
        <v>54.5</v>
      </c>
      <c r="AT48" s="2">
        <f>Table834[[#This Row],[Servings]]^2</f>
        <v>2970.25</v>
      </c>
      <c r="AU48" s="2">
        <v>1</v>
      </c>
      <c r="AV48" s="2">
        <f>Table834[[#This Row],[Water]]^2</f>
        <v>1</v>
      </c>
      <c r="AW48" s="2">
        <v>445.25625000000002</v>
      </c>
      <c r="AX48" s="2">
        <f>Table834[[#This Row],[Fat Calories]]^2</f>
        <v>198253.12816406251</v>
      </c>
      <c r="AY48" s="3">
        <f>Table834[[#This Row],[Weight]]*Table834[[#This Row],[Waist]]</f>
        <v>11781</v>
      </c>
      <c r="AZ48" s="4">
        <f>Table834[[#This Row],[Weight]]*Table834[[#This Row],[Neck]]</f>
        <v>4450.6000000000004</v>
      </c>
      <c r="BA48" s="4">
        <f>Table834[[#This Row],[Weight]]*Table834[[#This Row],[Morning Body Temp]]</f>
        <v>25394.600000000002</v>
      </c>
      <c r="BB48" s="4">
        <f>Table834[[#This Row],[Weight]]*Table834[[#This Row],[Morning Systolic Pressure]]</f>
        <v>29059.800000000003</v>
      </c>
      <c r="BC48" s="11">
        <f>Table834[[#This Row],[Weight]]*Table834[[#This Row],[Morning Diastolic Pressure]]</f>
        <v>22253</v>
      </c>
      <c r="BD48" s="2">
        <f>Table834[[#This Row],[Weight]]*Table834[[#This Row],[Morning Pulse]]</f>
        <v>22514.799999999999</v>
      </c>
      <c r="BE48" s="2">
        <f>Table834[[#This Row],[Weight]]*Table834[[#This Row],[Night Body Temp]]</f>
        <v>25551.68</v>
      </c>
      <c r="BF48" s="2">
        <f>Table834[[#This Row],[Weight]]*Table834[[#This Row],[Night Systolic Pressure]]</f>
        <v>36652</v>
      </c>
      <c r="BG48" s="4">
        <f>Table83[[#This Row],[Weight]]*Table83[[#This Row],[Night Diastolic Pressure]]</f>
        <v>19635</v>
      </c>
      <c r="BH48" s="2">
        <f>Table834[[#This Row],[Weight]]*Table834[[#This Row],[Night Pulse]]</f>
        <v>20158.600000000002</v>
      </c>
      <c r="BI48" s="2">
        <f>Table834[[#This Row],[Weight]]*Table834[[#This Row],[Sleep]]</f>
        <v>2225.3000000000002</v>
      </c>
      <c r="BJ48" s="2">
        <f>Table834[[#This Row],[Weight]]*Table834[[#This Row],[BMI]]</f>
        <v>9833.282799999999</v>
      </c>
      <c r="BK48" s="2">
        <f>Table834[[#This Row],[Weight]]*Table834[[#This Row],[CBF]]</f>
        <v>8376.9587091466765</v>
      </c>
      <c r="BL48" s="2">
        <f>Table834[[#This Row],[Weight]]*Table834[[#This Row],[Gym]]</f>
        <v>261.8</v>
      </c>
      <c r="BM48" s="2">
        <f>Table834[[#This Row],[Weight]]*Table834[[#This Row],[Cardio]]</f>
        <v>261.8</v>
      </c>
      <c r="BN48" s="2">
        <f>Table834[[#This Row],[Weight]]*Table834[[#This Row],[Calories]]</f>
        <v>453394.74583333341</v>
      </c>
      <c r="BO48" s="2">
        <f>Table834[[#This Row],[Weight]]*Table834[[#This Row],[Carbs]]</f>
        <v>79568.694791666654</v>
      </c>
      <c r="BP48" s="2">
        <f>Table834[[#This Row],[Weight]]*Table834[[#This Row],[Fat ]]</f>
        <v>12952.009583333333</v>
      </c>
      <c r="BQ48" s="2">
        <f>Table834[[#This Row],[Weight]]*Table834[[#This Row],[Protein]]</f>
        <v>6275.8758333333344</v>
      </c>
      <c r="BR48" s="2">
        <f>Table834[[#This Row],[Weight]]*Table834[[#This Row],[Fiber]]</f>
        <v>2059.4933333333333</v>
      </c>
      <c r="BS48" s="2">
        <f>Table834[[#This Row],[Weight]]*Table834[[#This Row],[Sugar]]</f>
        <v>55560.621875000004</v>
      </c>
      <c r="BT48" s="2">
        <f>Table834[[#This Row],[Weight]]*Table834[[#This Row],[Servings]]</f>
        <v>14268.1</v>
      </c>
      <c r="BU48" s="2">
        <f>Table834[[#This Row],[Weight]]*Table834[[#This Row],[Water]]</f>
        <v>261.8</v>
      </c>
      <c r="BV48" s="2">
        <f>Table834[[#This Row],[Weight]]*Table834[[#This Row],[Fat Calories]]</f>
        <v>116568.08625000001</v>
      </c>
      <c r="BW48" s="2">
        <f>Table834[[#This Row],[Waist]]*Table834[[#This Row],[Neck]]</f>
        <v>765</v>
      </c>
      <c r="BX48" s="2">
        <f>Table834[[#This Row],[Waist]]*Table834[[#This Row],[Morning Body Temp]]</f>
        <v>4365</v>
      </c>
      <c r="BY48" s="2">
        <f>Table834[[#This Row],[Waist]]*Table834[[#This Row],[Morning Systolic Pressure]]</f>
        <v>4995</v>
      </c>
      <c r="BZ48" s="2">
        <f>Table834[[#This Row],[Waist]]*Table834[[#This Row],[Morning Diastolic Pressure]]</f>
        <v>3825</v>
      </c>
      <c r="CA48" s="2">
        <f>Table834[[#This Row],[Waist]]*Table834[[#This Row],[Morning Pulse]]</f>
        <v>3870</v>
      </c>
      <c r="CB48" s="2">
        <f>Table834[[#This Row],[Waist]]*Table834[[#This Row],[Night Body Temp]]</f>
        <v>4392</v>
      </c>
      <c r="CC48" s="2">
        <f>Table834[[#This Row],[Waist]]*Table834[[#This Row],[Night Systolic Pressure]]</f>
        <v>6300</v>
      </c>
      <c r="CD48" s="4">
        <f>Table83[[#This Row],[Waist]]*Table83[[#This Row],[Night Diastolic Pressure]]</f>
        <v>3375</v>
      </c>
      <c r="CE48" s="2">
        <f>Table834[[#This Row],[Waist]]*Table834[[#This Row],[Night Pulse]]</f>
        <v>3465</v>
      </c>
      <c r="CF48" s="2">
        <f>Table834[[#This Row],[Waist]]*Table834[[#This Row],[Sleep]]</f>
        <v>382.5</v>
      </c>
      <c r="CG48" s="2">
        <f>Table834[[#This Row],[Waist]]*Table834[[#This Row],[BMI]]</f>
        <v>1690.212857142857</v>
      </c>
      <c r="CH48" s="2">
        <f>Table834[[#This Row],[Waist]]*Table834[[#This Row],[CBF]]</f>
        <v>1439.8897704797573</v>
      </c>
      <c r="CI48" s="2">
        <f>Table834[[#This Row],[Waist]]*Table834[[#This Row],[Gym]]</f>
        <v>45</v>
      </c>
      <c r="CJ48" s="2">
        <f>Table834[[#This Row],[Waist]]*Table834[[#This Row],[Cardio]]</f>
        <v>45</v>
      </c>
      <c r="CK48" s="2">
        <f>Table834[[#This Row],[Waist]]*Table834[[#This Row],[Calories]]</f>
        <v>77932.633928571435</v>
      </c>
      <c r="CL48" s="2">
        <f>Table834[[#This Row],[Waist]]*Table834[[#This Row],[Carbs]]</f>
        <v>13676.819196428569</v>
      </c>
      <c r="CM48" s="2">
        <f>Table834[[#This Row],[Waist]]*Table834[[#This Row],[Fat ]]</f>
        <v>2226.28125</v>
      </c>
      <c r="CN48" s="2">
        <f>Table834[[#This Row],[Waist]]*Table834[[#This Row],[Protein]]</f>
        <v>1078.7410714285716</v>
      </c>
      <c r="CO48" s="2">
        <f>Table834[[#This Row],[Waist]]*Table834[[#This Row],[Fiber]]</f>
        <v>354</v>
      </c>
      <c r="CP48" s="2">
        <f>Table834[[#This Row],[Waist]]*Table834[[#This Row],[Sugar]]</f>
        <v>9550.1450892857156</v>
      </c>
      <c r="CQ48" s="2">
        <f>Table834[[#This Row],[Waist]]*Table834[[#This Row],[Servings]]</f>
        <v>2452.5</v>
      </c>
      <c r="CR48" s="2">
        <f>Table834[[#This Row],[Waist]]*Table834[[#This Row],[Water]]</f>
        <v>45</v>
      </c>
      <c r="CS48" s="2">
        <f>Table834[[#This Row],[Waist]]*Table834[[#This Row],[Fat Calories]]</f>
        <v>20036.53125</v>
      </c>
    </row>
    <row r="49" spans="1:97" x14ac:dyDescent="0.25">
      <c r="A49" s="2">
        <v>257.8</v>
      </c>
      <c r="B49" s="2">
        <f>Table834[[#This Row],[Weight]]^2</f>
        <v>66460.840000000011</v>
      </c>
      <c r="C49" s="2">
        <v>44.5</v>
      </c>
      <c r="D49" s="2">
        <f>Table834[[#This Row],[Waist]]^2</f>
        <v>1980.25</v>
      </c>
      <c r="E49" s="2">
        <v>17</v>
      </c>
      <c r="F49" s="2">
        <f>Table834[[#This Row],[Neck]]^2</f>
        <v>289</v>
      </c>
      <c r="G49" s="2">
        <v>96.5</v>
      </c>
      <c r="H49" s="2">
        <f>Table834[[#This Row],[Morning Body Temp]]^2</f>
        <v>9312.25</v>
      </c>
      <c r="I49" s="2">
        <v>132</v>
      </c>
      <c r="J49" s="2">
        <f>Table834[[#This Row],[Morning Systolic Pressure]]^2</f>
        <v>17424</v>
      </c>
      <c r="K49" s="2">
        <v>84</v>
      </c>
      <c r="L49" s="2">
        <f>Table834[[#This Row],[Morning Diastolic Pressure]]^2</f>
        <v>7056</v>
      </c>
      <c r="M49" s="2">
        <v>70</v>
      </c>
      <c r="N49" s="2">
        <f>Table834[[#This Row],[Morning Pulse]]^2</f>
        <v>4900</v>
      </c>
      <c r="O49" s="2">
        <v>97.2</v>
      </c>
      <c r="P49" s="2">
        <f>Table834[[#This Row],[Night Body Temp]]^2</f>
        <v>9447.84</v>
      </c>
      <c r="Q49" s="2">
        <v>159</v>
      </c>
      <c r="R49" s="2">
        <f>Table834[[#This Row],[Night Systolic Pressure]]^2</f>
        <v>25281</v>
      </c>
      <c r="S49" s="2">
        <v>89</v>
      </c>
      <c r="T49" s="2">
        <f>Table834[[#This Row],[Night Diastolic Pressure]]^2</f>
        <v>7921</v>
      </c>
      <c r="U49" s="2">
        <v>67</v>
      </c>
      <c r="V49" s="2">
        <f>Table834[[#This Row],[Night Pulse]]^2</f>
        <v>4489</v>
      </c>
      <c r="W49" s="2">
        <v>5</v>
      </c>
      <c r="X49" s="2">
        <f>Table834[[#This Row],[Sleep]]^2</f>
        <v>25</v>
      </c>
      <c r="Y49" s="2">
        <f t="shared" si="1"/>
        <v>36.98640816326531</v>
      </c>
      <c r="Z49" s="2">
        <f>Table834[[#This Row],[BMI]]^2</f>
        <v>1367.9943888196588</v>
      </c>
      <c r="AA49" s="2">
        <f t="shared" si="0"/>
        <v>31.324493175702337</v>
      </c>
      <c r="AB49" s="2">
        <f>Table834[[#This Row],[CBF]]^2</f>
        <v>981.2238727146223</v>
      </c>
      <c r="AC49" s="2">
        <v>1</v>
      </c>
      <c r="AD49" s="2">
        <f>Table834[[#This Row],[Gym]]^2</f>
        <v>1</v>
      </c>
      <c r="AE49" s="2">
        <v>1</v>
      </c>
      <c r="AF49" s="2">
        <f>Table834[[#This Row],[Cardio]]^2</f>
        <v>1</v>
      </c>
      <c r="AG49" s="2">
        <v>1426.5876015289059</v>
      </c>
      <c r="AH49" s="2">
        <f>Table834[[#This Row],[Calories]]^2</f>
        <v>2035152.1848359965</v>
      </c>
      <c r="AI49" s="2">
        <v>66.84253132133567</v>
      </c>
      <c r="AJ49" s="2">
        <f>Table834[[#This Row],[Carbs]]^2</f>
        <v>4467.9239934437401</v>
      </c>
      <c r="AK49" s="2">
        <v>75.686984392419191</v>
      </c>
      <c r="AL49" s="2">
        <f>Table834[[#This Row],[Fat ]]^2</f>
        <v>5728.5196064183065</v>
      </c>
      <c r="AM49" s="2">
        <v>121.90903540903541</v>
      </c>
      <c r="AN49" s="2">
        <f>Table834[[#This Row],[Protein]]^2</f>
        <v>14861.81291436145</v>
      </c>
      <c r="AO49" s="2">
        <v>10.690542549238202</v>
      </c>
      <c r="AP49" s="2">
        <f>Table834[[#This Row],[Fiber]]^2</f>
        <v>114.28769999707244</v>
      </c>
      <c r="AQ49" s="2">
        <v>14.921518155757285</v>
      </c>
      <c r="AR49" s="2">
        <f>Table834[[#This Row],[Sugar]]^2</f>
        <v>222.6517040725943</v>
      </c>
      <c r="AS49" s="2">
        <v>11</v>
      </c>
      <c r="AT49" s="2">
        <f>Table834[[#This Row],[Servings]]^2</f>
        <v>121</v>
      </c>
      <c r="AU49" s="2">
        <v>2</v>
      </c>
      <c r="AV49" s="2">
        <f>Table834[[#This Row],[Water]]^2</f>
        <v>4</v>
      </c>
      <c r="AW49" s="2">
        <v>681.18285953177258</v>
      </c>
      <c r="AX49" s="2">
        <f>Table834[[#This Row],[Fat Calories]]^2</f>
        <v>464010.08811988262</v>
      </c>
      <c r="AY49" s="5">
        <f>Table834[[#This Row],[Weight]]*Table834[[#This Row],[Waist]]</f>
        <v>11472.1</v>
      </c>
      <c r="AZ49" s="6">
        <f>Table834[[#This Row],[Weight]]*Table834[[#This Row],[Neck]]</f>
        <v>4382.6000000000004</v>
      </c>
      <c r="BA49" s="6">
        <f>Table834[[#This Row],[Weight]]*Table834[[#This Row],[Morning Body Temp]]</f>
        <v>24877.7</v>
      </c>
      <c r="BB49" s="6">
        <f>Table834[[#This Row],[Weight]]*Table834[[#This Row],[Morning Systolic Pressure]]</f>
        <v>34029.599999999999</v>
      </c>
      <c r="BC49" s="12">
        <f>Table834[[#This Row],[Weight]]*Table834[[#This Row],[Morning Diastolic Pressure]]</f>
        <v>21655.200000000001</v>
      </c>
      <c r="BD49" s="2">
        <f>Table834[[#This Row],[Weight]]*Table834[[#This Row],[Morning Pulse]]</f>
        <v>18046</v>
      </c>
      <c r="BE49" s="2">
        <f>Table834[[#This Row],[Weight]]*Table834[[#This Row],[Night Body Temp]]</f>
        <v>25058.160000000003</v>
      </c>
      <c r="BF49" s="2">
        <f>Table834[[#This Row],[Weight]]*Table834[[#This Row],[Night Systolic Pressure]]</f>
        <v>40990.200000000004</v>
      </c>
      <c r="BG49" s="4">
        <f>Table83[[#This Row],[Weight]]*Table83[[#This Row],[Night Diastolic Pressure]]</f>
        <v>22944.2</v>
      </c>
      <c r="BH49" s="2">
        <f>Table834[[#This Row],[Weight]]*Table834[[#This Row],[Night Pulse]]</f>
        <v>17272.600000000002</v>
      </c>
      <c r="BI49" s="2">
        <f>Table834[[#This Row],[Weight]]*Table834[[#This Row],[Sleep]]</f>
        <v>1289</v>
      </c>
      <c r="BJ49" s="2">
        <f>Table834[[#This Row],[Weight]]*Table834[[#This Row],[BMI]]</f>
        <v>9535.0960244897979</v>
      </c>
      <c r="BK49" s="2">
        <f>Table834[[#This Row],[Weight]]*Table834[[#This Row],[CBF]]</f>
        <v>8075.4543406960629</v>
      </c>
      <c r="BL49" s="2">
        <f>Table834[[#This Row],[Weight]]*Table834[[#This Row],[Gym]]</f>
        <v>257.8</v>
      </c>
      <c r="BM49" s="2">
        <f>Table834[[#This Row],[Weight]]*Table834[[#This Row],[Cardio]]</f>
        <v>257.8</v>
      </c>
      <c r="BN49" s="2">
        <f>Table834[[#This Row],[Weight]]*Table834[[#This Row],[Calories]]</f>
        <v>367774.28367415199</v>
      </c>
      <c r="BO49" s="2">
        <f>Table834[[#This Row],[Weight]]*Table834[[#This Row],[Carbs]]</f>
        <v>17232.004574640338</v>
      </c>
      <c r="BP49" s="2">
        <f>Table834[[#This Row],[Weight]]*Table834[[#This Row],[Fat ]]</f>
        <v>19512.104576365669</v>
      </c>
      <c r="BQ49" s="2">
        <f>Table834[[#This Row],[Weight]]*Table834[[#This Row],[Protein]]</f>
        <v>31428.14932844933</v>
      </c>
      <c r="BR49" s="2">
        <f>Table834[[#This Row],[Weight]]*Table834[[#This Row],[Fiber]]</f>
        <v>2756.0218691936088</v>
      </c>
      <c r="BS49" s="2">
        <f>Table834[[#This Row],[Weight]]*Table834[[#This Row],[Sugar]]</f>
        <v>3846.7673805542281</v>
      </c>
      <c r="BT49" s="2">
        <f>Table834[[#This Row],[Weight]]*Table834[[#This Row],[Servings]]</f>
        <v>2835.8</v>
      </c>
      <c r="BU49" s="2">
        <f>Table834[[#This Row],[Weight]]*Table834[[#This Row],[Water]]</f>
        <v>515.6</v>
      </c>
      <c r="BV49" s="2">
        <f>Table834[[#This Row],[Weight]]*Table834[[#This Row],[Fat Calories]]</f>
        <v>175608.94118729097</v>
      </c>
      <c r="BW49" s="2">
        <f>Table834[[#This Row],[Waist]]*Table834[[#This Row],[Neck]]</f>
        <v>756.5</v>
      </c>
      <c r="BX49" s="2">
        <f>Table834[[#This Row],[Waist]]*Table834[[#This Row],[Morning Body Temp]]</f>
        <v>4294.25</v>
      </c>
      <c r="BY49" s="2">
        <f>Table834[[#This Row],[Waist]]*Table834[[#This Row],[Morning Systolic Pressure]]</f>
        <v>5874</v>
      </c>
      <c r="BZ49" s="2">
        <f>Table834[[#This Row],[Waist]]*Table834[[#This Row],[Morning Diastolic Pressure]]</f>
        <v>3738</v>
      </c>
      <c r="CA49" s="2">
        <f>Table834[[#This Row],[Waist]]*Table834[[#This Row],[Morning Pulse]]</f>
        <v>3115</v>
      </c>
      <c r="CB49" s="2">
        <f>Table834[[#This Row],[Waist]]*Table834[[#This Row],[Night Body Temp]]</f>
        <v>4325.4000000000005</v>
      </c>
      <c r="CC49" s="2">
        <f>Table834[[#This Row],[Waist]]*Table834[[#This Row],[Night Systolic Pressure]]</f>
        <v>7075.5</v>
      </c>
      <c r="CD49" s="4">
        <f>Table83[[#This Row],[Waist]]*Table83[[#This Row],[Night Diastolic Pressure]]</f>
        <v>3960.5</v>
      </c>
      <c r="CE49" s="2">
        <f>Table834[[#This Row],[Waist]]*Table834[[#This Row],[Night Pulse]]</f>
        <v>2981.5</v>
      </c>
      <c r="CF49" s="2">
        <f>Table834[[#This Row],[Waist]]*Table834[[#This Row],[Sleep]]</f>
        <v>222.5</v>
      </c>
      <c r="CG49" s="2">
        <f>Table834[[#This Row],[Waist]]*Table834[[#This Row],[BMI]]</f>
        <v>1645.8951632653063</v>
      </c>
      <c r="CH49" s="2">
        <f>Table834[[#This Row],[Waist]]*Table834[[#This Row],[CBF]]</f>
        <v>1393.939946318754</v>
      </c>
      <c r="CI49" s="2">
        <f>Table834[[#This Row],[Waist]]*Table834[[#This Row],[Gym]]</f>
        <v>44.5</v>
      </c>
      <c r="CJ49" s="2">
        <f>Table834[[#This Row],[Waist]]*Table834[[#This Row],[Cardio]]</f>
        <v>44.5</v>
      </c>
      <c r="CK49" s="2">
        <f>Table834[[#This Row],[Waist]]*Table834[[#This Row],[Calories]]</f>
        <v>63483.148268036311</v>
      </c>
      <c r="CL49" s="2">
        <f>Table834[[#This Row],[Waist]]*Table834[[#This Row],[Carbs]]</f>
        <v>2974.4926437994372</v>
      </c>
      <c r="CM49" s="2">
        <f>Table834[[#This Row],[Waist]]*Table834[[#This Row],[Fat ]]</f>
        <v>3368.0708054626539</v>
      </c>
      <c r="CN49" s="2">
        <f>Table834[[#This Row],[Waist]]*Table834[[#This Row],[Protein]]</f>
        <v>5424.9520757020755</v>
      </c>
      <c r="CO49" s="2">
        <f>Table834[[#This Row],[Waist]]*Table834[[#This Row],[Fiber]]</f>
        <v>475.72914344110001</v>
      </c>
      <c r="CP49" s="2">
        <f>Table834[[#This Row],[Waist]]*Table834[[#This Row],[Sugar]]</f>
        <v>664.00755793119924</v>
      </c>
      <c r="CQ49" s="2">
        <f>Table834[[#This Row],[Waist]]*Table834[[#This Row],[Servings]]</f>
        <v>489.5</v>
      </c>
      <c r="CR49" s="2">
        <f>Table834[[#This Row],[Waist]]*Table834[[#This Row],[Water]]</f>
        <v>89</v>
      </c>
      <c r="CS49" s="2">
        <f>Table834[[#This Row],[Waist]]*Table834[[#This Row],[Fat Calories]]</f>
        <v>30312.637249163879</v>
      </c>
    </row>
    <row r="50" spans="1:97" x14ac:dyDescent="0.25">
      <c r="A50" s="2">
        <v>255.8</v>
      </c>
      <c r="B50" s="2">
        <f>Table834[[#This Row],[Weight]]^2</f>
        <v>65433.640000000007</v>
      </c>
      <c r="C50" s="2">
        <v>44.5</v>
      </c>
      <c r="D50" s="2">
        <f>Table834[[#This Row],[Waist]]^2</f>
        <v>1980.25</v>
      </c>
      <c r="E50" s="2">
        <v>17</v>
      </c>
      <c r="F50" s="2">
        <f>Table834[[#This Row],[Neck]]^2</f>
        <v>289</v>
      </c>
      <c r="G50" s="2">
        <v>96.4</v>
      </c>
      <c r="H50" s="2">
        <f>Table834[[#This Row],[Morning Body Temp]]^2</f>
        <v>9292.9600000000009</v>
      </c>
      <c r="I50" s="2">
        <v>133</v>
      </c>
      <c r="J50" s="2">
        <f>Table834[[#This Row],[Morning Systolic Pressure]]^2</f>
        <v>17689</v>
      </c>
      <c r="K50" s="2">
        <v>76</v>
      </c>
      <c r="L50" s="2">
        <f>Table834[[#This Row],[Morning Diastolic Pressure]]^2</f>
        <v>5776</v>
      </c>
      <c r="M50" s="2">
        <v>68</v>
      </c>
      <c r="N50" s="2">
        <f>Table834[[#This Row],[Morning Pulse]]^2</f>
        <v>4624</v>
      </c>
      <c r="O50" s="2">
        <v>97</v>
      </c>
      <c r="P50" s="2">
        <f>Table834[[#This Row],[Night Body Temp]]^2</f>
        <v>9409</v>
      </c>
      <c r="Q50" s="2">
        <v>153</v>
      </c>
      <c r="R50" s="2">
        <f>Table834[[#This Row],[Night Systolic Pressure]]^2</f>
        <v>23409</v>
      </c>
      <c r="S50" s="2">
        <v>91</v>
      </c>
      <c r="T50" s="2">
        <f>Table834[[#This Row],[Night Diastolic Pressure]]^2</f>
        <v>8281</v>
      </c>
      <c r="U50" s="2">
        <v>76</v>
      </c>
      <c r="V50" s="2">
        <f>Table834[[#This Row],[Night Pulse]]^2</f>
        <v>5776</v>
      </c>
      <c r="W50" s="2">
        <v>10</v>
      </c>
      <c r="X50" s="2">
        <f>Table834[[#This Row],[Sleep]]^2</f>
        <v>100</v>
      </c>
      <c r="Y50" s="2">
        <f t="shared" si="1"/>
        <v>36.699469387755101</v>
      </c>
      <c r="Z50" s="2">
        <f>Table834[[#This Row],[BMI]]^2</f>
        <v>1346.8510533427739</v>
      </c>
      <c r="AA50" s="2">
        <f t="shared" si="0"/>
        <v>31.324493175702337</v>
      </c>
      <c r="AB50" s="2">
        <f>Table834[[#This Row],[CBF]]^2</f>
        <v>981.2238727146223</v>
      </c>
      <c r="AC50" s="2">
        <v>1</v>
      </c>
      <c r="AD50" s="2">
        <f>Table834[[#This Row],[Gym]]^2</f>
        <v>1</v>
      </c>
      <c r="AE50" s="2">
        <v>0</v>
      </c>
      <c r="AF50" s="2">
        <f>Table834[[#This Row],[Cardio]]^2</f>
        <v>0</v>
      </c>
      <c r="AG50" s="2">
        <v>1383.4785714285715</v>
      </c>
      <c r="AH50" s="2">
        <f>Table834[[#This Row],[Calories]]^2</f>
        <v>1914012.9576020411</v>
      </c>
      <c r="AI50" s="2">
        <v>63.817261904761914</v>
      </c>
      <c r="AJ50" s="2">
        <f>Table834[[#This Row],[Carbs]]^2</f>
        <v>4072.6429170209763</v>
      </c>
      <c r="AK50" s="2">
        <v>76.954999999999998</v>
      </c>
      <c r="AL50" s="2">
        <f>Table834[[#This Row],[Fat ]]^2</f>
        <v>5922.0720249999995</v>
      </c>
      <c r="AM50" s="2">
        <v>108.60142857142858</v>
      </c>
      <c r="AN50" s="2">
        <f>Table834[[#This Row],[Protein]]^2</f>
        <v>11794.270287755106</v>
      </c>
      <c r="AO50" s="2">
        <v>7.6433333333333335</v>
      </c>
      <c r="AP50" s="2">
        <f>Table834[[#This Row],[Fiber]]^2</f>
        <v>58.420544444444445</v>
      </c>
      <c r="AQ50" s="2">
        <v>27.305119047619048</v>
      </c>
      <c r="AR50" s="2">
        <f>Table834[[#This Row],[Sugar]]^2</f>
        <v>745.56952620464858</v>
      </c>
      <c r="AS50" s="2">
        <v>17</v>
      </c>
      <c r="AT50" s="2">
        <f>Table834[[#This Row],[Servings]]^2</f>
        <v>289</v>
      </c>
      <c r="AU50" s="2">
        <v>2</v>
      </c>
      <c r="AV50" s="2">
        <f>Table834[[#This Row],[Water]]^2</f>
        <v>4</v>
      </c>
      <c r="AW50" s="2">
        <v>692.59500000000003</v>
      </c>
      <c r="AX50" s="2">
        <f>Table834[[#This Row],[Fat Calories]]^2</f>
        <v>479687.83402500005</v>
      </c>
      <c r="AY50" s="3">
        <f>Table834[[#This Row],[Weight]]*Table834[[#This Row],[Waist]]</f>
        <v>11383.1</v>
      </c>
      <c r="AZ50" s="4">
        <f>Table834[[#This Row],[Weight]]*Table834[[#This Row],[Neck]]</f>
        <v>4348.6000000000004</v>
      </c>
      <c r="BA50" s="4">
        <f>Table834[[#This Row],[Weight]]*Table834[[#This Row],[Morning Body Temp]]</f>
        <v>24659.120000000003</v>
      </c>
      <c r="BB50" s="4">
        <f>Table834[[#This Row],[Weight]]*Table834[[#This Row],[Morning Systolic Pressure]]</f>
        <v>34021.4</v>
      </c>
      <c r="BC50" s="11">
        <f>Table834[[#This Row],[Weight]]*Table834[[#This Row],[Morning Diastolic Pressure]]</f>
        <v>19440.8</v>
      </c>
      <c r="BD50" s="2">
        <f>Table834[[#This Row],[Weight]]*Table834[[#This Row],[Morning Pulse]]</f>
        <v>17394.400000000001</v>
      </c>
      <c r="BE50" s="2">
        <f>Table834[[#This Row],[Weight]]*Table834[[#This Row],[Night Body Temp]]</f>
        <v>24812.600000000002</v>
      </c>
      <c r="BF50" s="2">
        <f>Table834[[#This Row],[Weight]]*Table834[[#This Row],[Night Systolic Pressure]]</f>
        <v>39137.4</v>
      </c>
      <c r="BG50" s="4">
        <f>Table83[[#This Row],[Weight]]*Table83[[#This Row],[Night Diastolic Pressure]]</f>
        <v>23277.8</v>
      </c>
      <c r="BH50" s="2">
        <f>Table834[[#This Row],[Weight]]*Table834[[#This Row],[Night Pulse]]</f>
        <v>19440.8</v>
      </c>
      <c r="BI50" s="2">
        <f>Table834[[#This Row],[Weight]]*Table834[[#This Row],[Sleep]]</f>
        <v>2558</v>
      </c>
      <c r="BJ50" s="2">
        <f>Table834[[#This Row],[Weight]]*Table834[[#This Row],[BMI]]</f>
        <v>9387.7242693877561</v>
      </c>
      <c r="BK50" s="2">
        <f>Table834[[#This Row],[Weight]]*Table834[[#This Row],[CBF]]</f>
        <v>8012.8053543446576</v>
      </c>
      <c r="BL50" s="2">
        <f>Table834[[#This Row],[Weight]]*Table834[[#This Row],[Gym]]</f>
        <v>255.8</v>
      </c>
      <c r="BM50" s="2">
        <f>Table834[[#This Row],[Weight]]*Table834[[#This Row],[Cardio]]</f>
        <v>0</v>
      </c>
      <c r="BN50" s="2">
        <f>Table834[[#This Row],[Weight]]*Table834[[#This Row],[Calories]]</f>
        <v>353893.81857142859</v>
      </c>
      <c r="BO50" s="2">
        <f>Table834[[#This Row],[Weight]]*Table834[[#This Row],[Carbs]]</f>
        <v>16324.455595238098</v>
      </c>
      <c r="BP50" s="2">
        <f>Table834[[#This Row],[Weight]]*Table834[[#This Row],[Fat ]]</f>
        <v>19685.089</v>
      </c>
      <c r="BQ50" s="2">
        <f>Table834[[#This Row],[Weight]]*Table834[[#This Row],[Protein]]</f>
        <v>27780.245428571434</v>
      </c>
      <c r="BR50" s="2">
        <f>Table834[[#This Row],[Weight]]*Table834[[#This Row],[Fiber]]</f>
        <v>1955.1646666666668</v>
      </c>
      <c r="BS50" s="2">
        <f>Table834[[#This Row],[Weight]]*Table834[[#This Row],[Sugar]]</f>
        <v>6984.6494523809524</v>
      </c>
      <c r="BT50" s="2">
        <f>Table834[[#This Row],[Weight]]*Table834[[#This Row],[Servings]]</f>
        <v>4348.6000000000004</v>
      </c>
      <c r="BU50" s="2">
        <f>Table834[[#This Row],[Weight]]*Table834[[#This Row],[Water]]</f>
        <v>511.6</v>
      </c>
      <c r="BV50" s="2">
        <f>Table834[[#This Row],[Weight]]*Table834[[#This Row],[Fat Calories]]</f>
        <v>177165.80100000001</v>
      </c>
      <c r="BW50" s="2">
        <f>Table834[[#This Row],[Waist]]*Table834[[#This Row],[Neck]]</f>
        <v>756.5</v>
      </c>
      <c r="BX50" s="2">
        <f>Table834[[#This Row],[Waist]]*Table834[[#This Row],[Morning Body Temp]]</f>
        <v>4289.8</v>
      </c>
      <c r="BY50" s="2">
        <f>Table834[[#This Row],[Waist]]*Table834[[#This Row],[Morning Systolic Pressure]]</f>
        <v>5918.5</v>
      </c>
      <c r="BZ50" s="2">
        <f>Table834[[#This Row],[Waist]]*Table834[[#This Row],[Morning Diastolic Pressure]]</f>
        <v>3382</v>
      </c>
      <c r="CA50" s="2">
        <f>Table834[[#This Row],[Waist]]*Table834[[#This Row],[Morning Pulse]]</f>
        <v>3026</v>
      </c>
      <c r="CB50" s="2">
        <f>Table834[[#This Row],[Waist]]*Table834[[#This Row],[Night Body Temp]]</f>
        <v>4316.5</v>
      </c>
      <c r="CC50" s="2">
        <f>Table834[[#This Row],[Waist]]*Table834[[#This Row],[Night Systolic Pressure]]</f>
        <v>6808.5</v>
      </c>
      <c r="CD50" s="4">
        <f>Table83[[#This Row],[Waist]]*Table83[[#This Row],[Night Diastolic Pressure]]</f>
        <v>4049.5</v>
      </c>
      <c r="CE50" s="2">
        <f>Table834[[#This Row],[Waist]]*Table834[[#This Row],[Night Pulse]]</f>
        <v>3382</v>
      </c>
      <c r="CF50" s="2">
        <f>Table834[[#This Row],[Waist]]*Table834[[#This Row],[Sleep]]</f>
        <v>445</v>
      </c>
      <c r="CG50" s="2">
        <f>Table834[[#This Row],[Waist]]*Table834[[#This Row],[BMI]]</f>
        <v>1633.1263877551021</v>
      </c>
      <c r="CH50" s="2">
        <f>Table834[[#This Row],[Waist]]*Table834[[#This Row],[CBF]]</f>
        <v>1393.939946318754</v>
      </c>
      <c r="CI50" s="2">
        <f>Table834[[#This Row],[Waist]]*Table834[[#This Row],[Gym]]</f>
        <v>44.5</v>
      </c>
      <c r="CJ50" s="2">
        <f>Table834[[#This Row],[Waist]]*Table834[[#This Row],[Cardio]]</f>
        <v>0</v>
      </c>
      <c r="CK50" s="2">
        <f>Table834[[#This Row],[Waist]]*Table834[[#This Row],[Calories]]</f>
        <v>61564.796428571433</v>
      </c>
      <c r="CL50" s="2">
        <f>Table834[[#This Row],[Waist]]*Table834[[#This Row],[Carbs]]</f>
        <v>2839.8681547619053</v>
      </c>
      <c r="CM50" s="2">
        <f>Table834[[#This Row],[Waist]]*Table834[[#This Row],[Fat ]]</f>
        <v>3424.4974999999999</v>
      </c>
      <c r="CN50" s="2">
        <f>Table834[[#This Row],[Waist]]*Table834[[#This Row],[Protein]]</f>
        <v>4832.7635714285716</v>
      </c>
      <c r="CO50" s="2">
        <f>Table834[[#This Row],[Waist]]*Table834[[#This Row],[Fiber]]</f>
        <v>340.12833333333333</v>
      </c>
      <c r="CP50" s="2">
        <f>Table834[[#This Row],[Waist]]*Table834[[#This Row],[Sugar]]</f>
        <v>1215.0777976190477</v>
      </c>
      <c r="CQ50" s="2">
        <f>Table834[[#This Row],[Waist]]*Table834[[#This Row],[Servings]]</f>
        <v>756.5</v>
      </c>
      <c r="CR50" s="2">
        <f>Table834[[#This Row],[Waist]]*Table834[[#This Row],[Water]]</f>
        <v>89</v>
      </c>
      <c r="CS50" s="2">
        <f>Table834[[#This Row],[Waist]]*Table834[[#This Row],[Fat Calories]]</f>
        <v>30820.477500000001</v>
      </c>
    </row>
    <row r="51" spans="1:97" x14ac:dyDescent="0.25">
      <c r="A51" s="2">
        <v>254</v>
      </c>
      <c r="B51" s="2">
        <f>Table834[[#This Row],[Weight]]^2</f>
        <v>64516</v>
      </c>
      <c r="C51" s="2">
        <v>44.5</v>
      </c>
      <c r="D51" s="2">
        <f>Table834[[#This Row],[Waist]]^2</f>
        <v>1980.25</v>
      </c>
      <c r="E51" s="2">
        <v>17</v>
      </c>
      <c r="F51" s="2">
        <f>Table834[[#This Row],[Neck]]^2</f>
        <v>289</v>
      </c>
      <c r="G51" s="2">
        <v>96.1</v>
      </c>
      <c r="H51" s="2">
        <f>Table834[[#This Row],[Morning Body Temp]]^2</f>
        <v>9235.2099999999991</v>
      </c>
      <c r="I51" s="2">
        <v>138</v>
      </c>
      <c r="J51" s="2">
        <f>Table834[[#This Row],[Morning Systolic Pressure]]^2</f>
        <v>19044</v>
      </c>
      <c r="K51" s="2">
        <v>82</v>
      </c>
      <c r="L51" s="2">
        <f>Table834[[#This Row],[Morning Diastolic Pressure]]^2</f>
        <v>6724</v>
      </c>
      <c r="M51" s="2">
        <v>67</v>
      </c>
      <c r="N51" s="2">
        <f>Table834[[#This Row],[Morning Pulse]]^2</f>
        <v>4489</v>
      </c>
      <c r="O51" s="2">
        <v>97.5</v>
      </c>
      <c r="P51" s="2">
        <f>Table834[[#This Row],[Night Body Temp]]^2</f>
        <v>9506.25</v>
      </c>
      <c r="Q51" s="2">
        <v>159</v>
      </c>
      <c r="R51" s="2">
        <f>Table834[[#This Row],[Night Systolic Pressure]]^2</f>
        <v>25281</v>
      </c>
      <c r="S51" s="2">
        <v>86</v>
      </c>
      <c r="T51" s="2">
        <f>Table834[[#This Row],[Night Diastolic Pressure]]^2</f>
        <v>7396</v>
      </c>
      <c r="U51" s="2">
        <v>70</v>
      </c>
      <c r="V51" s="2">
        <f>Table834[[#This Row],[Night Pulse]]^2</f>
        <v>4900</v>
      </c>
      <c r="W51" s="2">
        <v>11</v>
      </c>
      <c r="X51" s="2">
        <f>Table834[[#This Row],[Sleep]]^2</f>
        <v>121</v>
      </c>
      <c r="Y51" s="2">
        <f t="shared" si="1"/>
        <v>36.441224489795914</v>
      </c>
      <c r="Z51" s="2">
        <f>Table834[[#This Row],[BMI]]^2</f>
        <v>1327.9628423157014</v>
      </c>
      <c r="AA51" s="2">
        <f t="shared" si="0"/>
        <v>31.324493175702337</v>
      </c>
      <c r="AB51" s="2">
        <f>Table834[[#This Row],[CBF]]^2</f>
        <v>981.2238727146223</v>
      </c>
      <c r="AC51" s="2">
        <v>1</v>
      </c>
      <c r="AD51" s="2">
        <f>Table834[[#This Row],[Gym]]^2</f>
        <v>1</v>
      </c>
      <c r="AE51" s="2">
        <v>0</v>
      </c>
      <c r="AF51" s="2">
        <f>Table834[[#This Row],[Cardio]]^2</f>
        <v>0</v>
      </c>
      <c r="AG51" s="2">
        <v>1320.5876015289059</v>
      </c>
      <c r="AH51" s="2">
        <f>Table834[[#This Row],[Calories]]^2</f>
        <v>1743951.6133118684</v>
      </c>
      <c r="AI51" s="2">
        <v>70.942531321335665</v>
      </c>
      <c r="AJ51" s="2">
        <f>Table834[[#This Row],[Carbs]]^2</f>
        <v>5032.8427502786917</v>
      </c>
      <c r="AK51" s="2">
        <v>65.986984392419188</v>
      </c>
      <c r="AL51" s="2">
        <f>Table834[[#This Row],[Fat ]]^2</f>
        <v>4354.2821092053737</v>
      </c>
      <c r="AM51" s="2">
        <v>114.00903540903542</v>
      </c>
      <c r="AN51" s="2">
        <f>Table834[[#This Row],[Protein]]^2</f>
        <v>12998.060154898692</v>
      </c>
      <c r="AO51" s="2">
        <v>9.4905425492382012</v>
      </c>
      <c r="AP51" s="2">
        <f>Table834[[#This Row],[Fiber]]^2</f>
        <v>90.070397878900735</v>
      </c>
      <c r="AQ51" s="2">
        <v>20.721518155757284</v>
      </c>
      <c r="AR51" s="2">
        <f>Table834[[#This Row],[Sugar]]^2</f>
        <v>429.38131467937876</v>
      </c>
      <c r="AS51" s="2">
        <v>10</v>
      </c>
      <c r="AT51" s="2">
        <f>Table834[[#This Row],[Servings]]^2</f>
        <v>100</v>
      </c>
      <c r="AU51" s="2">
        <v>1.5</v>
      </c>
      <c r="AV51" s="2">
        <f>Table834[[#This Row],[Water]]^2</f>
        <v>2.25</v>
      </c>
      <c r="AW51" s="2">
        <v>593.88285953177251</v>
      </c>
      <c r="AX51" s="2">
        <f>Table834[[#This Row],[Fat Calories]]^2</f>
        <v>352696.85084563505</v>
      </c>
      <c r="AY51" s="5">
        <f>Table834[[#This Row],[Weight]]*Table834[[#This Row],[Waist]]</f>
        <v>11303</v>
      </c>
      <c r="AZ51" s="6">
        <f>Table834[[#This Row],[Weight]]*Table834[[#This Row],[Neck]]</f>
        <v>4318</v>
      </c>
      <c r="BA51" s="6">
        <f>Table834[[#This Row],[Weight]]*Table834[[#This Row],[Morning Body Temp]]</f>
        <v>24409.399999999998</v>
      </c>
      <c r="BB51" s="6">
        <f>Table834[[#This Row],[Weight]]*Table834[[#This Row],[Morning Systolic Pressure]]</f>
        <v>35052</v>
      </c>
      <c r="BC51" s="12">
        <f>Table834[[#This Row],[Weight]]*Table834[[#This Row],[Morning Diastolic Pressure]]</f>
        <v>20828</v>
      </c>
      <c r="BD51" s="2">
        <f>Table834[[#This Row],[Weight]]*Table834[[#This Row],[Morning Pulse]]</f>
        <v>17018</v>
      </c>
      <c r="BE51" s="2">
        <f>Table834[[#This Row],[Weight]]*Table834[[#This Row],[Night Body Temp]]</f>
        <v>24765</v>
      </c>
      <c r="BF51" s="2">
        <f>Table834[[#This Row],[Weight]]*Table834[[#This Row],[Night Systolic Pressure]]</f>
        <v>40386</v>
      </c>
      <c r="BG51" s="4">
        <f>Table83[[#This Row],[Weight]]*Table83[[#This Row],[Night Diastolic Pressure]]</f>
        <v>21844</v>
      </c>
      <c r="BH51" s="2">
        <f>Table834[[#This Row],[Weight]]*Table834[[#This Row],[Night Pulse]]</f>
        <v>17780</v>
      </c>
      <c r="BI51" s="2">
        <f>Table834[[#This Row],[Weight]]*Table834[[#This Row],[Sleep]]</f>
        <v>2794</v>
      </c>
      <c r="BJ51" s="2">
        <f>Table834[[#This Row],[Weight]]*Table834[[#This Row],[BMI]]</f>
        <v>9256.0710204081624</v>
      </c>
      <c r="BK51" s="2">
        <f>Table834[[#This Row],[Weight]]*Table834[[#This Row],[CBF]]</f>
        <v>7956.4212666283938</v>
      </c>
      <c r="BL51" s="2">
        <f>Table834[[#This Row],[Weight]]*Table834[[#This Row],[Gym]]</f>
        <v>254</v>
      </c>
      <c r="BM51" s="2">
        <f>Table834[[#This Row],[Weight]]*Table834[[#This Row],[Cardio]]</f>
        <v>0</v>
      </c>
      <c r="BN51" s="2">
        <f>Table834[[#This Row],[Weight]]*Table834[[#This Row],[Calories]]</f>
        <v>335429.25078834209</v>
      </c>
      <c r="BO51" s="2">
        <f>Table834[[#This Row],[Weight]]*Table834[[#This Row],[Carbs]]</f>
        <v>18019.402955619258</v>
      </c>
      <c r="BP51" s="2">
        <f>Table834[[#This Row],[Weight]]*Table834[[#This Row],[Fat ]]</f>
        <v>16760.694035674474</v>
      </c>
      <c r="BQ51" s="2">
        <f>Table834[[#This Row],[Weight]]*Table834[[#This Row],[Protein]]</f>
        <v>28958.294993894997</v>
      </c>
      <c r="BR51" s="2">
        <f>Table834[[#This Row],[Weight]]*Table834[[#This Row],[Fiber]]</f>
        <v>2410.5978075065032</v>
      </c>
      <c r="BS51" s="2">
        <f>Table834[[#This Row],[Weight]]*Table834[[#This Row],[Sugar]]</f>
        <v>5263.2656115623504</v>
      </c>
      <c r="BT51" s="2">
        <f>Table834[[#This Row],[Weight]]*Table834[[#This Row],[Servings]]</f>
        <v>2540</v>
      </c>
      <c r="BU51" s="2">
        <f>Table834[[#This Row],[Weight]]*Table834[[#This Row],[Water]]</f>
        <v>381</v>
      </c>
      <c r="BV51" s="2">
        <f>Table834[[#This Row],[Weight]]*Table834[[#This Row],[Fat Calories]]</f>
        <v>150846.24632107021</v>
      </c>
      <c r="BW51" s="2">
        <f>Table834[[#This Row],[Waist]]*Table834[[#This Row],[Neck]]</f>
        <v>756.5</v>
      </c>
      <c r="BX51" s="2">
        <f>Table834[[#This Row],[Waist]]*Table834[[#This Row],[Morning Body Temp]]</f>
        <v>4276.45</v>
      </c>
      <c r="BY51" s="2">
        <f>Table834[[#This Row],[Waist]]*Table834[[#This Row],[Morning Systolic Pressure]]</f>
        <v>6141</v>
      </c>
      <c r="BZ51" s="2">
        <f>Table834[[#This Row],[Waist]]*Table834[[#This Row],[Morning Diastolic Pressure]]</f>
        <v>3649</v>
      </c>
      <c r="CA51" s="2">
        <f>Table834[[#This Row],[Waist]]*Table834[[#This Row],[Morning Pulse]]</f>
        <v>2981.5</v>
      </c>
      <c r="CB51" s="2">
        <f>Table834[[#This Row],[Waist]]*Table834[[#This Row],[Night Body Temp]]</f>
        <v>4338.75</v>
      </c>
      <c r="CC51" s="2">
        <f>Table834[[#This Row],[Waist]]*Table834[[#This Row],[Night Systolic Pressure]]</f>
        <v>7075.5</v>
      </c>
      <c r="CD51" s="4">
        <f>Table83[[#This Row],[Waist]]*Table83[[#This Row],[Night Diastolic Pressure]]</f>
        <v>3827</v>
      </c>
      <c r="CE51" s="2">
        <f>Table834[[#This Row],[Waist]]*Table834[[#This Row],[Night Pulse]]</f>
        <v>3115</v>
      </c>
      <c r="CF51" s="2">
        <f>Table834[[#This Row],[Waist]]*Table834[[#This Row],[Sleep]]</f>
        <v>489.5</v>
      </c>
      <c r="CG51" s="2">
        <f>Table834[[#This Row],[Waist]]*Table834[[#This Row],[BMI]]</f>
        <v>1621.6344897959182</v>
      </c>
      <c r="CH51" s="2">
        <f>Table834[[#This Row],[Waist]]*Table834[[#This Row],[CBF]]</f>
        <v>1393.939946318754</v>
      </c>
      <c r="CI51" s="2">
        <f>Table834[[#This Row],[Waist]]*Table834[[#This Row],[Gym]]</f>
        <v>44.5</v>
      </c>
      <c r="CJ51" s="2">
        <f>Table834[[#This Row],[Waist]]*Table834[[#This Row],[Cardio]]</f>
        <v>0</v>
      </c>
      <c r="CK51" s="2">
        <f>Table834[[#This Row],[Waist]]*Table834[[#This Row],[Calories]]</f>
        <v>58766.148268036311</v>
      </c>
      <c r="CL51" s="2">
        <f>Table834[[#This Row],[Waist]]*Table834[[#This Row],[Carbs]]</f>
        <v>3156.9426437994371</v>
      </c>
      <c r="CM51" s="2">
        <f>Table834[[#This Row],[Waist]]*Table834[[#This Row],[Fat ]]</f>
        <v>2936.4208054626538</v>
      </c>
      <c r="CN51" s="2">
        <f>Table834[[#This Row],[Waist]]*Table834[[#This Row],[Protein]]</f>
        <v>5073.4020757020762</v>
      </c>
      <c r="CO51" s="2">
        <f>Table834[[#This Row],[Waist]]*Table834[[#This Row],[Fiber]]</f>
        <v>422.32914344109997</v>
      </c>
      <c r="CP51" s="2">
        <f>Table834[[#This Row],[Waist]]*Table834[[#This Row],[Sugar]]</f>
        <v>922.10755793119915</v>
      </c>
      <c r="CQ51" s="2">
        <f>Table834[[#This Row],[Waist]]*Table834[[#This Row],[Servings]]</f>
        <v>445</v>
      </c>
      <c r="CR51" s="2">
        <f>Table834[[#This Row],[Waist]]*Table834[[#This Row],[Water]]</f>
        <v>66.75</v>
      </c>
      <c r="CS51" s="2">
        <f>Table834[[#This Row],[Waist]]*Table834[[#This Row],[Fat Calories]]</f>
        <v>26427.787249163877</v>
      </c>
    </row>
    <row r="52" spans="1:97" x14ac:dyDescent="0.25">
      <c r="A52" s="2">
        <v>253</v>
      </c>
      <c r="B52" s="2">
        <f>Table834[[#This Row],[Weight]]^2</f>
        <v>64009</v>
      </c>
      <c r="C52" s="2">
        <v>44.5</v>
      </c>
      <c r="D52" s="2">
        <f>Table834[[#This Row],[Waist]]^2</f>
        <v>1980.25</v>
      </c>
      <c r="E52" s="2">
        <v>17</v>
      </c>
      <c r="F52" s="2">
        <f>Table834[[#This Row],[Neck]]^2</f>
        <v>289</v>
      </c>
      <c r="G52" s="2">
        <v>96</v>
      </c>
      <c r="H52" s="2">
        <f>Table834[[#This Row],[Morning Body Temp]]^2</f>
        <v>9216</v>
      </c>
      <c r="I52" s="2">
        <v>138</v>
      </c>
      <c r="J52" s="2">
        <f>Table834[[#This Row],[Morning Systolic Pressure]]^2</f>
        <v>19044</v>
      </c>
      <c r="K52" s="2">
        <v>73</v>
      </c>
      <c r="L52" s="2">
        <f>Table834[[#This Row],[Morning Diastolic Pressure]]^2</f>
        <v>5329</v>
      </c>
      <c r="M52" s="2">
        <v>65</v>
      </c>
      <c r="N52" s="2">
        <f>Table834[[#This Row],[Morning Pulse]]^2</f>
        <v>4225</v>
      </c>
      <c r="O52" s="2">
        <v>98.4</v>
      </c>
      <c r="P52" s="2">
        <f>Table834[[#This Row],[Night Body Temp]]^2</f>
        <v>9682.5600000000013</v>
      </c>
      <c r="Q52" s="2">
        <v>149</v>
      </c>
      <c r="R52" s="2">
        <f>Table834[[#This Row],[Night Systolic Pressure]]^2</f>
        <v>22201</v>
      </c>
      <c r="S52" s="2">
        <v>78</v>
      </c>
      <c r="T52" s="2">
        <f>Table834[[#This Row],[Night Diastolic Pressure]]^2</f>
        <v>6084</v>
      </c>
      <c r="U52" s="2">
        <v>77</v>
      </c>
      <c r="V52" s="2">
        <f>Table834[[#This Row],[Night Pulse]]^2</f>
        <v>5929</v>
      </c>
      <c r="W52" s="2">
        <v>7</v>
      </c>
      <c r="X52" s="2">
        <f>Table834[[#This Row],[Sleep]]^2</f>
        <v>49</v>
      </c>
      <c r="Y52" s="2">
        <f t="shared" si="1"/>
        <v>36.297755102040817</v>
      </c>
      <c r="Z52" s="2">
        <f>Table834[[#This Row],[BMI]]^2</f>
        <v>1317.5270254477302</v>
      </c>
      <c r="AA52" s="2">
        <f t="shared" si="0"/>
        <v>31.324493175702337</v>
      </c>
      <c r="AB52" s="2">
        <f>Table834[[#This Row],[CBF]]^2</f>
        <v>981.2238727146223</v>
      </c>
      <c r="AC52" s="2">
        <v>1</v>
      </c>
      <c r="AD52" s="2">
        <f>Table834[[#This Row],[Gym]]^2</f>
        <v>1</v>
      </c>
      <c r="AE52" s="2">
        <v>0</v>
      </c>
      <c r="AF52" s="2">
        <f>Table834[[#This Row],[Cardio]]^2</f>
        <v>0</v>
      </c>
      <c r="AG52" s="2">
        <v>1420.5876015289059</v>
      </c>
      <c r="AH52" s="2">
        <f>Table834[[#This Row],[Calories]]^2</f>
        <v>2018069.1336176496</v>
      </c>
      <c r="AI52" s="2">
        <v>71.442531321335665</v>
      </c>
      <c r="AJ52" s="2">
        <f>Table834[[#This Row],[Carbs]]^2</f>
        <v>5104.0352816000277</v>
      </c>
      <c r="AK52" s="2">
        <v>74.486984392419188</v>
      </c>
      <c r="AL52" s="2">
        <f>Table834[[#This Row],[Fat ]]^2</f>
        <v>5548.3108438764993</v>
      </c>
      <c r="AM52" s="2">
        <v>121.00903540903542</v>
      </c>
      <c r="AN52" s="2">
        <f>Table834[[#This Row],[Protein]]^2</f>
        <v>14643.186650625188</v>
      </c>
      <c r="AO52" s="2">
        <v>9.4905425492382012</v>
      </c>
      <c r="AP52" s="2">
        <f>Table834[[#This Row],[Fiber]]^2</f>
        <v>90.070397878900735</v>
      </c>
      <c r="AQ52" s="2">
        <v>20.721518155757284</v>
      </c>
      <c r="AR52" s="2">
        <f>Table834[[#This Row],[Sugar]]^2</f>
        <v>429.38131467937876</v>
      </c>
      <c r="AS52" s="2">
        <v>12</v>
      </c>
      <c r="AT52" s="2">
        <f>Table834[[#This Row],[Servings]]^2</f>
        <v>144</v>
      </c>
      <c r="AU52" s="2">
        <v>1</v>
      </c>
      <c r="AV52" s="2">
        <f>Table834[[#This Row],[Water]]^2</f>
        <v>1</v>
      </c>
      <c r="AW52" s="2">
        <v>670.38285953177251</v>
      </c>
      <c r="AX52" s="2">
        <f>Table834[[#This Row],[Fat Calories]]^2</f>
        <v>449413.17835399625</v>
      </c>
      <c r="AY52" s="3">
        <f>Table834[[#This Row],[Weight]]*Table834[[#This Row],[Waist]]</f>
        <v>11258.5</v>
      </c>
      <c r="AZ52" s="4">
        <f>Table834[[#This Row],[Weight]]*Table834[[#This Row],[Neck]]</f>
        <v>4301</v>
      </c>
      <c r="BA52" s="4">
        <f>Table834[[#This Row],[Weight]]*Table834[[#This Row],[Morning Body Temp]]</f>
        <v>24288</v>
      </c>
      <c r="BB52" s="4">
        <f>Table834[[#This Row],[Weight]]*Table834[[#This Row],[Morning Systolic Pressure]]</f>
        <v>34914</v>
      </c>
      <c r="BC52" s="11">
        <f>Table834[[#This Row],[Weight]]*Table834[[#This Row],[Morning Diastolic Pressure]]</f>
        <v>18469</v>
      </c>
      <c r="BD52" s="2">
        <f>Table834[[#This Row],[Weight]]*Table834[[#This Row],[Morning Pulse]]</f>
        <v>16445</v>
      </c>
      <c r="BE52" s="2">
        <f>Table834[[#This Row],[Weight]]*Table834[[#This Row],[Night Body Temp]]</f>
        <v>24895.200000000001</v>
      </c>
      <c r="BF52" s="2">
        <f>Table834[[#This Row],[Weight]]*Table834[[#This Row],[Night Systolic Pressure]]</f>
        <v>37697</v>
      </c>
      <c r="BG52" s="4">
        <f>Table83[[#This Row],[Weight]]*Table83[[#This Row],[Night Diastolic Pressure]]</f>
        <v>19734</v>
      </c>
      <c r="BH52" s="2">
        <f>Table834[[#This Row],[Weight]]*Table834[[#This Row],[Night Pulse]]</f>
        <v>19481</v>
      </c>
      <c r="BI52" s="2">
        <f>Table834[[#This Row],[Weight]]*Table834[[#This Row],[Sleep]]</f>
        <v>1771</v>
      </c>
      <c r="BJ52" s="2">
        <f>Table834[[#This Row],[Weight]]*Table834[[#This Row],[BMI]]</f>
        <v>9183.3320408163272</v>
      </c>
      <c r="BK52" s="2">
        <f>Table834[[#This Row],[Weight]]*Table834[[#This Row],[CBF]]</f>
        <v>7925.0967734526912</v>
      </c>
      <c r="BL52" s="2">
        <f>Table834[[#This Row],[Weight]]*Table834[[#This Row],[Gym]]</f>
        <v>253</v>
      </c>
      <c r="BM52" s="2">
        <f>Table834[[#This Row],[Weight]]*Table834[[#This Row],[Cardio]]</f>
        <v>0</v>
      </c>
      <c r="BN52" s="2">
        <f>Table834[[#This Row],[Weight]]*Table834[[#This Row],[Calories]]</f>
        <v>359408.66318681318</v>
      </c>
      <c r="BO52" s="2">
        <f>Table834[[#This Row],[Weight]]*Table834[[#This Row],[Carbs]]</f>
        <v>18074.960424297922</v>
      </c>
      <c r="BP52" s="2">
        <f>Table834[[#This Row],[Weight]]*Table834[[#This Row],[Fat ]]</f>
        <v>18845.207051282054</v>
      </c>
      <c r="BQ52" s="2">
        <f>Table834[[#This Row],[Weight]]*Table834[[#This Row],[Protein]]</f>
        <v>30615.285958485962</v>
      </c>
      <c r="BR52" s="2">
        <f>Table834[[#This Row],[Weight]]*Table834[[#This Row],[Fiber]]</f>
        <v>2401.1072649572648</v>
      </c>
      <c r="BS52" s="2">
        <f>Table834[[#This Row],[Weight]]*Table834[[#This Row],[Sugar]]</f>
        <v>5242.5440934065928</v>
      </c>
      <c r="BT52" s="2">
        <f>Table834[[#This Row],[Weight]]*Table834[[#This Row],[Servings]]</f>
        <v>3036</v>
      </c>
      <c r="BU52" s="2">
        <f>Table834[[#This Row],[Weight]]*Table834[[#This Row],[Water]]</f>
        <v>253</v>
      </c>
      <c r="BV52" s="2">
        <f>Table834[[#This Row],[Weight]]*Table834[[#This Row],[Fat Calories]]</f>
        <v>169606.86346153845</v>
      </c>
      <c r="BW52" s="2">
        <f>Table834[[#This Row],[Waist]]*Table834[[#This Row],[Neck]]</f>
        <v>756.5</v>
      </c>
      <c r="BX52" s="2">
        <f>Table834[[#This Row],[Waist]]*Table834[[#This Row],[Morning Body Temp]]</f>
        <v>4272</v>
      </c>
      <c r="BY52" s="2">
        <f>Table834[[#This Row],[Waist]]*Table834[[#This Row],[Morning Systolic Pressure]]</f>
        <v>6141</v>
      </c>
      <c r="BZ52" s="2">
        <f>Table834[[#This Row],[Waist]]*Table834[[#This Row],[Morning Diastolic Pressure]]</f>
        <v>3248.5</v>
      </c>
      <c r="CA52" s="2">
        <f>Table834[[#This Row],[Waist]]*Table834[[#This Row],[Morning Pulse]]</f>
        <v>2892.5</v>
      </c>
      <c r="CB52" s="2">
        <f>Table834[[#This Row],[Waist]]*Table834[[#This Row],[Night Body Temp]]</f>
        <v>4378.8</v>
      </c>
      <c r="CC52" s="2">
        <f>Table834[[#This Row],[Waist]]*Table834[[#This Row],[Night Systolic Pressure]]</f>
        <v>6630.5</v>
      </c>
      <c r="CD52" s="4">
        <f>Table83[[#This Row],[Waist]]*Table83[[#This Row],[Night Diastolic Pressure]]</f>
        <v>3471</v>
      </c>
      <c r="CE52" s="2">
        <f>Table834[[#This Row],[Waist]]*Table834[[#This Row],[Night Pulse]]</f>
        <v>3426.5</v>
      </c>
      <c r="CF52" s="2">
        <f>Table834[[#This Row],[Waist]]*Table834[[#This Row],[Sleep]]</f>
        <v>311.5</v>
      </c>
      <c r="CG52" s="2">
        <f>Table834[[#This Row],[Waist]]*Table834[[#This Row],[BMI]]</f>
        <v>1615.2501020408163</v>
      </c>
      <c r="CH52" s="2">
        <f>Table834[[#This Row],[Waist]]*Table834[[#This Row],[CBF]]</f>
        <v>1393.939946318754</v>
      </c>
      <c r="CI52" s="2">
        <f>Table834[[#This Row],[Waist]]*Table834[[#This Row],[Gym]]</f>
        <v>44.5</v>
      </c>
      <c r="CJ52" s="2">
        <f>Table834[[#This Row],[Waist]]*Table834[[#This Row],[Cardio]]</f>
        <v>0</v>
      </c>
      <c r="CK52" s="2">
        <f>Table834[[#This Row],[Waist]]*Table834[[#This Row],[Calories]]</f>
        <v>63216.148268036311</v>
      </c>
      <c r="CL52" s="2">
        <f>Table834[[#This Row],[Waist]]*Table834[[#This Row],[Carbs]]</f>
        <v>3179.1926437994371</v>
      </c>
      <c r="CM52" s="2">
        <f>Table834[[#This Row],[Waist]]*Table834[[#This Row],[Fat ]]</f>
        <v>3314.6708054626538</v>
      </c>
      <c r="CN52" s="2">
        <f>Table834[[#This Row],[Waist]]*Table834[[#This Row],[Protein]]</f>
        <v>5384.9020757020762</v>
      </c>
      <c r="CO52" s="2">
        <f>Table834[[#This Row],[Waist]]*Table834[[#This Row],[Fiber]]</f>
        <v>422.32914344109997</v>
      </c>
      <c r="CP52" s="2">
        <f>Table834[[#This Row],[Waist]]*Table834[[#This Row],[Sugar]]</f>
        <v>922.10755793119915</v>
      </c>
      <c r="CQ52" s="2">
        <f>Table834[[#This Row],[Waist]]*Table834[[#This Row],[Servings]]</f>
        <v>534</v>
      </c>
      <c r="CR52" s="2">
        <f>Table834[[#This Row],[Waist]]*Table834[[#This Row],[Water]]</f>
        <v>44.5</v>
      </c>
      <c r="CS52" s="2">
        <f>Table834[[#This Row],[Waist]]*Table834[[#This Row],[Fat Calories]]</f>
        <v>29832.037249163877</v>
      </c>
    </row>
    <row r="53" spans="1:97" x14ac:dyDescent="0.25">
      <c r="A53" s="2">
        <v>252.6</v>
      </c>
      <c r="B53" s="2">
        <f>Table834[[#This Row],[Weight]]^2</f>
        <v>63806.759999999995</v>
      </c>
      <c r="C53" s="2">
        <v>44.5</v>
      </c>
      <c r="D53" s="2">
        <f>Table834[[#This Row],[Waist]]^2</f>
        <v>1980.25</v>
      </c>
      <c r="E53" s="2">
        <v>17</v>
      </c>
      <c r="F53" s="2">
        <f>Table834[[#This Row],[Neck]]^2</f>
        <v>289</v>
      </c>
      <c r="G53" s="2">
        <v>95.9</v>
      </c>
      <c r="H53" s="2">
        <f>Table834[[#This Row],[Morning Body Temp]]^2</f>
        <v>9196.8100000000013</v>
      </c>
      <c r="I53" s="2">
        <v>136</v>
      </c>
      <c r="J53" s="2">
        <f>Table834[[#This Row],[Morning Systolic Pressure]]^2</f>
        <v>18496</v>
      </c>
      <c r="K53" s="2">
        <v>75</v>
      </c>
      <c r="L53" s="2">
        <f>Table834[[#This Row],[Morning Diastolic Pressure]]^2</f>
        <v>5625</v>
      </c>
      <c r="M53" s="2">
        <v>71</v>
      </c>
      <c r="N53" s="2">
        <f>Table834[[#This Row],[Morning Pulse]]^2</f>
        <v>5041</v>
      </c>
      <c r="O53" s="2">
        <v>96.1</v>
      </c>
      <c r="P53" s="2">
        <f>Table834[[#This Row],[Night Body Temp]]^2</f>
        <v>9235.2099999999991</v>
      </c>
      <c r="Q53" s="2">
        <v>136</v>
      </c>
      <c r="R53" s="2">
        <f>Table834[[#This Row],[Night Systolic Pressure]]^2</f>
        <v>18496</v>
      </c>
      <c r="S53" s="2">
        <v>81</v>
      </c>
      <c r="T53" s="2">
        <f>Table834[[#This Row],[Night Diastolic Pressure]]^2</f>
        <v>6561</v>
      </c>
      <c r="U53" s="2">
        <v>63</v>
      </c>
      <c r="V53" s="2">
        <f>Table834[[#This Row],[Night Pulse]]^2</f>
        <v>3969</v>
      </c>
      <c r="W53" s="2">
        <v>7</v>
      </c>
      <c r="X53" s="2">
        <f>Table834[[#This Row],[Sleep]]^2</f>
        <v>49</v>
      </c>
      <c r="Y53" s="2">
        <f t="shared" si="1"/>
        <v>36.240367346938775</v>
      </c>
      <c r="Z53" s="2">
        <f>Table834[[#This Row],[BMI]]^2</f>
        <v>1313.3642254410663</v>
      </c>
      <c r="AA53" s="2">
        <f t="shared" si="0"/>
        <v>31.324493175702337</v>
      </c>
      <c r="AB53" s="2">
        <f>Table834[[#This Row],[CBF]]^2</f>
        <v>981.2238727146223</v>
      </c>
      <c r="AC53" s="2">
        <v>1</v>
      </c>
      <c r="AD53" s="2">
        <f>Table834[[#This Row],[Gym]]^2</f>
        <v>1</v>
      </c>
      <c r="AE53" s="2">
        <v>0</v>
      </c>
      <c r="AF53" s="2">
        <f>Table834[[#This Row],[Cardio]]^2</f>
        <v>0</v>
      </c>
      <c r="AG53" s="2">
        <v>2715.5266666666666</v>
      </c>
      <c r="AH53" s="2">
        <f>Table834[[#This Row],[Calories]]^2</f>
        <v>7374085.0773777775</v>
      </c>
      <c r="AI53" s="2">
        <v>346.685</v>
      </c>
      <c r="AJ53" s="2">
        <f>Table834[[#This Row],[Carbs]]^2</f>
        <v>120190.489225</v>
      </c>
      <c r="AK53" s="2">
        <v>114.53066666666666</v>
      </c>
      <c r="AL53" s="2">
        <f>Table834[[#This Row],[Fat ]]^2</f>
        <v>13117.27360711111</v>
      </c>
      <c r="AM53" s="2">
        <v>131.61566666666667</v>
      </c>
      <c r="AN53" s="2">
        <f>Table834[[#This Row],[Protein]]^2</f>
        <v>17322.683712111113</v>
      </c>
      <c r="AO53" s="2">
        <v>68.535333333333341</v>
      </c>
      <c r="AP53" s="2">
        <f>Table834[[#This Row],[Fiber]]^2</f>
        <v>4697.091915111112</v>
      </c>
      <c r="AQ53" s="2">
        <v>207.03666666666669</v>
      </c>
      <c r="AR53" s="2">
        <f>Table834[[#This Row],[Sugar]]^2</f>
        <v>42864.181344444456</v>
      </c>
      <c r="AS53" s="2">
        <v>84.59</v>
      </c>
      <c r="AT53" s="2">
        <f>Table834[[#This Row],[Servings]]^2</f>
        <v>7155.468100000001</v>
      </c>
      <c r="AU53" s="2">
        <v>1</v>
      </c>
      <c r="AV53" s="2">
        <f>Table834[[#This Row],[Water]]^2</f>
        <v>1</v>
      </c>
      <c r="AW53" s="2">
        <v>1030.7759999999998</v>
      </c>
      <c r="AX53" s="2">
        <f>Table834[[#This Row],[Fat Calories]]^2</f>
        <v>1062499.1621759997</v>
      </c>
      <c r="AY53" s="5">
        <f>Table834[[#This Row],[Weight]]*Table834[[#This Row],[Waist]]</f>
        <v>11240.699999999999</v>
      </c>
      <c r="AZ53" s="6">
        <f>Table834[[#This Row],[Weight]]*Table834[[#This Row],[Neck]]</f>
        <v>4294.2</v>
      </c>
      <c r="BA53" s="6">
        <f>Table834[[#This Row],[Weight]]*Table834[[#This Row],[Morning Body Temp]]</f>
        <v>24224.34</v>
      </c>
      <c r="BB53" s="6">
        <f>Table834[[#This Row],[Weight]]*Table834[[#This Row],[Morning Systolic Pressure]]</f>
        <v>34353.599999999999</v>
      </c>
      <c r="BC53" s="12">
        <f>Table834[[#This Row],[Weight]]*Table834[[#This Row],[Morning Diastolic Pressure]]</f>
        <v>18945</v>
      </c>
      <c r="BD53" s="2">
        <f>Table834[[#This Row],[Weight]]*Table834[[#This Row],[Morning Pulse]]</f>
        <v>17934.599999999999</v>
      </c>
      <c r="BE53" s="2">
        <f>Table834[[#This Row],[Weight]]*Table834[[#This Row],[Night Body Temp]]</f>
        <v>24274.859999999997</v>
      </c>
      <c r="BF53" s="2">
        <f>Table834[[#This Row],[Weight]]*Table834[[#This Row],[Night Systolic Pressure]]</f>
        <v>34353.599999999999</v>
      </c>
      <c r="BG53" s="4">
        <f>Table83[[#This Row],[Weight]]*Table83[[#This Row],[Night Diastolic Pressure]]</f>
        <v>20460.599999999999</v>
      </c>
      <c r="BH53" s="2">
        <f>Table834[[#This Row],[Weight]]*Table834[[#This Row],[Night Pulse]]</f>
        <v>15913.8</v>
      </c>
      <c r="BI53" s="2">
        <f>Table834[[#This Row],[Weight]]*Table834[[#This Row],[Sleep]]</f>
        <v>1768.2</v>
      </c>
      <c r="BJ53" s="2">
        <f>Table834[[#This Row],[Weight]]*Table834[[#This Row],[BMI]]</f>
        <v>9154.3167918367344</v>
      </c>
      <c r="BK53" s="2">
        <f>Table834[[#This Row],[Weight]]*Table834[[#This Row],[CBF]]</f>
        <v>7912.5669761824101</v>
      </c>
      <c r="BL53" s="2">
        <f>Table834[[#This Row],[Weight]]*Table834[[#This Row],[Gym]]</f>
        <v>252.6</v>
      </c>
      <c r="BM53" s="2">
        <f>Table834[[#This Row],[Weight]]*Table834[[#This Row],[Cardio]]</f>
        <v>0</v>
      </c>
      <c r="BN53" s="2">
        <f>Table834[[#This Row],[Weight]]*Table834[[#This Row],[Calories]]</f>
        <v>685942.03599999996</v>
      </c>
      <c r="BO53" s="2">
        <f>Table834[[#This Row],[Weight]]*Table834[[#This Row],[Carbs]]</f>
        <v>87572.630999999994</v>
      </c>
      <c r="BP53" s="2">
        <f>Table834[[#This Row],[Weight]]*Table834[[#This Row],[Fat ]]</f>
        <v>28930.446399999997</v>
      </c>
      <c r="BQ53" s="2">
        <f>Table834[[#This Row],[Weight]]*Table834[[#This Row],[Protein]]</f>
        <v>33246.117400000003</v>
      </c>
      <c r="BR53" s="2">
        <f>Table834[[#This Row],[Weight]]*Table834[[#This Row],[Fiber]]</f>
        <v>17312.0252</v>
      </c>
      <c r="BS53" s="2">
        <f>Table834[[#This Row],[Weight]]*Table834[[#This Row],[Sugar]]</f>
        <v>52297.462000000007</v>
      </c>
      <c r="BT53" s="2">
        <f>Table834[[#This Row],[Weight]]*Table834[[#This Row],[Servings]]</f>
        <v>21367.434000000001</v>
      </c>
      <c r="BU53" s="2">
        <f>Table834[[#This Row],[Weight]]*Table834[[#This Row],[Water]]</f>
        <v>252.6</v>
      </c>
      <c r="BV53" s="2">
        <f>Table834[[#This Row],[Weight]]*Table834[[#This Row],[Fat Calories]]</f>
        <v>260374.01759999996</v>
      </c>
      <c r="BW53" s="2">
        <f>Table834[[#This Row],[Waist]]*Table834[[#This Row],[Neck]]</f>
        <v>756.5</v>
      </c>
      <c r="BX53" s="2">
        <f>Table834[[#This Row],[Waist]]*Table834[[#This Row],[Morning Body Temp]]</f>
        <v>4267.55</v>
      </c>
      <c r="BY53" s="2">
        <f>Table834[[#This Row],[Waist]]*Table834[[#This Row],[Morning Systolic Pressure]]</f>
        <v>6052</v>
      </c>
      <c r="BZ53" s="2">
        <f>Table834[[#This Row],[Waist]]*Table834[[#This Row],[Morning Diastolic Pressure]]</f>
        <v>3337.5</v>
      </c>
      <c r="CA53" s="2">
        <f>Table834[[#This Row],[Waist]]*Table834[[#This Row],[Morning Pulse]]</f>
        <v>3159.5</v>
      </c>
      <c r="CB53" s="2">
        <f>Table834[[#This Row],[Waist]]*Table834[[#This Row],[Night Body Temp]]</f>
        <v>4276.45</v>
      </c>
      <c r="CC53" s="2">
        <f>Table834[[#This Row],[Waist]]*Table834[[#This Row],[Night Systolic Pressure]]</f>
        <v>6052</v>
      </c>
      <c r="CD53" s="4">
        <f>Table83[[#This Row],[Waist]]*Table83[[#This Row],[Night Diastolic Pressure]]</f>
        <v>3604.5</v>
      </c>
      <c r="CE53" s="2">
        <f>Table834[[#This Row],[Waist]]*Table834[[#This Row],[Night Pulse]]</f>
        <v>2803.5</v>
      </c>
      <c r="CF53" s="2">
        <f>Table834[[#This Row],[Waist]]*Table834[[#This Row],[Sleep]]</f>
        <v>311.5</v>
      </c>
      <c r="CG53" s="2">
        <f>Table834[[#This Row],[Waist]]*Table834[[#This Row],[BMI]]</f>
        <v>1612.6963469387756</v>
      </c>
      <c r="CH53" s="2">
        <f>Table834[[#This Row],[Waist]]*Table834[[#This Row],[CBF]]</f>
        <v>1393.939946318754</v>
      </c>
      <c r="CI53" s="2">
        <f>Table834[[#This Row],[Waist]]*Table834[[#This Row],[Gym]]</f>
        <v>44.5</v>
      </c>
      <c r="CJ53" s="2">
        <f>Table834[[#This Row],[Waist]]*Table834[[#This Row],[Cardio]]</f>
        <v>0</v>
      </c>
      <c r="CK53" s="2">
        <f>Table834[[#This Row],[Waist]]*Table834[[#This Row],[Calories]]</f>
        <v>120840.93666666666</v>
      </c>
      <c r="CL53" s="2">
        <f>Table834[[#This Row],[Waist]]*Table834[[#This Row],[Carbs]]</f>
        <v>15427.4825</v>
      </c>
      <c r="CM53" s="2">
        <f>Table834[[#This Row],[Waist]]*Table834[[#This Row],[Fat ]]</f>
        <v>5096.6146666666664</v>
      </c>
      <c r="CN53" s="2">
        <f>Table834[[#This Row],[Waist]]*Table834[[#This Row],[Protein]]</f>
        <v>5856.8971666666666</v>
      </c>
      <c r="CO53" s="2">
        <f>Table834[[#This Row],[Waist]]*Table834[[#This Row],[Fiber]]</f>
        <v>3049.8223333333335</v>
      </c>
      <c r="CP53" s="2">
        <f>Table834[[#This Row],[Waist]]*Table834[[#This Row],[Sugar]]</f>
        <v>9213.131666666668</v>
      </c>
      <c r="CQ53" s="2">
        <f>Table834[[#This Row],[Waist]]*Table834[[#This Row],[Servings]]</f>
        <v>3764.2550000000001</v>
      </c>
      <c r="CR53" s="2">
        <f>Table834[[#This Row],[Waist]]*Table834[[#This Row],[Water]]</f>
        <v>44.5</v>
      </c>
      <c r="CS53" s="2">
        <f>Table834[[#This Row],[Waist]]*Table834[[#This Row],[Fat Calories]]</f>
        <v>45869.531999999992</v>
      </c>
    </row>
    <row r="54" spans="1:97" x14ac:dyDescent="0.25">
      <c r="A54" s="2">
        <v>254.4</v>
      </c>
      <c r="B54" s="2">
        <f>Table834[[#This Row],[Weight]]^2</f>
        <v>64719.360000000001</v>
      </c>
      <c r="C54" s="2">
        <v>44.5</v>
      </c>
      <c r="D54" s="2">
        <f>Table834[[#This Row],[Waist]]^2</f>
        <v>1980.25</v>
      </c>
      <c r="E54" s="2">
        <v>17</v>
      </c>
      <c r="F54" s="2">
        <f>Table834[[#This Row],[Neck]]^2</f>
        <v>289</v>
      </c>
      <c r="G54" s="2">
        <v>96.9</v>
      </c>
      <c r="H54" s="2">
        <f>Table834[[#This Row],[Morning Body Temp]]^2</f>
        <v>9389.61</v>
      </c>
      <c r="I54" s="2">
        <v>108</v>
      </c>
      <c r="J54" s="2">
        <f>Table834[[#This Row],[Morning Systolic Pressure]]^2</f>
        <v>11664</v>
      </c>
      <c r="K54" s="2">
        <v>81</v>
      </c>
      <c r="L54" s="2">
        <f>Table834[[#This Row],[Morning Diastolic Pressure]]^2</f>
        <v>6561</v>
      </c>
      <c r="M54" s="2">
        <v>69</v>
      </c>
      <c r="N54" s="2">
        <f>Table834[[#This Row],[Morning Pulse]]^2</f>
        <v>4761</v>
      </c>
      <c r="O54" s="2">
        <v>96.9</v>
      </c>
      <c r="P54" s="2">
        <f>Table834[[#This Row],[Night Body Temp]]^2</f>
        <v>9389.61</v>
      </c>
      <c r="Q54" s="2">
        <v>140</v>
      </c>
      <c r="R54" s="2">
        <f>Table834[[#This Row],[Night Systolic Pressure]]^2</f>
        <v>19600</v>
      </c>
      <c r="S54" s="2">
        <v>83</v>
      </c>
      <c r="T54" s="2">
        <f>Table834[[#This Row],[Night Diastolic Pressure]]^2</f>
        <v>6889</v>
      </c>
      <c r="U54" s="2">
        <v>65</v>
      </c>
      <c r="V54" s="2">
        <f>Table834[[#This Row],[Night Pulse]]^2</f>
        <v>4225</v>
      </c>
      <c r="W54" s="2">
        <v>13</v>
      </c>
      <c r="X54" s="2">
        <f>Table834[[#This Row],[Sleep]]^2</f>
        <v>169</v>
      </c>
      <c r="Y54" s="2">
        <f t="shared" si="1"/>
        <v>36.498612244897963</v>
      </c>
      <c r="Z54" s="2">
        <f>Table834[[#This Row],[BMI]]^2</f>
        <v>1332.1486958034154</v>
      </c>
      <c r="AA54" s="2">
        <f t="shared" si="0"/>
        <v>31.324493175702337</v>
      </c>
      <c r="AB54" s="2">
        <f>Table834[[#This Row],[CBF]]^2</f>
        <v>981.2238727146223</v>
      </c>
      <c r="AC54" s="2">
        <v>1</v>
      </c>
      <c r="AD54" s="2">
        <f>Table834[[#This Row],[Gym]]^2</f>
        <v>1</v>
      </c>
      <c r="AE54" s="2">
        <v>0</v>
      </c>
      <c r="AF54" s="2">
        <f>Table834[[#This Row],[Cardio]]^2</f>
        <v>0</v>
      </c>
      <c r="AG54" s="2">
        <v>1360.5876015289059</v>
      </c>
      <c r="AH54" s="2">
        <f>Table834[[#This Row],[Calories]]^2</f>
        <v>1851198.6214341808</v>
      </c>
      <c r="AI54" s="2">
        <v>71.442531321335665</v>
      </c>
      <c r="AJ54" s="2">
        <f>Table834[[#This Row],[Carbs]]^2</f>
        <v>5104.0352816000277</v>
      </c>
      <c r="AK54" s="2">
        <v>68.986984392419188</v>
      </c>
      <c r="AL54" s="2">
        <f>Table834[[#This Row],[Fat ]]^2</f>
        <v>4759.2040155598888</v>
      </c>
      <c r="AM54" s="2">
        <v>118.00903540903542</v>
      </c>
      <c r="AN54" s="2">
        <f>Table834[[#This Row],[Protein]]^2</f>
        <v>13926.132438170975</v>
      </c>
      <c r="AO54" s="2">
        <v>9.4905425492382012</v>
      </c>
      <c r="AP54" s="2">
        <f>Table834[[#This Row],[Fiber]]^2</f>
        <v>90.070397878900735</v>
      </c>
      <c r="AQ54" s="2">
        <v>20.721518155757284</v>
      </c>
      <c r="AR54" s="2">
        <f>Table834[[#This Row],[Sugar]]^2</f>
        <v>429.38131467937876</v>
      </c>
      <c r="AS54" s="2">
        <v>12</v>
      </c>
      <c r="AT54" s="2">
        <f>Table834[[#This Row],[Servings]]^2</f>
        <v>144</v>
      </c>
      <c r="AU54" s="2">
        <v>2</v>
      </c>
      <c r="AV54" s="2">
        <f>Table834[[#This Row],[Water]]^2</f>
        <v>4</v>
      </c>
      <c r="AW54" s="2">
        <v>620.88285953177274</v>
      </c>
      <c r="AX54" s="2">
        <f>Table834[[#This Row],[Fat Calories]]^2</f>
        <v>385495.52526035102</v>
      </c>
      <c r="AY54" s="3">
        <f>Table834[[#This Row],[Weight]]*Table834[[#This Row],[Waist]]</f>
        <v>11320.800000000001</v>
      </c>
      <c r="AZ54" s="4">
        <f>Table834[[#This Row],[Weight]]*Table834[[#This Row],[Neck]]</f>
        <v>4324.8</v>
      </c>
      <c r="BA54" s="4">
        <f>Table834[[#This Row],[Weight]]*Table834[[#This Row],[Morning Body Temp]]</f>
        <v>24651.360000000001</v>
      </c>
      <c r="BB54" s="4">
        <f>Table834[[#This Row],[Weight]]*Table834[[#This Row],[Morning Systolic Pressure]]</f>
        <v>27475.200000000001</v>
      </c>
      <c r="BC54" s="11">
        <f>Table834[[#This Row],[Weight]]*Table834[[#This Row],[Morning Diastolic Pressure]]</f>
        <v>20606.400000000001</v>
      </c>
      <c r="BD54" s="2">
        <f>Table834[[#This Row],[Weight]]*Table834[[#This Row],[Morning Pulse]]</f>
        <v>17553.600000000002</v>
      </c>
      <c r="BE54" s="2">
        <f>Table834[[#This Row],[Weight]]*Table834[[#This Row],[Night Body Temp]]</f>
        <v>24651.360000000001</v>
      </c>
      <c r="BF54" s="2">
        <f>Table834[[#This Row],[Weight]]*Table834[[#This Row],[Night Systolic Pressure]]</f>
        <v>35616</v>
      </c>
      <c r="BG54" s="4">
        <f>Table83[[#This Row],[Weight]]*Table83[[#This Row],[Night Diastolic Pressure]]</f>
        <v>21115.200000000001</v>
      </c>
      <c r="BH54" s="2">
        <f>Table834[[#This Row],[Weight]]*Table834[[#This Row],[Night Pulse]]</f>
        <v>16536</v>
      </c>
      <c r="BI54" s="2">
        <f>Table834[[#This Row],[Weight]]*Table834[[#This Row],[Sleep]]</f>
        <v>3307.2000000000003</v>
      </c>
      <c r="BJ54" s="2">
        <f>Table834[[#This Row],[Weight]]*Table834[[#This Row],[BMI]]</f>
        <v>9285.2469551020422</v>
      </c>
      <c r="BK54" s="2">
        <f>Table834[[#This Row],[Weight]]*Table834[[#This Row],[CBF]]</f>
        <v>7968.9510638986749</v>
      </c>
      <c r="BL54" s="2">
        <f>Table834[[#This Row],[Weight]]*Table834[[#This Row],[Gym]]</f>
        <v>254.4</v>
      </c>
      <c r="BM54" s="2">
        <f>Table834[[#This Row],[Weight]]*Table834[[#This Row],[Cardio]]</f>
        <v>0</v>
      </c>
      <c r="BN54" s="2">
        <f>Table834[[#This Row],[Weight]]*Table834[[#This Row],[Calories]]</f>
        <v>346133.48582895368</v>
      </c>
      <c r="BO54" s="2">
        <f>Table834[[#This Row],[Weight]]*Table834[[#This Row],[Carbs]]</f>
        <v>18174.979968147793</v>
      </c>
      <c r="BP54" s="2">
        <f>Table834[[#This Row],[Weight]]*Table834[[#This Row],[Fat ]]</f>
        <v>17550.288829431443</v>
      </c>
      <c r="BQ54" s="2">
        <f>Table834[[#This Row],[Weight]]*Table834[[#This Row],[Protein]]</f>
        <v>30021.498608058613</v>
      </c>
      <c r="BR54" s="2">
        <f>Table834[[#This Row],[Weight]]*Table834[[#This Row],[Fiber]]</f>
        <v>2414.3940245261983</v>
      </c>
      <c r="BS54" s="2">
        <f>Table834[[#This Row],[Weight]]*Table834[[#This Row],[Sugar]]</f>
        <v>5271.5542188246536</v>
      </c>
      <c r="BT54" s="2">
        <f>Table834[[#This Row],[Weight]]*Table834[[#This Row],[Servings]]</f>
        <v>3052.8</v>
      </c>
      <c r="BU54" s="2">
        <f>Table834[[#This Row],[Weight]]*Table834[[#This Row],[Water]]</f>
        <v>508.8</v>
      </c>
      <c r="BV54" s="2">
        <f>Table834[[#This Row],[Weight]]*Table834[[#This Row],[Fat Calories]]</f>
        <v>157952.59946488298</v>
      </c>
      <c r="BW54" s="2">
        <f>Table834[[#This Row],[Waist]]*Table834[[#This Row],[Neck]]</f>
        <v>756.5</v>
      </c>
      <c r="BX54" s="2">
        <f>Table834[[#This Row],[Waist]]*Table834[[#This Row],[Morning Body Temp]]</f>
        <v>4312.05</v>
      </c>
      <c r="BY54" s="2">
        <f>Table834[[#This Row],[Waist]]*Table834[[#This Row],[Morning Systolic Pressure]]</f>
        <v>4806</v>
      </c>
      <c r="BZ54" s="2">
        <f>Table834[[#This Row],[Waist]]*Table834[[#This Row],[Morning Diastolic Pressure]]</f>
        <v>3604.5</v>
      </c>
      <c r="CA54" s="2">
        <f>Table834[[#This Row],[Waist]]*Table834[[#This Row],[Morning Pulse]]</f>
        <v>3070.5</v>
      </c>
      <c r="CB54" s="2">
        <f>Table834[[#This Row],[Waist]]*Table834[[#This Row],[Night Body Temp]]</f>
        <v>4312.05</v>
      </c>
      <c r="CC54" s="2">
        <f>Table834[[#This Row],[Waist]]*Table834[[#This Row],[Night Systolic Pressure]]</f>
        <v>6230</v>
      </c>
      <c r="CD54" s="4">
        <f>Table83[[#This Row],[Waist]]*Table83[[#This Row],[Night Diastolic Pressure]]</f>
        <v>3693.5</v>
      </c>
      <c r="CE54" s="2">
        <f>Table834[[#This Row],[Waist]]*Table834[[#This Row],[Night Pulse]]</f>
        <v>2892.5</v>
      </c>
      <c r="CF54" s="2">
        <f>Table834[[#This Row],[Waist]]*Table834[[#This Row],[Sleep]]</f>
        <v>578.5</v>
      </c>
      <c r="CG54" s="2">
        <f>Table834[[#This Row],[Waist]]*Table834[[#This Row],[BMI]]</f>
        <v>1624.1882448979593</v>
      </c>
      <c r="CH54" s="2">
        <f>Table834[[#This Row],[Waist]]*Table834[[#This Row],[CBF]]</f>
        <v>1393.939946318754</v>
      </c>
      <c r="CI54" s="2">
        <f>Table834[[#This Row],[Waist]]*Table834[[#This Row],[Gym]]</f>
        <v>44.5</v>
      </c>
      <c r="CJ54" s="2">
        <f>Table834[[#This Row],[Waist]]*Table834[[#This Row],[Cardio]]</f>
        <v>0</v>
      </c>
      <c r="CK54" s="2">
        <f>Table834[[#This Row],[Waist]]*Table834[[#This Row],[Calories]]</f>
        <v>60546.148268036311</v>
      </c>
      <c r="CL54" s="2">
        <f>Table834[[#This Row],[Waist]]*Table834[[#This Row],[Carbs]]</f>
        <v>3179.1926437994371</v>
      </c>
      <c r="CM54" s="2">
        <f>Table834[[#This Row],[Waist]]*Table834[[#This Row],[Fat ]]</f>
        <v>3069.9208054626538</v>
      </c>
      <c r="CN54" s="2">
        <f>Table834[[#This Row],[Waist]]*Table834[[#This Row],[Protein]]</f>
        <v>5251.4020757020762</v>
      </c>
      <c r="CO54" s="2">
        <f>Table834[[#This Row],[Waist]]*Table834[[#This Row],[Fiber]]</f>
        <v>422.32914344109997</v>
      </c>
      <c r="CP54" s="2">
        <f>Table834[[#This Row],[Waist]]*Table834[[#This Row],[Sugar]]</f>
        <v>922.10755793119915</v>
      </c>
      <c r="CQ54" s="2">
        <f>Table834[[#This Row],[Waist]]*Table834[[#This Row],[Servings]]</f>
        <v>534</v>
      </c>
      <c r="CR54" s="2">
        <f>Table834[[#This Row],[Waist]]*Table834[[#This Row],[Water]]</f>
        <v>89</v>
      </c>
      <c r="CS54" s="2">
        <f>Table834[[#This Row],[Waist]]*Table834[[#This Row],[Fat Calories]]</f>
        <v>27629.287249163888</v>
      </c>
    </row>
    <row r="55" spans="1:97" x14ac:dyDescent="0.25">
      <c r="A55" s="2">
        <v>252.8</v>
      </c>
      <c r="B55" s="2">
        <f>Table834[[#This Row],[Weight]]^2</f>
        <v>63907.840000000004</v>
      </c>
      <c r="C55" s="2">
        <v>44.5</v>
      </c>
      <c r="D55" s="2">
        <f>Table834[[#This Row],[Waist]]^2</f>
        <v>1980.25</v>
      </c>
      <c r="E55" s="2">
        <v>17</v>
      </c>
      <c r="F55" s="2">
        <f>Table834[[#This Row],[Neck]]^2</f>
        <v>289</v>
      </c>
      <c r="G55" s="2">
        <v>96</v>
      </c>
      <c r="H55" s="2">
        <f>Table834[[#This Row],[Morning Body Temp]]^2</f>
        <v>9216</v>
      </c>
      <c r="I55" s="2">
        <v>142</v>
      </c>
      <c r="J55" s="2">
        <f>Table834[[#This Row],[Morning Systolic Pressure]]^2</f>
        <v>20164</v>
      </c>
      <c r="K55" s="2">
        <v>76</v>
      </c>
      <c r="L55" s="2">
        <f>Table834[[#This Row],[Morning Diastolic Pressure]]^2</f>
        <v>5776</v>
      </c>
      <c r="M55" s="2">
        <v>64</v>
      </c>
      <c r="N55" s="2">
        <f>Table834[[#This Row],[Morning Pulse]]^2</f>
        <v>4096</v>
      </c>
      <c r="O55" s="2">
        <v>95.8</v>
      </c>
      <c r="P55" s="2">
        <f>Table834[[#This Row],[Night Body Temp]]^2</f>
        <v>9177.64</v>
      </c>
      <c r="Q55" s="2">
        <v>133</v>
      </c>
      <c r="R55" s="2">
        <f>Table834[[#This Row],[Night Systolic Pressure]]^2</f>
        <v>17689</v>
      </c>
      <c r="S55" s="2">
        <v>81</v>
      </c>
      <c r="T55" s="2">
        <f>Table834[[#This Row],[Night Diastolic Pressure]]^2</f>
        <v>6561</v>
      </c>
      <c r="U55" s="2">
        <v>63</v>
      </c>
      <c r="V55" s="2">
        <f>Table834[[#This Row],[Night Pulse]]^2</f>
        <v>3969</v>
      </c>
      <c r="W55" s="2">
        <v>3.5</v>
      </c>
      <c r="X55" s="2">
        <f>Table834[[#This Row],[Sleep]]^2</f>
        <v>12.25</v>
      </c>
      <c r="Y55" s="2">
        <f t="shared" si="1"/>
        <v>36.269061224489796</v>
      </c>
      <c r="Z55" s="2">
        <f>Table834[[#This Row],[BMI]]^2</f>
        <v>1315.4448021057892</v>
      </c>
      <c r="AA55" s="2">
        <f t="shared" si="0"/>
        <v>31.324493175702337</v>
      </c>
      <c r="AB55" s="2">
        <f>Table834[[#This Row],[CBF]]^2</f>
        <v>981.2238727146223</v>
      </c>
      <c r="AC55" s="2">
        <v>1</v>
      </c>
      <c r="AD55" s="2">
        <f>Table834[[#This Row],[Gym]]^2</f>
        <v>1</v>
      </c>
      <c r="AE55" s="2">
        <v>0</v>
      </c>
      <c r="AF55" s="2">
        <f>Table834[[#This Row],[Cardio]]^2</f>
        <v>0</v>
      </c>
      <c r="AG55" s="2">
        <v>1806.7666666666669</v>
      </c>
      <c r="AH55" s="2">
        <f>Table834[[#This Row],[Calories]]^2</f>
        <v>3264405.7877777787</v>
      </c>
      <c r="AI55" s="2">
        <v>151.16</v>
      </c>
      <c r="AJ55" s="2">
        <f>Table834[[#This Row],[Carbs]]^2</f>
        <v>22849.345600000001</v>
      </c>
      <c r="AK55" s="2">
        <v>95.526666666666657</v>
      </c>
      <c r="AL55" s="2">
        <f>Table834[[#This Row],[Fat ]]^2</f>
        <v>9125.3440444444423</v>
      </c>
      <c r="AM55" s="2">
        <v>125.10666666666668</v>
      </c>
      <c r="AN55" s="2">
        <f>Table834[[#This Row],[Protein]]^2</f>
        <v>15651.678044444448</v>
      </c>
      <c r="AO55" s="2">
        <v>56.993333333333339</v>
      </c>
      <c r="AP55" s="2">
        <f>Table834[[#This Row],[Fiber]]^2</f>
        <v>3248.2400444444452</v>
      </c>
      <c r="AQ55" s="2">
        <v>36.246666666666663</v>
      </c>
      <c r="AR55" s="2">
        <f>Table834[[#This Row],[Sugar]]^2</f>
        <v>1313.8208444444442</v>
      </c>
      <c r="AS55" s="2">
        <v>30.1</v>
      </c>
      <c r="AT55" s="2">
        <f>Table834[[#This Row],[Servings]]^2</f>
        <v>906.0100000000001</v>
      </c>
      <c r="AU55" s="2">
        <v>2</v>
      </c>
      <c r="AV55" s="2">
        <f>Table834[[#This Row],[Water]]^2</f>
        <v>4</v>
      </c>
      <c r="AW55" s="2">
        <v>859.7399999999999</v>
      </c>
      <c r="AX55" s="2">
        <f>Table834[[#This Row],[Fat Calories]]^2</f>
        <v>739152.86759999976</v>
      </c>
      <c r="AY55" s="5">
        <f>Table834[[#This Row],[Weight]]*Table834[[#This Row],[Waist]]</f>
        <v>11249.6</v>
      </c>
      <c r="AZ55" s="6">
        <f>Table834[[#This Row],[Weight]]*Table834[[#This Row],[Neck]]</f>
        <v>4297.6000000000004</v>
      </c>
      <c r="BA55" s="6">
        <f>Table834[[#This Row],[Weight]]*Table834[[#This Row],[Morning Body Temp]]</f>
        <v>24268.800000000003</v>
      </c>
      <c r="BB55" s="6">
        <f>Table834[[#This Row],[Weight]]*Table834[[#This Row],[Morning Systolic Pressure]]</f>
        <v>35897.599999999999</v>
      </c>
      <c r="BC55" s="12">
        <f>Table834[[#This Row],[Weight]]*Table834[[#This Row],[Morning Diastolic Pressure]]</f>
        <v>19212.8</v>
      </c>
      <c r="BD55" s="2">
        <f>Table834[[#This Row],[Weight]]*Table834[[#This Row],[Morning Pulse]]</f>
        <v>16179.2</v>
      </c>
      <c r="BE55" s="2">
        <f>Table834[[#This Row],[Weight]]*Table834[[#This Row],[Night Body Temp]]</f>
        <v>24218.240000000002</v>
      </c>
      <c r="BF55" s="2">
        <f>Table834[[#This Row],[Weight]]*Table834[[#This Row],[Night Systolic Pressure]]</f>
        <v>33622.400000000001</v>
      </c>
      <c r="BG55" s="4">
        <f>Table83[[#This Row],[Weight]]*Table83[[#This Row],[Night Diastolic Pressure]]</f>
        <v>20476.8</v>
      </c>
      <c r="BH55" s="2">
        <f>Table834[[#This Row],[Weight]]*Table834[[#This Row],[Night Pulse]]</f>
        <v>15926.400000000001</v>
      </c>
      <c r="BI55" s="2">
        <f>Table834[[#This Row],[Weight]]*Table834[[#This Row],[Sleep]]</f>
        <v>884.80000000000007</v>
      </c>
      <c r="BJ55" s="2">
        <f>Table834[[#This Row],[Weight]]*Table834[[#This Row],[BMI]]</f>
        <v>9168.8186775510203</v>
      </c>
      <c r="BK55" s="2">
        <f>Table834[[#This Row],[Weight]]*Table834[[#This Row],[CBF]]</f>
        <v>7918.8318748175507</v>
      </c>
      <c r="BL55" s="2">
        <f>Table834[[#This Row],[Weight]]*Table834[[#This Row],[Gym]]</f>
        <v>252.8</v>
      </c>
      <c r="BM55" s="2">
        <f>Table834[[#This Row],[Weight]]*Table834[[#This Row],[Cardio]]</f>
        <v>0</v>
      </c>
      <c r="BN55" s="2">
        <f>Table834[[#This Row],[Weight]]*Table834[[#This Row],[Calories]]</f>
        <v>456750.6133333334</v>
      </c>
      <c r="BO55" s="2">
        <f>Table834[[#This Row],[Weight]]*Table834[[#This Row],[Carbs]]</f>
        <v>38213.248</v>
      </c>
      <c r="BP55" s="2">
        <f>Table834[[#This Row],[Weight]]*Table834[[#This Row],[Fat ]]</f>
        <v>24149.141333333333</v>
      </c>
      <c r="BQ55" s="2">
        <f>Table834[[#This Row],[Weight]]*Table834[[#This Row],[Protein]]</f>
        <v>31626.965333333337</v>
      </c>
      <c r="BR55" s="2">
        <f>Table834[[#This Row],[Weight]]*Table834[[#This Row],[Fiber]]</f>
        <v>14407.914666666669</v>
      </c>
      <c r="BS55" s="2">
        <f>Table834[[#This Row],[Weight]]*Table834[[#This Row],[Sugar]]</f>
        <v>9163.1573333333326</v>
      </c>
      <c r="BT55" s="2">
        <f>Table834[[#This Row],[Weight]]*Table834[[#This Row],[Servings]]</f>
        <v>7609.2800000000007</v>
      </c>
      <c r="BU55" s="2">
        <f>Table834[[#This Row],[Weight]]*Table834[[#This Row],[Water]]</f>
        <v>505.6</v>
      </c>
      <c r="BV55" s="2">
        <f>Table834[[#This Row],[Weight]]*Table834[[#This Row],[Fat Calories]]</f>
        <v>217342.272</v>
      </c>
      <c r="BW55" s="2">
        <f>Table834[[#This Row],[Waist]]*Table834[[#This Row],[Neck]]</f>
        <v>756.5</v>
      </c>
      <c r="BX55" s="2">
        <f>Table834[[#This Row],[Waist]]*Table834[[#This Row],[Morning Body Temp]]</f>
        <v>4272</v>
      </c>
      <c r="BY55" s="2">
        <f>Table834[[#This Row],[Waist]]*Table834[[#This Row],[Morning Systolic Pressure]]</f>
        <v>6319</v>
      </c>
      <c r="BZ55" s="2">
        <f>Table834[[#This Row],[Waist]]*Table834[[#This Row],[Morning Diastolic Pressure]]</f>
        <v>3382</v>
      </c>
      <c r="CA55" s="2">
        <f>Table834[[#This Row],[Waist]]*Table834[[#This Row],[Morning Pulse]]</f>
        <v>2848</v>
      </c>
      <c r="CB55" s="2">
        <f>Table834[[#This Row],[Waist]]*Table834[[#This Row],[Night Body Temp]]</f>
        <v>4263.0999999999995</v>
      </c>
      <c r="CC55" s="2">
        <f>Table834[[#This Row],[Waist]]*Table834[[#This Row],[Night Systolic Pressure]]</f>
        <v>5918.5</v>
      </c>
      <c r="CD55" s="4">
        <f>Table83[[#This Row],[Waist]]*Table83[[#This Row],[Night Diastolic Pressure]]</f>
        <v>3604.5</v>
      </c>
      <c r="CE55" s="2">
        <f>Table834[[#This Row],[Waist]]*Table834[[#This Row],[Night Pulse]]</f>
        <v>2803.5</v>
      </c>
      <c r="CF55" s="2">
        <f>Table834[[#This Row],[Waist]]*Table834[[#This Row],[Sleep]]</f>
        <v>155.75</v>
      </c>
      <c r="CG55" s="2">
        <f>Table834[[#This Row],[Waist]]*Table834[[#This Row],[BMI]]</f>
        <v>1613.9732244897959</v>
      </c>
      <c r="CH55" s="2">
        <f>Table834[[#This Row],[Waist]]*Table834[[#This Row],[CBF]]</f>
        <v>1393.939946318754</v>
      </c>
      <c r="CI55" s="2">
        <f>Table834[[#This Row],[Waist]]*Table834[[#This Row],[Gym]]</f>
        <v>44.5</v>
      </c>
      <c r="CJ55" s="2">
        <f>Table834[[#This Row],[Waist]]*Table834[[#This Row],[Cardio]]</f>
        <v>0</v>
      </c>
      <c r="CK55" s="2">
        <f>Table834[[#This Row],[Waist]]*Table834[[#This Row],[Calories]]</f>
        <v>80401.116666666683</v>
      </c>
      <c r="CL55" s="2">
        <f>Table834[[#This Row],[Waist]]*Table834[[#This Row],[Carbs]]</f>
        <v>6726.62</v>
      </c>
      <c r="CM55" s="2">
        <f>Table834[[#This Row],[Waist]]*Table834[[#This Row],[Fat ]]</f>
        <v>4250.9366666666665</v>
      </c>
      <c r="CN55" s="2">
        <f>Table834[[#This Row],[Waist]]*Table834[[#This Row],[Protein]]</f>
        <v>5567.2466666666678</v>
      </c>
      <c r="CO55" s="2">
        <f>Table834[[#This Row],[Waist]]*Table834[[#This Row],[Fiber]]</f>
        <v>2536.2033333333338</v>
      </c>
      <c r="CP55" s="2">
        <f>Table834[[#This Row],[Waist]]*Table834[[#This Row],[Sugar]]</f>
        <v>1612.9766666666665</v>
      </c>
      <c r="CQ55" s="2">
        <f>Table834[[#This Row],[Waist]]*Table834[[#This Row],[Servings]]</f>
        <v>1339.45</v>
      </c>
      <c r="CR55" s="2">
        <f>Table834[[#This Row],[Waist]]*Table834[[#This Row],[Water]]</f>
        <v>89</v>
      </c>
      <c r="CS55" s="2">
        <f>Table834[[#This Row],[Waist]]*Table834[[#This Row],[Fat Calories]]</f>
        <v>38258.429999999993</v>
      </c>
    </row>
    <row r="56" spans="1:97" x14ac:dyDescent="0.25">
      <c r="A56" s="2">
        <v>253.2</v>
      </c>
      <c r="B56" s="2">
        <f>Table834[[#This Row],[Weight]]^2</f>
        <v>64110.239999999991</v>
      </c>
      <c r="C56" s="2">
        <v>44</v>
      </c>
      <c r="D56" s="2">
        <f>Table834[[#This Row],[Waist]]^2</f>
        <v>1936</v>
      </c>
      <c r="E56" s="2">
        <v>17</v>
      </c>
      <c r="F56" s="2">
        <f>Table834[[#This Row],[Neck]]^2</f>
        <v>289</v>
      </c>
      <c r="G56" s="2">
        <v>97.6</v>
      </c>
      <c r="H56" s="2">
        <f>Table834[[#This Row],[Morning Body Temp]]^2</f>
        <v>9525.7599999999984</v>
      </c>
      <c r="I56" s="2">
        <v>128</v>
      </c>
      <c r="J56" s="2">
        <f>Table834[[#This Row],[Morning Systolic Pressure]]^2</f>
        <v>16384</v>
      </c>
      <c r="K56" s="2">
        <v>72</v>
      </c>
      <c r="L56" s="2">
        <f>Table834[[#This Row],[Morning Diastolic Pressure]]^2</f>
        <v>5184</v>
      </c>
      <c r="M56" s="2">
        <v>78</v>
      </c>
      <c r="N56" s="2">
        <f>Table834[[#This Row],[Morning Pulse]]^2</f>
        <v>6084</v>
      </c>
      <c r="O56" s="2">
        <v>96.5</v>
      </c>
      <c r="P56" s="2">
        <f>Table834[[#This Row],[Night Body Temp]]^2</f>
        <v>9312.25</v>
      </c>
      <c r="Q56" s="2">
        <v>142</v>
      </c>
      <c r="R56" s="2">
        <f>Table834[[#This Row],[Night Systolic Pressure]]^2</f>
        <v>20164</v>
      </c>
      <c r="S56" s="2">
        <v>82</v>
      </c>
      <c r="T56" s="2">
        <f>Table834[[#This Row],[Night Diastolic Pressure]]^2</f>
        <v>6724</v>
      </c>
      <c r="U56" s="2">
        <v>54</v>
      </c>
      <c r="V56" s="2">
        <f>Table834[[#This Row],[Night Pulse]]^2</f>
        <v>2916</v>
      </c>
      <c r="W56" s="2">
        <v>12</v>
      </c>
      <c r="X56" s="2">
        <f>Table834[[#This Row],[Sleep]]^2</f>
        <v>144</v>
      </c>
      <c r="Y56" s="2">
        <f t="shared" si="1"/>
        <v>36.326448979591831</v>
      </c>
      <c r="Z56" s="2">
        <f>Table834[[#This Row],[BMI]]^2</f>
        <v>1319.6108954668885</v>
      </c>
      <c r="AA56" s="2">
        <f t="shared" si="0"/>
        <v>30.639085534675949</v>
      </c>
      <c r="AB56" s="2">
        <f>Table834[[#This Row],[CBF]]^2</f>
        <v>938.75356240118901</v>
      </c>
      <c r="AC56" s="2">
        <v>1</v>
      </c>
      <c r="AD56" s="2">
        <f>Table834[[#This Row],[Gym]]^2</f>
        <v>1</v>
      </c>
      <c r="AE56" s="2">
        <v>0</v>
      </c>
      <c r="AF56" s="2">
        <f>Table834[[#This Row],[Cardio]]^2</f>
        <v>0</v>
      </c>
      <c r="AG56" s="2">
        <v>1420.5876015289059</v>
      </c>
      <c r="AH56" s="2">
        <f>Table834[[#This Row],[Calories]]^2</f>
        <v>2018069.1336176496</v>
      </c>
      <c r="AI56" s="2">
        <v>72.442531321335665</v>
      </c>
      <c r="AJ56" s="2">
        <f>Table834[[#This Row],[Carbs]]^2</f>
        <v>5247.9203442426988</v>
      </c>
      <c r="AK56" s="2">
        <v>72.486984392419188</v>
      </c>
      <c r="AL56" s="2">
        <f>Table834[[#This Row],[Fat ]]^2</f>
        <v>5254.3629063068229</v>
      </c>
      <c r="AM56" s="2">
        <v>118.50903540903542</v>
      </c>
      <c r="AN56" s="2">
        <f>Table834[[#This Row],[Protein]]^2</f>
        <v>14044.391473580012</v>
      </c>
      <c r="AO56" s="2">
        <v>9.4905425492382012</v>
      </c>
      <c r="AP56" s="2">
        <f>Table834[[#This Row],[Fiber]]^2</f>
        <v>90.070397878900735</v>
      </c>
      <c r="AQ56" s="2">
        <v>21.721518155757284</v>
      </c>
      <c r="AR56" s="2">
        <f>Table834[[#This Row],[Sugar]]^2</f>
        <v>471.82435099089332</v>
      </c>
      <c r="AS56" s="2">
        <v>13</v>
      </c>
      <c r="AT56" s="2">
        <f>Table834[[#This Row],[Servings]]^2</f>
        <v>169</v>
      </c>
      <c r="AU56" s="2">
        <v>2.25</v>
      </c>
      <c r="AV56" s="2">
        <f>Table834[[#This Row],[Water]]^2</f>
        <v>5.0625</v>
      </c>
      <c r="AW56" s="2">
        <v>652.38285953177251</v>
      </c>
      <c r="AX56" s="2">
        <f>Table834[[#This Row],[Fat Calories]]^2</f>
        <v>425603.39541085245</v>
      </c>
      <c r="AY56" s="3">
        <f>Table834[[#This Row],[Weight]]*Table834[[#This Row],[Waist]]</f>
        <v>11140.8</v>
      </c>
      <c r="AZ56" s="4">
        <f>Table834[[#This Row],[Weight]]*Table834[[#This Row],[Neck]]</f>
        <v>4304.3999999999996</v>
      </c>
      <c r="BA56" s="4">
        <f>Table834[[#This Row],[Weight]]*Table834[[#This Row],[Morning Body Temp]]</f>
        <v>24712.319999999996</v>
      </c>
      <c r="BB56" s="4">
        <f>Table834[[#This Row],[Weight]]*Table834[[#This Row],[Morning Systolic Pressure]]</f>
        <v>32409.599999999999</v>
      </c>
      <c r="BC56" s="11">
        <f>Table834[[#This Row],[Weight]]*Table834[[#This Row],[Morning Diastolic Pressure]]</f>
        <v>18230.399999999998</v>
      </c>
      <c r="BD56" s="2">
        <f>Table834[[#This Row],[Weight]]*Table834[[#This Row],[Morning Pulse]]</f>
        <v>19749.599999999999</v>
      </c>
      <c r="BE56" s="2">
        <f>Table834[[#This Row],[Weight]]*Table834[[#This Row],[Night Body Temp]]</f>
        <v>24433.8</v>
      </c>
      <c r="BF56" s="2">
        <f>Table834[[#This Row],[Weight]]*Table834[[#This Row],[Night Systolic Pressure]]</f>
        <v>35954.400000000001</v>
      </c>
      <c r="BG56" s="4">
        <f>Table83[[#This Row],[Weight]]*Table83[[#This Row],[Night Diastolic Pressure]]</f>
        <v>20762.399999999998</v>
      </c>
      <c r="BH56" s="2">
        <f>Table834[[#This Row],[Weight]]*Table834[[#This Row],[Night Pulse]]</f>
        <v>13672.8</v>
      </c>
      <c r="BI56" s="2">
        <f>Table834[[#This Row],[Weight]]*Table834[[#This Row],[Sleep]]</f>
        <v>3038.3999999999996</v>
      </c>
      <c r="BJ56" s="2">
        <f>Table834[[#This Row],[Weight]]*Table834[[#This Row],[BMI]]</f>
        <v>9197.8568816326515</v>
      </c>
      <c r="BK56" s="2">
        <f>Table834[[#This Row],[Weight]]*Table834[[#This Row],[CBF]]</f>
        <v>7757.8164573799504</v>
      </c>
      <c r="BL56" s="2">
        <f>Table834[[#This Row],[Weight]]*Table834[[#This Row],[Gym]]</f>
        <v>253.2</v>
      </c>
      <c r="BM56" s="2">
        <f>Table834[[#This Row],[Weight]]*Table834[[#This Row],[Cardio]]</f>
        <v>0</v>
      </c>
      <c r="BN56" s="2">
        <f>Table834[[#This Row],[Weight]]*Table834[[#This Row],[Calories]]</f>
        <v>359692.78070711897</v>
      </c>
      <c r="BO56" s="2">
        <f>Table834[[#This Row],[Weight]]*Table834[[#This Row],[Carbs]]</f>
        <v>18342.44893056219</v>
      </c>
      <c r="BP56" s="2">
        <f>Table834[[#This Row],[Weight]]*Table834[[#This Row],[Fat ]]</f>
        <v>18353.704448160537</v>
      </c>
      <c r="BQ56" s="2">
        <f>Table834[[#This Row],[Weight]]*Table834[[#This Row],[Protein]]</f>
        <v>30006.487765567766</v>
      </c>
      <c r="BR56" s="2">
        <f>Table834[[#This Row],[Weight]]*Table834[[#This Row],[Fiber]]</f>
        <v>2403.0053734671123</v>
      </c>
      <c r="BS56" s="2">
        <f>Table834[[#This Row],[Weight]]*Table834[[#This Row],[Sugar]]</f>
        <v>5499.8883970377437</v>
      </c>
      <c r="BT56" s="2">
        <f>Table834[[#This Row],[Weight]]*Table834[[#This Row],[Servings]]</f>
        <v>3291.6</v>
      </c>
      <c r="BU56" s="2">
        <f>Table834[[#This Row],[Weight]]*Table834[[#This Row],[Water]]</f>
        <v>569.69999999999993</v>
      </c>
      <c r="BV56" s="2">
        <f>Table834[[#This Row],[Weight]]*Table834[[#This Row],[Fat Calories]]</f>
        <v>165183.34003344478</v>
      </c>
      <c r="BW56" s="2">
        <f>Table834[[#This Row],[Waist]]*Table834[[#This Row],[Neck]]</f>
        <v>748</v>
      </c>
      <c r="BX56" s="2">
        <f>Table834[[#This Row],[Waist]]*Table834[[#This Row],[Morning Body Temp]]</f>
        <v>4294.3999999999996</v>
      </c>
      <c r="BY56" s="2">
        <f>Table834[[#This Row],[Waist]]*Table834[[#This Row],[Morning Systolic Pressure]]</f>
        <v>5632</v>
      </c>
      <c r="BZ56" s="2">
        <f>Table834[[#This Row],[Waist]]*Table834[[#This Row],[Morning Diastolic Pressure]]</f>
        <v>3168</v>
      </c>
      <c r="CA56" s="2">
        <f>Table834[[#This Row],[Waist]]*Table834[[#This Row],[Morning Pulse]]</f>
        <v>3432</v>
      </c>
      <c r="CB56" s="2">
        <f>Table834[[#This Row],[Waist]]*Table834[[#This Row],[Night Body Temp]]</f>
        <v>4246</v>
      </c>
      <c r="CC56" s="2">
        <f>Table834[[#This Row],[Waist]]*Table834[[#This Row],[Night Systolic Pressure]]</f>
        <v>6248</v>
      </c>
      <c r="CD56" s="4">
        <f>Table83[[#This Row],[Waist]]*Table83[[#This Row],[Night Diastolic Pressure]]</f>
        <v>3608</v>
      </c>
      <c r="CE56" s="2">
        <f>Table834[[#This Row],[Waist]]*Table834[[#This Row],[Night Pulse]]</f>
        <v>2376</v>
      </c>
      <c r="CF56" s="2">
        <f>Table834[[#This Row],[Waist]]*Table834[[#This Row],[Sleep]]</f>
        <v>528</v>
      </c>
      <c r="CG56" s="2">
        <f>Table834[[#This Row],[Waist]]*Table834[[#This Row],[BMI]]</f>
        <v>1598.3637551020406</v>
      </c>
      <c r="CH56" s="2">
        <f>Table834[[#This Row],[Waist]]*Table834[[#This Row],[CBF]]</f>
        <v>1348.1197635257417</v>
      </c>
      <c r="CI56" s="2">
        <f>Table834[[#This Row],[Waist]]*Table834[[#This Row],[Gym]]</f>
        <v>44</v>
      </c>
      <c r="CJ56" s="2">
        <f>Table834[[#This Row],[Waist]]*Table834[[#This Row],[Cardio]]</f>
        <v>0</v>
      </c>
      <c r="CK56" s="2">
        <f>Table834[[#This Row],[Waist]]*Table834[[#This Row],[Calories]]</f>
        <v>62505.854467271856</v>
      </c>
      <c r="CL56" s="2">
        <f>Table834[[#This Row],[Waist]]*Table834[[#This Row],[Carbs]]</f>
        <v>3187.4713781387691</v>
      </c>
      <c r="CM56" s="2">
        <f>Table834[[#This Row],[Waist]]*Table834[[#This Row],[Fat ]]</f>
        <v>3189.4273132664443</v>
      </c>
      <c r="CN56" s="2">
        <f>Table834[[#This Row],[Waist]]*Table834[[#This Row],[Protein]]</f>
        <v>5214.3975579975586</v>
      </c>
      <c r="CO56" s="2">
        <f>Table834[[#This Row],[Waist]]*Table834[[#This Row],[Fiber]]</f>
        <v>417.58387216648083</v>
      </c>
      <c r="CP56" s="2">
        <f>Table834[[#This Row],[Waist]]*Table834[[#This Row],[Sugar]]</f>
        <v>955.74679885332046</v>
      </c>
      <c r="CQ56" s="2">
        <f>Table834[[#This Row],[Waist]]*Table834[[#This Row],[Servings]]</f>
        <v>572</v>
      </c>
      <c r="CR56" s="2">
        <f>Table834[[#This Row],[Waist]]*Table834[[#This Row],[Water]]</f>
        <v>99</v>
      </c>
      <c r="CS56" s="2">
        <f>Table834[[#This Row],[Waist]]*Table834[[#This Row],[Fat Calories]]</f>
        <v>28704.84581939799</v>
      </c>
    </row>
    <row r="57" spans="1:97" x14ac:dyDescent="0.25">
      <c r="A57" s="2">
        <v>251.6</v>
      </c>
      <c r="B57" s="2">
        <f>Table834[[#This Row],[Weight]]^2</f>
        <v>63302.559999999998</v>
      </c>
      <c r="C57" s="2">
        <v>44</v>
      </c>
      <c r="D57" s="2">
        <f>Table834[[#This Row],[Waist]]^2</f>
        <v>1936</v>
      </c>
      <c r="E57" s="2">
        <v>17</v>
      </c>
      <c r="F57" s="2">
        <f>Table834[[#This Row],[Neck]]^2</f>
        <v>289</v>
      </c>
      <c r="G57" s="2">
        <v>96.7</v>
      </c>
      <c r="H57" s="2">
        <f>Table834[[#This Row],[Morning Body Temp]]^2</f>
        <v>9350.8900000000012</v>
      </c>
      <c r="I57" s="2">
        <v>134</v>
      </c>
      <c r="J57" s="2">
        <f>Table834[[#This Row],[Morning Systolic Pressure]]^2</f>
        <v>17956</v>
      </c>
      <c r="K57" s="2">
        <v>78</v>
      </c>
      <c r="L57" s="2">
        <f>Table834[[#This Row],[Morning Diastolic Pressure]]^2</f>
        <v>6084</v>
      </c>
      <c r="M57" s="2">
        <v>64</v>
      </c>
      <c r="N57" s="2">
        <f>Table834[[#This Row],[Morning Pulse]]^2</f>
        <v>4096</v>
      </c>
      <c r="O57" s="2">
        <v>97.5</v>
      </c>
      <c r="P57" s="2">
        <f>Table834[[#This Row],[Night Body Temp]]^2</f>
        <v>9506.25</v>
      </c>
      <c r="Q57" s="2">
        <v>134</v>
      </c>
      <c r="R57" s="2">
        <f>Table834[[#This Row],[Night Systolic Pressure]]^2</f>
        <v>17956</v>
      </c>
      <c r="S57" s="2">
        <v>74</v>
      </c>
      <c r="T57" s="2">
        <f>Table834[[#This Row],[Night Diastolic Pressure]]^2</f>
        <v>5476</v>
      </c>
      <c r="U57" s="2">
        <v>80</v>
      </c>
      <c r="V57" s="2">
        <f>Table834[[#This Row],[Night Pulse]]^2</f>
        <v>6400</v>
      </c>
      <c r="W57" s="2">
        <v>7</v>
      </c>
      <c r="X57" s="2">
        <f>Table834[[#This Row],[Sleep]]^2</f>
        <v>49</v>
      </c>
      <c r="Y57" s="2">
        <f t="shared" si="1"/>
        <v>36.096897959183678</v>
      </c>
      <c r="Z57" s="2">
        <f>Table834[[#This Row],[BMI]]^2</f>
        <v>1302.9860422757188</v>
      </c>
      <c r="AA57" s="2">
        <f t="shared" si="0"/>
        <v>30.639085534675949</v>
      </c>
      <c r="AB57" s="2">
        <f>Table834[[#This Row],[CBF]]^2</f>
        <v>938.75356240118901</v>
      </c>
      <c r="AC57" s="2">
        <v>1</v>
      </c>
      <c r="AD57" s="2">
        <f>Table834[[#This Row],[Gym]]^2</f>
        <v>1</v>
      </c>
      <c r="AE57" s="2">
        <v>0</v>
      </c>
      <c r="AF57" s="2">
        <f>Table834[[#This Row],[Cardio]]^2</f>
        <v>0</v>
      </c>
      <c r="AG57" s="2">
        <v>2139.6756967670008</v>
      </c>
      <c r="AH57" s="2">
        <f>Table834[[#This Row],[Calories]]^2</f>
        <v>4578212.08733535</v>
      </c>
      <c r="AI57" s="2">
        <v>215.71526941657376</v>
      </c>
      <c r="AJ57" s="2">
        <f>Table834[[#This Row],[Carbs]]^2</f>
        <v>46533.077459465007</v>
      </c>
      <c r="AK57" s="2">
        <v>86.228651059085863</v>
      </c>
      <c r="AL57" s="2">
        <f>Table834[[#This Row],[Fat ]]^2</f>
        <v>7435.3802634695894</v>
      </c>
      <c r="AM57" s="2">
        <v>124.3742735042735</v>
      </c>
      <c r="AN57" s="2">
        <f>Table834[[#This Row],[Protein]]^2</f>
        <v>15468.95990971583</v>
      </c>
      <c r="AO57" s="2">
        <v>34.770542549238208</v>
      </c>
      <c r="AP57" s="2">
        <f>Table834[[#This Row],[Fiber]]^2</f>
        <v>1208.9906291683847</v>
      </c>
      <c r="AQ57" s="2">
        <v>106.58306577480491</v>
      </c>
      <c r="AR57" s="2">
        <f>Table834[[#This Row],[Sugar]]^2</f>
        <v>11359.949909956389</v>
      </c>
      <c r="AS57" s="2">
        <v>24.1</v>
      </c>
      <c r="AT57" s="2">
        <f>Table834[[#This Row],[Servings]]^2</f>
        <v>580.81000000000006</v>
      </c>
      <c r="AU57" s="2">
        <v>2</v>
      </c>
      <c r="AV57" s="2">
        <f>Table834[[#This Row],[Water]]^2</f>
        <v>4</v>
      </c>
      <c r="AW57" s="2">
        <v>776.05785953177258</v>
      </c>
      <c r="AX57" s="2">
        <f>Table834[[#This Row],[Fat Calories]]^2</f>
        <v>602265.80134103645</v>
      </c>
      <c r="AY57" s="5">
        <f>Table834[[#This Row],[Weight]]*Table834[[#This Row],[Waist]]</f>
        <v>11070.4</v>
      </c>
      <c r="AZ57" s="6">
        <f>Table834[[#This Row],[Weight]]*Table834[[#This Row],[Neck]]</f>
        <v>4277.2</v>
      </c>
      <c r="BA57" s="6">
        <f>Table834[[#This Row],[Weight]]*Table834[[#This Row],[Morning Body Temp]]</f>
        <v>24329.72</v>
      </c>
      <c r="BB57" s="6">
        <f>Table834[[#This Row],[Weight]]*Table834[[#This Row],[Morning Systolic Pressure]]</f>
        <v>33714.400000000001</v>
      </c>
      <c r="BC57" s="12">
        <f>Table834[[#This Row],[Weight]]*Table834[[#This Row],[Morning Diastolic Pressure]]</f>
        <v>19624.8</v>
      </c>
      <c r="BD57" s="2">
        <f>Table834[[#This Row],[Weight]]*Table834[[#This Row],[Morning Pulse]]</f>
        <v>16102.4</v>
      </c>
      <c r="BE57" s="2">
        <f>Table834[[#This Row],[Weight]]*Table834[[#This Row],[Night Body Temp]]</f>
        <v>24531</v>
      </c>
      <c r="BF57" s="2">
        <f>Table834[[#This Row],[Weight]]*Table834[[#This Row],[Night Systolic Pressure]]</f>
        <v>33714.400000000001</v>
      </c>
      <c r="BG57" s="4">
        <f>Table83[[#This Row],[Weight]]*Table83[[#This Row],[Night Diastolic Pressure]]</f>
        <v>18618.399999999998</v>
      </c>
      <c r="BH57" s="2">
        <f>Table834[[#This Row],[Weight]]*Table834[[#This Row],[Night Pulse]]</f>
        <v>20128</v>
      </c>
      <c r="BI57" s="2">
        <f>Table834[[#This Row],[Weight]]*Table834[[#This Row],[Sleep]]</f>
        <v>1761.2</v>
      </c>
      <c r="BJ57" s="2">
        <f>Table834[[#This Row],[Weight]]*Table834[[#This Row],[BMI]]</f>
        <v>9081.9795265306129</v>
      </c>
      <c r="BK57" s="2">
        <f>Table834[[#This Row],[Weight]]*Table834[[#This Row],[CBF]]</f>
        <v>7708.7939205244684</v>
      </c>
      <c r="BL57" s="2">
        <f>Table834[[#This Row],[Weight]]*Table834[[#This Row],[Gym]]</f>
        <v>251.6</v>
      </c>
      <c r="BM57" s="2">
        <f>Table834[[#This Row],[Weight]]*Table834[[#This Row],[Cardio]]</f>
        <v>0</v>
      </c>
      <c r="BN57" s="2">
        <f>Table834[[#This Row],[Weight]]*Table834[[#This Row],[Calories]]</f>
        <v>538342.40530657733</v>
      </c>
      <c r="BO57" s="2">
        <f>Table834[[#This Row],[Weight]]*Table834[[#This Row],[Carbs]]</f>
        <v>54273.961785209955</v>
      </c>
      <c r="BP57" s="2">
        <f>Table834[[#This Row],[Weight]]*Table834[[#This Row],[Fat ]]</f>
        <v>21695.128606466002</v>
      </c>
      <c r="BQ57" s="2">
        <f>Table834[[#This Row],[Weight]]*Table834[[#This Row],[Protein]]</f>
        <v>31292.567213675211</v>
      </c>
      <c r="BR57" s="2">
        <f>Table834[[#This Row],[Weight]]*Table834[[#This Row],[Fiber]]</f>
        <v>8748.2685053883324</v>
      </c>
      <c r="BS57" s="2">
        <f>Table834[[#This Row],[Weight]]*Table834[[#This Row],[Sugar]]</f>
        <v>26816.299348940913</v>
      </c>
      <c r="BT57" s="2">
        <f>Table834[[#This Row],[Weight]]*Table834[[#This Row],[Servings]]</f>
        <v>6063.56</v>
      </c>
      <c r="BU57" s="2">
        <f>Table834[[#This Row],[Weight]]*Table834[[#This Row],[Water]]</f>
        <v>503.2</v>
      </c>
      <c r="BV57" s="2">
        <f>Table834[[#This Row],[Weight]]*Table834[[#This Row],[Fat Calories]]</f>
        <v>195256.15745819398</v>
      </c>
      <c r="BW57" s="2">
        <f>Table834[[#This Row],[Waist]]*Table834[[#This Row],[Neck]]</f>
        <v>748</v>
      </c>
      <c r="BX57" s="2">
        <f>Table834[[#This Row],[Waist]]*Table834[[#This Row],[Morning Body Temp]]</f>
        <v>4254.8</v>
      </c>
      <c r="BY57" s="2">
        <f>Table834[[#This Row],[Waist]]*Table834[[#This Row],[Morning Systolic Pressure]]</f>
        <v>5896</v>
      </c>
      <c r="BZ57" s="2">
        <f>Table834[[#This Row],[Waist]]*Table834[[#This Row],[Morning Diastolic Pressure]]</f>
        <v>3432</v>
      </c>
      <c r="CA57" s="2">
        <f>Table834[[#This Row],[Waist]]*Table834[[#This Row],[Morning Pulse]]</f>
        <v>2816</v>
      </c>
      <c r="CB57" s="2">
        <f>Table834[[#This Row],[Waist]]*Table834[[#This Row],[Night Body Temp]]</f>
        <v>4290</v>
      </c>
      <c r="CC57" s="2">
        <f>Table834[[#This Row],[Waist]]*Table834[[#This Row],[Night Systolic Pressure]]</f>
        <v>5896</v>
      </c>
      <c r="CD57" s="4">
        <f>Table83[[#This Row],[Waist]]*Table83[[#This Row],[Night Diastolic Pressure]]</f>
        <v>3256</v>
      </c>
      <c r="CE57" s="2">
        <f>Table834[[#This Row],[Waist]]*Table834[[#This Row],[Night Pulse]]</f>
        <v>3520</v>
      </c>
      <c r="CF57" s="2">
        <f>Table834[[#This Row],[Waist]]*Table834[[#This Row],[Sleep]]</f>
        <v>308</v>
      </c>
      <c r="CG57" s="2">
        <f>Table834[[#This Row],[Waist]]*Table834[[#This Row],[BMI]]</f>
        <v>1588.2635102040817</v>
      </c>
      <c r="CH57" s="2">
        <f>Table834[[#This Row],[Waist]]*Table834[[#This Row],[CBF]]</f>
        <v>1348.1197635257417</v>
      </c>
      <c r="CI57" s="2">
        <f>Table834[[#This Row],[Waist]]*Table834[[#This Row],[Gym]]</f>
        <v>44</v>
      </c>
      <c r="CJ57" s="2">
        <f>Table834[[#This Row],[Waist]]*Table834[[#This Row],[Cardio]]</f>
        <v>0</v>
      </c>
      <c r="CK57" s="2">
        <f>Table834[[#This Row],[Waist]]*Table834[[#This Row],[Calories]]</f>
        <v>94145.730657748034</v>
      </c>
      <c r="CL57" s="2">
        <f>Table834[[#This Row],[Waist]]*Table834[[#This Row],[Carbs]]</f>
        <v>9491.4718543292456</v>
      </c>
      <c r="CM57" s="2">
        <f>Table834[[#This Row],[Waist]]*Table834[[#This Row],[Fat ]]</f>
        <v>3794.060646599778</v>
      </c>
      <c r="CN57" s="2">
        <f>Table834[[#This Row],[Waist]]*Table834[[#This Row],[Protein]]</f>
        <v>5472.4680341880339</v>
      </c>
      <c r="CO57" s="2">
        <f>Table834[[#This Row],[Waist]]*Table834[[#This Row],[Fiber]]</f>
        <v>1529.9038721664811</v>
      </c>
      <c r="CP57" s="2">
        <f>Table834[[#This Row],[Waist]]*Table834[[#This Row],[Sugar]]</f>
        <v>4689.6548940914163</v>
      </c>
      <c r="CQ57" s="2">
        <f>Table834[[#This Row],[Waist]]*Table834[[#This Row],[Servings]]</f>
        <v>1060.4000000000001</v>
      </c>
      <c r="CR57" s="2">
        <f>Table834[[#This Row],[Waist]]*Table834[[#This Row],[Water]]</f>
        <v>88</v>
      </c>
      <c r="CS57" s="2">
        <f>Table834[[#This Row],[Waist]]*Table834[[#This Row],[Fat Calories]]</f>
        <v>34146.545819397994</v>
      </c>
    </row>
    <row r="58" spans="1:97" x14ac:dyDescent="0.25">
      <c r="A58" s="2">
        <v>251.4</v>
      </c>
      <c r="B58" s="2">
        <f>Table834[[#This Row],[Weight]]^2</f>
        <v>63201.960000000006</v>
      </c>
      <c r="C58" s="2">
        <v>44</v>
      </c>
      <c r="D58" s="2">
        <f>Table834[[#This Row],[Waist]]^2</f>
        <v>1936</v>
      </c>
      <c r="E58" s="2">
        <v>17</v>
      </c>
      <c r="F58" s="2">
        <f>Table834[[#This Row],[Neck]]^2</f>
        <v>289</v>
      </c>
      <c r="G58" s="2">
        <v>97</v>
      </c>
      <c r="H58" s="2">
        <f>Table834[[#This Row],[Morning Body Temp]]^2</f>
        <v>9409</v>
      </c>
      <c r="I58" s="2">
        <v>134</v>
      </c>
      <c r="J58" s="2">
        <f>Table834[[#This Row],[Morning Systolic Pressure]]^2</f>
        <v>17956</v>
      </c>
      <c r="K58" s="2">
        <v>84</v>
      </c>
      <c r="L58" s="2">
        <f>Table834[[#This Row],[Morning Diastolic Pressure]]^2</f>
        <v>7056</v>
      </c>
      <c r="M58" s="2">
        <v>78</v>
      </c>
      <c r="N58" s="2">
        <f>Table834[[#This Row],[Morning Pulse]]^2</f>
        <v>6084</v>
      </c>
      <c r="O58" s="2">
        <v>97.2</v>
      </c>
      <c r="P58" s="2">
        <f>Table834[[#This Row],[Night Body Temp]]^2</f>
        <v>9447.84</v>
      </c>
      <c r="Q58" s="2">
        <v>126</v>
      </c>
      <c r="R58" s="2">
        <f>Table834[[#This Row],[Night Systolic Pressure]]^2</f>
        <v>15876</v>
      </c>
      <c r="S58" s="2">
        <v>71</v>
      </c>
      <c r="T58" s="2">
        <f>Table834[[#This Row],[Night Diastolic Pressure]]^2</f>
        <v>5041</v>
      </c>
      <c r="U58" s="2">
        <v>70</v>
      </c>
      <c r="V58" s="2">
        <f>Table834[[#This Row],[Night Pulse]]^2</f>
        <v>4900</v>
      </c>
      <c r="W58" s="2">
        <v>9.5</v>
      </c>
      <c r="X58" s="2">
        <f>Table834[[#This Row],[Sleep]]^2</f>
        <v>90.25</v>
      </c>
      <c r="Y58" s="2">
        <f t="shared" si="1"/>
        <v>36.068204081632651</v>
      </c>
      <c r="Z58" s="2">
        <f>Table834[[#This Row],[BMI]]^2</f>
        <v>1300.9153456743022</v>
      </c>
      <c r="AA58" s="2">
        <f t="shared" si="0"/>
        <v>30.639085534675949</v>
      </c>
      <c r="AB58" s="2">
        <f>Table834[[#This Row],[CBF]]^2</f>
        <v>938.75356240118901</v>
      </c>
      <c r="AC58" s="2">
        <v>1</v>
      </c>
      <c r="AD58" s="2">
        <f>Table834[[#This Row],[Gym]]^2</f>
        <v>1</v>
      </c>
      <c r="AE58" s="2">
        <v>1</v>
      </c>
      <c r="AF58" s="2">
        <f>Table834[[#This Row],[Cardio]]^2</f>
        <v>1</v>
      </c>
      <c r="AG58" s="2">
        <v>1865.945238095238</v>
      </c>
      <c r="AH58" s="2">
        <f>Table834[[#This Row],[Calories]]^2</f>
        <v>3481751.6315702945</v>
      </c>
      <c r="AI58" s="2">
        <v>178.92202380952378</v>
      </c>
      <c r="AJ58" s="2">
        <f>Table834[[#This Row],[Carbs]]^2</f>
        <v>32013.090604095793</v>
      </c>
      <c r="AK58" s="2">
        <v>79.477380952380969</v>
      </c>
      <c r="AL58" s="2">
        <f>Table834[[#This Row],[Fat ]]^2</f>
        <v>6316.6540830498889</v>
      </c>
      <c r="AM58" s="2">
        <v>118.11428571428573</v>
      </c>
      <c r="AN58" s="2">
        <f>Table834[[#This Row],[Protein]]^2</f>
        <v>13950.984489795921</v>
      </c>
      <c r="AO58" s="2">
        <v>7.0666666666666664</v>
      </c>
      <c r="AP58" s="2">
        <f>Table834[[#This Row],[Fiber]]^2</f>
        <v>49.937777777777775</v>
      </c>
      <c r="AQ58" s="2">
        <v>149.85178571428571</v>
      </c>
      <c r="AR58" s="2">
        <f>Table834[[#This Row],[Sugar]]^2</f>
        <v>22455.557681760201</v>
      </c>
      <c r="AS58" s="2">
        <v>15</v>
      </c>
      <c r="AT58" s="2">
        <f>Table834[[#This Row],[Servings]]^2</f>
        <v>225</v>
      </c>
      <c r="AU58" s="2">
        <v>2.5</v>
      </c>
      <c r="AV58" s="2">
        <f>Table834[[#This Row],[Water]]^2</f>
        <v>6.25</v>
      </c>
      <c r="AW58" s="2">
        <v>715.29642857142858</v>
      </c>
      <c r="AX58" s="2">
        <f>Table834[[#This Row],[Fat Calories]]^2</f>
        <v>511648.98072704085</v>
      </c>
      <c r="AY58" s="3">
        <f>Table834[[#This Row],[Weight]]*Table834[[#This Row],[Waist]]</f>
        <v>11061.6</v>
      </c>
      <c r="AZ58" s="4">
        <f>Table834[[#This Row],[Weight]]*Table834[[#This Row],[Neck]]</f>
        <v>4273.8</v>
      </c>
      <c r="BA58" s="4">
        <f>Table834[[#This Row],[Weight]]*Table834[[#This Row],[Morning Body Temp]]</f>
        <v>24385.8</v>
      </c>
      <c r="BB58" s="4">
        <f>Table834[[#This Row],[Weight]]*Table834[[#This Row],[Morning Systolic Pressure]]</f>
        <v>33687.599999999999</v>
      </c>
      <c r="BC58" s="11">
        <f>Table834[[#This Row],[Weight]]*Table834[[#This Row],[Morning Diastolic Pressure]]</f>
        <v>21117.600000000002</v>
      </c>
      <c r="BD58" s="2">
        <f>Table834[[#This Row],[Weight]]*Table834[[#This Row],[Morning Pulse]]</f>
        <v>19609.2</v>
      </c>
      <c r="BE58" s="2">
        <f>Table834[[#This Row],[Weight]]*Table834[[#This Row],[Night Body Temp]]</f>
        <v>24436.080000000002</v>
      </c>
      <c r="BF58" s="2">
        <f>Table834[[#This Row],[Weight]]*Table834[[#This Row],[Night Systolic Pressure]]</f>
        <v>31676.400000000001</v>
      </c>
      <c r="BG58" s="4">
        <f>Table83[[#This Row],[Weight]]*Table83[[#This Row],[Night Diastolic Pressure]]</f>
        <v>17849.400000000001</v>
      </c>
      <c r="BH58" s="2">
        <f>Table834[[#This Row],[Weight]]*Table834[[#This Row],[Night Pulse]]</f>
        <v>17598</v>
      </c>
      <c r="BI58" s="2">
        <f>Table834[[#This Row],[Weight]]*Table834[[#This Row],[Sleep]]</f>
        <v>2388.3000000000002</v>
      </c>
      <c r="BJ58" s="2">
        <f>Table834[[#This Row],[Weight]]*Table834[[#This Row],[BMI]]</f>
        <v>9067.5465061224477</v>
      </c>
      <c r="BK58" s="2">
        <f>Table834[[#This Row],[Weight]]*Table834[[#This Row],[CBF]]</f>
        <v>7702.666103417534</v>
      </c>
      <c r="BL58" s="2">
        <f>Table834[[#This Row],[Weight]]*Table834[[#This Row],[Gym]]</f>
        <v>251.4</v>
      </c>
      <c r="BM58" s="2">
        <f>Table834[[#This Row],[Weight]]*Table834[[#This Row],[Cardio]]</f>
        <v>251.4</v>
      </c>
      <c r="BN58" s="2">
        <f>Table834[[#This Row],[Weight]]*Table834[[#This Row],[Calories]]</f>
        <v>469098.63285714283</v>
      </c>
      <c r="BO58" s="2">
        <f>Table834[[#This Row],[Weight]]*Table834[[#This Row],[Carbs]]</f>
        <v>44980.996785714276</v>
      </c>
      <c r="BP58" s="2">
        <f>Table834[[#This Row],[Weight]]*Table834[[#This Row],[Fat ]]</f>
        <v>19980.613571428577</v>
      </c>
      <c r="BQ58" s="2">
        <f>Table834[[#This Row],[Weight]]*Table834[[#This Row],[Protein]]</f>
        <v>29693.931428571432</v>
      </c>
      <c r="BR58" s="2">
        <f>Table834[[#This Row],[Weight]]*Table834[[#This Row],[Fiber]]</f>
        <v>1776.56</v>
      </c>
      <c r="BS58" s="2">
        <f>Table834[[#This Row],[Weight]]*Table834[[#This Row],[Sugar]]</f>
        <v>37672.738928571431</v>
      </c>
      <c r="BT58" s="2">
        <f>Table834[[#This Row],[Weight]]*Table834[[#This Row],[Servings]]</f>
        <v>3771</v>
      </c>
      <c r="BU58" s="2">
        <f>Table834[[#This Row],[Weight]]*Table834[[#This Row],[Water]]</f>
        <v>628.5</v>
      </c>
      <c r="BV58" s="2">
        <f>Table834[[#This Row],[Weight]]*Table834[[#This Row],[Fat Calories]]</f>
        <v>179825.52214285714</v>
      </c>
      <c r="BW58" s="2">
        <f>Table834[[#This Row],[Waist]]*Table834[[#This Row],[Neck]]</f>
        <v>748</v>
      </c>
      <c r="BX58" s="2">
        <f>Table834[[#This Row],[Waist]]*Table834[[#This Row],[Morning Body Temp]]</f>
        <v>4268</v>
      </c>
      <c r="BY58" s="2">
        <f>Table834[[#This Row],[Waist]]*Table834[[#This Row],[Morning Systolic Pressure]]</f>
        <v>5896</v>
      </c>
      <c r="BZ58" s="2">
        <f>Table834[[#This Row],[Waist]]*Table834[[#This Row],[Morning Diastolic Pressure]]</f>
        <v>3696</v>
      </c>
      <c r="CA58" s="2">
        <f>Table834[[#This Row],[Waist]]*Table834[[#This Row],[Morning Pulse]]</f>
        <v>3432</v>
      </c>
      <c r="CB58" s="2">
        <f>Table834[[#This Row],[Waist]]*Table834[[#This Row],[Night Body Temp]]</f>
        <v>4276.8</v>
      </c>
      <c r="CC58" s="2">
        <f>Table834[[#This Row],[Waist]]*Table834[[#This Row],[Night Systolic Pressure]]</f>
        <v>5544</v>
      </c>
      <c r="CD58" s="4">
        <f>Table83[[#This Row],[Waist]]*Table83[[#This Row],[Night Diastolic Pressure]]</f>
        <v>3124</v>
      </c>
      <c r="CE58" s="2">
        <f>Table834[[#This Row],[Waist]]*Table834[[#This Row],[Night Pulse]]</f>
        <v>3080</v>
      </c>
      <c r="CF58" s="2">
        <f>Table834[[#This Row],[Waist]]*Table834[[#This Row],[Sleep]]</f>
        <v>418</v>
      </c>
      <c r="CG58" s="2">
        <f>Table834[[#This Row],[Waist]]*Table834[[#This Row],[BMI]]</f>
        <v>1587.0009795918365</v>
      </c>
      <c r="CH58" s="2">
        <f>Table834[[#This Row],[Waist]]*Table834[[#This Row],[CBF]]</f>
        <v>1348.1197635257417</v>
      </c>
      <c r="CI58" s="2">
        <f>Table834[[#This Row],[Waist]]*Table834[[#This Row],[Gym]]</f>
        <v>44</v>
      </c>
      <c r="CJ58" s="2">
        <f>Table834[[#This Row],[Waist]]*Table834[[#This Row],[Cardio]]</f>
        <v>44</v>
      </c>
      <c r="CK58" s="2">
        <f>Table834[[#This Row],[Waist]]*Table834[[#This Row],[Calories]]</f>
        <v>82101.590476190468</v>
      </c>
      <c r="CL58" s="2">
        <f>Table834[[#This Row],[Waist]]*Table834[[#This Row],[Carbs]]</f>
        <v>7872.5690476190466</v>
      </c>
      <c r="CM58" s="2">
        <f>Table834[[#This Row],[Waist]]*Table834[[#This Row],[Fat ]]</f>
        <v>3497.0047619047627</v>
      </c>
      <c r="CN58" s="2">
        <f>Table834[[#This Row],[Waist]]*Table834[[#This Row],[Protein]]</f>
        <v>5197.0285714285719</v>
      </c>
      <c r="CO58" s="2">
        <f>Table834[[#This Row],[Waist]]*Table834[[#This Row],[Fiber]]</f>
        <v>310.93333333333334</v>
      </c>
      <c r="CP58" s="2">
        <f>Table834[[#This Row],[Waist]]*Table834[[#This Row],[Sugar]]</f>
        <v>6593.4785714285717</v>
      </c>
      <c r="CQ58" s="2">
        <f>Table834[[#This Row],[Waist]]*Table834[[#This Row],[Servings]]</f>
        <v>660</v>
      </c>
      <c r="CR58" s="2">
        <f>Table834[[#This Row],[Waist]]*Table834[[#This Row],[Water]]</f>
        <v>110</v>
      </c>
      <c r="CS58" s="2">
        <f>Table834[[#This Row],[Waist]]*Table834[[#This Row],[Fat Calories]]</f>
        <v>31473.042857142857</v>
      </c>
    </row>
    <row r="59" spans="1:97" x14ac:dyDescent="0.25">
      <c r="A59" s="2">
        <v>250</v>
      </c>
      <c r="B59" s="2">
        <f>Table834[[#This Row],[Weight]]^2</f>
        <v>62500</v>
      </c>
      <c r="C59" s="2">
        <v>44</v>
      </c>
      <c r="D59" s="2">
        <f>Table834[[#This Row],[Waist]]^2</f>
        <v>1936</v>
      </c>
      <c r="E59" s="2">
        <v>17</v>
      </c>
      <c r="F59" s="2">
        <f>Table834[[#This Row],[Neck]]^2</f>
        <v>289</v>
      </c>
      <c r="G59" s="2">
        <v>96.3</v>
      </c>
      <c r="H59" s="2">
        <f>Table834[[#This Row],[Morning Body Temp]]^2</f>
        <v>9273.6899999999987</v>
      </c>
      <c r="I59" s="2">
        <v>136</v>
      </c>
      <c r="J59" s="2">
        <f>Table834[[#This Row],[Morning Systolic Pressure]]^2</f>
        <v>18496</v>
      </c>
      <c r="K59" s="2">
        <v>76</v>
      </c>
      <c r="L59" s="2">
        <f>Table834[[#This Row],[Morning Diastolic Pressure]]^2</f>
        <v>5776</v>
      </c>
      <c r="M59" s="2">
        <v>61</v>
      </c>
      <c r="N59" s="2">
        <f>Table834[[#This Row],[Morning Pulse]]^2</f>
        <v>3721</v>
      </c>
      <c r="O59" s="2">
        <v>96.9</v>
      </c>
      <c r="P59" s="2">
        <f>Table834[[#This Row],[Night Body Temp]]^2</f>
        <v>9389.61</v>
      </c>
      <c r="Q59" s="2">
        <v>156</v>
      </c>
      <c r="R59" s="2">
        <f>Table834[[#This Row],[Night Systolic Pressure]]^2</f>
        <v>24336</v>
      </c>
      <c r="S59" s="2">
        <v>76</v>
      </c>
      <c r="T59" s="2">
        <f>Table834[[#This Row],[Night Diastolic Pressure]]^2</f>
        <v>5776</v>
      </c>
      <c r="U59" s="2">
        <v>60</v>
      </c>
      <c r="V59" s="2">
        <f>Table834[[#This Row],[Night Pulse]]^2</f>
        <v>3600</v>
      </c>
      <c r="W59" s="2">
        <v>7</v>
      </c>
      <c r="X59" s="2">
        <f>Table834[[#This Row],[Sleep]]^2</f>
        <v>49</v>
      </c>
      <c r="Y59" s="2">
        <f t="shared" si="1"/>
        <v>35.867346938775512</v>
      </c>
      <c r="Z59" s="2">
        <f>Table834[[#This Row],[BMI]]^2</f>
        <v>1286.4665764264892</v>
      </c>
      <c r="AA59" s="2">
        <f t="shared" si="0"/>
        <v>30.639085534675949</v>
      </c>
      <c r="AB59" s="2">
        <f>Table834[[#This Row],[CBF]]^2</f>
        <v>938.75356240118901</v>
      </c>
      <c r="AC59" s="2">
        <v>1</v>
      </c>
      <c r="AD59" s="2">
        <f>Table834[[#This Row],[Gym]]^2</f>
        <v>1</v>
      </c>
      <c r="AE59" s="2">
        <v>0</v>
      </c>
      <c r="AF59" s="2">
        <f>Table834[[#This Row],[Cardio]]^2</f>
        <v>0</v>
      </c>
      <c r="AG59" s="2">
        <v>950.84523809523807</v>
      </c>
      <c r="AH59" s="2">
        <f>Table834[[#This Row],[Calories]]^2</f>
        <v>904106.66680838994</v>
      </c>
      <c r="AI59" s="2">
        <v>44.072023809523806</v>
      </c>
      <c r="AJ59" s="2">
        <f>Table834[[#This Row],[Carbs]]^2</f>
        <v>1942.3432826672333</v>
      </c>
      <c r="AK59" s="2">
        <v>57.210714285714296</v>
      </c>
      <c r="AL59" s="2">
        <f>Table834[[#This Row],[Fat ]]^2</f>
        <v>3273.0658290816336</v>
      </c>
      <c r="AM59" s="2">
        <v>61.680952380952384</v>
      </c>
      <c r="AN59" s="2">
        <f>Table834[[#This Row],[Protein]]^2</f>
        <v>3804.5398866213154</v>
      </c>
      <c r="AO59" s="2">
        <v>4.1666666666666661</v>
      </c>
      <c r="AP59" s="2">
        <f>Table834[[#This Row],[Fiber]]^2</f>
        <v>17.361111111111107</v>
      </c>
      <c r="AQ59" s="2">
        <v>17.201785714285712</v>
      </c>
      <c r="AR59" s="2">
        <f>Table834[[#This Row],[Sugar]]^2</f>
        <v>295.90143176020399</v>
      </c>
      <c r="AS59" s="2">
        <v>11.5</v>
      </c>
      <c r="AT59" s="2">
        <f>Table834[[#This Row],[Servings]]^2</f>
        <v>132.25</v>
      </c>
      <c r="AU59" s="2">
        <v>2</v>
      </c>
      <c r="AV59" s="2">
        <f>Table834[[#This Row],[Water]]^2</f>
        <v>4</v>
      </c>
      <c r="AW59" s="2">
        <v>514.8964285714286</v>
      </c>
      <c r="AX59" s="2">
        <f>Table834[[#This Row],[Fat Calories]]^2</f>
        <v>265118.3321556123</v>
      </c>
      <c r="AY59" s="5">
        <f>Table834[[#This Row],[Weight]]*Table834[[#This Row],[Waist]]</f>
        <v>11000</v>
      </c>
      <c r="AZ59" s="6">
        <f>Table834[[#This Row],[Weight]]*Table834[[#This Row],[Neck]]</f>
        <v>4250</v>
      </c>
      <c r="BA59" s="6">
        <f>Table834[[#This Row],[Weight]]*Table834[[#This Row],[Morning Body Temp]]</f>
        <v>24075</v>
      </c>
      <c r="BB59" s="6">
        <f>Table834[[#This Row],[Weight]]*Table834[[#This Row],[Morning Systolic Pressure]]</f>
        <v>34000</v>
      </c>
      <c r="BC59" s="12">
        <f>Table834[[#This Row],[Weight]]*Table834[[#This Row],[Morning Diastolic Pressure]]</f>
        <v>19000</v>
      </c>
      <c r="BD59" s="2">
        <f>Table834[[#This Row],[Weight]]*Table834[[#This Row],[Morning Pulse]]</f>
        <v>15250</v>
      </c>
      <c r="BE59" s="2">
        <f>Table834[[#This Row],[Weight]]*Table834[[#This Row],[Night Body Temp]]</f>
        <v>24225</v>
      </c>
      <c r="BF59" s="2">
        <f>Table834[[#This Row],[Weight]]*Table834[[#This Row],[Night Systolic Pressure]]</f>
        <v>39000</v>
      </c>
      <c r="BG59" s="4">
        <f>Table83[[#This Row],[Weight]]*Table83[[#This Row],[Night Diastolic Pressure]]</f>
        <v>19000</v>
      </c>
      <c r="BH59" s="2">
        <f>Table834[[#This Row],[Weight]]*Table834[[#This Row],[Night Pulse]]</f>
        <v>15000</v>
      </c>
      <c r="BI59" s="2">
        <f>Table834[[#This Row],[Weight]]*Table834[[#This Row],[Sleep]]</f>
        <v>1750</v>
      </c>
      <c r="BJ59" s="2">
        <f>Table834[[#This Row],[Weight]]*Table834[[#This Row],[BMI]]</f>
        <v>8966.8367346938776</v>
      </c>
      <c r="BK59" s="2">
        <f>Table834[[#This Row],[Weight]]*Table834[[#This Row],[CBF]]</f>
        <v>7659.7713836689873</v>
      </c>
      <c r="BL59" s="2">
        <f>Table834[[#This Row],[Weight]]*Table834[[#This Row],[Gym]]</f>
        <v>250</v>
      </c>
      <c r="BM59" s="2">
        <f>Table834[[#This Row],[Weight]]*Table834[[#This Row],[Cardio]]</f>
        <v>0</v>
      </c>
      <c r="BN59" s="2">
        <f>Table834[[#This Row],[Weight]]*Table834[[#This Row],[Calories]]</f>
        <v>237711.30952380953</v>
      </c>
      <c r="BO59" s="2">
        <f>Table834[[#This Row],[Weight]]*Table834[[#This Row],[Carbs]]</f>
        <v>11018.005952380952</v>
      </c>
      <c r="BP59" s="2">
        <f>Table834[[#This Row],[Weight]]*Table834[[#This Row],[Fat ]]</f>
        <v>14302.678571428574</v>
      </c>
      <c r="BQ59" s="2">
        <f>Table834[[#This Row],[Weight]]*Table834[[#This Row],[Protein]]</f>
        <v>15420.238095238095</v>
      </c>
      <c r="BR59" s="2">
        <f>Table834[[#This Row],[Weight]]*Table834[[#This Row],[Fiber]]</f>
        <v>1041.6666666666665</v>
      </c>
      <c r="BS59" s="2">
        <f>Table834[[#This Row],[Weight]]*Table834[[#This Row],[Sugar]]</f>
        <v>4300.4464285714284</v>
      </c>
      <c r="BT59" s="2">
        <f>Table834[[#This Row],[Weight]]*Table834[[#This Row],[Servings]]</f>
        <v>2875</v>
      </c>
      <c r="BU59" s="2">
        <f>Table834[[#This Row],[Weight]]*Table834[[#This Row],[Water]]</f>
        <v>500</v>
      </c>
      <c r="BV59" s="2">
        <f>Table834[[#This Row],[Weight]]*Table834[[#This Row],[Fat Calories]]</f>
        <v>128724.10714285714</v>
      </c>
      <c r="BW59" s="2">
        <f>Table834[[#This Row],[Waist]]*Table834[[#This Row],[Neck]]</f>
        <v>748</v>
      </c>
      <c r="BX59" s="2">
        <f>Table834[[#This Row],[Waist]]*Table834[[#This Row],[Morning Body Temp]]</f>
        <v>4237.2</v>
      </c>
      <c r="BY59" s="2">
        <f>Table834[[#This Row],[Waist]]*Table834[[#This Row],[Morning Systolic Pressure]]</f>
        <v>5984</v>
      </c>
      <c r="BZ59" s="2">
        <f>Table834[[#This Row],[Waist]]*Table834[[#This Row],[Morning Diastolic Pressure]]</f>
        <v>3344</v>
      </c>
      <c r="CA59" s="2">
        <f>Table834[[#This Row],[Waist]]*Table834[[#This Row],[Morning Pulse]]</f>
        <v>2684</v>
      </c>
      <c r="CB59" s="2">
        <f>Table834[[#This Row],[Waist]]*Table834[[#This Row],[Night Body Temp]]</f>
        <v>4263.6000000000004</v>
      </c>
      <c r="CC59" s="2">
        <f>Table834[[#This Row],[Waist]]*Table834[[#This Row],[Night Systolic Pressure]]</f>
        <v>6864</v>
      </c>
      <c r="CD59" s="4">
        <f>Table83[[#This Row],[Waist]]*Table83[[#This Row],[Night Diastolic Pressure]]</f>
        <v>3344</v>
      </c>
      <c r="CE59" s="2">
        <f>Table834[[#This Row],[Waist]]*Table834[[#This Row],[Night Pulse]]</f>
        <v>2640</v>
      </c>
      <c r="CF59" s="2">
        <f>Table834[[#This Row],[Waist]]*Table834[[#This Row],[Sleep]]</f>
        <v>308</v>
      </c>
      <c r="CG59" s="2">
        <f>Table834[[#This Row],[Waist]]*Table834[[#This Row],[BMI]]</f>
        <v>1578.1632653061224</v>
      </c>
      <c r="CH59" s="2">
        <f>Table834[[#This Row],[Waist]]*Table834[[#This Row],[CBF]]</f>
        <v>1348.1197635257417</v>
      </c>
      <c r="CI59" s="2">
        <f>Table834[[#This Row],[Waist]]*Table834[[#This Row],[Gym]]</f>
        <v>44</v>
      </c>
      <c r="CJ59" s="2">
        <f>Table834[[#This Row],[Waist]]*Table834[[#This Row],[Cardio]]</f>
        <v>0</v>
      </c>
      <c r="CK59" s="2">
        <f>Table834[[#This Row],[Waist]]*Table834[[#This Row],[Calories]]</f>
        <v>41837.190476190473</v>
      </c>
      <c r="CL59" s="2">
        <f>Table834[[#This Row],[Waist]]*Table834[[#This Row],[Carbs]]</f>
        <v>1939.1690476190474</v>
      </c>
      <c r="CM59" s="2">
        <f>Table834[[#This Row],[Waist]]*Table834[[#This Row],[Fat ]]</f>
        <v>2517.2714285714292</v>
      </c>
      <c r="CN59" s="2">
        <f>Table834[[#This Row],[Waist]]*Table834[[#This Row],[Protein]]</f>
        <v>2713.9619047619049</v>
      </c>
      <c r="CO59" s="2">
        <f>Table834[[#This Row],[Waist]]*Table834[[#This Row],[Fiber]]</f>
        <v>183.33333333333331</v>
      </c>
      <c r="CP59" s="2">
        <f>Table834[[#This Row],[Waist]]*Table834[[#This Row],[Sugar]]</f>
        <v>756.87857142857138</v>
      </c>
      <c r="CQ59" s="2">
        <f>Table834[[#This Row],[Waist]]*Table834[[#This Row],[Servings]]</f>
        <v>506</v>
      </c>
      <c r="CR59" s="2">
        <f>Table834[[#This Row],[Waist]]*Table834[[#This Row],[Water]]</f>
        <v>88</v>
      </c>
      <c r="CS59" s="2">
        <f>Table834[[#This Row],[Waist]]*Table834[[#This Row],[Fat Calories]]</f>
        <v>22655.442857142858</v>
      </c>
    </row>
    <row r="60" spans="1:97" x14ac:dyDescent="0.25">
      <c r="A60" s="2">
        <v>249.6</v>
      </c>
      <c r="B60" s="2">
        <f>Table834[[#This Row],[Weight]]^2</f>
        <v>62300.159999999996</v>
      </c>
      <c r="C60" s="2">
        <v>44</v>
      </c>
      <c r="D60" s="2">
        <f>Table834[[#This Row],[Waist]]^2</f>
        <v>1936</v>
      </c>
      <c r="E60" s="2">
        <v>17</v>
      </c>
      <c r="F60" s="2">
        <f>Table834[[#This Row],[Neck]]^2</f>
        <v>289</v>
      </c>
      <c r="G60" s="2">
        <v>96.9</v>
      </c>
      <c r="H60" s="2">
        <f>Table834[[#This Row],[Morning Body Temp]]^2</f>
        <v>9389.61</v>
      </c>
      <c r="I60" s="2">
        <v>146</v>
      </c>
      <c r="J60" s="2">
        <f>Table834[[#This Row],[Morning Systolic Pressure]]^2</f>
        <v>21316</v>
      </c>
      <c r="K60" s="2">
        <v>82</v>
      </c>
      <c r="L60" s="2">
        <f>Table834[[#This Row],[Morning Diastolic Pressure]]^2</f>
        <v>6724</v>
      </c>
      <c r="M60" s="2">
        <v>62</v>
      </c>
      <c r="N60" s="2">
        <f>Table834[[#This Row],[Morning Pulse]]^2</f>
        <v>3844</v>
      </c>
      <c r="O60" s="2">
        <v>96.8</v>
      </c>
      <c r="P60" s="2">
        <f>Table834[[#This Row],[Night Body Temp]]^2</f>
        <v>9370.24</v>
      </c>
      <c r="Q60" s="2">
        <v>153</v>
      </c>
      <c r="R60" s="2">
        <f>Table834[[#This Row],[Night Systolic Pressure]]^2</f>
        <v>23409</v>
      </c>
      <c r="S60" s="2">
        <v>78</v>
      </c>
      <c r="T60" s="2">
        <f>Table834[[#This Row],[Night Diastolic Pressure]]^2</f>
        <v>6084</v>
      </c>
      <c r="U60" s="2">
        <v>65</v>
      </c>
      <c r="V60" s="2">
        <f>Table834[[#This Row],[Night Pulse]]^2</f>
        <v>4225</v>
      </c>
      <c r="W60" s="2">
        <v>8</v>
      </c>
      <c r="X60" s="2">
        <f>Table834[[#This Row],[Sleep]]^2</f>
        <v>64</v>
      </c>
      <c r="Y60" s="2">
        <f t="shared" si="1"/>
        <v>35.80995918367347</v>
      </c>
      <c r="Z60" s="2">
        <f>Table834[[#This Row],[BMI]]^2</f>
        <v>1282.35317673636</v>
      </c>
      <c r="AA60" s="2">
        <f t="shared" si="0"/>
        <v>30.639085534675949</v>
      </c>
      <c r="AB60" s="2">
        <f>Table834[[#This Row],[CBF]]^2</f>
        <v>938.75356240118901</v>
      </c>
      <c r="AC60" s="2">
        <v>1</v>
      </c>
      <c r="AD60" s="2">
        <f>Table834[[#This Row],[Gym]]^2</f>
        <v>1</v>
      </c>
      <c r="AE60" s="2">
        <v>0</v>
      </c>
      <c r="AF60" s="2">
        <f>Table834[[#This Row],[Cardio]]^2</f>
        <v>0</v>
      </c>
      <c r="AG60" s="2">
        <v>1500.1</v>
      </c>
      <c r="AH60" s="2">
        <f>Table834[[#This Row],[Calories]]^2</f>
        <v>2250300.0099999998</v>
      </c>
      <c r="AI60" s="2">
        <v>73.849999999999994</v>
      </c>
      <c r="AJ60" s="2">
        <f>Table834[[#This Row],[Carbs]]^2</f>
        <v>5453.8224999999993</v>
      </c>
      <c r="AK60" s="2">
        <v>91.766666666666666</v>
      </c>
      <c r="AL60" s="2">
        <f>Table834[[#This Row],[Fat ]]^2</f>
        <v>8421.1211111111115</v>
      </c>
      <c r="AM60" s="2">
        <v>98.933333333333337</v>
      </c>
      <c r="AN60" s="2">
        <f>Table834[[#This Row],[Protein]]^2</f>
        <v>9787.8044444444458</v>
      </c>
      <c r="AO60" s="2">
        <v>7.4</v>
      </c>
      <c r="AP60" s="2">
        <f>Table834[[#This Row],[Fiber]]^2</f>
        <v>54.760000000000005</v>
      </c>
      <c r="AQ60" s="2">
        <v>14.649999999999999</v>
      </c>
      <c r="AR60" s="2">
        <f>Table834[[#This Row],[Sugar]]^2</f>
        <v>214.62249999999995</v>
      </c>
      <c r="AS60" s="2">
        <v>12.5</v>
      </c>
      <c r="AT60" s="2">
        <f>Table834[[#This Row],[Servings]]^2</f>
        <v>156.25</v>
      </c>
      <c r="AU60" s="2">
        <v>3</v>
      </c>
      <c r="AV60" s="2">
        <f>Table834[[#This Row],[Water]]^2</f>
        <v>9</v>
      </c>
      <c r="AW60" s="2">
        <v>825.90000000000009</v>
      </c>
      <c r="AX60" s="2">
        <f>Table834[[#This Row],[Fat Calories]]^2</f>
        <v>682110.81000000017</v>
      </c>
      <c r="AY60" s="3">
        <f>Table834[[#This Row],[Weight]]*Table834[[#This Row],[Waist]]</f>
        <v>10982.4</v>
      </c>
      <c r="AZ60" s="4">
        <f>Table834[[#This Row],[Weight]]*Table834[[#This Row],[Neck]]</f>
        <v>4243.2</v>
      </c>
      <c r="BA60" s="4">
        <f>Table834[[#This Row],[Weight]]*Table834[[#This Row],[Morning Body Temp]]</f>
        <v>24186.240000000002</v>
      </c>
      <c r="BB60" s="4">
        <f>Table834[[#This Row],[Weight]]*Table834[[#This Row],[Morning Systolic Pressure]]</f>
        <v>36441.599999999999</v>
      </c>
      <c r="BC60" s="11">
        <f>Table834[[#This Row],[Weight]]*Table834[[#This Row],[Morning Diastolic Pressure]]</f>
        <v>20467.2</v>
      </c>
      <c r="BD60" s="2">
        <f>Table834[[#This Row],[Weight]]*Table834[[#This Row],[Morning Pulse]]</f>
        <v>15475.199999999999</v>
      </c>
      <c r="BE60" s="2">
        <f>Table834[[#This Row],[Weight]]*Table834[[#This Row],[Night Body Temp]]</f>
        <v>24161.279999999999</v>
      </c>
      <c r="BF60" s="2">
        <f>Table834[[#This Row],[Weight]]*Table834[[#This Row],[Night Systolic Pressure]]</f>
        <v>38188.799999999996</v>
      </c>
      <c r="BG60" s="4">
        <f>Table83[[#This Row],[Weight]]*Table83[[#This Row],[Night Diastolic Pressure]]</f>
        <v>19468.8</v>
      </c>
      <c r="BH60" s="2">
        <f>Table834[[#This Row],[Weight]]*Table834[[#This Row],[Night Pulse]]</f>
        <v>16224</v>
      </c>
      <c r="BI60" s="2">
        <f>Table834[[#This Row],[Weight]]*Table834[[#This Row],[Sleep]]</f>
        <v>1996.8</v>
      </c>
      <c r="BJ60" s="2">
        <f>Table834[[#This Row],[Weight]]*Table834[[#This Row],[BMI]]</f>
        <v>8938.1658122448971</v>
      </c>
      <c r="BK60" s="2">
        <f>Table834[[#This Row],[Weight]]*Table834[[#This Row],[CBF]]</f>
        <v>7647.5157494551167</v>
      </c>
      <c r="BL60" s="2">
        <f>Table834[[#This Row],[Weight]]*Table834[[#This Row],[Gym]]</f>
        <v>249.6</v>
      </c>
      <c r="BM60" s="2">
        <f>Table834[[#This Row],[Weight]]*Table834[[#This Row],[Cardio]]</f>
        <v>0</v>
      </c>
      <c r="BN60" s="2">
        <f>Table834[[#This Row],[Weight]]*Table834[[#This Row],[Calories]]</f>
        <v>374424.95999999996</v>
      </c>
      <c r="BO60" s="2">
        <f>Table834[[#This Row],[Weight]]*Table834[[#This Row],[Carbs]]</f>
        <v>18432.96</v>
      </c>
      <c r="BP60" s="2">
        <f>Table834[[#This Row],[Weight]]*Table834[[#This Row],[Fat ]]</f>
        <v>22904.959999999999</v>
      </c>
      <c r="BQ60" s="2">
        <f>Table834[[#This Row],[Weight]]*Table834[[#This Row],[Protein]]</f>
        <v>24693.760000000002</v>
      </c>
      <c r="BR60" s="2">
        <f>Table834[[#This Row],[Weight]]*Table834[[#This Row],[Fiber]]</f>
        <v>1847.04</v>
      </c>
      <c r="BS60" s="2">
        <f>Table834[[#This Row],[Weight]]*Table834[[#This Row],[Sugar]]</f>
        <v>3656.6399999999994</v>
      </c>
      <c r="BT60" s="2">
        <f>Table834[[#This Row],[Weight]]*Table834[[#This Row],[Servings]]</f>
        <v>3120</v>
      </c>
      <c r="BU60" s="2">
        <f>Table834[[#This Row],[Weight]]*Table834[[#This Row],[Water]]</f>
        <v>748.8</v>
      </c>
      <c r="BV60" s="2">
        <f>Table834[[#This Row],[Weight]]*Table834[[#This Row],[Fat Calories]]</f>
        <v>206144.64000000001</v>
      </c>
      <c r="BW60" s="2">
        <f>Table834[[#This Row],[Waist]]*Table834[[#This Row],[Neck]]</f>
        <v>748</v>
      </c>
      <c r="BX60" s="2">
        <f>Table834[[#This Row],[Waist]]*Table834[[#This Row],[Morning Body Temp]]</f>
        <v>4263.6000000000004</v>
      </c>
      <c r="BY60" s="2">
        <f>Table834[[#This Row],[Waist]]*Table834[[#This Row],[Morning Systolic Pressure]]</f>
        <v>6424</v>
      </c>
      <c r="BZ60" s="2">
        <f>Table834[[#This Row],[Waist]]*Table834[[#This Row],[Morning Diastolic Pressure]]</f>
        <v>3608</v>
      </c>
      <c r="CA60" s="2">
        <f>Table834[[#This Row],[Waist]]*Table834[[#This Row],[Morning Pulse]]</f>
        <v>2728</v>
      </c>
      <c r="CB60" s="2">
        <f>Table834[[#This Row],[Waist]]*Table834[[#This Row],[Night Body Temp]]</f>
        <v>4259.2</v>
      </c>
      <c r="CC60" s="2">
        <f>Table834[[#This Row],[Waist]]*Table834[[#This Row],[Night Systolic Pressure]]</f>
        <v>6732</v>
      </c>
      <c r="CD60" s="4">
        <f>Table83[[#This Row],[Waist]]*Table83[[#This Row],[Night Diastolic Pressure]]</f>
        <v>3432</v>
      </c>
      <c r="CE60" s="2">
        <f>Table834[[#This Row],[Waist]]*Table834[[#This Row],[Night Pulse]]</f>
        <v>2860</v>
      </c>
      <c r="CF60" s="2">
        <f>Table834[[#This Row],[Waist]]*Table834[[#This Row],[Sleep]]</f>
        <v>352</v>
      </c>
      <c r="CG60" s="2">
        <f>Table834[[#This Row],[Waist]]*Table834[[#This Row],[BMI]]</f>
        <v>1575.6382040816327</v>
      </c>
      <c r="CH60" s="2">
        <f>Table834[[#This Row],[Waist]]*Table834[[#This Row],[CBF]]</f>
        <v>1348.1197635257417</v>
      </c>
      <c r="CI60" s="2">
        <f>Table834[[#This Row],[Waist]]*Table834[[#This Row],[Gym]]</f>
        <v>44</v>
      </c>
      <c r="CJ60" s="2">
        <f>Table834[[#This Row],[Waist]]*Table834[[#This Row],[Cardio]]</f>
        <v>0</v>
      </c>
      <c r="CK60" s="2">
        <f>Table834[[#This Row],[Waist]]*Table834[[#This Row],[Calories]]</f>
        <v>66004.399999999994</v>
      </c>
      <c r="CL60" s="2">
        <f>Table834[[#This Row],[Waist]]*Table834[[#This Row],[Carbs]]</f>
        <v>3249.3999999999996</v>
      </c>
      <c r="CM60" s="2">
        <f>Table834[[#This Row],[Waist]]*Table834[[#This Row],[Fat ]]</f>
        <v>4037.7333333333331</v>
      </c>
      <c r="CN60" s="2">
        <f>Table834[[#This Row],[Waist]]*Table834[[#This Row],[Protein]]</f>
        <v>4353.0666666666666</v>
      </c>
      <c r="CO60" s="2">
        <f>Table834[[#This Row],[Waist]]*Table834[[#This Row],[Fiber]]</f>
        <v>325.60000000000002</v>
      </c>
      <c r="CP60" s="2">
        <f>Table834[[#This Row],[Waist]]*Table834[[#This Row],[Sugar]]</f>
        <v>644.59999999999991</v>
      </c>
      <c r="CQ60" s="2">
        <f>Table834[[#This Row],[Waist]]*Table834[[#This Row],[Servings]]</f>
        <v>550</v>
      </c>
      <c r="CR60" s="2">
        <f>Table834[[#This Row],[Waist]]*Table834[[#This Row],[Water]]</f>
        <v>132</v>
      </c>
      <c r="CS60" s="2">
        <f>Table834[[#This Row],[Waist]]*Table834[[#This Row],[Fat Calories]]</f>
        <v>36339.600000000006</v>
      </c>
    </row>
    <row r="61" spans="1:97" x14ac:dyDescent="0.25">
      <c r="A61" s="2">
        <v>249.2</v>
      </c>
      <c r="B61" s="2">
        <f>Table834[[#This Row],[Weight]]^2</f>
        <v>62100.639999999992</v>
      </c>
      <c r="C61" s="2">
        <v>43.5</v>
      </c>
      <c r="D61" s="2">
        <f>Table834[[#This Row],[Waist]]^2</f>
        <v>1892.25</v>
      </c>
      <c r="E61" s="2">
        <v>17</v>
      </c>
      <c r="F61" s="2">
        <f>Table834[[#This Row],[Neck]]^2</f>
        <v>289</v>
      </c>
      <c r="G61" s="2">
        <v>96</v>
      </c>
      <c r="H61" s="2">
        <f>Table834[[#This Row],[Morning Body Temp]]^2</f>
        <v>9216</v>
      </c>
      <c r="I61" s="2">
        <v>131</v>
      </c>
      <c r="J61" s="2">
        <f>Table834[[#This Row],[Morning Systolic Pressure]]^2</f>
        <v>17161</v>
      </c>
      <c r="K61" s="2">
        <v>76</v>
      </c>
      <c r="L61" s="2">
        <f>Table834[[#This Row],[Morning Diastolic Pressure]]^2</f>
        <v>5776</v>
      </c>
      <c r="M61" s="2">
        <v>63</v>
      </c>
      <c r="N61" s="2">
        <f>Table834[[#This Row],[Morning Pulse]]^2</f>
        <v>3969</v>
      </c>
      <c r="O61" s="2">
        <v>97.4</v>
      </c>
      <c r="P61" s="2">
        <f>Table834[[#This Row],[Night Body Temp]]^2</f>
        <v>9486.76</v>
      </c>
      <c r="Q61" s="2">
        <v>148</v>
      </c>
      <c r="R61" s="2">
        <f>Table834[[#This Row],[Night Systolic Pressure]]^2</f>
        <v>21904</v>
      </c>
      <c r="S61" s="2">
        <v>73</v>
      </c>
      <c r="T61" s="2">
        <f>Table834[[#This Row],[Night Diastolic Pressure]]^2</f>
        <v>5329</v>
      </c>
      <c r="U61" s="2">
        <v>66</v>
      </c>
      <c r="V61" s="2">
        <f>Table834[[#This Row],[Night Pulse]]^2</f>
        <v>4356</v>
      </c>
      <c r="W61" s="2">
        <v>8.5</v>
      </c>
      <c r="X61" s="2">
        <f>Table834[[#This Row],[Sleep]]^2</f>
        <v>72.25</v>
      </c>
      <c r="Y61" s="2">
        <f t="shared" si="1"/>
        <v>35.752571428571429</v>
      </c>
      <c r="Z61" s="2">
        <f>Table834[[#This Row],[BMI]]^2</f>
        <v>1278.246363755102</v>
      </c>
      <c r="AA61" s="2">
        <f t="shared" si="0"/>
        <v>29.940865796666294</v>
      </c>
      <c r="AB61" s="2">
        <f>Table834[[#This Row],[CBF]]^2</f>
        <v>896.45544465398154</v>
      </c>
      <c r="AC61" s="2">
        <v>1</v>
      </c>
      <c r="AD61" s="2">
        <f>Table834[[#This Row],[Gym]]^2</f>
        <v>1</v>
      </c>
      <c r="AE61" s="2">
        <v>0</v>
      </c>
      <c r="AF61" s="2">
        <f>Table834[[#This Row],[Cardio]]^2</f>
        <v>0</v>
      </c>
      <c r="AG61" s="2">
        <v>947.84523809523807</v>
      </c>
      <c r="AH61" s="2">
        <f>Table834[[#This Row],[Calories]]^2</f>
        <v>898410.59537981858</v>
      </c>
      <c r="AI61" s="2">
        <v>47.87202380952381</v>
      </c>
      <c r="AJ61" s="2">
        <f>Table834[[#This Row],[Carbs]]^2</f>
        <v>2291.7306636196145</v>
      </c>
      <c r="AK61" s="2">
        <v>54.210714285714296</v>
      </c>
      <c r="AL61" s="2">
        <f>Table834[[#This Row],[Fat ]]^2</f>
        <v>2938.8015433673481</v>
      </c>
      <c r="AM61" s="2">
        <v>68.180952380952391</v>
      </c>
      <c r="AN61" s="2">
        <f>Table834[[#This Row],[Protein]]^2</f>
        <v>4648.6422675736976</v>
      </c>
      <c r="AO61" s="2">
        <v>5.666666666666667</v>
      </c>
      <c r="AP61" s="2">
        <f>Table834[[#This Row],[Fiber]]^2</f>
        <v>32.111111111111114</v>
      </c>
      <c r="AQ61" s="2">
        <v>12.401785714285712</v>
      </c>
      <c r="AR61" s="2">
        <f>Table834[[#This Row],[Sugar]]^2</f>
        <v>153.80428890306115</v>
      </c>
      <c r="AS61" s="2">
        <v>10</v>
      </c>
      <c r="AT61" s="2">
        <f>Table834[[#This Row],[Servings]]^2</f>
        <v>100</v>
      </c>
      <c r="AU61" s="2">
        <v>2</v>
      </c>
      <c r="AV61" s="2">
        <f>Table834[[#This Row],[Water]]^2</f>
        <v>4</v>
      </c>
      <c r="AW61" s="2">
        <v>487.89642857142866</v>
      </c>
      <c r="AX61" s="2">
        <f>Table834[[#This Row],[Fat Calories]]^2</f>
        <v>238042.92501275518</v>
      </c>
      <c r="AY61" s="5">
        <f>Table834[[#This Row],[Weight]]*Table834[[#This Row],[Waist]]</f>
        <v>10840.199999999999</v>
      </c>
      <c r="AZ61" s="6">
        <f>Table834[[#This Row],[Weight]]*Table834[[#This Row],[Neck]]</f>
        <v>4236.3999999999996</v>
      </c>
      <c r="BA61" s="6">
        <f>Table834[[#This Row],[Weight]]*Table834[[#This Row],[Morning Body Temp]]</f>
        <v>23923.199999999997</v>
      </c>
      <c r="BB61" s="6">
        <f>Table834[[#This Row],[Weight]]*Table834[[#This Row],[Morning Systolic Pressure]]</f>
        <v>32645.199999999997</v>
      </c>
      <c r="BC61" s="12">
        <f>Table834[[#This Row],[Weight]]*Table834[[#This Row],[Morning Diastolic Pressure]]</f>
        <v>18939.2</v>
      </c>
      <c r="BD61" s="2">
        <f>Table834[[#This Row],[Weight]]*Table834[[#This Row],[Morning Pulse]]</f>
        <v>15699.599999999999</v>
      </c>
      <c r="BE61" s="2">
        <f>Table834[[#This Row],[Weight]]*Table834[[#This Row],[Night Body Temp]]</f>
        <v>24272.080000000002</v>
      </c>
      <c r="BF61" s="2">
        <f>Table834[[#This Row],[Weight]]*Table834[[#This Row],[Night Systolic Pressure]]</f>
        <v>36881.599999999999</v>
      </c>
      <c r="BG61" s="4">
        <f>Table83[[#This Row],[Weight]]*Table83[[#This Row],[Night Diastolic Pressure]]</f>
        <v>18191.599999999999</v>
      </c>
      <c r="BH61" s="2">
        <f>Table834[[#This Row],[Weight]]*Table834[[#This Row],[Night Pulse]]</f>
        <v>16447.2</v>
      </c>
      <c r="BI61" s="2">
        <f>Table834[[#This Row],[Weight]]*Table834[[#This Row],[Sleep]]</f>
        <v>2118.1999999999998</v>
      </c>
      <c r="BJ61" s="2">
        <f>Table834[[#This Row],[Weight]]*Table834[[#This Row],[BMI]]</f>
        <v>8909.5407999999989</v>
      </c>
      <c r="BK61" s="2">
        <f>Table834[[#This Row],[Weight]]*Table834[[#This Row],[CBF]]</f>
        <v>7461.2637565292398</v>
      </c>
      <c r="BL61" s="2">
        <f>Table834[[#This Row],[Weight]]*Table834[[#This Row],[Gym]]</f>
        <v>249.2</v>
      </c>
      <c r="BM61" s="2">
        <f>Table834[[#This Row],[Weight]]*Table834[[#This Row],[Cardio]]</f>
        <v>0</v>
      </c>
      <c r="BN61" s="2">
        <f>Table834[[#This Row],[Weight]]*Table834[[#This Row],[Calories]]</f>
        <v>236203.03333333333</v>
      </c>
      <c r="BO61" s="2">
        <f>Table834[[#This Row],[Weight]]*Table834[[#This Row],[Carbs]]</f>
        <v>11929.708333333332</v>
      </c>
      <c r="BP61" s="2">
        <f>Table834[[#This Row],[Weight]]*Table834[[#This Row],[Fat ]]</f>
        <v>13509.310000000001</v>
      </c>
      <c r="BQ61" s="2">
        <f>Table834[[#This Row],[Weight]]*Table834[[#This Row],[Protein]]</f>
        <v>16990.693333333336</v>
      </c>
      <c r="BR61" s="2">
        <f>Table834[[#This Row],[Weight]]*Table834[[#This Row],[Fiber]]</f>
        <v>1412.1333333333334</v>
      </c>
      <c r="BS61" s="2">
        <f>Table834[[#This Row],[Weight]]*Table834[[#This Row],[Sugar]]</f>
        <v>3090.5249999999992</v>
      </c>
      <c r="BT61" s="2">
        <f>Table834[[#This Row],[Weight]]*Table834[[#This Row],[Servings]]</f>
        <v>2492</v>
      </c>
      <c r="BU61" s="2">
        <f>Table834[[#This Row],[Weight]]*Table834[[#This Row],[Water]]</f>
        <v>498.4</v>
      </c>
      <c r="BV61" s="2">
        <f>Table834[[#This Row],[Weight]]*Table834[[#This Row],[Fat Calories]]</f>
        <v>121583.79000000002</v>
      </c>
      <c r="BW61" s="2">
        <f>Table834[[#This Row],[Waist]]*Table834[[#This Row],[Neck]]</f>
        <v>739.5</v>
      </c>
      <c r="BX61" s="2">
        <f>Table834[[#This Row],[Waist]]*Table834[[#This Row],[Morning Body Temp]]</f>
        <v>4176</v>
      </c>
      <c r="BY61" s="2">
        <f>Table834[[#This Row],[Waist]]*Table834[[#This Row],[Morning Systolic Pressure]]</f>
        <v>5698.5</v>
      </c>
      <c r="BZ61" s="2">
        <f>Table834[[#This Row],[Waist]]*Table834[[#This Row],[Morning Diastolic Pressure]]</f>
        <v>3306</v>
      </c>
      <c r="CA61" s="2">
        <f>Table834[[#This Row],[Waist]]*Table834[[#This Row],[Morning Pulse]]</f>
        <v>2740.5</v>
      </c>
      <c r="CB61" s="2">
        <f>Table834[[#This Row],[Waist]]*Table834[[#This Row],[Night Body Temp]]</f>
        <v>4236.9000000000005</v>
      </c>
      <c r="CC61" s="2">
        <f>Table834[[#This Row],[Waist]]*Table834[[#This Row],[Night Systolic Pressure]]</f>
        <v>6438</v>
      </c>
      <c r="CD61" s="4">
        <f>Table83[[#This Row],[Waist]]*Table83[[#This Row],[Night Diastolic Pressure]]</f>
        <v>3175.5</v>
      </c>
      <c r="CE61" s="2">
        <f>Table834[[#This Row],[Waist]]*Table834[[#This Row],[Night Pulse]]</f>
        <v>2871</v>
      </c>
      <c r="CF61" s="2">
        <f>Table834[[#This Row],[Waist]]*Table834[[#This Row],[Sleep]]</f>
        <v>369.75</v>
      </c>
      <c r="CG61" s="2">
        <f>Table834[[#This Row],[Waist]]*Table834[[#This Row],[BMI]]</f>
        <v>1555.2368571428572</v>
      </c>
      <c r="CH61" s="2">
        <f>Table834[[#This Row],[Waist]]*Table834[[#This Row],[CBF]]</f>
        <v>1302.4276621549839</v>
      </c>
      <c r="CI61" s="2">
        <f>Table834[[#This Row],[Waist]]*Table834[[#This Row],[Gym]]</f>
        <v>43.5</v>
      </c>
      <c r="CJ61" s="2">
        <f>Table834[[#This Row],[Waist]]*Table834[[#This Row],[Cardio]]</f>
        <v>0</v>
      </c>
      <c r="CK61" s="2">
        <f>Table834[[#This Row],[Waist]]*Table834[[#This Row],[Calories]]</f>
        <v>41231.267857142855</v>
      </c>
      <c r="CL61" s="2">
        <f>Table834[[#This Row],[Waist]]*Table834[[#This Row],[Carbs]]</f>
        <v>2082.4330357142858</v>
      </c>
      <c r="CM61" s="2">
        <f>Table834[[#This Row],[Waist]]*Table834[[#This Row],[Fat ]]</f>
        <v>2358.1660714285717</v>
      </c>
      <c r="CN61" s="2">
        <f>Table834[[#This Row],[Waist]]*Table834[[#This Row],[Protein]]</f>
        <v>2965.8714285714291</v>
      </c>
      <c r="CO61" s="2">
        <f>Table834[[#This Row],[Waist]]*Table834[[#This Row],[Fiber]]</f>
        <v>246.5</v>
      </c>
      <c r="CP61" s="2">
        <f>Table834[[#This Row],[Waist]]*Table834[[#This Row],[Sugar]]</f>
        <v>539.47767857142844</v>
      </c>
      <c r="CQ61" s="2">
        <f>Table834[[#This Row],[Waist]]*Table834[[#This Row],[Servings]]</f>
        <v>435</v>
      </c>
      <c r="CR61" s="2">
        <f>Table834[[#This Row],[Waist]]*Table834[[#This Row],[Water]]</f>
        <v>87</v>
      </c>
      <c r="CS61" s="2">
        <f>Table834[[#This Row],[Waist]]*Table834[[#This Row],[Fat Calories]]</f>
        <v>21223.494642857146</v>
      </c>
    </row>
    <row r="62" spans="1:97" x14ac:dyDescent="0.25">
      <c r="A62" s="2">
        <v>248.4</v>
      </c>
      <c r="B62" s="2">
        <f>Table834[[#This Row],[Weight]]^2</f>
        <v>61702.560000000005</v>
      </c>
      <c r="C62" s="2">
        <v>43.5</v>
      </c>
      <c r="D62" s="2">
        <f>Table834[[#This Row],[Waist]]^2</f>
        <v>1892.25</v>
      </c>
      <c r="E62" s="2">
        <v>17</v>
      </c>
      <c r="F62" s="2">
        <f>Table834[[#This Row],[Neck]]^2</f>
        <v>289</v>
      </c>
      <c r="G62" s="2">
        <v>97.3</v>
      </c>
      <c r="H62" s="2">
        <f>Table834[[#This Row],[Morning Body Temp]]^2</f>
        <v>9467.2899999999991</v>
      </c>
      <c r="I62" s="2">
        <v>144</v>
      </c>
      <c r="J62" s="2">
        <f>Table834[[#This Row],[Morning Systolic Pressure]]^2</f>
        <v>20736</v>
      </c>
      <c r="K62" s="2">
        <v>71</v>
      </c>
      <c r="L62" s="2">
        <f>Table834[[#This Row],[Morning Diastolic Pressure]]^2</f>
        <v>5041</v>
      </c>
      <c r="M62" s="2">
        <v>65</v>
      </c>
      <c r="N62" s="2">
        <f>Table834[[#This Row],[Morning Pulse]]^2</f>
        <v>4225</v>
      </c>
      <c r="O62" s="2">
        <v>97.5</v>
      </c>
      <c r="P62" s="2">
        <f>Table834[[#This Row],[Night Body Temp]]^2</f>
        <v>9506.25</v>
      </c>
      <c r="Q62" s="2">
        <v>130</v>
      </c>
      <c r="R62" s="2">
        <f>Table834[[#This Row],[Night Systolic Pressure]]^2</f>
        <v>16900</v>
      </c>
      <c r="S62" s="2">
        <v>74</v>
      </c>
      <c r="T62" s="2">
        <f>Table834[[#This Row],[Night Diastolic Pressure]]^2</f>
        <v>5476</v>
      </c>
      <c r="U62" s="2">
        <v>73</v>
      </c>
      <c r="V62" s="2">
        <f>Table834[[#This Row],[Night Pulse]]^2</f>
        <v>5329</v>
      </c>
      <c r="W62" s="2">
        <v>0</v>
      </c>
      <c r="X62" s="2">
        <f>Table834[[#This Row],[Sleep]]^2</f>
        <v>0</v>
      </c>
      <c r="Y62" s="2">
        <f t="shared" si="1"/>
        <v>35.637795918367345</v>
      </c>
      <c r="Z62" s="2">
        <f>Table834[[#This Row],[BMI]]^2</f>
        <v>1270.0524979192003</v>
      </c>
      <c r="AA62" s="2">
        <f t="shared" si="0"/>
        <v>29.940865796666294</v>
      </c>
      <c r="AB62" s="2">
        <f>Table834[[#This Row],[CBF]]^2</f>
        <v>896.45544465398154</v>
      </c>
      <c r="AC62" s="2">
        <v>1</v>
      </c>
      <c r="AD62" s="2">
        <f>Table834[[#This Row],[Gym]]^2</f>
        <v>1</v>
      </c>
      <c r="AE62" s="2">
        <v>0</v>
      </c>
      <c r="AF62" s="2">
        <f>Table834[[#This Row],[Cardio]]^2</f>
        <v>0</v>
      </c>
      <c r="AG62" s="2">
        <v>1579.1</v>
      </c>
      <c r="AH62" s="2">
        <f>Table834[[#This Row],[Calories]]^2</f>
        <v>2493556.8099999996</v>
      </c>
      <c r="AI62" s="2">
        <v>51.45</v>
      </c>
      <c r="AJ62" s="2">
        <f>Table834[[#This Row],[Carbs]]^2</f>
        <v>2647.1025000000004</v>
      </c>
      <c r="AK62" s="2">
        <v>107.96666666666667</v>
      </c>
      <c r="AL62" s="2">
        <f>Table834[[#This Row],[Fat ]]^2</f>
        <v>11656.801111111112</v>
      </c>
      <c r="AM62" s="2">
        <v>110.33333333333334</v>
      </c>
      <c r="AN62" s="2">
        <f>Table834[[#This Row],[Protein]]^2</f>
        <v>12173.444444444447</v>
      </c>
      <c r="AO62" s="2">
        <v>6.6000000000000005</v>
      </c>
      <c r="AP62" s="2">
        <f>Table834[[#This Row],[Fiber]]^2</f>
        <v>43.560000000000009</v>
      </c>
      <c r="AQ62" s="2">
        <v>11.649999999999999</v>
      </c>
      <c r="AR62" s="2">
        <f>Table834[[#This Row],[Sugar]]^2</f>
        <v>135.72249999999997</v>
      </c>
      <c r="AS62" s="2">
        <v>14</v>
      </c>
      <c r="AT62" s="2">
        <f>Table834[[#This Row],[Servings]]^2</f>
        <v>196</v>
      </c>
      <c r="AU62" s="2">
        <v>2.5</v>
      </c>
      <c r="AV62" s="2">
        <f>Table834[[#This Row],[Water]]^2</f>
        <v>6.25</v>
      </c>
      <c r="AW62" s="2">
        <v>971.7</v>
      </c>
      <c r="AX62" s="2">
        <f>Table834[[#This Row],[Fat Calories]]^2</f>
        <v>944200.89000000013</v>
      </c>
      <c r="AY62" s="3">
        <f>Table834[[#This Row],[Weight]]*Table834[[#This Row],[Waist]]</f>
        <v>10805.4</v>
      </c>
      <c r="AZ62" s="4">
        <f>Table834[[#This Row],[Weight]]*Table834[[#This Row],[Neck]]</f>
        <v>4222.8</v>
      </c>
      <c r="BA62" s="4">
        <f>Table834[[#This Row],[Weight]]*Table834[[#This Row],[Morning Body Temp]]</f>
        <v>24169.32</v>
      </c>
      <c r="BB62" s="4">
        <f>Table834[[#This Row],[Weight]]*Table834[[#This Row],[Morning Systolic Pressure]]</f>
        <v>35769.599999999999</v>
      </c>
      <c r="BC62" s="11">
        <f>Table834[[#This Row],[Weight]]*Table834[[#This Row],[Morning Diastolic Pressure]]</f>
        <v>17636.400000000001</v>
      </c>
      <c r="BD62" s="2">
        <f>Table834[[#This Row],[Weight]]*Table834[[#This Row],[Morning Pulse]]</f>
        <v>16146</v>
      </c>
      <c r="BE62" s="2">
        <f>Table834[[#This Row],[Weight]]*Table834[[#This Row],[Night Body Temp]]</f>
        <v>24219</v>
      </c>
      <c r="BF62" s="2">
        <f>Table834[[#This Row],[Weight]]*Table834[[#This Row],[Night Systolic Pressure]]</f>
        <v>32292</v>
      </c>
      <c r="BG62" s="4">
        <f>Table83[[#This Row],[Weight]]*Table83[[#This Row],[Night Diastolic Pressure]]</f>
        <v>18381.600000000002</v>
      </c>
      <c r="BH62" s="2">
        <f>Table834[[#This Row],[Weight]]*Table834[[#This Row],[Night Pulse]]</f>
        <v>18133.2</v>
      </c>
      <c r="BI62" s="2">
        <f>Table834[[#This Row],[Weight]]*Table834[[#This Row],[Sleep]]</f>
        <v>0</v>
      </c>
      <c r="BJ62" s="2">
        <f>Table834[[#This Row],[Weight]]*Table834[[#This Row],[BMI]]</f>
        <v>8852.4285061224491</v>
      </c>
      <c r="BK62" s="2">
        <f>Table834[[#This Row],[Weight]]*Table834[[#This Row],[CBF]]</f>
        <v>7437.3110638919079</v>
      </c>
      <c r="BL62" s="2">
        <f>Table834[[#This Row],[Weight]]*Table834[[#This Row],[Gym]]</f>
        <v>248.4</v>
      </c>
      <c r="BM62" s="2">
        <f>Table834[[#This Row],[Weight]]*Table834[[#This Row],[Cardio]]</f>
        <v>0</v>
      </c>
      <c r="BN62" s="2">
        <f>Table834[[#This Row],[Weight]]*Table834[[#This Row],[Calories]]</f>
        <v>392248.44</v>
      </c>
      <c r="BO62" s="2">
        <f>Table834[[#This Row],[Weight]]*Table834[[#This Row],[Carbs]]</f>
        <v>12780.18</v>
      </c>
      <c r="BP62" s="2">
        <f>Table834[[#This Row],[Weight]]*Table834[[#This Row],[Fat ]]</f>
        <v>26818.920000000002</v>
      </c>
      <c r="BQ62" s="2">
        <f>Table834[[#This Row],[Weight]]*Table834[[#This Row],[Protein]]</f>
        <v>27406.800000000003</v>
      </c>
      <c r="BR62" s="2">
        <f>Table834[[#This Row],[Weight]]*Table834[[#This Row],[Fiber]]</f>
        <v>1639.4400000000003</v>
      </c>
      <c r="BS62" s="2">
        <f>Table834[[#This Row],[Weight]]*Table834[[#This Row],[Sugar]]</f>
        <v>2893.8599999999997</v>
      </c>
      <c r="BT62" s="2">
        <f>Table834[[#This Row],[Weight]]*Table834[[#This Row],[Servings]]</f>
        <v>3477.6</v>
      </c>
      <c r="BU62" s="2">
        <f>Table834[[#This Row],[Weight]]*Table834[[#This Row],[Water]]</f>
        <v>621</v>
      </c>
      <c r="BV62" s="2">
        <f>Table834[[#This Row],[Weight]]*Table834[[#This Row],[Fat Calories]]</f>
        <v>241370.28000000003</v>
      </c>
      <c r="BW62" s="2">
        <f>Table834[[#This Row],[Waist]]*Table834[[#This Row],[Neck]]</f>
        <v>739.5</v>
      </c>
      <c r="BX62" s="2">
        <f>Table834[[#This Row],[Waist]]*Table834[[#This Row],[Morning Body Temp]]</f>
        <v>4232.55</v>
      </c>
      <c r="BY62" s="2">
        <f>Table834[[#This Row],[Waist]]*Table834[[#This Row],[Morning Systolic Pressure]]</f>
        <v>6264</v>
      </c>
      <c r="BZ62" s="2">
        <f>Table834[[#This Row],[Waist]]*Table834[[#This Row],[Morning Diastolic Pressure]]</f>
        <v>3088.5</v>
      </c>
      <c r="CA62" s="2">
        <f>Table834[[#This Row],[Waist]]*Table834[[#This Row],[Morning Pulse]]</f>
        <v>2827.5</v>
      </c>
      <c r="CB62" s="2">
        <f>Table834[[#This Row],[Waist]]*Table834[[#This Row],[Night Body Temp]]</f>
        <v>4241.25</v>
      </c>
      <c r="CC62" s="2">
        <f>Table834[[#This Row],[Waist]]*Table834[[#This Row],[Night Systolic Pressure]]</f>
        <v>5655</v>
      </c>
      <c r="CD62" s="4">
        <f>Table83[[#This Row],[Waist]]*Table83[[#This Row],[Night Diastolic Pressure]]</f>
        <v>3219</v>
      </c>
      <c r="CE62" s="2">
        <f>Table834[[#This Row],[Waist]]*Table834[[#This Row],[Night Pulse]]</f>
        <v>3175.5</v>
      </c>
      <c r="CF62" s="2">
        <f>Table834[[#This Row],[Waist]]*Table834[[#This Row],[Sleep]]</f>
        <v>0</v>
      </c>
      <c r="CG62" s="2">
        <f>Table834[[#This Row],[Waist]]*Table834[[#This Row],[BMI]]</f>
        <v>1550.2441224489796</v>
      </c>
      <c r="CH62" s="2">
        <f>Table834[[#This Row],[Waist]]*Table834[[#This Row],[CBF]]</f>
        <v>1302.4276621549839</v>
      </c>
      <c r="CI62" s="2">
        <f>Table834[[#This Row],[Waist]]*Table834[[#This Row],[Gym]]</f>
        <v>43.5</v>
      </c>
      <c r="CJ62" s="2">
        <f>Table834[[#This Row],[Waist]]*Table834[[#This Row],[Cardio]]</f>
        <v>0</v>
      </c>
      <c r="CK62" s="2">
        <f>Table834[[#This Row],[Waist]]*Table834[[#This Row],[Calories]]</f>
        <v>68690.849999999991</v>
      </c>
      <c r="CL62" s="2">
        <f>Table834[[#This Row],[Waist]]*Table834[[#This Row],[Carbs]]</f>
        <v>2238.0750000000003</v>
      </c>
      <c r="CM62" s="2">
        <f>Table834[[#This Row],[Waist]]*Table834[[#This Row],[Fat ]]</f>
        <v>4696.55</v>
      </c>
      <c r="CN62" s="2">
        <f>Table834[[#This Row],[Waist]]*Table834[[#This Row],[Protein]]</f>
        <v>4799.5</v>
      </c>
      <c r="CO62" s="2">
        <f>Table834[[#This Row],[Waist]]*Table834[[#This Row],[Fiber]]</f>
        <v>287.10000000000002</v>
      </c>
      <c r="CP62" s="2">
        <f>Table834[[#This Row],[Waist]]*Table834[[#This Row],[Sugar]]</f>
        <v>506.77499999999992</v>
      </c>
      <c r="CQ62" s="2">
        <f>Table834[[#This Row],[Waist]]*Table834[[#This Row],[Servings]]</f>
        <v>609</v>
      </c>
      <c r="CR62" s="2">
        <f>Table834[[#This Row],[Waist]]*Table834[[#This Row],[Water]]</f>
        <v>108.75</v>
      </c>
      <c r="CS62" s="2">
        <f>Table834[[#This Row],[Waist]]*Table834[[#This Row],[Fat Calories]]</f>
        <v>42268.950000000004</v>
      </c>
    </row>
    <row r="63" spans="1:97" x14ac:dyDescent="0.25">
      <c r="A63" s="2">
        <v>247.6</v>
      </c>
      <c r="B63" s="2">
        <f>Table834[[#This Row],[Weight]]^2</f>
        <v>61305.759999999995</v>
      </c>
      <c r="C63" s="2">
        <v>43.5</v>
      </c>
      <c r="D63" s="2">
        <f>Table834[[#This Row],[Waist]]^2</f>
        <v>1892.25</v>
      </c>
      <c r="E63" s="2">
        <v>16.5</v>
      </c>
      <c r="F63" s="2">
        <f>Table834[[#This Row],[Neck]]^2</f>
        <v>272.25</v>
      </c>
      <c r="G63" s="2">
        <v>96</v>
      </c>
      <c r="H63" s="2">
        <f>Table834[[#This Row],[Morning Body Temp]]^2</f>
        <v>9216</v>
      </c>
      <c r="I63" s="2">
        <v>147</v>
      </c>
      <c r="J63" s="2">
        <f>Table834[[#This Row],[Morning Systolic Pressure]]^2</f>
        <v>21609</v>
      </c>
      <c r="K63" s="2">
        <v>78</v>
      </c>
      <c r="L63" s="2">
        <f>Table834[[#This Row],[Morning Diastolic Pressure]]^2</f>
        <v>6084</v>
      </c>
      <c r="M63" s="2">
        <v>62</v>
      </c>
      <c r="N63" s="2">
        <f>Table834[[#This Row],[Morning Pulse]]^2</f>
        <v>3844</v>
      </c>
      <c r="O63" s="2">
        <v>97.1</v>
      </c>
      <c r="P63" s="2">
        <f>Table834[[#This Row],[Night Body Temp]]^2</f>
        <v>9428.409999999998</v>
      </c>
      <c r="Q63" s="2">
        <v>143</v>
      </c>
      <c r="R63" s="2">
        <f>Table834[[#This Row],[Night Systolic Pressure]]^2</f>
        <v>20449</v>
      </c>
      <c r="S63" s="2">
        <v>79</v>
      </c>
      <c r="T63" s="2">
        <f>Table834[[#This Row],[Night Diastolic Pressure]]^2</f>
        <v>6241</v>
      </c>
      <c r="U63" s="2">
        <v>71</v>
      </c>
      <c r="V63" s="2">
        <f>Table834[[#This Row],[Night Pulse]]^2</f>
        <v>5041</v>
      </c>
      <c r="W63" s="2">
        <v>5.5</v>
      </c>
      <c r="X63" s="2">
        <f>Table834[[#This Row],[Sleep]]^2</f>
        <v>30.25</v>
      </c>
      <c r="Y63" s="2">
        <f t="shared" si="1"/>
        <v>35.523020408163262</v>
      </c>
      <c r="Z63" s="2">
        <f>Table834[[#This Row],[BMI]]^2</f>
        <v>1261.8849789187836</v>
      </c>
      <c r="AA63" s="2">
        <f t="shared" si="0"/>
        <v>30.639085534675949</v>
      </c>
      <c r="AB63" s="2">
        <f>Table834[[#This Row],[CBF]]^2</f>
        <v>938.75356240118901</v>
      </c>
      <c r="AC63" s="2">
        <v>1</v>
      </c>
      <c r="AD63" s="2">
        <f>Table834[[#This Row],[Gym]]^2</f>
        <v>1</v>
      </c>
      <c r="AE63" s="2">
        <v>0</v>
      </c>
      <c r="AF63" s="2">
        <f>Table834[[#This Row],[Cardio]]^2</f>
        <v>0</v>
      </c>
      <c r="AG63" s="2">
        <v>1396.8452380952381</v>
      </c>
      <c r="AH63" s="2">
        <f>Table834[[#This Row],[Calories]]^2</f>
        <v>1951176.6191893423</v>
      </c>
      <c r="AI63" s="2">
        <v>103.9720238095238</v>
      </c>
      <c r="AJ63" s="2">
        <f>Table834[[#This Row],[Carbs]]^2</f>
        <v>10810.181735048185</v>
      </c>
      <c r="AK63" s="2">
        <v>76.5107142857143</v>
      </c>
      <c r="AL63" s="2">
        <f>Table834[[#This Row],[Fat ]]^2</f>
        <v>5853.8894005102065</v>
      </c>
      <c r="AM63" s="2">
        <v>72.280952380952385</v>
      </c>
      <c r="AN63" s="2">
        <f>Table834[[#This Row],[Protein]]^2</f>
        <v>5224.5360770975067</v>
      </c>
      <c r="AO63" s="2">
        <v>2.4666666666666663</v>
      </c>
      <c r="AP63" s="2">
        <f>Table834[[#This Row],[Fiber]]^2</f>
        <v>6.0844444444444425</v>
      </c>
      <c r="AQ63" s="2">
        <v>88.201785714285705</v>
      </c>
      <c r="AR63" s="2">
        <f>Table834[[#This Row],[Sugar]]^2</f>
        <v>7779.5550031887742</v>
      </c>
      <c r="AS63" s="2">
        <v>10</v>
      </c>
      <c r="AT63" s="2">
        <f>Table834[[#This Row],[Servings]]^2</f>
        <v>100</v>
      </c>
      <c r="AU63" s="2">
        <v>2.5</v>
      </c>
      <c r="AV63" s="2">
        <f>Table834[[#This Row],[Water]]^2</f>
        <v>6.25</v>
      </c>
      <c r="AW63" s="2">
        <v>688.59642857142865</v>
      </c>
      <c r="AX63" s="2">
        <f>Table834[[#This Row],[Fat Calories]]^2</f>
        <v>474165.04144132661</v>
      </c>
      <c r="AY63" s="5">
        <f>Table834[[#This Row],[Weight]]*Table834[[#This Row],[Waist]]</f>
        <v>10770.6</v>
      </c>
      <c r="AZ63" s="6">
        <f>Table834[[#This Row],[Weight]]*Table834[[#This Row],[Neck]]</f>
        <v>4085.4</v>
      </c>
      <c r="BA63" s="6">
        <f>Table834[[#This Row],[Weight]]*Table834[[#This Row],[Morning Body Temp]]</f>
        <v>23769.599999999999</v>
      </c>
      <c r="BB63" s="6">
        <f>Table834[[#This Row],[Weight]]*Table834[[#This Row],[Morning Systolic Pressure]]</f>
        <v>36397.199999999997</v>
      </c>
      <c r="BC63" s="12">
        <f>Table834[[#This Row],[Weight]]*Table834[[#This Row],[Morning Diastolic Pressure]]</f>
        <v>19312.8</v>
      </c>
      <c r="BD63" s="2">
        <f>Table834[[#This Row],[Weight]]*Table834[[#This Row],[Morning Pulse]]</f>
        <v>15351.199999999999</v>
      </c>
      <c r="BE63" s="2">
        <f>Table834[[#This Row],[Weight]]*Table834[[#This Row],[Night Body Temp]]</f>
        <v>24041.96</v>
      </c>
      <c r="BF63" s="2">
        <f>Table834[[#This Row],[Weight]]*Table834[[#This Row],[Night Systolic Pressure]]</f>
        <v>35406.799999999996</v>
      </c>
      <c r="BG63" s="4">
        <f>Table83[[#This Row],[Weight]]*Table83[[#This Row],[Night Diastolic Pressure]]</f>
        <v>19560.399999999998</v>
      </c>
      <c r="BH63" s="2">
        <f>Table834[[#This Row],[Weight]]*Table834[[#This Row],[Night Pulse]]</f>
        <v>17579.599999999999</v>
      </c>
      <c r="BI63" s="2">
        <f>Table834[[#This Row],[Weight]]*Table834[[#This Row],[Sleep]]</f>
        <v>1361.8</v>
      </c>
      <c r="BJ63" s="2">
        <f>Table834[[#This Row],[Weight]]*Table834[[#This Row],[BMI]]</f>
        <v>8795.4998530612229</v>
      </c>
      <c r="BK63" s="2">
        <f>Table834[[#This Row],[Weight]]*Table834[[#This Row],[CBF]]</f>
        <v>7586.2375783857651</v>
      </c>
      <c r="BL63" s="2">
        <f>Table834[[#This Row],[Weight]]*Table834[[#This Row],[Gym]]</f>
        <v>247.6</v>
      </c>
      <c r="BM63" s="2">
        <f>Table834[[#This Row],[Weight]]*Table834[[#This Row],[Cardio]]</f>
        <v>0</v>
      </c>
      <c r="BN63" s="2">
        <f>Table834[[#This Row],[Weight]]*Table834[[#This Row],[Calories]]</f>
        <v>345858.88095238095</v>
      </c>
      <c r="BO63" s="2">
        <f>Table834[[#This Row],[Weight]]*Table834[[#This Row],[Carbs]]</f>
        <v>25743.473095238092</v>
      </c>
      <c r="BP63" s="2">
        <f>Table834[[#This Row],[Weight]]*Table834[[#This Row],[Fat ]]</f>
        <v>18944.052857142859</v>
      </c>
      <c r="BQ63" s="2">
        <f>Table834[[#This Row],[Weight]]*Table834[[#This Row],[Protein]]</f>
        <v>17896.763809523811</v>
      </c>
      <c r="BR63" s="2">
        <f>Table834[[#This Row],[Weight]]*Table834[[#This Row],[Fiber]]</f>
        <v>610.74666666666656</v>
      </c>
      <c r="BS63" s="2">
        <f>Table834[[#This Row],[Weight]]*Table834[[#This Row],[Sugar]]</f>
        <v>21838.76214285714</v>
      </c>
      <c r="BT63" s="2">
        <f>Table834[[#This Row],[Weight]]*Table834[[#This Row],[Servings]]</f>
        <v>2476</v>
      </c>
      <c r="BU63" s="2">
        <f>Table834[[#This Row],[Weight]]*Table834[[#This Row],[Water]]</f>
        <v>619</v>
      </c>
      <c r="BV63" s="2">
        <f>Table834[[#This Row],[Weight]]*Table834[[#This Row],[Fat Calories]]</f>
        <v>170496.47571428574</v>
      </c>
      <c r="BW63" s="2">
        <f>Table834[[#This Row],[Waist]]*Table834[[#This Row],[Neck]]</f>
        <v>717.75</v>
      </c>
      <c r="BX63" s="2">
        <f>Table834[[#This Row],[Waist]]*Table834[[#This Row],[Morning Body Temp]]</f>
        <v>4176</v>
      </c>
      <c r="BY63" s="2">
        <f>Table834[[#This Row],[Waist]]*Table834[[#This Row],[Morning Systolic Pressure]]</f>
        <v>6394.5</v>
      </c>
      <c r="BZ63" s="2">
        <f>Table834[[#This Row],[Waist]]*Table834[[#This Row],[Morning Diastolic Pressure]]</f>
        <v>3393</v>
      </c>
      <c r="CA63" s="2">
        <f>Table834[[#This Row],[Waist]]*Table834[[#This Row],[Morning Pulse]]</f>
        <v>2697</v>
      </c>
      <c r="CB63" s="2">
        <f>Table834[[#This Row],[Waist]]*Table834[[#This Row],[Night Body Temp]]</f>
        <v>4223.8499999999995</v>
      </c>
      <c r="CC63" s="2">
        <f>Table834[[#This Row],[Waist]]*Table834[[#This Row],[Night Systolic Pressure]]</f>
        <v>6220.5</v>
      </c>
      <c r="CD63" s="4">
        <f>Table83[[#This Row],[Waist]]*Table83[[#This Row],[Night Diastolic Pressure]]</f>
        <v>3436.5</v>
      </c>
      <c r="CE63" s="2">
        <f>Table834[[#This Row],[Waist]]*Table834[[#This Row],[Night Pulse]]</f>
        <v>3088.5</v>
      </c>
      <c r="CF63" s="2">
        <f>Table834[[#This Row],[Waist]]*Table834[[#This Row],[Sleep]]</f>
        <v>239.25</v>
      </c>
      <c r="CG63" s="2">
        <f>Table834[[#This Row],[Waist]]*Table834[[#This Row],[BMI]]</f>
        <v>1545.2513877551019</v>
      </c>
      <c r="CH63" s="2">
        <f>Table834[[#This Row],[Waist]]*Table834[[#This Row],[CBF]]</f>
        <v>1332.8002207584038</v>
      </c>
      <c r="CI63" s="2">
        <f>Table834[[#This Row],[Waist]]*Table834[[#This Row],[Gym]]</f>
        <v>43.5</v>
      </c>
      <c r="CJ63" s="2">
        <f>Table834[[#This Row],[Waist]]*Table834[[#This Row],[Cardio]]</f>
        <v>0</v>
      </c>
      <c r="CK63" s="2">
        <f>Table834[[#This Row],[Waist]]*Table834[[#This Row],[Calories]]</f>
        <v>60762.767857142855</v>
      </c>
      <c r="CL63" s="2">
        <f>Table834[[#This Row],[Waist]]*Table834[[#This Row],[Carbs]]</f>
        <v>4522.7830357142857</v>
      </c>
      <c r="CM63" s="2">
        <f>Table834[[#This Row],[Waist]]*Table834[[#This Row],[Fat ]]</f>
        <v>3328.2160714285719</v>
      </c>
      <c r="CN63" s="2">
        <f>Table834[[#This Row],[Waist]]*Table834[[#This Row],[Protein]]</f>
        <v>3144.221428571429</v>
      </c>
      <c r="CO63" s="2">
        <f>Table834[[#This Row],[Waist]]*Table834[[#This Row],[Fiber]]</f>
        <v>107.29999999999998</v>
      </c>
      <c r="CP63" s="2">
        <f>Table834[[#This Row],[Waist]]*Table834[[#This Row],[Sugar]]</f>
        <v>3836.7776785714282</v>
      </c>
      <c r="CQ63" s="2">
        <f>Table834[[#This Row],[Waist]]*Table834[[#This Row],[Servings]]</f>
        <v>435</v>
      </c>
      <c r="CR63" s="2">
        <f>Table834[[#This Row],[Waist]]*Table834[[#This Row],[Water]]</f>
        <v>108.75</v>
      </c>
      <c r="CS63" s="2">
        <f>Table834[[#This Row],[Waist]]*Table834[[#This Row],[Fat Calories]]</f>
        <v>29953.944642857146</v>
      </c>
    </row>
    <row r="64" spans="1:97" x14ac:dyDescent="0.25">
      <c r="A64" s="2">
        <v>246.6</v>
      </c>
      <c r="B64" s="2">
        <f>Table834[[#This Row],[Weight]]^2</f>
        <v>60811.56</v>
      </c>
      <c r="C64" s="2">
        <v>43.5</v>
      </c>
      <c r="D64" s="2">
        <f>Table834[[#This Row],[Waist]]^2</f>
        <v>1892.25</v>
      </c>
      <c r="E64" s="2">
        <v>16</v>
      </c>
      <c r="F64" s="2">
        <f>Table834[[#This Row],[Neck]]^2</f>
        <v>256</v>
      </c>
      <c r="G64" s="2">
        <v>95.2</v>
      </c>
      <c r="H64" s="2">
        <f>Table834[[#This Row],[Morning Body Temp]]^2</f>
        <v>9063.0400000000009</v>
      </c>
      <c r="I64" s="2">
        <v>140</v>
      </c>
      <c r="J64" s="2">
        <f>Table834[[#This Row],[Morning Systolic Pressure]]^2</f>
        <v>19600</v>
      </c>
      <c r="K64" s="2">
        <v>76</v>
      </c>
      <c r="L64" s="2">
        <f>Table834[[#This Row],[Morning Diastolic Pressure]]^2</f>
        <v>5776</v>
      </c>
      <c r="M64" s="2">
        <v>64</v>
      </c>
      <c r="N64" s="2">
        <f>Table834[[#This Row],[Morning Pulse]]^2</f>
        <v>4096</v>
      </c>
      <c r="O64" s="2">
        <v>96.7</v>
      </c>
      <c r="P64" s="2">
        <f>Table834[[#This Row],[Night Body Temp]]^2</f>
        <v>9350.8900000000012</v>
      </c>
      <c r="Q64" s="2">
        <v>136</v>
      </c>
      <c r="R64" s="2">
        <f>Table834[[#This Row],[Night Systolic Pressure]]^2</f>
        <v>18496</v>
      </c>
      <c r="S64" s="2">
        <v>69</v>
      </c>
      <c r="T64" s="2">
        <f>Table834[[#This Row],[Night Diastolic Pressure]]^2</f>
        <v>4761</v>
      </c>
      <c r="U64" s="2">
        <v>75</v>
      </c>
      <c r="V64" s="2">
        <f>Table834[[#This Row],[Night Pulse]]^2</f>
        <v>5625</v>
      </c>
      <c r="W64" s="2">
        <v>9</v>
      </c>
      <c r="X64" s="2">
        <f>Table834[[#This Row],[Sleep]]^2</f>
        <v>81</v>
      </c>
      <c r="Y64" s="2">
        <f t="shared" si="1"/>
        <v>35.379551020408158</v>
      </c>
      <c r="Z64" s="2">
        <f>Table834[[#This Row],[BMI]]^2</f>
        <v>1251.712630405664</v>
      </c>
      <c r="AA64" s="2">
        <f t="shared" si="0"/>
        <v>31.324493175702337</v>
      </c>
      <c r="AB64" s="2">
        <f>Table834[[#This Row],[CBF]]^2</f>
        <v>981.2238727146223</v>
      </c>
      <c r="AC64" s="2">
        <v>1</v>
      </c>
      <c r="AD64" s="2">
        <f>Table834[[#This Row],[Gym]]^2</f>
        <v>1</v>
      </c>
      <c r="AE64" s="2">
        <v>0</v>
      </c>
      <c r="AF64" s="2">
        <f>Table834[[#This Row],[Cardio]]^2</f>
        <v>0</v>
      </c>
      <c r="AG64" s="2">
        <v>1535.945238095238</v>
      </c>
      <c r="AH64" s="2">
        <f>Table834[[#This Row],[Calories]]^2</f>
        <v>2359127.7744274372</v>
      </c>
      <c r="AI64" s="2">
        <v>50.922023809523814</v>
      </c>
      <c r="AJ64" s="2">
        <f>Table834[[#This Row],[Carbs]]^2</f>
        <v>2593.0525088577101</v>
      </c>
      <c r="AK64" s="2">
        <v>93.977380952380969</v>
      </c>
      <c r="AL64" s="2">
        <f>Table834[[#This Row],[Fat ]]^2</f>
        <v>8831.7481306689369</v>
      </c>
      <c r="AM64" s="2">
        <v>124.61428571428573</v>
      </c>
      <c r="AN64" s="2">
        <f>Table834[[#This Row],[Protein]]^2</f>
        <v>15528.720204081636</v>
      </c>
      <c r="AO64" s="2">
        <v>7.0666666666666664</v>
      </c>
      <c r="AP64" s="2">
        <f>Table834[[#This Row],[Fiber]]^2</f>
        <v>49.937777777777775</v>
      </c>
      <c r="AQ64" s="2">
        <v>23.851785714285711</v>
      </c>
      <c r="AR64" s="2">
        <f>Table834[[#This Row],[Sugar]]^2</f>
        <v>568.9076817602039</v>
      </c>
      <c r="AS64" s="2">
        <v>14</v>
      </c>
      <c r="AT64" s="2">
        <f>Table834[[#This Row],[Servings]]^2</f>
        <v>196</v>
      </c>
      <c r="AU64" s="2">
        <v>3.5</v>
      </c>
      <c r="AV64" s="2">
        <f>Table834[[#This Row],[Water]]^2</f>
        <v>12.25</v>
      </c>
      <c r="AW64" s="2">
        <v>845.79642857142858</v>
      </c>
      <c r="AX64" s="2">
        <f>Table834[[#This Row],[Fat Calories]]^2</f>
        <v>715371.59858418372</v>
      </c>
      <c r="AY64" s="3">
        <f>Table834[[#This Row],[Weight]]*Table834[[#This Row],[Waist]]</f>
        <v>10727.1</v>
      </c>
      <c r="AZ64" s="4">
        <f>Table834[[#This Row],[Weight]]*Table834[[#This Row],[Neck]]</f>
        <v>3945.6</v>
      </c>
      <c r="BA64" s="4">
        <f>Table834[[#This Row],[Weight]]*Table834[[#This Row],[Morning Body Temp]]</f>
        <v>23476.32</v>
      </c>
      <c r="BB64" s="4">
        <f>Table834[[#This Row],[Weight]]*Table834[[#This Row],[Morning Systolic Pressure]]</f>
        <v>34524</v>
      </c>
      <c r="BC64" s="11">
        <f>Table834[[#This Row],[Weight]]*Table834[[#This Row],[Morning Diastolic Pressure]]</f>
        <v>18741.599999999999</v>
      </c>
      <c r="BD64" s="2">
        <f>Table834[[#This Row],[Weight]]*Table834[[#This Row],[Morning Pulse]]</f>
        <v>15782.4</v>
      </c>
      <c r="BE64" s="2">
        <f>Table834[[#This Row],[Weight]]*Table834[[#This Row],[Night Body Temp]]</f>
        <v>23846.22</v>
      </c>
      <c r="BF64" s="2">
        <f>Table834[[#This Row],[Weight]]*Table834[[#This Row],[Night Systolic Pressure]]</f>
        <v>33537.599999999999</v>
      </c>
      <c r="BG64" s="4">
        <f>Table83[[#This Row],[Weight]]*Table83[[#This Row],[Night Diastolic Pressure]]</f>
        <v>17015.399999999998</v>
      </c>
      <c r="BH64" s="2">
        <f>Table834[[#This Row],[Weight]]*Table834[[#This Row],[Night Pulse]]</f>
        <v>18495</v>
      </c>
      <c r="BI64" s="2">
        <f>Table834[[#This Row],[Weight]]*Table834[[#This Row],[Sleep]]</f>
        <v>2219.4</v>
      </c>
      <c r="BJ64" s="2">
        <f>Table834[[#This Row],[Weight]]*Table834[[#This Row],[BMI]]</f>
        <v>8724.5972816326521</v>
      </c>
      <c r="BK64" s="2">
        <f>Table834[[#This Row],[Weight]]*Table834[[#This Row],[CBF]]</f>
        <v>7724.6200171281962</v>
      </c>
      <c r="BL64" s="2">
        <f>Table834[[#This Row],[Weight]]*Table834[[#This Row],[Gym]]</f>
        <v>246.6</v>
      </c>
      <c r="BM64" s="2">
        <f>Table834[[#This Row],[Weight]]*Table834[[#This Row],[Cardio]]</f>
        <v>0</v>
      </c>
      <c r="BN64" s="2">
        <f>Table834[[#This Row],[Weight]]*Table834[[#This Row],[Calories]]</f>
        <v>378764.09571428568</v>
      </c>
      <c r="BO64" s="2">
        <f>Table834[[#This Row],[Weight]]*Table834[[#This Row],[Carbs]]</f>
        <v>12557.371071428572</v>
      </c>
      <c r="BP64" s="2">
        <f>Table834[[#This Row],[Weight]]*Table834[[#This Row],[Fat ]]</f>
        <v>23174.822142857145</v>
      </c>
      <c r="BQ64" s="2">
        <f>Table834[[#This Row],[Weight]]*Table834[[#This Row],[Protein]]</f>
        <v>30729.88285714286</v>
      </c>
      <c r="BR64" s="2">
        <f>Table834[[#This Row],[Weight]]*Table834[[#This Row],[Fiber]]</f>
        <v>1742.6399999999999</v>
      </c>
      <c r="BS64" s="2">
        <f>Table834[[#This Row],[Weight]]*Table834[[#This Row],[Sugar]]</f>
        <v>5881.8503571428564</v>
      </c>
      <c r="BT64" s="2">
        <f>Table834[[#This Row],[Weight]]*Table834[[#This Row],[Servings]]</f>
        <v>3452.4</v>
      </c>
      <c r="BU64" s="2">
        <f>Table834[[#This Row],[Weight]]*Table834[[#This Row],[Water]]</f>
        <v>863.1</v>
      </c>
      <c r="BV64" s="2">
        <f>Table834[[#This Row],[Weight]]*Table834[[#This Row],[Fat Calories]]</f>
        <v>208573.39928571429</v>
      </c>
      <c r="BW64" s="2">
        <f>Table834[[#This Row],[Waist]]*Table834[[#This Row],[Neck]]</f>
        <v>696</v>
      </c>
      <c r="BX64" s="2">
        <f>Table834[[#This Row],[Waist]]*Table834[[#This Row],[Morning Body Temp]]</f>
        <v>4141.2</v>
      </c>
      <c r="BY64" s="2">
        <f>Table834[[#This Row],[Waist]]*Table834[[#This Row],[Morning Systolic Pressure]]</f>
        <v>6090</v>
      </c>
      <c r="BZ64" s="2">
        <f>Table834[[#This Row],[Waist]]*Table834[[#This Row],[Morning Diastolic Pressure]]</f>
        <v>3306</v>
      </c>
      <c r="CA64" s="2">
        <f>Table834[[#This Row],[Waist]]*Table834[[#This Row],[Morning Pulse]]</f>
        <v>2784</v>
      </c>
      <c r="CB64" s="2">
        <f>Table834[[#This Row],[Waist]]*Table834[[#This Row],[Night Body Temp]]</f>
        <v>4206.45</v>
      </c>
      <c r="CC64" s="2">
        <f>Table834[[#This Row],[Waist]]*Table834[[#This Row],[Night Systolic Pressure]]</f>
        <v>5916</v>
      </c>
      <c r="CD64" s="4">
        <f>Table83[[#This Row],[Waist]]*Table83[[#This Row],[Night Diastolic Pressure]]</f>
        <v>3001.5</v>
      </c>
      <c r="CE64" s="2">
        <f>Table834[[#This Row],[Waist]]*Table834[[#This Row],[Night Pulse]]</f>
        <v>3262.5</v>
      </c>
      <c r="CF64" s="2">
        <f>Table834[[#This Row],[Waist]]*Table834[[#This Row],[Sleep]]</f>
        <v>391.5</v>
      </c>
      <c r="CG64" s="2">
        <f>Table834[[#This Row],[Waist]]*Table834[[#This Row],[BMI]]</f>
        <v>1539.0104693877549</v>
      </c>
      <c r="CH64" s="2">
        <f>Table834[[#This Row],[Waist]]*Table834[[#This Row],[CBF]]</f>
        <v>1362.6154531430516</v>
      </c>
      <c r="CI64" s="2">
        <f>Table834[[#This Row],[Waist]]*Table834[[#This Row],[Gym]]</f>
        <v>43.5</v>
      </c>
      <c r="CJ64" s="2">
        <f>Table834[[#This Row],[Waist]]*Table834[[#This Row],[Cardio]]</f>
        <v>0</v>
      </c>
      <c r="CK64" s="2">
        <f>Table834[[#This Row],[Waist]]*Table834[[#This Row],[Calories]]</f>
        <v>66813.617857142846</v>
      </c>
      <c r="CL64" s="2">
        <f>Table834[[#This Row],[Waist]]*Table834[[#This Row],[Carbs]]</f>
        <v>2215.108035714286</v>
      </c>
      <c r="CM64" s="2">
        <f>Table834[[#This Row],[Waist]]*Table834[[#This Row],[Fat ]]</f>
        <v>4088.0160714285721</v>
      </c>
      <c r="CN64" s="2">
        <f>Table834[[#This Row],[Waist]]*Table834[[#This Row],[Protein]]</f>
        <v>5420.721428571429</v>
      </c>
      <c r="CO64" s="2">
        <f>Table834[[#This Row],[Waist]]*Table834[[#This Row],[Fiber]]</f>
        <v>307.39999999999998</v>
      </c>
      <c r="CP64" s="2">
        <f>Table834[[#This Row],[Waist]]*Table834[[#This Row],[Sugar]]</f>
        <v>1037.5526785714285</v>
      </c>
      <c r="CQ64" s="2">
        <f>Table834[[#This Row],[Waist]]*Table834[[#This Row],[Servings]]</f>
        <v>609</v>
      </c>
      <c r="CR64" s="2">
        <f>Table834[[#This Row],[Waist]]*Table834[[#This Row],[Water]]</f>
        <v>152.25</v>
      </c>
      <c r="CS64" s="2">
        <f>Table834[[#This Row],[Waist]]*Table834[[#This Row],[Fat Calories]]</f>
        <v>36792.144642857143</v>
      </c>
    </row>
    <row r="65" spans="1:97" x14ac:dyDescent="0.25">
      <c r="A65" s="2">
        <v>246.6</v>
      </c>
      <c r="B65" s="2">
        <f>Table834[[#This Row],[Weight]]^2</f>
        <v>60811.56</v>
      </c>
      <c r="C65" s="2">
        <v>43</v>
      </c>
      <c r="D65" s="2">
        <f>Table834[[#This Row],[Waist]]^2</f>
        <v>1849</v>
      </c>
      <c r="E65" s="2">
        <v>16</v>
      </c>
      <c r="F65" s="2">
        <f>Table834[[#This Row],[Neck]]^2</f>
        <v>256</v>
      </c>
      <c r="G65" s="2">
        <v>96.3</v>
      </c>
      <c r="H65" s="2">
        <f>Table834[[#This Row],[Morning Body Temp]]^2</f>
        <v>9273.6899999999987</v>
      </c>
      <c r="I65" s="2">
        <v>134</v>
      </c>
      <c r="J65" s="2">
        <f>Table834[[#This Row],[Morning Systolic Pressure]]^2</f>
        <v>17956</v>
      </c>
      <c r="K65" s="2">
        <v>71</v>
      </c>
      <c r="L65" s="2">
        <f>Table834[[#This Row],[Morning Diastolic Pressure]]^2</f>
        <v>5041</v>
      </c>
      <c r="M65" s="2">
        <v>66</v>
      </c>
      <c r="N65" s="2">
        <f>Table834[[#This Row],[Morning Pulse]]^2</f>
        <v>4356</v>
      </c>
      <c r="O65" s="2">
        <v>96.3</v>
      </c>
      <c r="P65" s="2">
        <f>Table834[[#This Row],[Night Body Temp]]^2</f>
        <v>9273.6899999999987</v>
      </c>
      <c r="Q65" s="2">
        <v>144</v>
      </c>
      <c r="R65" s="2">
        <f>Table834[[#This Row],[Night Systolic Pressure]]^2</f>
        <v>20736</v>
      </c>
      <c r="S65" s="2">
        <v>76</v>
      </c>
      <c r="T65" s="2">
        <f>Table834[[#This Row],[Night Diastolic Pressure]]^2</f>
        <v>5776</v>
      </c>
      <c r="U65" s="2">
        <v>70</v>
      </c>
      <c r="V65" s="2">
        <f>Table834[[#This Row],[Night Pulse]]^2</f>
        <v>4900</v>
      </c>
      <c r="W65" s="2">
        <v>11</v>
      </c>
      <c r="X65" s="2">
        <f>Table834[[#This Row],[Sleep]]^2</f>
        <v>121</v>
      </c>
      <c r="Y65" s="2">
        <f t="shared" si="1"/>
        <v>35.379551020408158</v>
      </c>
      <c r="Z65" s="2">
        <f>Table834[[#This Row],[BMI]]^2</f>
        <v>1251.712630405664</v>
      </c>
      <c r="AA65" s="2">
        <f t="shared" si="0"/>
        <v>30.639085534675949</v>
      </c>
      <c r="AB65" s="2">
        <f>Table834[[#This Row],[CBF]]^2</f>
        <v>938.75356240118901</v>
      </c>
      <c r="AC65" s="2">
        <v>1</v>
      </c>
      <c r="AD65" s="2">
        <f>Table834[[#This Row],[Gym]]^2</f>
        <v>1</v>
      </c>
      <c r="AE65" s="2">
        <v>0</v>
      </c>
      <c r="AF65" s="2">
        <f>Table834[[#This Row],[Cardio]]^2</f>
        <v>0</v>
      </c>
      <c r="AG65" s="2">
        <v>917.09999999999991</v>
      </c>
      <c r="AH65" s="2">
        <f>Table834[[#This Row],[Calories]]^2</f>
        <v>841072.4099999998</v>
      </c>
      <c r="AI65" s="2">
        <v>86.149999999999991</v>
      </c>
      <c r="AJ65" s="2">
        <f>Table834[[#This Row],[Carbs]]^2</f>
        <v>7421.8224999999984</v>
      </c>
      <c r="AK65" s="2">
        <v>38.466666666666669</v>
      </c>
      <c r="AL65" s="2">
        <f>Table834[[#This Row],[Fat ]]^2</f>
        <v>1479.6844444444446</v>
      </c>
      <c r="AM65" s="2">
        <v>62.333333333333336</v>
      </c>
      <c r="AN65" s="2">
        <f>Table834[[#This Row],[Protein]]^2</f>
        <v>3885.4444444444448</v>
      </c>
      <c r="AO65" s="2">
        <v>8.6</v>
      </c>
      <c r="AP65" s="2">
        <f>Table834[[#This Row],[Fiber]]^2</f>
        <v>73.959999999999994</v>
      </c>
      <c r="AQ65" s="2">
        <v>37.449999999999996</v>
      </c>
      <c r="AR65" s="2">
        <f>Table834[[#This Row],[Sugar]]^2</f>
        <v>1402.5024999999996</v>
      </c>
      <c r="AS65" s="2">
        <v>9</v>
      </c>
      <c r="AT65" s="2">
        <f>Table834[[#This Row],[Servings]]^2</f>
        <v>81</v>
      </c>
      <c r="AU65" s="2">
        <v>2.5</v>
      </c>
      <c r="AV65" s="2">
        <f>Table834[[#This Row],[Water]]^2</f>
        <v>6.25</v>
      </c>
      <c r="AW65" s="2">
        <v>346.20000000000005</v>
      </c>
      <c r="AX65" s="2">
        <f>Table834[[#This Row],[Fat Calories]]^2</f>
        <v>119854.44000000003</v>
      </c>
      <c r="AY65" s="5">
        <f>Table834[[#This Row],[Weight]]*Table834[[#This Row],[Waist]]</f>
        <v>10603.8</v>
      </c>
      <c r="AZ65" s="6">
        <f>Table834[[#This Row],[Weight]]*Table834[[#This Row],[Neck]]</f>
        <v>3945.6</v>
      </c>
      <c r="BA65" s="6">
        <f>Table834[[#This Row],[Weight]]*Table834[[#This Row],[Morning Body Temp]]</f>
        <v>23747.579999999998</v>
      </c>
      <c r="BB65" s="6">
        <f>Table834[[#This Row],[Weight]]*Table834[[#This Row],[Morning Systolic Pressure]]</f>
        <v>33044.400000000001</v>
      </c>
      <c r="BC65" s="12">
        <f>Table834[[#This Row],[Weight]]*Table834[[#This Row],[Morning Diastolic Pressure]]</f>
        <v>17508.599999999999</v>
      </c>
      <c r="BD65" s="2">
        <f>Table834[[#This Row],[Weight]]*Table834[[#This Row],[Morning Pulse]]</f>
        <v>16275.6</v>
      </c>
      <c r="BE65" s="2">
        <f>Table834[[#This Row],[Weight]]*Table834[[#This Row],[Night Body Temp]]</f>
        <v>23747.579999999998</v>
      </c>
      <c r="BF65" s="2">
        <f>Table834[[#This Row],[Weight]]*Table834[[#This Row],[Night Systolic Pressure]]</f>
        <v>35510.400000000001</v>
      </c>
      <c r="BG65" s="4">
        <f>Table83[[#This Row],[Weight]]*Table83[[#This Row],[Night Diastolic Pressure]]</f>
        <v>18741.599999999999</v>
      </c>
      <c r="BH65" s="2">
        <f>Table834[[#This Row],[Weight]]*Table834[[#This Row],[Night Pulse]]</f>
        <v>17262</v>
      </c>
      <c r="BI65" s="2">
        <f>Table834[[#This Row],[Weight]]*Table834[[#This Row],[Sleep]]</f>
        <v>2712.6</v>
      </c>
      <c r="BJ65" s="2">
        <f>Table834[[#This Row],[Weight]]*Table834[[#This Row],[BMI]]</f>
        <v>8724.5972816326521</v>
      </c>
      <c r="BK65" s="2">
        <f>Table834[[#This Row],[Weight]]*Table834[[#This Row],[CBF]]</f>
        <v>7555.5984928510888</v>
      </c>
      <c r="BL65" s="2">
        <f>Table834[[#This Row],[Weight]]*Table834[[#This Row],[Gym]]</f>
        <v>246.6</v>
      </c>
      <c r="BM65" s="2">
        <f>Table834[[#This Row],[Weight]]*Table834[[#This Row],[Cardio]]</f>
        <v>0</v>
      </c>
      <c r="BN65" s="2">
        <f>Table834[[#This Row],[Weight]]*Table834[[#This Row],[Calories]]</f>
        <v>226156.86</v>
      </c>
      <c r="BO65" s="2">
        <f>Table834[[#This Row],[Weight]]*Table834[[#This Row],[Carbs]]</f>
        <v>21244.589999999997</v>
      </c>
      <c r="BP65" s="2">
        <f>Table834[[#This Row],[Weight]]*Table834[[#This Row],[Fat ]]</f>
        <v>9485.880000000001</v>
      </c>
      <c r="BQ65" s="2">
        <f>Table834[[#This Row],[Weight]]*Table834[[#This Row],[Protein]]</f>
        <v>15371.4</v>
      </c>
      <c r="BR65" s="2">
        <f>Table834[[#This Row],[Weight]]*Table834[[#This Row],[Fiber]]</f>
        <v>2120.7599999999998</v>
      </c>
      <c r="BS65" s="2">
        <f>Table834[[#This Row],[Weight]]*Table834[[#This Row],[Sugar]]</f>
        <v>9235.1699999999983</v>
      </c>
      <c r="BT65" s="2">
        <f>Table834[[#This Row],[Weight]]*Table834[[#This Row],[Servings]]</f>
        <v>2219.4</v>
      </c>
      <c r="BU65" s="2">
        <f>Table834[[#This Row],[Weight]]*Table834[[#This Row],[Water]]</f>
        <v>616.5</v>
      </c>
      <c r="BV65" s="2">
        <f>Table834[[#This Row],[Weight]]*Table834[[#This Row],[Fat Calories]]</f>
        <v>85372.920000000013</v>
      </c>
      <c r="BW65" s="2">
        <f>Table834[[#This Row],[Waist]]*Table834[[#This Row],[Neck]]</f>
        <v>688</v>
      </c>
      <c r="BX65" s="2">
        <f>Table834[[#This Row],[Waist]]*Table834[[#This Row],[Morning Body Temp]]</f>
        <v>4140.8999999999996</v>
      </c>
      <c r="BY65" s="2">
        <f>Table834[[#This Row],[Waist]]*Table834[[#This Row],[Morning Systolic Pressure]]</f>
        <v>5762</v>
      </c>
      <c r="BZ65" s="2">
        <f>Table834[[#This Row],[Waist]]*Table834[[#This Row],[Morning Diastolic Pressure]]</f>
        <v>3053</v>
      </c>
      <c r="CA65" s="2">
        <f>Table834[[#This Row],[Waist]]*Table834[[#This Row],[Morning Pulse]]</f>
        <v>2838</v>
      </c>
      <c r="CB65" s="2">
        <f>Table834[[#This Row],[Waist]]*Table834[[#This Row],[Night Body Temp]]</f>
        <v>4140.8999999999996</v>
      </c>
      <c r="CC65" s="2">
        <f>Table834[[#This Row],[Waist]]*Table834[[#This Row],[Night Systolic Pressure]]</f>
        <v>6192</v>
      </c>
      <c r="CD65" s="4">
        <f>Table83[[#This Row],[Waist]]*Table83[[#This Row],[Night Diastolic Pressure]]</f>
        <v>3268</v>
      </c>
      <c r="CE65" s="2">
        <f>Table834[[#This Row],[Waist]]*Table834[[#This Row],[Night Pulse]]</f>
        <v>3010</v>
      </c>
      <c r="CF65" s="2">
        <f>Table834[[#This Row],[Waist]]*Table834[[#This Row],[Sleep]]</f>
        <v>473</v>
      </c>
      <c r="CG65" s="2">
        <f>Table834[[#This Row],[Waist]]*Table834[[#This Row],[BMI]]</f>
        <v>1521.3206938775509</v>
      </c>
      <c r="CH65" s="2">
        <f>Table834[[#This Row],[Waist]]*Table834[[#This Row],[CBF]]</f>
        <v>1317.4806779910659</v>
      </c>
      <c r="CI65" s="2">
        <f>Table834[[#This Row],[Waist]]*Table834[[#This Row],[Gym]]</f>
        <v>43</v>
      </c>
      <c r="CJ65" s="2">
        <f>Table834[[#This Row],[Waist]]*Table834[[#This Row],[Cardio]]</f>
        <v>0</v>
      </c>
      <c r="CK65" s="2">
        <f>Table834[[#This Row],[Waist]]*Table834[[#This Row],[Calories]]</f>
        <v>39435.299999999996</v>
      </c>
      <c r="CL65" s="2">
        <f>Table834[[#This Row],[Waist]]*Table834[[#This Row],[Carbs]]</f>
        <v>3704.45</v>
      </c>
      <c r="CM65" s="2">
        <f>Table834[[#This Row],[Waist]]*Table834[[#This Row],[Fat ]]</f>
        <v>1654.0666666666668</v>
      </c>
      <c r="CN65" s="2">
        <f>Table834[[#This Row],[Waist]]*Table834[[#This Row],[Protein]]</f>
        <v>2680.3333333333335</v>
      </c>
      <c r="CO65" s="2">
        <f>Table834[[#This Row],[Waist]]*Table834[[#This Row],[Fiber]]</f>
        <v>369.8</v>
      </c>
      <c r="CP65" s="2">
        <f>Table834[[#This Row],[Waist]]*Table834[[#This Row],[Sugar]]</f>
        <v>1610.35</v>
      </c>
      <c r="CQ65" s="2">
        <f>Table834[[#This Row],[Waist]]*Table834[[#This Row],[Servings]]</f>
        <v>387</v>
      </c>
      <c r="CR65" s="2">
        <f>Table834[[#This Row],[Waist]]*Table834[[#This Row],[Water]]</f>
        <v>107.5</v>
      </c>
      <c r="CS65" s="2">
        <f>Table834[[#This Row],[Waist]]*Table834[[#This Row],[Fat Calories]]</f>
        <v>14886.600000000002</v>
      </c>
    </row>
    <row r="66" spans="1:97" x14ac:dyDescent="0.25">
      <c r="A66" s="2">
        <v>247</v>
      </c>
      <c r="B66" s="2">
        <f>Table834[[#This Row],[Weight]]^2</f>
        <v>61009</v>
      </c>
      <c r="C66" s="2">
        <v>43</v>
      </c>
      <c r="D66" s="2">
        <f>Table834[[#This Row],[Waist]]^2</f>
        <v>1849</v>
      </c>
      <c r="E66" s="2">
        <v>16</v>
      </c>
      <c r="F66" s="2">
        <f>Table834[[#This Row],[Neck]]^2</f>
        <v>256</v>
      </c>
      <c r="G66" s="2">
        <v>96.1</v>
      </c>
      <c r="H66" s="2">
        <f>Table834[[#This Row],[Morning Body Temp]]^2</f>
        <v>9235.2099999999991</v>
      </c>
      <c r="I66" s="2">
        <v>128</v>
      </c>
      <c r="J66" s="2">
        <f>Table834[[#This Row],[Morning Systolic Pressure]]^2</f>
        <v>16384</v>
      </c>
      <c r="K66" s="2">
        <v>75</v>
      </c>
      <c r="L66" s="2">
        <f>Table834[[#This Row],[Morning Diastolic Pressure]]^2</f>
        <v>5625</v>
      </c>
      <c r="M66" s="2">
        <v>65</v>
      </c>
      <c r="N66" s="2">
        <f>Table834[[#This Row],[Morning Pulse]]^2</f>
        <v>4225</v>
      </c>
      <c r="O66" s="2">
        <v>98.6</v>
      </c>
      <c r="P66" s="2">
        <f>Table834[[#This Row],[Night Body Temp]]^2</f>
        <v>9721.9599999999991</v>
      </c>
      <c r="Q66" s="2">
        <v>137</v>
      </c>
      <c r="R66" s="2">
        <f>Table834[[#This Row],[Night Systolic Pressure]]^2</f>
        <v>18769</v>
      </c>
      <c r="S66" s="2">
        <v>76</v>
      </c>
      <c r="T66" s="2">
        <f>Table834[[#This Row],[Night Diastolic Pressure]]^2</f>
        <v>5776</v>
      </c>
      <c r="U66" s="2">
        <v>99</v>
      </c>
      <c r="V66" s="2">
        <f>Table834[[#This Row],[Night Pulse]]^2</f>
        <v>9801</v>
      </c>
      <c r="W66" s="2">
        <v>9</v>
      </c>
      <c r="X66" s="2">
        <f>Table834[[#This Row],[Sleep]]^2</f>
        <v>81</v>
      </c>
      <c r="Y66" s="2">
        <f t="shared" si="1"/>
        <v>35.436938775510207</v>
      </c>
      <c r="Z66" s="2">
        <f>Table834[[#This Row],[BMI]]^2</f>
        <v>1255.7766297792589</v>
      </c>
      <c r="AA66" s="2">
        <f t="shared" ref="AA66:AA129" si="2">(86.01*LOG10(C66-E66))-(70.041*LOG10(70))+36.76</f>
        <v>30.639085534675949</v>
      </c>
      <c r="AB66" s="2">
        <f>Table834[[#This Row],[CBF]]^2</f>
        <v>938.75356240118901</v>
      </c>
      <c r="AC66" s="2">
        <v>0</v>
      </c>
      <c r="AD66" s="2">
        <f>Table834[[#This Row],[Gym]]^2</f>
        <v>0</v>
      </c>
      <c r="AE66" s="2">
        <v>0</v>
      </c>
      <c r="AF66" s="2">
        <f>Table834[[#This Row],[Cardio]]^2</f>
        <v>0</v>
      </c>
      <c r="AG66" s="2">
        <v>5571</v>
      </c>
      <c r="AH66" s="2">
        <f>Table834[[#This Row],[Calories]]^2</f>
        <v>31036041</v>
      </c>
      <c r="AI66" s="2">
        <v>731.84999999999991</v>
      </c>
      <c r="AJ66" s="2">
        <f>Table834[[#This Row],[Carbs]]^2</f>
        <v>535604.42249999987</v>
      </c>
      <c r="AK66" s="2">
        <v>251.6</v>
      </c>
      <c r="AL66" s="2">
        <f>Table834[[#This Row],[Fat ]]^2</f>
        <v>63302.559999999998</v>
      </c>
      <c r="AM66" s="2">
        <v>95.1</v>
      </c>
      <c r="AN66" s="2">
        <f>Table834[[#This Row],[Protein]]^2</f>
        <v>9044.0099999999984</v>
      </c>
      <c r="AO66" s="2">
        <v>32.075000000000003</v>
      </c>
      <c r="AP66" s="2">
        <f>Table834[[#This Row],[Fiber]]^2</f>
        <v>1028.8056250000002</v>
      </c>
      <c r="AQ66" s="2">
        <v>489.79999999999995</v>
      </c>
      <c r="AR66" s="2">
        <f>Table834[[#This Row],[Sugar]]^2</f>
        <v>239904.03999999995</v>
      </c>
      <c r="AS66" s="2">
        <v>55.1</v>
      </c>
      <c r="AT66" s="2">
        <f>Table834[[#This Row],[Servings]]^2</f>
        <v>3036.01</v>
      </c>
      <c r="AU66" s="2">
        <v>0.5</v>
      </c>
      <c r="AV66" s="2">
        <f>Table834[[#This Row],[Water]]^2</f>
        <v>0.25</v>
      </c>
      <c r="AW66" s="2">
        <v>2264.4</v>
      </c>
      <c r="AX66" s="2">
        <f>Table834[[#This Row],[Fat Calories]]^2</f>
        <v>5127507.3600000003</v>
      </c>
      <c r="AY66" s="3">
        <f>Table834[[#This Row],[Weight]]*Table834[[#This Row],[Waist]]</f>
        <v>10621</v>
      </c>
      <c r="AZ66" s="4">
        <f>Table834[[#This Row],[Weight]]*Table834[[#This Row],[Neck]]</f>
        <v>3952</v>
      </c>
      <c r="BA66" s="4">
        <f>Table834[[#This Row],[Weight]]*Table834[[#This Row],[Morning Body Temp]]</f>
        <v>23736.699999999997</v>
      </c>
      <c r="BB66" s="4">
        <f>Table834[[#This Row],[Weight]]*Table834[[#This Row],[Morning Systolic Pressure]]</f>
        <v>31616</v>
      </c>
      <c r="BC66" s="11">
        <f>Table834[[#This Row],[Weight]]*Table834[[#This Row],[Morning Diastolic Pressure]]</f>
        <v>18525</v>
      </c>
      <c r="BD66" s="2">
        <f>Table834[[#This Row],[Weight]]*Table834[[#This Row],[Morning Pulse]]</f>
        <v>16055</v>
      </c>
      <c r="BE66" s="2">
        <f>Table834[[#This Row],[Weight]]*Table834[[#This Row],[Night Body Temp]]</f>
        <v>24354.199999999997</v>
      </c>
      <c r="BF66" s="2">
        <f>Table834[[#This Row],[Weight]]*Table834[[#This Row],[Night Systolic Pressure]]</f>
        <v>33839</v>
      </c>
      <c r="BG66" s="4">
        <f>Table83[[#This Row],[Weight]]*Table83[[#This Row],[Night Diastolic Pressure]]</f>
        <v>18772</v>
      </c>
      <c r="BH66" s="2">
        <f>Table834[[#This Row],[Weight]]*Table834[[#This Row],[Night Pulse]]</f>
        <v>24453</v>
      </c>
      <c r="BI66" s="2">
        <f>Table834[[#This Row],[Weight]]*Table834[[#This Row],[Sleep]]</f>
        <v>2223</v>
      </c>
      <c r="BJ66" s="2">
        <f>Table834[[#This Row],[Weight]]*Table834[[#This Row],[BMI]]</f>
        <v>8752.9238775510203</v>
      </c>
      <c r="BK66" s="2">
        <f>Table834[[#This Row],[Weight]]*Table834[[#This Row],[CBF]]</f>
        <v>7567.8541270649594</v>
      </c>
      <c r="BL66" s="2">
        <f>Table834[[#This Row],[Weight]]*Table834[[#This Row],[Gym]]</f>
        <v>0</v>
      </c>
      <c r="BM66" s="2">
        <f>Table834[[#This Row],[Weight]]*Table834[[#This Row],[Cardio]]</f>
        <v>0</v>
      </c>
      <c r="BN66" s="2">
        <f>Table834[[#This Row],[Weight]]*Table834[[#This Row],[Calories]]</f>
        <v>1376037</v>
      </c>
      <c r="BO66" s="2">
        <f>Table834[[#This Row],[Weight]]*Table834[[#This Row],[Carbs]]</f>
        <v>180766.94999999998</v>
      </c>
      <c r="BP66" s="2">
        <f>Table834[[#This Row],[Weight]]*Table834[[#This Row],[Fat ]]</f>
        <v>62145.2</v>
      </c>
      <c r="BQ66" s="2">
        <f>Table834[[#This Row],[Weight]]*Table834[[#This Row],[Protein]]</f>
        <v>23489.699999999997</v>
      </c>
      <c r="BR66" s="2">
        <f>Table834[[#This Row],[Weight]]*Table834[[#This Row],[Fiber]]</f>
        <v>7922.5250000000005</v>
      </c>
      <c r="BS66" s="2">
        <f>Table834[[#This Row],[Weight]]*Table834[[#This Row],[Sugar]]</f>
        <v>120980.59999999999</v>
      </c>
      <c r="BT66" s="2">
        <f>Table834[[#This Row],[Weight]]*Table834[[#This Row],[Servings]]</f>
        <v>13609.7</v>
      </c>
      <c r="BU66" s="2">
        <f>Table834[[#This Row],[Weight]]*Table834[[#This Row],[Water]]</f>
        <v>123.5</v>
      </c>
      <c r="BV66" s="2">
        <f>Table834[[#This Row],[Weight]]*Table834[[#This Row],[Fat Calories]]</f>
        <v>559306.80000000005</v>
      </c>
      <c r="BW66" s="2">
        <f>Table834[[#This Row],[Waist]]*Table834[[#This Row],[Neck]]</f>
        <v>688</v>
      </c>
      <c r="BX66" s="2">
        <f>Table834[[#This Row],[Waist]]*Table834[[#This Row],[Morning Body Temp]]</f>
        <v>4132.3</v>
      </c>
      <c r="BY66" s="2">
        <f>Table834[[#This Row],[Waist]]*Table834[[#This Row],[Morning Systolic Pressure]]</f>
        <v>5504</v>
      </c>
      <c r="BZ66" s="2">
        <f>Table834[[#This Row],[Waist]]*Table834[[#This Row],[Morning Diastolic Pressure]]</f>
        <v>3225</v>
      </c>
      <c r="CA66" s="2">
        <f>Table834[[#This Row],[Waist]]*Table834[[#This Row],[Morning Pulse]]</f>
        <v>2795</v>
      </c>
      <c r="CB66" s="2">
        <f>Table834[[#This Row],[Waist]]*Table834[[#This Row],[Night Body Temp]]</f>
        <v>4239.8</v>
      </c>
      <c r="CC66" s="2">
        <f>Table834[[#This Row],[Waist]]*Table834[[#This Row],[Night Systolic Pressure]]</f>
        <v>5891</v>
      </c>
      <c r="CD66" s="4">
        <f>Table83[[#This Row],[Waist]]*Table83[[#This Row],[Night Diastolic Pressure]]</f>
        <v>3268</v>
      </c>
      <c r="CE66" s="2">
        <f>Table834[[#This Row],[Waist]]*Table834[[#This Row],[Night Pulse]]</f>
        <v>4257</v>
      </c>
      <c r="CF66" s="2">
        <f>Table834[[#This Row],[Waist]]*Table834[[#This Row],[Sleep]]</f>
        <v>387</v>
      </c>
      <c r="CG66" s="2">
        <f>Table834[[#This Row],[Waist]]*Table834[[#This Row],[BMI]]</f>
        <v>1523.7883673469389</v>
      </c>
      <c r="CH66" s="2">
        <f>Table834[[#This Row],[Waist]]*Table834[[#This Row],[CBF]]</f>
        <v>1317.4806779910659</v>
      </c>
      <c r="CI66" s="2">
        <f>Table834[[#This Row],[Waist]]*Table834[[#This Row],[Gym]]</f>
        <v>0</v>
      </c>
      <c r="CJ66" s="2">
        <f>Table834[[#This Row],[Waist]]*Table834[[#This Row],[Cardio]]</f>
        <v>0</v>
      </c>
      <c r="CK66" s="2">
        <f>Table834[[#This Row],[Waist]]*Table834[[#This Row],[Calories]]</f>
        <v>239553</v>
      </c>
      <c r="CL66" s="2">
        <f>Table834[[#This Row],[Waist]]*Table834[[#This Row],[Carbs]]</f>
        <v>31469.549999999996</v>
      </c>
      <c r="CM66" s="2">
        <f>Table834[[#This Row],[Waist]]*Table834[[#This Row],[Fat ]]</f>
        <v>10818.8</v>
      </c>
      <c r="CN66" s="2">
        <f>Table834[[#This Row],[Waist]]*Table834[[#This Row],[Protein]]</f>
        <v>4089.2999999999997</v>
      </c>
      <c r="CO66" s="2">
        <f>Table834[[#This Row],[Waist]]*Table834[[#This Row],[Fiber]]</f>
        <v>1379.2250000000001</v>
      </c>
      <c r="CP66" s="2">
        <f>Table834[[#This Row],[Waist]]*Table834[[#This Row],[Sugar]]</f>
        <v>21061.399999999998</v>
      </c>
      <c r="CQ66" s="2">
        <f>Table834[[#This Row],[Waist]]*Table834[[#This Row],[Servings]]</f>
        <v>2369.3000000000002</v>
      </c>
      <c r="CR66" s="2">
        <f>Table834[[#This Row],[Waist]]*Table834[[#This Row],[Water]]</f>
        <v>21.5</v>
      </c>
      <c r="CS66" s="2">
        <f>Table834[[#This Row],[Waist]]*Table834[[#This Row],[Fat Calories]]</f>
        <v>97369.2</v>
      </c>
    </row>
    <row r="67" spans="1:97" x14ac:dyDescent="0.25">
      <c r="A67" s="2">
        <v>250.8</v>
      </c>
      <c r="B67" s="2">
        <f>Table834[[#This Row],[Weight]]^2</f>
        <v>62900.640000000007</v>
      </c>
      <c r="C67" s="2">
        <v>43.5</v>
      </c>
      <c r="D67" s="2">
        <f>Table834[[#This Row],[Waist]]^2</f>
        <v>1892.25</v>
      </c>
      <c r="E67" s="2">
        <v>16.5</v>
      </c>
      <c r="F67" s="2">
        <f>Table834[[#This Row],[Neck]]^2</f>
        <v>272.25</v>
      </c>
      <c r="G67" s="2">
        <v>95.7</v>
      </c>
      <c r="H67" s="2">
        <f>Table834[[#This Row],[Morning Body Temp]]^2</f>
        <v>9158.49</v>
      </c>
      <c r="I67" s="2">
        <v>146</v>
      </c>
      <c r="J67" s="2">
        <f>Table834[[#This Row],[Morning Systolic Pressure]]^2</f>
        <v>21316</v>
      </c>
      <c r="K67" s="2">
        <v>78</v>
      </c>
      <c r="L67" s="2">
        <f>Table834[[#This Row],[Morning Diastolic Pressure]]^2</f>
        <v>6084</v>
      </c>
      <c r="M67" s="2">
        <v>80</v>
      </c>
      <c r="N67" s="2">
        <f>Table834[[#This Row],[Morning Pulse]]^2</f>
        <v>6400</v>
      </c>
      <c r="O67" s="2">
        <v>97</v>
      </c>
      <c r="P67" s="2">
        <f>Table834[[#This Row],[Night Body Temp]]^2</f>
        <v>9409</v>
      </c>
      <c r="Q67" s="2">
        <v>149</v>
      </c>
      <c r="R67" s="2">
        <f>Table834[[#This Row],[Night Systolic Pressure]]^2</f>
        <v>22201</v>
      </c>
      <c r="S67" s="2">
        <v>84</v>
      </c>
      <c r="T67" s="2">
        <f>Table834[[#This Row],[Night Diastolic Pressure]]^2</f>
        <v>7056</v>
      </c>
      <c r="U67" s="2">
        <v>73</v>
      </c>
      <c r="V67" s="2">
        <f>Table834[[#This Row],[Night Pulse]]^2</f>
        <v>5329</v>
      </c>
      <c r="W67" s="2">
        <v>11</v>
      </c>
      <c r="X67" s="2">
        <f>Table834[[#This Row],[Sleep]]^2</f>
        <v>121</v>
      </c>
      <c r="Y67" s="2">
        <f t="shared" ref="Y67:Y130" si="3">(A67/4900)*703</f>
        <v>35.982122448979595</v>
      </c>
      <c r="Z67" s="2">
        <f>Table834[[#This Row],[BMI]]^2</f>
        <v>1294.7131359333614</v>
      </c>
      <c r="AA67" s="2">
        <f t="shared" si="2"/>
        <v>30.639085534675949</v>
      </c>
      <c r="AB67" s="2">
        <f>Table834[[#This Row],[CBF]]^2</f>
        <v>938.75356240118901</v>
      </c>
      <c r="AC67" s="2">
        <v>1</v>
      </c>
      <c r="AD67" s="2">
        <f>Table834[[#This Row],[Gym]]^2</f>
        <v>1</v>
      </c>
      <c r="AE67" s="2">
        <v>1</v>
      </c>
      <c r="AF67" s="2">
        <f>Table834[[#This Row],[Cardio]]^2</f>
        <v>1</v>
      </c>
      <c r="AG67" s="2">
        <v>563</v>
      </c>
      <c r="AH67" s="2">
        <f>Table834[[#This Row],[Calories]]^2</f>
        <v>316969</v>
      </c>
      <c r="AI67" s="2">
        <v>80.800000000000011</v>
      </c>
      <c r="AJ67" s="2">
        <f>Table834[[#This Row],[Carbs]]^2</f>
        <v>6528.6400000000021</v>
      </c>
      <c r="AK67" s="2">
        <v>19.900000000000002</v>
      </c>
      <c r="AL67" s="2">
        <f>Table834[[#This Row],[Fat ]]^2</f>
        <v>396.0100000000001</v>
      </c>
      <c r="AM67" s="2">
        <v>14.4</v>
      </c>
      <c r="AN67" s="2">
        <f>Table834[[#This Row],[Protein]]^2</f>
        <v>207.36</v>
      </c>
      <c r="AO67" s="2">
        <v>6.3</v>
      </c>
      <c r="AP67" s="2">
        <f>Table834[[#This Row],[Fiber]]^2</f>
        <v>39.69</v>
      </c>
      <c r="AQ67" s="2">
        <v>14.2</v>
      </c>
      <c r="AR67" s="2">
        <f>Table834[[#This Row],[Sugar]]^2</f>
        <v>201.64</v>
      </c>
      <c r="AS67" s="2">
        <v>4.9000000000000004</v>
      </c>
      <c r="AT67" s="2">
        <f>Table834[[#This Row],[Servings]]^2</f>
        <v>24.010000000000005</v>
      </c>
      <c r="AU67" s="2">
        <v>1.5</v>
      </c>
      <c r="AV67" s="2">
        <f>Table834[[#This Row],[Water]]^2</f>
        <v>2.25</v>
      </c>
      <c r="AW67" s="2">
        <v>179.10000000000002</v>
      </c>
      <c r="AX67" s="2">
        <f>Table834[[#This Row],[Fat Calories]]^2</f>
        <v>32076.810000000009</v>
      </c>
      <c r="AY67" s="5">
        <f>Table834[[#This Row],[Weight]]*Table834[[#This Row],[Waist]]</f>
        <v>10909.800000000001</v>
      </c>
      <c r="AZ67" s="6">
        <f>Table834[[#This Row],[Weight]]*Table834[[#This Row],[Neck]]</f>
        <v>4138.2</v>
      </c>
      <c r="BA67" s="6">
        <f>Table834[[#This Row],[Weight]]*Table834[[#This Row],[Morning Body Temp]]</f>
        <v>24001.56</v>
      </c>
      <c r="BB67" s="6">
        <f>Table834[[#This Row],[Weight]]*Table834[[#This Row],[Morning Systolic Pressure]]</f>
        <v>36616.800000000003</v>
      </c>
      <c r="BC67" s="12">
        <f>Table834[[#This Row],[Weight]]*Table834[[#This Row],[Morning Diastolic Pressure]]</f>
        <v>19562.400000000001</v>
      </c>
      <c r="BD67" s="2">
        <f>Table834[[#This Row],[Weight]]*Table834[[#This Row],[Morning Pulse]]</f>
        <v>20064</v>
      </c>
      <c r="BE67" s="2">
        <f>Table834[[#This Row],[Weight]]*Table834[[#This Row],[Night Body Temp]]</f>
        <v>24327.600000000002</v>
      </c>
      <c r="BF67" s="2">
        <f>Table834[[#This Row],[Weight]]*Table834[[#This Row],[Night Systolic Pressure]]</f>
        <v>37369.200000000004</v>
      </c>
      <c r="BG67" s="4">
        <f>Table83[[#This Row],[Weight]]*Table83[[#This Row],[Night Diastolic Pressure]]</f>
        <v>21067.200000000001</v>
      </c>
      <c r="BH67" s="2">
        <f>Table834[[#This Row],[Weight]]*Table834[[#This Row],[Night Pulse]]</f>
        <v>18308.400000000001</v>
      </c>
      <c r="BI67" s="2">
        <f>Table834[[#This Row],[Weight]]*Table834[[#This Row],[Sleep]]</f>
        <v>2758.8</v>
      </c>
      <c r="BJ67" s="2">
        <f>Table834[[#This Row],[Weight]]*Table834[[#This Row],[BMI]]</f>
        <v>9024.3163102040835</v>
      </c>
      <c r="BK67" s="2">
        <f>Table834[[#This Row],[Weight]]*Table834[[#This Row],[CBF]]</f>
        <v>7684.2826520967283</v>
      </c>
      <c r="BL67" s="2">
        <f>Table834[[#This Row],[Weight]]*Table834[[#This Row],[Gym]]</f>
        <v>250.8</v>
      </c>
      <c r="BM67" s="2">
        <f>Table834[[#This Row],[Weight]]*Table834[[#This Row],[Cardio]]</f>
        <v>250.8</v>
      </c>
      <c r="BN67" s="2">
        <f>Table834[[#This Row],[Weight]]*Table834[[#This Row],[Calories]]</f>
        <v>141200.4</v>
      </c>
      <c r="BO67" s="2">
        <f>Table834[[#This Row],[Weight]]*Table834[[#This Row],[Carbs]]</f>
        <v>20264.640000000003</v>
      </c>
      <c r="BP67" s="2">
        <f>Table834[[#This Row],[Weight]]*Table834[[#This Row],[Fat ]]</f>
        <v>4990.920000000001</v>
      </c>
      <c r="BQ67" s="2">
        <f>Table834[[#This Row],[Weight]]*Table834[[#This Row],[Protein]]</f>
        <v>3611.5200000000004</v>
      </c>
      <c r="BR67" s="2">
        <f>Table834[[#This Row],[Weight]]*Table834[[#This Row],[Fiber]]</f>
        <v>1580.04</v>
      </c>
      <c r="BS67" s="2">
        <f>Table834[[#This Row],[Weight]]*Table834[[#This Row],[Sugar]]</f>
        <v>3561.36</v>
      </c>
      <c r="BT67" s="2">
        <f>Table834[[#This Row],[Weight]]*Table834[[#This Row],[Servings]]</f>
        <v>1228.92</v>
      </c>
      <c r="BU67" s="2">
        <f>Table834[[#This Row],[Weight]]*Table834[[#This Row],[Water]]</f>
        <v>376.20000000000005</v>
      </c>
      <c r="BV67" s="2">
        <f>Table834[[#This Row],[Weight]]*Table834[[#This Row],[Fat Calories]]</f>
        <v>44918.280000000006</v>
      </c>
      <c r="BW67" s="2">
        <f>Table834[[#This Row],[Waist]]*Table834[[#This Row],[Neck]]</f>
        <v>717.75</v>
      </c>
      <c r="BX67" s="2">
        <f>Table834[[#This Row],[Waist]]*Table834[[#This Row],[Morning Body Temp]]</f>
        <v>4162.95</v>
      </c>
      <c r="BY67" s="2">
        <f>Table834[[#This Row],[Waist]]*Table834[[#This Row],[Morning Systolic Pressure]]</f>
        <v>6351</v>
      </c>
      <c r="BZ67" s="2">
        <f>Table834[[#This Row],[Waist]]*Table834[[#This Row],[Morning Diastolic Pressure]]</f>
        <v>3393</v>
      </c>
      <c r="CA67" s="2">
        <f>Table834[[#This Row],[Waist]]*Table834[[#This Row],[Morning Pulse]]</f>
        <v>3480</v>
      </c>
      <c r="CB67" s="2">
        <f>Table834[[#This Row],[Waist]]*Table834[[#This Row],[Night Body Temp]]</f>
        <v>4219.5</v>
      </c>
      <c r="CC67" s="2">
        <f>Table834[[#This Row],[Waist]]*Table834[[#This Row],[Night Systolic Pressure]]</f>
        <v>6481.5</v>
      </c>
      <c r="CD67" s="4">
        <f>Table83[[#This Row],[Waist]]*Table83[[#This Row],[Night Diastolic Pressure]]</f>
        <v>3654</v>
      </c>
      <c r="CE67" s="2">
        <f>Table834[[#This Row],[Waist]]*Table834[[#This Row],[Night Pulse]]</f>
        <v>3175.5</v>
      </c>
      <c r="CF67" s="2">
        <f>Table834[[#This Row],[Waist]]*Table834[[#This Row],[Sleep]]</f>
        <v>478.5</v>
      </c>
      <c r="CG67" s="2">
        <f>Table834[[#This Row],[Waist]]*Table834[[#This Row],[BMI]]</f>
        <v>1565.2223265306125</v>
      </c>
      <c r="CH67" s="2">
        <f>Table834[[#This Row],[Waist]]*Table834[[#This Row],[CBF]]</f>
        <v>1332.8002207584038</v>
      </c>
      <c r="CI67" s="2">
        <f>Table834[[#This Row],[Waist]]*Table834[[#This Row],[Gym]]</f>
        <v>43.5</v>
      </c>
      <c r="CJ67" s="2">
        <f>Table834[[#This Row],[Waist]]*Table834[[#This Row],[Cardio]]</f>
        <v>43.5</v>
      </c>
      <c r="CK67" s="2">
        <f>Table834[[#This Row],[Waist]]*Table834[[#This Row],[Calories]]</f>
        <v>24490.5</v>
      </c>
      <c r="CL67" s="2">
        <f>Table834[[#This Row],[Waist]]*Table834[[#This Row],[Carbs]]</f>
        <v>3514.8000000000006</v>
      </c>
      <c r="CM67" s="2">
        <f>Table834[[#This Row],[Waist]]*Table834[[#This Row],[Fat ]]</f>
        <v>865.65000000000009</v>
      </c>
      <c r="CN67" s="2">
        <f>Table834[[#This Row],[Waist]]*Table834[[#This Row],[Protein]]</f>
        <v>626.4</v>
      </c>
      <c r="CO67" s="2">
        <f>Table834[[#This Row],[Waist]]*Table834[[#This Row],[Fiber]]</f>
        <v>274.05</v>
      </c>
      <c r="CP67" s="2">
        <f>Table834[[#This Row],[Waist]]*Table834[[#This Row],[Sugar]]</f>
        <v>617.69999999999993</v>
      </c>
      <c r="CQ67" s="2">
        <f>Table834[[#This Row],[Waist]]*Table834[[#This Row],[Servings]]</f>
        <v>213.15</v>
      </c>
      <c r="CR67" s="2">
        <f>Table834[[#This Row],[Waist]]*Table834[[#This Row],[Water]]</f>
        <v>65.25</v>
      </c>
      <c r="CS67" s="2">
        <f>Table834[[#This Row],[Waist]]*Table834[[#This Row],[Fat Calories]]</f>
        <v>7790.8500000000013</v>
      </c>
    </row>
    <row r="68" spans="1:97" x14ac:dyDescent="0.25">
      <c r="A68" s="2">
        <v>249</v>
      </c>
      <c r="B68" s="2">
        <f>Table834[[#This Row],[Weight]]^2</f>
        <v>62001</v>
      </c>
      <c r="C68" s="2">
        <v>43.5</v>
      </c>
      <c r="D68" s="2">
        <f>Table834[[#This Row],[Waist]]^2</f>
        <v>1892.25</v>
      </c>
      <c r="E68" s="2">
        <v>16.5</v>
      </c>
      <c r="F68" s="2">
        <f>Table834[[#This Row],[Neck]]^2</f>
        <v>272.25</v>
      </c>
      <c r="G68" s="2">
        <v>95.7</v>
      </c>
      <c r="H68" s="2">
        <f>Table834[[#This Row],[Morning Body Temp]]^2</f>
        <v>9158.49</v>
      </c>
      <c r="I68" s="2">
        <v>124</v>
      </c>
      <c r="J68" s="2">
        <f>Table834[[#This Row],[Morning Systolic Pressure]]^2</f>
        <v>15376</v>
      </c>
      <c r="K68" s="2">
        <v>67</v>
      </c>
      <c r="L68" s="2">
        <f>Table834[[#This Row],[Morning Diastolic Pressure]]^2</f>
        <v>4489</v>
      </c>
      <c r="M68" s="2">
        <v>79</v>
      </c>
      <c r="N68" s="2">
        <f>Table834[[#This Row],[Morning Pulse]]^2</f>
        <v>6241</v>
      </c>
      <c r="O68" s="2">
        <v>97.6</v>
      </c>
      <c r="P68" s="2">
        <f>Table834[[#This Row],[Night Body Temp]]^2</f>
        <v>9525.7599999999984</v>
      </c>
      <c r="Q68" s="2">
        <v>135</v>
      </c>
      <c r="R68" s="2">
        <f>Table834[[#This Row],[Night Systolic Pressure]]^2</f>
        <v>18225</v>
      </c>
      <c r="S68" s="2">
        <v>77</v>
      </c>
      <c r="T68" s="2">
        <f>Table834[[#This Row],[Night Diastolic Pressure]]^2</f>
        <v>5929</v>
      </c>
      <c r="U68" s="2">
        <v>70</v>
      </c>
      <c r="V68" s="2">
        <f>Table834[[#This Row],[Night Pulse]]^2</f>
        <v>4900</v>
      </c>
      <c r="W68" s="2">
        <v>1</v>
      </c>
      <c r="X68" s="2">
        <f>Table834[[#This Row],[Sleep]]^2</f>
        <v>1</v>
      </c>
      <c r="Y68" s="2">
        <f t="shared" si="3"/>
        <v>35.723877551020408</v>
      </c>
      <c r="Z68" s="2">
        <f>Table834[[#This Row],[BMI]]^2</f>
        <v>1276.1954272802998</v>
      </c>
      <c r="AA68" s="2">
        <f t="shared" si="2"/>
        <v>30.639085534675949</v>
      </c>
      <c r="AB68" s="2">
        <f>Table834[[#This Row],[CBF]]^2</f>
        <v>938.75356240118901</v>
      </c>
      <c r="AC68" s="2">
        <v>1</v>
      </c>
      <c r="AD68" s="2">
        <f>Table834[[#This Row],[Gym]]^2</f>
        <v>1</v>
      </c>
      <c r="AE68" s="2">
        <v>1</v>
      </c>
      <c r="AF68" s="2">
        <f>Table834[[#This Row],[Cardio]]^2</f>
        <v>1</v>
      </c>
      <c r="AG68" s="2">
        <v>1751.8452380952381</v>
      </c>
      <c r="AH68" s="2">
        <f>Table834[[#This Row],[Calories]]^2</f>
        <v>3068961.7382369614</v>
      </c>
      <c r="AI68" s="2">
        <v>236.07202380952378</v>
      </c>
      <c r="AJ68" s="2">
        <f>Table834[[#This Row],[Carbs]]^2</f>
        <v>55730.000425524362</v>
      </c>
      <c r="AK68" s="2">
        <v>61.510714285714293</v>
      </c>
      <c r="AL68" s="2">
        <f>Table834[[#This Row],[Fat ]]^2</f>
        <v>3783.5679719387763</v>
      </c>
      <c r="AM68" s="2">
        <v>65.180952380952391</v>
      </c>
      <c r="AN68" s="2">
        <f>Table834[[#This Row],[Protein]]^2</f>
        <v>4248.5565532879828</v>
      </c>
      <c r="AO68" s="2">
        <v>7.666666666666667</v>
      </c>
      <c r="AP68" s="2">
        <f>Table834[[#This Row],[Fiber]]^2</f>
        <v>58.777777777777786</v>
      </c>
      <c r="AQ68" s="2">
        <v>189.20178571428573</v>
      </c>
      <c r="AR68" s="2">
        <f>Table834[[#This Row],[Sugar]]^2</f>
        <v>35797.315717474499</v>
      </c>
      <c r="AS68" s="2">
        <v>21</v>
      </c>
      <c r="AT68" s="2">
        <f>Table834[[#This Row],[Servings]]^2</f>
        <v>441</v>
      </c>
      <c r="AU68" s="2">
        <v>1.25</v>
      </c>
      <c r="AV68" s="2">
        <f>Table834[[#This Row],[Water]]^2</f>
        <v>1.5625</v>
      </c>
      <c r="AW68" s="2">
        <v>553.59642857142865</v>
      </c>
      <c r="AX68" s="2">
        <f>Table834[[#This Row],[Fat Calories]]^2</f>
        <v>306469.00572704087</v>
      </c>
      <c r="AY68" s="3">
        <f>Table834[[#This Row],[Weight]]*Table834[[#This Row],[Waist]]</f>
        <v>10831.5</v>
      </c>
      <c r="AZ68" s="4">
        <f>Table834[[#This Row],[Weight]]*Table834[[#This Row],[Neck]]</f>
        <v>4108.5</v>
      </c>
      <c r="BA68" s="4">
        <f>Table834[[#This Row],[Weight]]*Table834[[#This Row],[Morning Body Temp]]</f>
        <v>23829.3</v>
      </c>
      <c r="BB68" s="4">
        <f>Table834[[#This Row],[Weight]]*Table834[[#This Row],[Morning Systolic Pressure]]</f>
        <v>30876</v>
      </c>
      <c r="BC68" s="11">
        <f>Table834[[#This Row],[Weight]]*Table834[[#This Row],[Morning Diastolic Pressure]]</f>
        <v>16683</v>
      </c>
      <c r="BD68" s="2">
        <f>Table834[[#This Row],[Weight]]*Table834[[#This Row],[Morning Pulse]]</f>
        <v>19671</v>
      </c>
      <c r="BE68" s="2">
        <f>Table834[[#This Row],[Weight]]*Table834[[#This Row],[Night Body Temp]]</f>
        <v>24302.399999999998</v>
      </c>
      <c r="BF68" s="2">
        <f>Table834[[#This Row],[Weight]]*Table834[[#This Row],[Night Systolic Pressure]]</f>
        <v>33615</v>
      </c>
      <c r="BG68" s="4">
        <f>Table83[[#This Row],[Weight]]*Table83[[#This Row],[Night Diastolic Pressure]]</f>
        <v>19173</v>
      </c>
      <c r="BH68" s="2">
        <f>Table834[[#This Row],[Weight]]*Table834[[#This Row],[Night Pulse]]</f>
        <v>17430</v>
      </c>
      <c r="BI68" s="2">
        <f>Table834[[#This Row],[Weight]]*Table834[[#This Row],[Sleep]]</f>
        <v>249</v>
      </c>
      <c r="BJ68" s="2">
        <f>Table834[[#This Row],[Weight]]*Table834[[#This Row],[BMI]]</f>
        <v>8895.2455102040822</v>
      </c>
      <c r="BK68" s="2">
        <f>Table834[[#This Row],[Weight]]*Table834[[#This Row],[CBF]]</f>
        <v>7629.132298134311</v>
      </c>
      <c r="BL68" s="2">
        <f>Table834[[#This Row],[Weight]]*Table834[[#This Row],[Gym]]</f>
        <v>249</v>
      </c>
      <c r="BM68" s="2">
        <f>Table834[[#This Row],[Weight]]*Table834[[#This Row],[Cardio]]</f>
        <v>249</v>
      </c>
      <c r="BN68" s="2">
        <f>Table834[[#This Row],[Weight]]*Table834[[#This Row],[Calories]]</f>
        <v>436209.46428571426</v>
      </c>
      <c r="BO68" s="2">
        <f>Table834[[#This Row],[Weight]]*Table834[[#This Row],[Carbs]]</f>
        <v>58781.933928571423</v>
      </c>
      <c r="BP68" s="2">
        <f>Table834[[#This Row],[Weight]]*Table834[[#This Row],[Fat ]]</f>
        <v>15316.167857142858</v>
      </c>
      <c r="BQ68" s="2">
        <f>Table834[[#This Row],[Weight]]*Table834[[#This Row],[Protein]]</f>
        <v>16230.057142857146</v>
      </c>
      <c r="BR68" s="2">
        <f>Table834[[#This Row],[Weight]]*Table834[[#This Row],[Fiber]]</f>
        <v>1909</v>
      </c>
      <c r="BS68" s="2">
        <f>Table834[[#This Row],[Weight]]*Table834[[#This Row],[Sugar]]</f>
        <v>47111.244642857149</v>
      </c>
      <c r="BT68" s="2">
        <f>Table834[[#This Row],[Weight]]*Table834[[#This Row],[Servings]]</f>
        <v>5229</v>
      </c>
      <c r="BU68" s="2">
        <f>Table834[[#This Row],[Weight]]*Table834[[#This Row],[Water]]</f>
        <v>311.25</v>
      </c>
      <c r="BV68" s="2">
        <f>Table834[[#This Row],[Weight]]*Table834[[#This Row],[Fat Calories]]</f>
        <v>137845.51071428575</v>
      </c>
      <c r="BW68" s="2">
        <f>Table834[[#This Row],[Waist]]*Table834[[#This Row],[Neck]]</f>
        <v>717.75</v>
      </c>
      <c r="BX68" s="2">
        <f>Table834[[#This Row],[Waist]]*Table834[[#This Row],[Morning Body Temp]]</f>
        <v>4162.95</v>
      </c>
      <c r="BY68" s="2">
        <f>Table834[[#This Row],[Waist]]*Table834[[#This Row],[Morning Systolic Pressure]]</f>
        <v>5394</v>
      </c>
      <c r="BZ68" s="2">
        <f>Table834[[#This Row],[Waist]]*Table834[[#This Row],[Morning Diastolic Pressure]]</f>
        <v>2914.5</v>
      </c>
      <c r="CA68" s="2">
        <f>Table834[[#This Row],[Waist]]*Table834[[#This Row],[Morning Pulse]]</f>
        <v>3436.5</v>
      </c>
      <c r="CB68" s="2">
        <f>Table834[[#This Row],[Waist]]*Table834[[#This Row],[Night Body Temp]]</f>
        <v>4245.5999999999995</v>
      </c>
      <c r="CC68" s="2">
        <f>Table834[[#This Row],[Waist]]*Table834[[#This Row],[Night Systolic Pressure]]</f>
        <v>5872.5</v>
      </c>
      <c r="CD68" s="4">
        <f>Table83[[#This Row],[Waist]]*Table83[[#This Row],[Night Diastolic Pressure]]</f>
        <v>3349.5</v>
      </c>
      <c r="CE68" s="2">
        <f>Table834[[#This Row],[Waist]]*Table834[[#This Row],[Night Pulse]]</f>
        <v>3045</v>
      </c>
      <c r="CF68" s="2">
        <f>Table834[[#This Row],[Waist]]*Table834[[#This Row],[Sleep]]</f>
        <v>43.5</v>
      </c>
      <c r="CG68" s="2">
        <f>Table834[[#This Row],[Waist]]*Table834[[#This Row],[BMI]]</f>
        <v>1553.9886734693878</v>
      </c>
      <c r="CH68" s="2">
        <f>Table834[[#This Row],[Waist]]*Table834[[#This Row],[CBF]]</f>
        <v>1332.8002207584038</v>
      </c>
      <c r="CI68" s="2">
        <f>Table834[[#This Row],[Waist]]*Table834[[#This Row],[Gym]]</f>
        <v>43.5</v>
      </c>
      <c r="CJ68" s="2">
        <f>Table834[[#This Row],[Waist]]*Table834[[#This Row],[Cardio]]</f>
        <v>43.5</v>
      </c>
      <c r="CK68" s="2">
        <f>Table834[[#This Row],[Waist]]*Table834[[#This Row],[Calories]]</f>
        <v>76205.267857142855</v>
      </c>
      <c r="CL68" s="2">
        <f>Table834[[#This Row],[Waist]]*Table834[[#This Row],[Carbs]]</f>
        <v>10269.133035714285</v>
      </c>
      <c r="CM68" s="2">
        <f>Table834[[#This Row],[Waist]]*Table834[[#This Row],[Fat ]]</f>
        <v>2675.7160714285719</v>
      </c>
      <c r="CN68" s="2">
        <f>Table834[[#This Row],[Waist]]*Table834[[#This Row],[Protein]]</f>
        <v>2835.3714285714291</v>
      </c>
      <c r="CO68" s="2">
        <f>Table834[[#This Row],[Waist]]*Table834[[#This Row],[Fiber]]</f>
        <v>333.5</v>
      </c>
      <c r="CP68" s="2">
        <f>Table834[[#This Row],[Waist]]*Table834[[#This Row],[Sugar]]</f>
        <v>8230.2776785714286</v>
      </c>
      <c r="CQ68" s="2">
        <f>Table834[[#This Row],[Waist]]*Table834[[#This Row],[Servings]]</f>
        <v>913.5</v>
      </c>
      <c r="CR68" s="2">
        <f>Table834[[#This Row],[Waist]]*Table834[[#This Row],[Water]]</f>
        <v>54.375</v>
      </c>
      <c r="CS68" s="2">
        <f>Table834[[#This Row],[Waist]]*Table834[[#This Row],[Fat Calories]]</f>
        <v>24081.444642857146</v>
      </c>
    </row>
    <row r="69" spans="1:97" x14ac:dyDescent="0.25">
      <c r="A69" s="2">
        <v>248.8</v>
      </c>
      <c r="B69" s="2">
        <f>Table834[[#This Row],[Weight]]^2</f>
        <v>61901.440000000002</v>
      </c>
      <c r="C69" s="2">
        <v>43.5</v>
      </c>
      <c r="D69" s="2">
        <f>Table834[[#This Row],[Waist]]^2</f>
        <v>1892.25</v>
      </c>
      <c r="E69" s="2">
        <v>16.5</v>
      </c>
      <c r="F69" s="2">
        <f>Table834[[#This Row],[Neck]]^2</f>
        <v>272.25</v>
      </c>
      <c r="G69" s="2">
        <v>94.9</v>
      </c>
      <c r="H69" s="2">
        <f>Table834[[#This Row],[Morning Body Temp]]^2</f>
        <v>9006.01</v>
      </c>
      <c r="I69" s="2">
        <v>128</v>
      </c>
      <c r="J69" s="2">
        <f>Table834[[#This Row],[Morning Systolic Pressure]]^2</f>
        <v>16384</v>
      </c>
      <c r="K69" s="2">
        <v>73</v>
      </c>
      <c r="L69" s="2">
        <f>Table834[[#This Row],[Morning Diastolic Pressure]]^2</f>
        <v>5329</v>
      </c>
      <c r="M69" s="2">
        <v>61</v>
      </c>
      <c r="N69" s="2">
        <f>Table834[[#This Row],[Morning Pulse]]^2</f>
        <v>3721</v>
      </c>
      <c r="O69" s="2">
        <v>97</v>
      </c>
      <c r="P69" s="2">
        <f>Table834[[#This Row],[Night Body Temp]]^2</f>
        <v>9409</v>
      </c>
      <c r="Q69" s="2">
        <v>129</v>
      </c>
      <c r="R69" s="2">
        <f>Table834[[#This Row],[Night Systolic Pressure]]^2</f>
        <v>16641</v>
      </c>
      <c r="S69" s="2">
        <v>82</v>
      </c>
      <c r="T69" s="2">
        <f>Table834[[#This Row],[Night Diastolic Pressure]]^2</f>
        <v>6724</v>
      </c>
      <c r="U69" s="2">
        <v>70</v>
      </c>
      <c r="V69" s="2">
        <f>Table834[[#This Row],[Night Pulse]]^2</f>
        <v>4900</v>
      </c>
      <c r="W69" s="2">
        <v>8</v>
      </c>
      <c r="X69" s="2">
        <f>Table834[[#This Row],[Sleep]]^2</f>
        <v>64</v>
      </c>
      <c r="Y69" s="2">
        <f t="shared" si="3"/>
        <v>35.695183673469387</v>
      </c>
      <c r="Z69" s="2">
        <f>Table834[[#This Row],[BMI]]^2</f>
        <v>1274.1461374827154</v>
      </c>
      <c r="AA69" s="2">
        <f t="shared" si="2"/>
        <v>30.639085534675949</v>
      </c>
      <c r="AB69" s="2">
        <f>Table834[[#This Row],[CBF]]^2</f>
        <v>938.75356240118901</v>
      </c>
      <c r="AC69" s="2">
        <v>1</v>
      </c>
      <c r="AD69" s="2">
        <f>Table834[[#This Row],[Gym]]^2</f>
        <v>1</v>
      </c>
      <c r="AE69" s="2">
        <v>1</v>
      </c>
      <c r="AF69" s="2">
        <f>Table834[[#This Row],[Cardio]]^2</f>
        <v>1</v>
      </c>
      <c r="AG69" s="2">
        <v>6805.1</v>
      </c>
      <c r="AH69" s="2">
        <f>Table834[[#This Row],[Calories]]^2</f>
        <v>46309386.010000005</v>
      </c>
      <c r="AI69" s="2">
        <v>837.35000000000014</v>
      </c>
      <c r="AJ69" s="2">
        <f>Table834[[#This Row],[Carbs]]^2</f>
        <v>701155.0225000002</v>
      </c>
      <c r="AK69" s="2">
        <v>310.46666666666664</v>
      </c>
      <c r="AL69" s="2">
        <f>Table834[[#This Row],[Fat ]]^2</f>
        <v>96389.551111111097</v>
      </c>
      <c r="AM69" s="2">
        <v>226.33333333333334</v>
      </c>
      <c r="AN69" s="2">
        <f>Table834[[#This Row],[Protein]]^2</f>
        <v>51226.777777777781</v>
      </c>
      <c r="AO69" s="2">
        <v>37.1</v>
      </c>
      <c r="AP69" s="2">
        <f>Table834[[#This Row],[Fiber]]^2</f>
        <v>1376.41</v>
      </c>
      <c r="AQ69" s="2">
        <v>425.65</v>
      </c>
      <c r="AR69" s="2">
        <f>Table834[[#This Row],[Sugar]]^2</f>
        <v>181177.92249999999</v>
      </c>
      <c r="AS69" s="2">
        <v>81</v>
      </c>
      <c r="AT69" s="2">
        <f>Table834[[#This Row],[Servings]]^2</f>
        <v>6561</v>
      </c>
      <c r="AU69" s="2">
        <v>1.5</v>
      </c>
      <c r="AV69" s="2">
        <f>Table834[[#This Row],[Water]]^2</f>
        <v>2.25</v>
      </c>
      <c r="AW69" s="2">
        <v>2794.2000000000003</v>
      </c>
      <c r="AX69" s="2">
        <f>Table834[[#This Row],[Fat Calories]]^2</f>
        <v>7807553.6400000015</v>
      </c>
      <c r="AY69" s="5">
        <f>Table834[[#This Row],[Weight]]*Table834[[#This Row],[Waist]]</f>
        <v>10822.800000000001</v>
      </c>
      <c r="AZ69" s="6">
        <f>Table834[[#This Row],[Weight]]*Table834[[#This Row],[Neck]]</f>
        <v>4105.2</v>
      </c>
      <c r="BA69" s="6">
        <f>Table834[[#This Row],[Weight]]*Table834[[#This Row],[Morning Body Temp]]</f>
        <v>23611.120000000003</v>
      </c>
      <c r="BB69" s="6">
        <f>Table834[[#This Row],[Weight]]*Table834[[#This Row],[Morning Systolic Pressure]]</f>
        <v>31846.400000000001</v>
      </c>
      <c r="BC69" s="12">
        <f>Table834[[#This Row],[Weight]]*Table834[[#This Row],[Morning Diastolic Pressure]]</f>
        <v>18162.400000000001</v>
      </c>
      <c r="BD69" s="2">
        <f>Table834[[#This Row],[Weight]]*Table834[[#This Row],[Morning Pulse]]</f>
        <v>15176.800000000001</v>
      </c>
      <c r="BE69" s="2">
        <f>Table834[[#This Row],[Weight]]*Table834[[#This Row],[Night Body Temp]]</f>
        <v>24133.600000000002</v>
      </c>
      <c r="BF69" s="2">
        <f>Table834[[#This Row],[Weight]]*Table834[[#This Row],[Night Systolic Pressure]]</f>
        <v>32095.200000000001</v>
      </c>
      <c r="BG69" s="4">
        <f>Table83[[#This Row],[Weight]]*Table83[[#This Row],[Night Diastolic Pressure]]</f>
        <v>20401.600000000002</v>
      </c>
      <c r="BH69" s="2">
        <f>Table834[[#This Row],[Weight]]*Table834[[#This Row],[Night Pulse]]</f>
        <v>17416</v>
      </c>
      <c r="BI69" s="2">
        <f>Table834[[#This Row],[Weight]]*Table834[[#This Row],[Sleep]]</f>
        <v>1990.4</v>
      </c>
      <c r="BJ69" s="2">
        <f>Table834[[#This Row],[Weight]]*Table834[[#This Row],[BMI]]</f>
        <v>8880.9616979591847</v>
      </c>
      <c r="BK69" s="2">
        <f>Table834[[#This Row],[Weight]]*Table834[[#This Row],[CBF]]</f>
        <v>7623.0044810273766</v>
      </c>
      <c r="BL69" s="2">
        <f>Table834[[#This Row],[Weight]]*Table834[[#This Row],[Gym]]</f>
        <v>248.8</v>
      </c>
      <c r="BM69" s="2">
        <f>Table834[[#This Row],[Weight]]*Table834[[#This Row],[Cardio]]</f>
        <v>248.8</v>
      </c>
      <c r="BN69" s="2">
        <f>Table834[[#This Row],[Weight]]*Table834[[#This Row],[Calories]]</f>
        <v>1693108.8800000001</v>
      </c>
      <c r="BO69" s="2">
        <f>Table834[[#This Row],[Weight]]*Table834[[#This Row],[Carbs]]</f>
        <v>208332.68000000005</v>
      </c>
      <c r="BP69" s="2">
        <f>Table834[[#This Row],[Weight]]*Table834[[#This Row],[Fat ]]</f>
        <v>77244.106666666659</v>
      </c>
      <c r="BQ69" s="2">
        <f>Table834[[#This Row],[Weight]]*Table834[[#This Row],[Protein]]</f>
        <v>56311.733333333337</v>
      </c>
      <c r="BR69" s="2">
        <f>Table834[[#This Row],[Weight]]*Table834[[#This Row],[Fiber]]</f>
        <v>9230.4800000000014</v>
      </c>
      <c r="BS69" s="2">
        <f>Table834[[#This Row],[Weight]]*Table834[[#This Row],[Sugar]]</f>
        <v>105901.72</v>
      </c>
      <c r="BT69" s="2">
        <f>Table834[[#This Row],[Weight]]*Table834[[#This Row],[Servings]]</f>
        <v>20152.8</v>
      </c>
      <c r="BU69" s="2">
        <f>Table834[[#This Row],[Weight]]*Table834[[#This Row],[Water]]</f>
        <v>373.20000000000005</v>
      </c>
      <c r="BV69" s="2">
        <f>Table834[[#This Row],[Weight]]*Table834[[#This Row],[Fat Calories]]</f>
        <v>695196.96000000008</v>
      </c>
      <c r="BW69" s="2">
        <f>Table834[[#This Row],[Waist]]*Table834[[#This Row],[Neck]]</f>
        <v>717.75</v>
      </c>
      <c r="BX69" s="2">
        <f>Table834[[#This Row],[Waist]]*Table834[[#This Row],[Morning Body Temp]]</f>
        <v>4128.1500000000005</v>
      </c>
      <c r="BY69" s="2">
        <f>Table834[[#This Row],[Waist]]*Table834[[#This Row],[Morning Systolic Pressure]]</f>
        <v>5568</v>
      </c>
      <c r="BZ69" s="2">
        <f>Table834[[#This Row],[Waist]]*Table834[[#This Row],[Morning Diastolic Pressure]]</f>
        <v>3175.5</v>
      </c>
      <c r="CA69" s="2">
        <f>Table834[[#This Row],[Waist]]*Table834[[#This Row],[Morning Pulse]]</f>
        <v>2653.5</v>
      </c>
      <c r="CB69" s="2">
        <f>Table834[[#This Row],[Waist]]*Table834[[#This Row],[Night Body Temp]]</f>
        <v>4219.5</v>
      </c>
      <c r="CC69" s="2">
        <f>Table834[[#This Row],[Waist]]*Table834[[#This Row],[Night Systolic Pressure]]</f>
        <v>5611.5</v>
      </c>
      <c r="CD69" s="4">
        <f>Table83[[#This Row],[Waist]]*Table83[[#This Row],[Night Diastolic Pressure]]</f>
        <v>3567</v>
      </c>
      <c r="CE69" s="2">
        <f>Table834[[#This Row],[Waist]]*Table834[[#This Row],[Night Pulse]]</f>
        <v>3045</v>
      </c>
      <c r="CF69" s="2">
        <f>Table834[[#This Row],[Waist]]*Table834[[#This Row],[Sleep]]</f>
        <v>348</v>
      </c>
      <c r="CG69" s="2">
        <f>Table834[[#This Row],[Waist]]*Table834[[#This Row],[BMI]]</f>
        <v>1552.7404897959184</v>
      </c>
      <c r="CH69" s="2">
        <f>Table834[[#This Row],[Waist]]*Table834[[#This Row],[CBF]]</f>
        <v>1332.8002207584038</v>
      </c>
      <c r="CI69" s="2">
        <f>Table834[[#This Row],[Waist]]*Table834[[#This Row],[Gym]]</f>
        <v>43.5</v>
      </c>
      <c r="CJ69" s="2">
        <f>Table834[[#This Row],[Waist]]*Table834[[#This Row],[Cardio]]</f>
        <v>43.5</v>
      </c>
      <c r="CK69" s="2">
        <f>Table834[[#This Row],[Waist]]*Table834[[#This Row],[Calories]]</f>
        <v>296021.85000000003</v>
      </c>
      <c r="CL69" s="2">
        <f>Table834[[#This Row],[Waist]]*Table834[[#This Row],[Carbs]]</f>
        <v>36424.725000000006</v>
      </c>
      <c r="CM69" s="2">
        <f>Table834[[#This Row],[Waist]]*Table834[[#This Row],[Fat ]]</f>
        <v>13505.3</v>
      </c>
      <c r="CN69" s="2">
        <f>Table834[[#This Row],[Waist]]*Table834[[#This Row],[Protein]]</f>
        <v>9845.5</v>
      </c>
      <c r="CO69" s="2">
        <f>Table834[[#This Row],[Waist]]*Table834[[#This Row],[Fiber]]</f>
        <v>1613.8500000000001</v>
      </c>
      <c r="CP69" s="2">
        <f>Table834[[#This Row],[Waist]]*Table834[[#This Row],[Sugar]]</f>
        <v>18515.774999999998</v>
      </c>
      <c r="CQ69" s="2">
        <f>Table834[[#This Row],[Waist]]*Table834[[#This Row],[Servings]]</f>
        <v>3523.5</v>
      </c>
      <c r="CR69" s="2">
        <f>Table834[[#This Row],[Waist]]*Table834[[#This Row],[Water]]</f>
        <v>65.25</v>
      </c>
      <c r="CS69" s="2">
        <f>Table834[[#This Row],[Waist]]*Table834[[#This Row],[Fat Calories]]</f>
        <v>121547.70000000001</v>
      </c>
    </row>
    <row r="70" spans="1:97" x14ac:dyDescent="0.25">
      <c r="A70" s="2">
        <v>252.4</v>
      </c>
      <c r="B70" s="2">
        <f>Table834[[#This Row],[Weight]]^2</f>
        <v>63705.760000000002</v>
      </c>
      <c r="C70" s="2">
        <v>44</v>
      </c>
      <c r="D70" s="2">
        <f>Table834[[#This Row],[Waist]]^2</f>
        <v>1936</v>
      </c>
      <c r="E70" s="2">
        <v>16.5</v>
      </c>
      <c r="F70" s="2">
        <f>Table834[[#This Row],[Neck]]^2</f>
        <v>272.25</v>
      </c>
      <c r="G70" s="2">
        <v>96.1</v>
      </c>
      <c r="H70" s="2">
        <f>Table834[[#This Row],[Morning Body Temp]]^2</f>
        <v>9235.2099999999991</v>
      </c>
      <c r="I70" s="2">
        <v>123</v>
      </c>
      <c r="J70" s="2">
        <f>Table834[[#This Row],[Morning Systolic Pressure]]^2</f>
        <v>15129</v>
      </c>
      <c r="K70" s="2">
        <v>79</v>
      </c>
      <c r="L70" s="2">
        <f>Table834[[#This Row],[Morning Diastolic Pressure]]^2</f>
        <v>6241</v>
      </c>
      <c r="M70" s="2">
        <v>70</v>
      </c>
      <c r="N70" s="2">
        <f>Table834[[#This Row],[Morning Pulse]]^2</f>
        <v>4900</v>
      </c>
      <c r="O70" s="2">
        <v>96.4</v>
      </c>
      <c r="P70" s="2">
        <f>Table834[[#This Row],[Night Body Temp]]^2</f>
        <v>9292.9600000000009</v>
      </c>
      <c r="Q70" s="2">
        <v>144</v>
      </c>
      <c r="R70" s="2">
        <f>Table834[[#This Row],[Night Systolic Pressure]]^2</f>
        <v>20736</v>
      </c>
      <c r="S70" s="2">
        <v>77</v>
      </c>
      <c r="T70" s="2">
        <f>Table834[[#This Row],[Night Diastolic Pressure]]^2</f>
        <v>5929</v>
      </c>
      <c r="U70" s="2">
        <v>62</v>
      </c>
      <c r="V70" s="2">
        <f>Table834[[#This Row],[Night Pulse]]^2</f>
        <v>3844</v>
      </c>
      <c r="W70" s="2">
        <v>11</v>
      </c>
      <c r="X70" s="2">
        <f>Table834[[#This Row],[Sleep]]^2</f>
        <v>121</v>
      </c>
      <c r="Y70" s="2">
        <f t="shared" si="3"/>
        <v>36.211673469387755</v>
      </c>
      <c r="Z70" s="2">
        <f>Table834[[#This Row],[BMI]]^2</f>
        <v>1311.285295453561</v>
      </c>
      <c r="AA70" s="2">
        <f t="shared" si="2"/>
        <v>31.324493175702337</v>
      </c>
      <c r="AB70" s="2">
        <f>Table834[[#This Row],[CBF]]^2</f>
        <v>981.2238727146223</v>
      </c>
      <c r="AC70" s="2">
        <v>1</v>
      </c>
      <c r="AD70" s="2">
        <f>Table834[[#This Row],[Gym]]^2</f>
        <v>1</v>
      </c>
      <c r="AE70" s="2">
        <v>0</v>
      </c>
      <c r="AF70" s="2">
        <f>Table834[[#This Row],[Cardio]]^2</f>
        <v>0</v>
      </c>
      <c r="AG70" s="2">
        <v>1611.3416666666667</v>
      </c>
      <c r="AH70" s="2">
        <f>Table834[[#This Row],[Calories]]^2</f>
        <v>2596421.9667361113</v>
      </c>
      <c r="AI70" s="2">
        <v>114.51944444444445</v>
      </c>
      <c r="AJ70" s="2">
        <f>Table834[[#This Row],[Carbs]]^2</f>
        <v>13114.703155864197</v>
      </c>
      <c r="AK70" s="2">
        <v>84.974999999999994</v>
      </c>
      <c r="AL70" s="2">
        <f>Table834[[#This Row],[Fat ]]^2</f>
        <v>7220.7506249999988</v>
      </c>
      <c r="AM70" s="2">
        <v>80.822222222222223</v>
      </c>
      <c r="AN70" s="2">
        <f>Table834[[#This Row],[Protein]]^2</f>
        <v>6532.2316049382716</v>
      </c>
      <c r="AO70" s="2">
        <v>6.4027777777777768</v>
      </c>
      <c r="AP70" s="2">
        <f>Table834[[#This Row],[Fiber]]^2</f>
        <v>40.995563271604922</v>
      </c>
      <c r="AQ70" s="2">
        <v>29.545833333333334</v>
      </c>
      <c r="AR70" s="2">
        <f>Table834[[#This Row],[Sugar]]^2</f>
        <v>872.95626736111114</v>
      </c>
      <c r="AS70" s="2">
        <v>15.5</v>
      </c>
      <c r="AT70" s="2">
        <f>Table834[[#This Row],[Servings]]^2</f>
        <v>240.25</v>
      </c>
      <c r="AU70" s="2">
        <v>2</v>
      </c>
      <c r="AV70" s="2">
        <f>Table834[[#This Row],[Water]]^2</f>
        <v>4</v>
      </c>
      <c r="AW70" s="2">
        <v>764.77500000000009</v>
      </c>
      <c r="AX70" s="2">
        <f>Table834[[#This Row],[Fat Calories]]^2</f>
        <v>584880.80062500015</v>
      </c>
      <c r="AY70" s="3">
        <f>Table834[[#This Row],[Weight]]*Table834[[#This Row],[Waist]]</f>
        <v>11105.6</v>
      </c>
      <c r="AZ70" s="4">
        <f>Table834[[#This Row],[Weight]]*Table834[[#This Row],[Neck]]</f>
        <v>4164.6000000000004</v>
      </c>
      <c r="BA70" s="4">
        <f>Table834[[#This Row],[Weight]]*Table834[[#This Row],[Morning Body Temp]]</f>
        <v>24255.64</v>
      </c>
      <c r="BB70" s="4">
        <f>Table834[[#This Row],[Weight]]*Table834[[#This Row],[Morning Systolic Pressure]]</f>
        <v>31045.200000000001</v>
      </c>
      <c r="BC70" s="11">
        <f>Table834[[#This Row],[Weight]]*Table834[[#This Row],[Morning Diastolic Pressure]]</f>
        <v>19939.600000000002</v>
      </c>
      <c r="BD70" s="2">
        <f>Table834[[#This Row],[Weight]]*Table834[[#This Row],[Morning Pulse]]</f>
        <v>17668</v>
      </c>
      <c r="BE70" s="2">
        <f>Table834[[#This Row],[Weight]]*Table834[[#This Row],[Night Body Temp]]</f>
        <v>24331.360000000001</v>
      </c>
      <c r="BF70" s="2">
        <f>Table834[[#This Row],[Weight]]*Table834[[#This Row],[Night Systolic Pressure]]</f>
        <v>36345.599999999999</v>
      </c>
      <c r="BG70" s="4">
        <f>Table83[[#This Row],[Weight]]*Table83[[#This Row],[Night Diastolic Pressure]]</f>
        <v>19434.8</v>
      </c>
      <c r="BH70" s="2">
        <f>Table834[[#This Row],[Weight]]*Table834[[#This Row],[Night Pulse]]</f>
        <v>15648.800000000001</v>
      </c>
      <c r="BI70" s="2">
        <f>Table834[[#This Row],[Weight]]*Table834[[#This Row],[Sleep]]</f>
        <v>2776.4</v>
      </c>
      <c r="BJ70" s="2">
        <f>Table834[[#This Row],[Weight]]*Table834[[#This Row],[BMI]]</f>
        <v>9139.8263836734695</v>
      </c>
      <c r="BK70" s="2">
        <f>Table834[[#This Row],[Weight]]*Table834[[#This Row],[CBF]]</f>
        <v>7906.3020775472696</v>
      </c>
      <c r="BL70" s="2">
        <f>Table834[[#This Row],[Weight]]*Table834[[#This Row],[Gym]]</f>
        <v>252.4</v>
      </c>
      <c r="BM70" s="2">
        <f>Table834[[#This Row],[Weight]]*Table834[[#This Row],[Cardio]]</f>
        <v>0</v>
      </c>
      <c r="BN70" s="2">
        <f>Table834[[#This Row],[Weight]]*Table834[[#This Row],[Calories]]</f>
        <v>406702.63666666666</v>
      </c>
      <c r="BO70" s="2">
        <f>Table834[[#This Row],[Weight]]*Table834[[#This Row],[Carbs]]</f>
        <v>28904.707777777778</v>
      </c>
      <c r="BP70" s="2">
        <f>Table834[[#This Row],[Weight]]*Table834[[#This Row],[Fat ]]</f>
        <v>21447.69</v>
      </c>
      <c r="BQ70" s="2">
        <f>Table834[[#This Row],[Weight]]*Table834[[#This Row],[Protein]]</f>
        <v>20399.52888888889</v>
      </c>
      <c r="BR70" s="2">
        <f>Table834[[#This Row],[Weight]]*Table834[[#This Row],[Fiber]]</f>
        <v>1616.0611111111109</v>
      </c>
      <c r="BS70" s="2">
        <f>Table834[[#This Row],[Weight]]*Table834[[#This Row],[Sugar]]</f>
        <v>7457.3683333333338</v>
      </c>
      <c r="BT70" s="2">
        <f>Table834[[#This Row],[Weight]]*Table834[[#This Row],[Servings]]</f>
        <v>3912.2000000000003</v>
      </c>
      <c r="BU70" s="2">
        <f>Table834[[#This Row],[Weight]]*Table834[[#This Row],[Water]]</f>
        <v>504.8</v>
      </c>
      <c r="BV70" s="2">
        <f>Table834[[#This Row],[Weight]]*Table834[[#This Row],[Fat Calories]]</f>
        <v>193029.21000000002</v>
      </c>
      <c r="BW70" s="2">
        <f>Table834[[#This Row],[Waist]]*Table834[[#This Row],[Neck]]</f>
        <v>726</v>
      </c>
      <c r="BX70" s="2">
        <f>Table834[[#This Row],[Waist]]*Table834[[#This Row],[Morning Body Temp]]</f>
        <v>4228.3999999999996</v>
      </c>
      <c r="BY70" s="2">
        <f>Table834[[#This Row],[Waist]]*Table834[[#This Row],[Morning Systolic Pressure]]</f>
        <v>5412</v>
      </c>
      <c r="BZ70" s="2">
        <f>Table834[[#This Row],[Waist]]*Table834[[#This Row],[Morning Diastolic Pressure]]</f>
        <v>3476</v>
      </c>
      <c r="CA70" s="2">
        <f>Table834[[#This Row],[Waist]]*Table834[[#This Row],[Morning Pulse]]</f>
        <v>3080</v>
      </c>
      <c r="CB70" s="2">
        <f>Table834[[#This Row],[Waist]]*Table834[[#This Row],[Night Body Temp]]</f>
        <v>4241.6000000000004</v>
      </c>
      <c r="CC70" s="2">
        <f>Table834[[#This Row],[Waist]]*Table834[[#This Row],[Night Systolic Pressure]]</f>
        <v>6336</v>
      </c>
      <c r="CD70" s="4">
        <f>Table83[[#This Row],[Waist]]*Table83[[#This Row],[Night Diastolic Pressure]]</f>
        <v>3388</v>
      </c>
      <c r="CE70" s="2">
        <f>Table834[[#This Row],[Waist]]*Table834[[#This Row],[Night Pulse]]</f>
        <v>2728</v>
      </c>
      <c r="CF70" s="2">
        <f>Table834[[#This Row],[Waist]]*Table834[[#This Row],[Sleep]]</f>
        <v>484</v>
      </c>
      <c r="CG70" s="2">
        <f>Table834[[#This Row],[Waist]]*Table834[[#This Row],[BMI]]</f>
        <v>1593.3136326530612</v>
      </c>
      <c r="CH70" s="2">
        <f>Table834[[#This Row],[Waist]]*Table834[[#This Row],[CBF]]</f>
        <v>1378.2776997309029</v>
      </c>
      <c r="CI70" s="2">
        <f>Table834[[#This Row],[Waist]]*Table834[[#This Row],[Gym]]</f>
        <v>44</v>
      </c>
      <c r="CJ70" s="2">
        <f>Table834[[#This Row],[Waist]]*Table834[[#This Row],[Cardio]]</f>
        <v>0</v>
      </c>
      <c r="CK70" s="2">
        <f>Table834[[#This Row],[Waist]]*Table834[[#This Row],[Calories]]</f>
        <v>70899.03333333334</v>
      </c>
      <c r="CL70" s="2">
        <f>Table834[[#This Row],[Waist]]*Table834[[#This Row],[Carbs]]</f>
        <v>5038.8555555555558</v>
      </c>
      <c r="CM70" s="2">
        <f>Table834[[#This Row],[Waist]]*Table834[[#This Row],[Fat ]]</f>
        <v>3738.8999999999996</v>
      </c>
      <c r="CN70" s="2">
        <f>Table834[[#This Row],[Waist]]*Table834[[#This Row],[Protein]]</f>
        <v>3556.1777777777779</v>
      </c>
      <c r="CO70" s="2">
        <f>Table834[[#This Row],[Waist]]*Table834[[#This Row],[Fiber]]</f>
        <v>281.72222222222217</v>
      </c>
      <c r="CP70" s="2">
        <f>Table834[[#This Row],[Waist]]*Table834[[#This Row],[Sugar]]</f>
        <v>1300.0166666666667</v>
      </c>
      <c r="CQ70" s="2">
        <f>Table834[[#This Row],[Waist]]*Table834[[#This Row],[Servings]]</f>
        <v>682</v>
      </c>
      <c r="CR70" s="2">
        <f>Table834[[#This Row],[Waist]]*Table834[[#This Row],[Water]]</f>
        <v>88</v>
      </c>
      <c r="CS70" s="2">
        <f>Table834[[#This Row],[Waist]]*Table834[[#This Row],[Fat Calories]]</f>
        <v>33650.100000000006</v>
      </c>
    </row>
    <row r="71" spans="1:97" x14ac:dyDescent="0.25">
      <c r="A71" s="2">
        <v>249.6</v>
      </c>
      <c r="B71" s="2">
        <f>Table834[[#This Row],[Weight]]^2</f>
        <v>62300.159999999996</v>
      </c>
      <c r="C71" s="2">
        <v>43.5</v>
      </c>
      <c r="D71" s="2">
        <f>Table834[[#This Row],[Waist]]^2</f>
        <v>1892.25</v>
      </c>
      <c r="E71" s="2">
        <v>16.5</v>
      </c>
      <c r="F71" s="2">
        <f>Table834[[#This Row],[Neck]]^2</f>
        <v>272.25</v>
      </c>
      <c r="G71" s="2">
        <v>96.4</v>
      </c>
      <c r="H71" s="2">
        <f>Table834[[#This Row],[Morning Body Temp]]^2</f>
        <v>9292.9600000000009</v>
      </c>
      <c r="I71" s="2">
        <v>141</v>
      </c>
      <c r="J71" s="2">
        <f>Table834[[#This Row],[Morning Systolic Pressure]]^2</f>
        <v>19881</v>
      </c>
      <c r="K71" s="2">
        <v>80</v>
      </c>
      <c r="L71" s="2">
        <f>Table834[[#This Row],[Morning Diastolic Pressure]]^2</f>
        <v>6400</v>
      </c>
      <c r="M71" s="2">
        <v>71</v>
      </c>
      <c r="N71" s="2">
        <f>Table834[[#This Row],[Morning Pulse]]^2</f>
        <v>5041</v>
      </c>
      <c r="O71" s="2">
        <v>97</v>
      </c>
      <c r="P71" s="2">
        <f>Table834[[#This Row],[Night Body Temp]]^2</f>
        <v>9409</v>
      </c>
      <c r="Q71" s="2">
        <v>132</v>
      </c>
      <c r="R71" s="2">
        <f>Table834[[#This Row],[Night Systolic Pressure]]^2</f>
        <v>17424</v>
      </c>
      <c r="S71" s="2">
        <v>72</v>
      </c>
      <c r="T71" s="2">
        <f>Table834[[#This Row],[Night Diastolic Pressure]]^2</f>
        <v>5184</v>
      </c>
      <c r="U71" s="2">
        <v>62</v>
      </c>
      <c r="V71" s="2">
        <f>Table834[[#This Row],[Night Pulse]]^2</f>
        <v>3844</v>
      </c>
      <c r="W71" s="2">
        <v>8</v>
      </c>
      <c r="X71" s="2">
        <f>Table834[[#This Row],[Sleep]]^2</f>
        <v>64</v>
      </c>
      <c r="Y71" s="2">
        <f t="shared" si="3"/>
        <v>35.80995918367347</v>
      </c>
      <c r="Z71" s="2">
        <f>Table834[[#This Row],[BMI]]^2</f>
        <v>1282.35317673636</v>
      </c>
      <c r="AA71" s="2">
        <f t="shared" si="2"/>
        <v>30.639085534675949</v>
      </c>
      <c r="AB71" s="2">
        <f>Table834[[#This Row],[CBF]]^2</f>
        <v>938.75356240118901</v>
      </c>
      <c r="AC71" s="2">
        <v>1</v>
      </c>
      <c r="AD71" s="2">
        <f>Table834[[#This Row],[Gym]]^2</f>
        <v>1</v>
      </c>
      <c r="AE71" s="2">
        <v>0</v>
      </c>
      <c r="AF71" s="2">
        <f>Table834[[#This Row],[Cardio]]^2</f>
        <v>0</v>
      </c>
      <c r="AG71" s="2">
        <v>1531.4642857142858</v>
      </c>
      <c r="AH71" s="2">
        <f>Table834[[#This Row],[Calories]]^2</f>
        <v>2345382.8584183673</v>
      </c>
      <c r="AI71" s="2">
        <v>61.185317460317457</v>
      </c>
      <c r="AJ71" s="2">
        <f>Table834[[#This Row],[Carbs]]^2</f>
        <v>3743.6430727198281</v>
      </c>
      <c r="AK71" s="2">
        <v>88.759523809523827</v>
      </c>
      <c r="AL71" s="2">
        <f>Table834[[#This Row],[Fat ]]^2</f>
        <v>7878.2530668934269</v>
      </c>
      <c r="AM71" s="2">
        <v>138.28492063492064</v>
      </c>
      <c r="AN71" s="2">
        <f>Table834[[#This Row],[Protein]]^2</f>
        <v>19122.7192750063</v>
      </c>
      <c r="AO71" s="2">
        <v>10.27222222222222</v>
      </c>
      <c r="AP71" s="2">
        <f>Table834[[#This Row],[Fiber]]^2</f>
        <v>105.51854938271602</v>
      </c>
      <c r="AQ71" s="2">
        <v>29.107142857142858</v>
      </c>
      <c r="AR71" s="2">
        <f>Table834[[#This Row],[Sugar]]^2</f>
        <v>847.22576530612253</v>
      </c>
      <c r="AS71" s="2">
        <v>14</v>
      </c>
      <c r="AT71" s="2">
        <f>Table834[[#This Row],[Servings]]^2</f>
        <v>196</v>
      </c>
      <c r="AU71" s="2">
        <v>3.5</v>
      </c>
      <c r="AV71" s="2">
        <f>Table834[[#This Row],[Water]]^2</f>
        <v>12.25</v>
      </c>
      <c r="AW71" s="2">
        <v>798.83571428571429</v>
      </c>
      <c r="AX71" s="2">
        <f>Table834[[#This Row],[Fat Calories]]^2</f>
        <v>638138.49841836735</v>
      </c>
      <c r="AY71" s="5">
        <f>Table834[[#This Row],[Weight]]*Table834[[#This Row],[Waist]]</f>
        <v>10857.6</v>
      </c>
      <c r="AZ71" s="6">
        <f>Table834[[#This Row],[Weight]]*Table834[[#This Row],[Neck]]</f>
        <v>4118.3999999999996</v>
      </c>
      <c r="BA71" s="6">
        <f>Table834[[#This Row],[Weight]]*Table834[[#This Row],[Morning Body Temp]]</f>
        <v>24061.440000000002</v>
      </c>
      <c r="BB71" s="6">
        <f>Table834[[#This Row],[Weight]]*Table834[[#This Row],[Morning Systolic Pressure]]</f>
        <v>35193.599999999999</v>
      </c>
      <c r="BC71" s="12">
        <f>Table834[[#This Row],[Weight]]*Table834[[#This Row],[Morning Diastolic Pressure]]</f>
        <v>19968</v>
      </c>
      <c r="BD71" s="2">
        <f>Table834[[#This Row],[Weight]]*Table834[[#This Row],[Morning Pulse]]</f>
        <v>17721.599999999999</v>
      </c>
      <c r="BE71" s="2">
        <f>Table834[[#This Row],[Weight]]*Table834[[#This Row],[Night Body Temp]]</f>
        <v>24211.200000000001</v>
      </c>
      <c r="BF71" s="2">
        <f>Table834[[#This Row],[Weight]]*Table834[[#This Row],[Night Systolic Pressure]]</f>
        <v>32947.199999999997</v>
      </c>
      <c r="BG71" s="4">
        <f>Table83[[#This Row],[Weight]]*Table83[[#This Row],[Night Diastolic Pressure]]</f>
        <v>17971.2</v>
      </c>
      <c r="BH71" s="2">
        <f>Table834[[#This Row],[Weight]]*Table834[[#This Row],[Night Pulse]]</f>
        <v>15475.199999999999</v>
      </c>
      <c r="BI71" s="2">
        <f>Table834[[#This Row],[Weight]]*Table834[[#This Row],[Sleep]]</f>
        <v>1996.8</v>
      </c>
      <c r="BJ71" s="2">
        <f>Table834[[#This Row],[Weight]]*Table834[[#This Row],[BMI]]</f>
        <v>8938.1658122448971</v>
      </c>
      <c r="BK71" s="2">
        <f>Table834[[#This Row],[Weight]]*Table834[[#This Row],[CBF]]</f>
        <v>7647.5157494551167</v>
      </c>
      <c r="BL71" s="2">
        <f>Table834[[#This Row],[Weight]]*Table834[[#This Row],[Gym]]</f>
        <v>249.6</v>
      </c>
      <c r="BM71" s="2">
        <f>Table834[[#This Row],[Weight]]*Table834[[#This Row],[Cardio]]</f>
        <v>0</v>
      </c>
      <c r="BN71" s="2">
        <f>Table834[[#This Row],[Weight]]*Table834[[#This Row],[Calories]]</f>
        <v>382253.48571428575</v>
      </c>
      <c r="BO71" s="2">
        <f>Table834[[#This Row],[Weight]]*Table834[[#This Row],[Carbs]]</f>
        <v>15271.855238095237</v>
      </c>
      <c r="BP71" s="2">
        <f>Table834[[#This Row],[Weight]]*Table834[[#This Row],[Fat ]]</f>
        <v>22154.377142857145</v>
      </c>
      <c r="BQ71" s="2">
        <f>Table834[[#This Row],[Weight]]*Table834[[#This Row],[Protein]]</f>
        <v>34515.916190476193</v>
      </c>
      <c r="BR71" s="2">
        <f>Table834[[#This Row],[Weight]]*Table834[[#This Row],[Fiber]]</f>
        <v>2563.9466666666663</v>
      </c>
      <c r="BS71" s="2">
        <f>Table834[[#This Row],[Weight]]*Table834[[#This Row],[Sugar]]</f>
        <v>7265.1428571428569</v>
      </c>
      <c r="BT71" s="2">
        <f>Table834[[#This Row],[Weight]]*Table834[[#This Row],[Servings]]</f>
        <v>3494.4</v>
      </c>
      <c r="BU71" s="2">
        <f>Table834[[#This Row],[Weight]]*Table834[[#This Row],[Water]]</f>
        <v>873.6</v>
      </c>
      <c r="BV71" s="2">
        <f>Table834[[#This Row],[Weight]]*Table834[[#This Row],[Fat Calories]]</f>
        <v>199389.39428571428</v>
      </c>
      <c r="BW71" s="2">
        <f>Table834[[#This Row],[Waist]]*Table834[[#This Row],[Neck]]</f>
        <v>717.75</v>
      </c>
      <c r="BX71" s="2">
        <f>Table834[[#This Row],[Waist]]*Table834[[#This Row],[Morning Body Temp]]</f>
        <v>4193.4000000000005</v>
      </c>
      <c r="BY71" s="2">
        <f>Table834[[#This Row],[Waist]]*Table834[[#This Row],[Morning Systolic Pressure]]</f>
        <v>6133.5</v>
      </c>
      <c r="BZ71" s="2">
        <f>Table834[[#This Row],[Waist]]*Table834[[#This Row],[Morning Diastolic Pressure]]</f>
        <v>3480</v>
      </c>
      <c r="CA71" s="2">
        <f>Table834[[#This Row],[Waist]]*Table834[[#This Row],[Morning Pulse]]</f>
        <v>3088.5</v>
      </c>
      <c r="CB71" s="2">
        <f>Table834[[#This Row],[Waist]]*Table834[[#This Row],[Night Body Temp]]</f>
        <v>4219.5</v>
      </c>
      <c r="CC71" s="2">
        <f>Table834[[#This Row],[Waist]]*Table834[[#This Row],[Night Systolic Pressure]]</f>
        <v>5742</v>
      </c>
      <c r="CD71" s="4">
        <f>Table83[[#This Row],[Waist]]*Table83[[#This Row],[Night Diastolic Pressure]]</f>
        <v>3132</v>
      </c>
      <c r="CE71" s="2">
        <f>Table834[[#This Row],[Waist]]*Table834[[#This Row],[Night Pulse]]</f>
        <v>2697</v>
      </c>
      <c r="CF71" s="2">
        <f>Table834[[#This Row],[Waist]]*Table834[[#This Row],[Sleep]]</f>
        <v>348</v>
      </c>
      <c r="CG71" s="2">
        <f>Table834[[#This Row],[Waist]]*Table834[[#This Row],[BMI]]</f>
        <v>1557.7332244897959</v>
      </c>
      <c r="CH71" s="2">
        <f>Table834[[#This Row],[Waist]]*Table834[[#This Row],[CBF]]</f>
        <v>1332.8002207584038</v>
      </c>
      <c r="CI71" s="2">
        <f>Table834[[#This Row],[Waist]]*Table834[[#This Row],[Gym]]</f>
        <v>43.5</v>
      </c>
      <c r="CJ71" s="2">
        <f>Table834[[#This Row],[Waist]]*Table834[[#This Row],[Cardio]]</f>
        <v>0</v>
      </c>
      <c r="CK71" s="2">
        <f>Table834[[#This Row],[Waist]]*Table834[[#This Row],[Calories]]</f>
        <v>66618.696428571435</v>
      </c>
      <c r="CL71" s="2">
        <f>Table834[[#This Row],[Waist]]*Table834[[#This Row],[Carbs]]</f>
        <v>2661.5613095238095</v>
      </c>
      <c r="CM71" s="2">
        <f>Table834[[#This Row],[Waist]]*Table834[[#This Row],[Fat ]]</f>
        <v>3861.0392857142865</v>
      </c>
      <c r="CN71" s="2">
        <f>Table834[[#This Row],[Waist]]*Table834[[#This Row],[Protein]]</f>
        <v>6015.3940476190473</v>
      </c>
      <c r="CO71" s="2">
        <f>Table834[[#This Row],[Waist]]*Table834[[#This Row],[Fiber]]</f>
        <v>446.84166666666658</v>
      </c>
      <c r="CP71" s="2">
        <f>Table834[[#This Row],[Waist]]*Table834[[#This Row],[Sugar]]</f>
        <v>1266.1607142857142</v>
      </c>
      <c r="CQ71" s="2">
        <f>Table834[[#This Row],[Waist]]*Table834[[#This Row],[Servings]]</f>
        <v>609</v>
      </c>
      <c r="CR71" s="2">
        <f>Table834[[#This Row],[Waist]]*Table834[[#This Row],[Water]]</f>
        <v>152.25</v>
      </c>
      <c r="CS71" s="2">
        <f>Table834[[#This Row],[Waist]]*Table834[[#This Row],[Fat Calories]]</f>
        <v>34749.353571428568</v>
      </c>
    </row>
    <row r="72" spans="1:97" x14ac:dyDescent="0.25">
      <c r="A72" s="2">
        <v>247.4</v>
      </c>
      <c r="B72" s="2">
        <f>Table834[[#This Row],[Weight]]^2</f>
        <v>61206.76</v>
      </c>
      <c r="C72" s="2">
        <v>43.5</v>
      </c>
      <c r="D72" s="2">
        <f>Table834[[#This Row],[Waist]]^2</f>
        <v>1892.25</v>
      </c>
      <c r="E72" s="2">
        <v>16.5</v>
      </c>
      <c r="F72" s="2">
        <f>Table834[[#This Row],[Neck]]^2</f>
        <v>272.25</v>
      </c>
      <c r="G72" s="2">
        <v>96.8</v>
      </c>
      <c r="H72" s="2">
        <f>Table834[[#This Row],[Morning Body Temp]]^2</f>
        <v>9370.24</v>
      </c>
      <c r="I72" s="2">
        <v>143</v>
      </c>
      <c r="J72" s="2">
        <f>Table834[[#This Row],[Morning Systolic Pressure]]^2</f>
        <v>20449</v>
      </c>
      <c r="K72" s="2">
        <v>72</v>
      </c>
      <c r="L72" s="2">
        <f>Table834[[#This Row],[Morning Diastolic Pressure]]^2</f>
        <v>5184</v>
      </c>
      <c r="M72" s="2">
        <v>69</v>
      </c>
      <c r="N72" s="2">
        <f>Table834[[#This Row],[Morning Pulse]]^2</f>
        <v>4761</v>
      </c>
      <c r="O72" s="2">
        <v>96.9</v>
      </c>
      <c r="P72" s="2">
        <f>Table834[[#This Row],[Night Body Temp]]^2</f>
        <v>9389.61</v>
      </c>
      <c r="Q72" s="2">
        <v>137</v>
      </c>
      <c r="R72" s="2">
        <f>Table834[[#This Row],[Night Systolic Pressure]]^2</f>
        <v>18769</v>
      </c>
      <c r="S72" s="2">
        <v>75</v>
      </c>
      <c r="T72" s="2">
        <f>Table834[[#This Row],[Night Diastolic Pressure]]^2</f>
        <v>5625</v>
      </c>
      <c r="U72" s="2">
        <v>63</v>
      </c>
      <c r="V72" s="2">
        <f>Table834[[#This Row],[Night Pulse]]^2</f>
        <v>3969</v>
      </c>
      <c r="W72" s="2">
        <v>9</v>
      </c>
      <c r="X72" s="2">
        <f>Table834[[#This Row],[Sleep]]^2</f>
        <v>81</v>
      </c>
      <c r="Y72" s="2">
        <f t="shared" si="3"/>
        <v>35.494326530612248</v>
      </c>
      <c r="Z72" s="2">
        <f>Table834[[#This Row],[BMI]]^2</f>
        <v>1259.8472158617246</v>
      </c>
      <c r="AA72" s="2">
        <f t="shared" si="2"/>
        <v>30.639085534675949</v>
      </c>
      <c r="AB72" s="2">
        <f>Table834[[#This Row],[CBF]]^2</f>
        <v>938.75356240118901</v>
      </c>
      <c r="AC72" s="2">
        <v>1</v>
      </c>
      <c r="AD72" s="2">
        <f>Table834[[#This Row],[Gym]]^2</f>
        <v>1</v>
      </c>
      <c r="AE72" s="2">
        <v>0</v>
      </c>
      <c r="AF72" s="2">
        <f>Table834[[#This Row],[Cardio]]^2</f>
        <v>0</v>
      </c>
      <c r="AG72" s="2">
        <v>1168.6833333333334</v>
      </c>
      <c r="AH72" s="2">
        <f>Table834[[#This Row],[Calories]]^2</f>
        <v>1365820.7336111113</v>
      </c>
      <c r="AI72" s="2">
        <v>116.63888888888889</v>
      </c>
      <c r="AJ72" s="2">
        <f>Table834[[#This Row],[Carbs]]^2</f>
        <v>13604.630401234566</v>
      </c>
      <c r="AK72" s="2">
        <v>48.45</v>
      </c>
      <c r="AL72" s="2">
        <f>Table834[[#This Row],[Fat ]]^2</f>
        <v>2347.4025000000001</v>
      </c>
      <c r="AM72" s="2">
        <v>80.64444444444446</v>
      </c>
      <c r="AN72" s="2">
        <f>Table834[[#This Row],[Protein]]^2</f>
        <v>6503.5264197530887</v>
      </c>
      <c r="AO72" s="2">
        <v>21.005555555555553</v>
      </c>
      <c r="AP72" s="2">
        <f>Table834[[#This Row],[Fiber]]^2</f>
        <v>441.23336419753076</v>
      </c>
      <c r="AQ72" s="2">
        <v>60.691666666666663</v>
      </c>
      <c r="AR72" s="2">
        <f>Table834[[#This Row],[Sugar]]^2</f>
        <v>3683.4784027777773</v>
      </c>
      <c r="AS72" s="2">
        <v>18</v>
      </c>
      <c r="AT72" s="2">
        <f>Table834[[#This Row],[Servings]]^2</f>
        <v>324</v>
      </c>
      <c r="AU72" s="2">
        <v>2.5</v>
      </c>
      <c r="AV72" s="2">
        <f>Table834[[#This Row],[Water]]^2</f>
        <v>6.25</v>
      </c>
      <c r="AW72" s="2">
        <v>436.05000000000007</v>
      </c>
      <c r="AX72" s="2">
        <f>Table834[[#This Row],[Fat Calories]]^2</f>
        <v>190139.60250000007</v>
      </c>
      <c r="AY72" s="3">
        <f>Table834[[#This Row],[Weight]]*Table834[[#This Row],[Waist]]</f>
        <v>10761.9</v>
      </c>
      <c r="AZ72" s="4">
        <f>Table834[[#This Row],[Weight]]*Table834[[#This Row],[Neck]]</f>
        <v>4082.1</v>
      </c>
      <c r="BA72" s="4">
        <f>Table834[[#This Row],[Weight]]*Table834[[#This Row],[Morning Body Temp]]</f>
        <v>23948.32</v>
      </c>
      <c r="BB72" s="4">
        <f>Table834[[#This Row],[Weight]]*Table834[[#This Row],[Morning Systolic Pressure]]</f>
        <v>35378.200000000004</v>
      </c>
      <c r="BC72" s="11">
        <f>Table834[[#This Row],[Weight]]*Table834[[#This Row],[Morning Diastolic Pressure]]</f>
        <v>17812.8</v>
      </c>
      <c r="BD72" s="2">
        <f>Table834[[#This Row],[Weight]]*Table834[[#This Row],[Morning Pulse]]</f>
        <v>17070.600000000002</v>
      </c>
      <c r="BE72" s="2">
        <f>Table834[[#This Row],[Weight]]*Table834[[#This Row],[Night Body Temp]]</f>
        <v>23973.06</v>
      </c>
      <c r="BF72" s="2">
        <f>Table834[[#This Row],[Weight]]*Table834[[#This Row],[Night Systolic Pressure]]</f>
        <v>33893.800000000003</v>
      </c>
      <c r="BG72" s="4">
        <f>Table83[[#This Row],[Weight]]*Table83[[#This Row],[Night Diastolic Pressure]]</f>
        <v>18555</v>
      </c>
      <c r="BH72" s="2">
        <f>Table834[[#This Row],[Weight]]*Table834[[#This Row],[Night Pulse]]</f>
        <v>15586.2</v>
      </c>
      <c r="BI72" s="2">
        <f>Table834[[#This Row],[Weight]]*Table834[[#This Row],[Sleep]]</f>
        <v>2226.6</v>
      </c>
      <c r="BJ72" s="2">
        <f>Table834[[#This Row],[Weight]]*Table834[[#This Row],[BMI]]</f>
        <v>8781.2963836734707</v>
      </c>
      <c r="BK72" s="2">
        <f>Table834[[#This Row],[Weight]]*Table834[[#This Row],[CBF]]</f>
        <v>7580.1097612788299</v>
      </c>
      <c r="BL72" s="2">
        <f>Table834[[#This Row],[Weight]]*Table834[[#This Row],[Gym]]</f>
        <v>247.4</v>
      </c>
      <c r="BM72" s="2">
        <f>Table834[[#This Row],[Weight]]*Table834[[#This Row],[Cardio]]</f>
        <v>0</v>
      </c>
      <c r="BN72" s="2">
        <f>Table834[[#This Row],[Weight]]*Table834[[#This Row],[Calories]]</f>
        <v>289132.25666666671</v>
      </c>
      <c r="BO72" s="2">
        <f>Table834[[#This Row],[Weight]]*Table834[[#This Row],[Carbs]]</f>
        <v>28856.461111111112</v>
      </c>
      <c r="BP72" s="2">
        <f>Table834[[#This Row],[Weight]]*Table834[[#This Row],[Fat ]]</f>
        <v>11986.53</v>
      </c>
      <c r="BQ72" s="2">
        <f>Table834[[#This Row],[Weight]]*Table834[[#This Row],[Protein]]</f>
        <v>19951.435555555559</v>
      </c>
      <c r="BR72" s="2">
        <f>Table834[[#This Row],[Weight]]*Table834[[#This Row],[Fiber]]</f>
        <v>5196.7744444444443</v>
      </c>
      <c r="BS72" s="2">
        <f>Table834[[#This Row],[Weight]]*Table834[[#This Row],[Sugar]]</f>
        <v>15015.118333333332</v>
      </c>
      <c r="BT72" s="2">
        <f>Table834[[#This Row],[Weight]]*Table834[[#This Row],[Servings]]</f>
        <v>4453.2</v>
      </c>
      <c r="BU72" s="2">
        <f>Table834[[#This Row],[Weight]]*Table834[[#This Row],[Water]]</f>
        <v>618.5</v>
      </c>
      <c r="BV72" s="2">
        <f>Table834[[#This Row],[Weight]]*Table834[[#This Row],[Fat Calories]]</f>
        <v>107878.77000000002</v>
      </c>
      <c r="BW72" s="2">
        <f>Table834[[#This Row],[Waist]]*Table834[[#This Row],[Neck]]</f>
        <v>717.75</v>
      </c>
      <c r="BX72" s="2">
        <f>Table834[[#This Row],[Waist]]*Table834[[#This Row],[Morning Body Temp]]</f>
        <v>4210.8</v>
      </c>
      <c r="BY72" s="2">
        <f>Table834[[#This Row],[Waist]]*Table834[[#This Row],[Morning Systolic Pressure]]</f>
        <v>6220.5</v>
      </c>
      <c r="BZ72" s="2">
        <f>Table834[[#This Row],[Waist]]*Table834[[#This Row],[Morning Diastolic Pressure]]</f>
        <v>3132</v>
      </c>
      <c r="CA72" s="2">
        <f>Table834[[#This Row],[Waist]]*Table834[[#This Row],[Morning Pulse]]</f>
        <v>3001.5</v>
      </c>
      <c r="CB72" s="2">
        <f>Table834[[#This Row],[Waist]]*Table834[[#This Row],[Night Body Temp]]</f>
        <v>4215.1500000000005</v>
      </c>
      <c r="CC72" s="2">
        <f>Table834[[#This Row],[Waist]]*Table834[[#This Row],[Night Systolic Pressure]]</f>
        <v>5959.5</v>
      </c>
      <c r="CD72" s="4">
        <f>Table83[[#This Row],[Waist]]*Table83[[#This Row],[Night Diastolic Pressure]]</f>
        <v>3262.5</v>
      </c>
      <c r="CE72" s="2">
        <f>Table834[[#This Row],[Waist]]*Table834[[#This Row],[Night Pulse]]</f>
        <v>2740.5</v>
      </c>
      <c r="CF72" s="2">
        <f>Table834[[#This Row],[Waist]]*Table834[[#This Row],[Sleep]]</f>
        <v>391.5</v>
      </c>
      <c r="CG72" s="2">
        <f>Table834[[#This Row],[Waist]]*Table834[[#This Row],[BMI]]</f>
        <v>1544.0032040816327</v>
      </c>
      <c r="CH72" s="2">
        <f>Table834[[#This Row],[Waist]]*Table834[[#This Row],[CBF]]</f>
        <v>1332.8002207584038</v>
      </c>
      <c r="CI72" s="2">
        <f>Table834[[#This Row],[Waist]]*Table834[[#This Row],[Gym]]</f>
        <v>43.5</v>
      </c>
      <c r="CJ72" s="2">
        <f>Table834[[#This Row],[Waist]]*Table834[[#This Row],[Cardio]]</f>
        <v>0</v>
      </c>
      <c r="CK72" s="2">
        <f>Table834[[#This Row],[Waist]]*Table834[[#This Row],[Calories]]</f>
        <v>50837.725000000006</v>
      </c>
      <c r="CL72" s="2">
        <f>Table834[[#This Row],[Waist]]*Table834[[#This Row],[Carbs]]</f>
        <v>5073.791666666667</v>
      </c>
      <c r="CM72" s="2">
        <f>Table834[[#This Row],[Waist]]*Table834[[#This Row],[Fat ]]</f>
        <v>2107.5750000000003</v>
      </c>
      <c r="CN72" s="2">
        <f>Table834[[#This Row],[Waist]]*Table834[[#This Row],[Protein]]</f>
        <v>3508.0333333333342</v>
      </c>
      <c r="CO72" s="2">
        <f>Table834[[#This Row],[Waist]]*Table834[[#This Row],[Fiber]]</f>
        <v>913.74166666666656</v>
      </c>
      <c r="CP72" s="2">
        <f>Table834[[#This Row],[Waist]]*Table834[[#This Row],[Sugar]]</f>
        <v>2640.0874999999996</v>
      </c>
      <c r="CQ72" s="2">
        <f>Table834[[#This Row],[Waist]]*Table834[[#This Row],[Servings]]</f>
        <v>783</v>
      </c>
      <c r="CR72" s="2">
        <f>Table834[[#This Row],[Waist]]*Table834[[#This Row],[Water]]</f>
        <v>108.75</v>
      </c>
      <c r="CS72" s="2">
        <f>Table834[[#This Row],[Waist]]*Table834[[#This Row],[Fat Calories]]</f>
        <v>18968.175000000003</v>
      </c>
    </row>
    <row r="73" spans="1:97" x14ac:dyDescent="0.25">
      <c r="A73" s="2">
        <v>245.8</v>
      </c>
      <c r="B73" s="2">
        <f>Table834[[#This Row],[Weight]]^2</f>
        <v>60417.640000000007</v>
      </c>
      <c r="C73" s="2">
        <v>43</v>
      </c>
      <c r="D73" s="2">
        <f>Table834[[#This Row],[Waist]]^2</f>
        <v>1849</v>
      </c>
      <c r="E73" s="2">
        <v>16.5</v>
      </c>
      <c r="F73" s="2">
        <f>Table834[[#This Row],[Neck]]^2</f>
        <v>272.25</v>
      </c>
      <c r="G73" s="2">
        <v>96.2</v>
      </c>
      <c r="H73" s="2">
        <f>Table834[[#This Row],[Morning Body Temp]]^2</f>
        <v>9254.44</v>
      </c>
      <c r="I73" s="2">
        <v>128</v>
      </c>
      <c r="J73" s="2">
        <f>Table834[[#This Row],[Morning Systolic Pressure]]^2</f>
        <v>16384</v>
      </c>
      <c r="K73" s="2">
        <v>77</v>
      </c>
      <c r="L73" s="2">
        <f>Table834[[#This Row],[Morning Diastolic Pressure]]^2</f>
        <v>5929</v>
      </c>
      <c r="M73" s="2">
        <v>63</v>
      </c>
      <c r="N73" s="2">
        <f>Table834[[#This Row],[Morning Pulse]]^2</f>
        <v>3969</v>
      </c>
      <c r="O73" s="2">
        <v>98.3</v>
      </c>
      <c r="P73" s="2">
        <f>Table834[[#This Row],[Night Body Temp]]^2</f>
        <v>9662.89</v>
      </c>
      <c r="Q73" s="2">
        <v>160</v>
      </c>
      <c r="R73" s="2">
        <f>Table834[[#This Row],[Night Systolic Pressure]]^2</f>
        <v>25600</v>
      </c>
      <c r="S73" s="2">
        <v>76</v>
      </c>
      <c r="T73" s="2">
        <f>Table834[[#This Row],[Night Diastolic Pressure]]^2</f>
        <v>5776</v>
      </c>
      <c r="U73" s="2">
        <v>94</v>
      </c>
      <c r="V73" s="2">
        <f>Table834[[#This Row],[Night Pulse]]^2</f>
        <v>8836</v>
      </c>
      <c r="W73" s="2">
        <v>7</v>
      </c>
      <c r="X73" s="2">
        <f>Table834[[#This Row],[Sleep]]^2</f>
        <v>49</v>
      </c>
      <c r="Y73" s="2">
        <f t="shared" si="3"/>
        <v>35.264775510204082</v>
      </c>
      <c r="Z73" s="2">
        <f>Table834[[#This Row],[BMI]]^2</f>
        <v>1243.6043917850895</v>
      </c>
      <c r="AA73" s="2">
        <f t="shared" si="2"/>
        <v>29.940865796666294</v>
      </c>
      <c r="AB73" s="2">
        <f>Table834[[#This Row],[CBF]]^2</f>
        <v>896.45544465398154</v>
      </c>
      <c r="AC73" s="2">
        <v>0</v>
      </c>
      <c r="AD73" s="2">
        <f>Table834[[#This Row],[Gym]]^2</f>
        <v>0</v>
      </c>
      <c r="AE73" s="2">
        <v>0</v>
      </c>
      <c r="AF73" s="2">
        <f>Table834[[#This Row],[Cardio]]^2</f>
        <v>0</v>
      </c>
      <c r="AG73" s="2">
        <v>5765.9809523809527</v>
      </c>
      <c r="AH73" s="2">
        <f>Table834[[#This Row],[Calories]]^2</f>
        <v>33246536.343219958</v>
      </c>
      <c r="AI73" s="2">
        <v>818.50642857142861</v>
      </c>
      <c r="AJ73" s="2">
        <f>Table834[[#This Row],[Carbs]]^2</f>
        <v>669952.77361275512</v>
      </c>
      <c r="AK73" s="2">
        <v>242.8095238095238</v>
      </c>
      <c r="AL73" s="2">
        <f>Table834[[#This Row],[Fat ]]^2</f>
        <v>58956.4648526077</v>
      </c>
      <c r="AM73" s="2">
        <v>182.32047619047617</v>
      </c>
      <c r="AN73" s="2">
        <f>Table834[[#This Row],[Protein]]^2</f>
        <v>33240.75603832199</v>
      </c>
      <c r="AO73" s="2">
        <v>30.466666666666665</v>
      </c>
      <c r="AP73" s="2">
        <f>Table834[[#This Row],[Fiber]]^2</f>
        <v>928.21777777777766</v>
      </c>
      <c r="AQ73" s="2">
        <v>529.81547619047615</v>
      </c>
      <c r="AR73" s="2">
        <f>Table834[[#This Row],[Sugar]]^2</f>
        <v>280704.43881094101</v>
      </c>
      <c r="AS73" s="2">
        <v>103.4</v>
      </c>
      <c r="AT73" s="2">
        <f>Table834[[#This Row],[Servings]]^2</f>
        <v>10691.560000000001</v>
      </c>
      <c r="AU73" s="2">
        <v>1.5</v>
      </c>
      <c r="AV73" s="2">
        <f>Table834[[#This Row],[Water]]^2</f>
        <v>2.25</v>
      </c>
      <c r="AW73" s="2">
        <v>2185.2857142857147</v>
      </c>
      <c r="AX73" s="2">
        <f>Table834[[#This Row],[Fat Calories]]^2</f>
        <v>4775473.653061226</v>
      </c>
      <c r="AY73" s="5">
        <f>Table834[[#This Row],[Weight]]*Table834[[#This Row],[Waist]]</f>
        <v>10569.4</v>
      </c>
      <c r="AZ73" s="6">
        <f>Table834[[#This Row],[Weight]]*Table834[[#This Row],[Neck]]</f>
        <v>4055.7000000000003</v>
      </c>
      <c r="BA73" s="6">
        <f>Table834[[#This Row],[Weight]]*Table834[[#This Row],[Morning Body Temp]]</f>
        <v>23645.960000000003</v>
      </c>
      <c r="BB73" s="6">
        <f>Table834[[#This Row],[Weight]]*Table834[[#This Row],[Morning Systolic Pressure]]</f>
        <v>31462.400000000001</v>
      </c>
      <c r="BC73" s="12">
        <f>Table834[[#This Row],[Weight]]*Table834[[#This Row],[Morning Diastolic Pressure]]</f>
        <v>18926.600000000002</v>
      </c>
      <c r="BD73" s="2">
        <f>Table834[[#This Row],[Weight]]*Table834[[#This Row],[Morning Pulse]]</f>
        <v>15485.400000000001</v>
      </c>
      <c r="BE73" s="2">
        <f>Table834[[#This Row],[Weight]]*Table834[[#This Row],[Night Body Temp]]</f>
        <v>24162.14</v>
      </c>
      <c r="BF73" s="2">
        <f>Table834[[#This Row],[Weight]]*Table834[[#This Row],[Night Systolic Pressure]]</f>
        <v>39328</v>
      </c>
      <c r="BG73" s="4">
        <f>Table83[[#This Row],[Weight]]*Table83[[#This Row],[Night Diastolic Pressure]]</f>
        <v>18680.8</v>
      </c>
      <c r="BH73" s="2">
        <f>Table834[[#This Row],[Weight]]*Table834[[#This Row],[Night Pulse]]</f>
        <v>23105.200000000001</v>
      </c>
      <c r="BI73" s="2">
        <f>Table834[[#This Row],[Weight]]*Table834[[#This Row],[Sleep]]</f>
        <v>1720.6000000000001</v>
      </c>
      <c r="BJ73" s="2">
        <f>Table834[[#This Row],[Weight]]*Table834[[#This Row],[BMI]]</f>
        <v>8668.0818204081643</v>
      </c>
      <c r="BK73" s="2">
        <f>Table834[[#This Row],[Weight]]*Table834[[#This Row],[CBF]]</f>
        <v>7359.4648128205754</v>
      </c>
      <c r="BL73" s="2">
        <f>Table834[[#This Row],[Weight]]*Table834[[#This Row],[Gym]]</f>
        <v>0</v>
      </c>
      <c r="BM73" s="2">
        <f>Table834[[#This Row],[Weight]]*Table834[[#This Row],[Cardio]]</f>
        <v>0</v>
      </c>
      <c r="BN73" s="2">
        <f>Table834[[#This Row],[Weight]]*Table834[[#This Row],[Calories]]</f>
        <v>1417278.1180952382</v>
      </c>
      <c r="BO73" s="2">
        <f>Table834[[#This Row],[Weight]]*Table834[[#This Row],[Carbs]]</f>
        <v>201188.88014285718</v>
      </c>
      <c r="BP73" s="2">
        <f>Table834[[#This Row],[Weight]]*Table834[[#This Row],[Fat ]]</f>
        <v>59682.580952380951</v>
      </c>
      <c r="BQ73" s="2">
        <f>Table834[[#This Row],[Weight]]*Table834[[#This Row],[Protein]]</f>
        <v>44814.373047619047</v>
      </c>
      <c r="BR73" s="2">
        <f>Table834[[#This Row],[Weight]]*Table834[[#This Row],[Fiber]]</f>
        <v>7488.7066666666669</v>
      </c>
      <c r="BS73" s="2">
        <f>Table834[[#This Row],[Weight]]*Table834[[#This Row],[Sugar]]</f>
        <v>130228.64404761905</v>
      </c>
      <c r="BT73" s="2">
        <f>Table834[[#This Row],[Weight]]*Table834[[#This Row],[Servings]]</f>
        <v>25415.72</v>
      </c>
      <c r="BU73" s="2">
        <f>Table834[[#This Row],[Weight]]*Table834[[#This Row],[Water]]</f>
        <v>368.70000000000005</v>
      </c>
      <c r="BV73" s="2">
        <f>Table834[[#This Row],[Weight]]*Table834[[#This Row],[Fat Calories]]</f>
        <v>537143.22857142868</v>
      </c>
      <c r="BW73" s="2">
        <f>Table834[[#This Row],[Waist]]*Table834[[#This Row],[Neck]]</f>
        <v>709.5</v>
      </c>
      <c r="BX73" s="2">
        <f>Table834[[#This Row],[Waist]]*Table834[[#This Row],[Morning Body Temp]]</f>
        <v>4136.6000000000004</v>
      </c>
      <c r="BY73" s="2">
        <f>Table834[[#This Row],[Waist]]*Table834[[#This Row],[Morning Systolic Pressure]]</f>
        <v>5504</v>
      </c>
      <c r="BZ73" s="2">
        <f>Table834[[#This Row],[Waist]]*Table834[[#This Row],[Morning Diastolic Pressure]]</f>
        <v>3311</v>
      </c>
      <c r="CA73" s="2">
        <f>Table834[[#This Row],[Waist]]*Table834[[#This Row],[Morning Pulse]]</f>
        <v>2709</v>
      </c>
      <c r="CB73" s="2">
        <f>Table834[[#This Row],[Waist]]*Table834[[#This Row],[Night Body Temp]]</f>
        <v>4226.8999999999996</v>
      </c>
      <c r="CC73" s="2">
        <f>Table834[[#This Row],[Waist]]*Table834[[#This Row],[Night Systolic Pressure]]</f>
        <v>6880</v>
      </c>
      <c r="CD73" s="4">
        <f>Table83[[#This Row],[Waist]]*Table83[[#This Row],[Night Diastolic Pressure]]</f>
        <v>3268</v>
      </c>
      <c r="CE73" s="2">
        <f>Table834[[#This Row],[Waist]]*Table834[[#This Row],[Night Pulse]]</f>
        <v>4042</v>
      </c>
      <c r="CF73" s="2">
        <f>Table834[[#This Row],[Waist]]*Table834[[#This Row],[Sleep]]</f>
        <v>301</v>
      </c>
      <c r="CG73" s="2">
        <f>Table834[[#This Row],[Waist]]*Table834[[#This Row],[BMI]]</f>
        <v>1516.3853469387755</v>
      </c>
      <c r="CH73" s="2">
        <f>Table834[[#This Row],[Waist]]*Table834[[#This Row],[CBF]]</f>
        <v>1287.4572292566506</v>
      </c>
      <c r="CI73" s="2">
        <f>Table834[[#This Row],[Waist]]*Table834[[#This Row],[Gym]]</f>
        <v>0</v>
      </c>
      <c r="CJ73" s="2">
        <f>Table834[[#This Row],[Waist]]*Table834[[#This Row],[Cardio]]</f>
        <v>0</v>
      </c>
      <c r="CK73" s="2">
        <f>Table834[[#This Row],[Waist]]*Table834[[#This Row],[Calories]]</f>
        <v>247937.18095238096</v>
      </c>
      <c r="CL73" s="2">
        <f>Table834[[#This Row],[Waist]]*Table834[[#This Row],[Carbs]]</f>
        <v>35195.776428571429</v>
      </c>
      <c r="CM73" s="2">
        <f>Table834[[#This Row],[Waist]]*Table834[[#This Row],[Fat ]]</f>
        <v>10440.809523809523</v>
      </c>
      <c r="CN73" s="2">
        <f>Table834[[#This Row],[Waist]]*Table834[[#This Row],[Protein]]</f>
        <v>7839.7804761904754</v>
      </c>
      <c r="CO73" s="2">
        <f>Table834[[#This Row],[Waist]]*Table834[[#This Row],[Fiber]]</f>
        <v>1310.0666666666666</v>
      </c>
      <c r="CP73" s="2">
        <f>Table834[[#This Row],[Waist]]*Table834[[#This Row],[Sugar]]</f>
        <v>22782.065476190473</v>
      </c>
      <c r="CQ73" s="2">
        <f>Table834[[#This Row],[Waist]]*Table834[[#This Row],[Servings]]</f>
        <v>4446.2</v>
      </c>
      <c r="CR73" s="2">
        <f>Table834[[#This Row],[Waist]]*Table834[[#This Row],[Water]]</f>
        <v>64.5</v>
      </c>
      <c r="CS73" s="2">
        <f>Table834[[#This Row],[Waist]]*Table834[[#This Row],[Fat Calories]]</f>
        <v>93967.285714285725</v>
      </c>
    </row>
    <row r="74" spans="1:97" x14ac:dyDescent="0.25">
      <c r="A74" s="2">
        <v>252</v>
      </c>
      <c r="B74" s="2">
        <f>Table834[[#This Row],[Weight]]^2</f>
        <v>63504</v>
      </c>
      <c r="C74" s="2">
        <v>43</v>
      </c>
      <c r="D74" s="2">
        <f>Table834[[#This Row],[Waist]]^2</f>
        <v>1849</v>
      </c>
      <c r="E74" s="2">
        <v>16.5</v>
      </c>
      <c r="F74" s="2">
        <f>Table834[[#This Row],[Neck]]^2</f>
        <v>272.25</v>
      </c>
      <c r="G74" s="2">
        <v>96.5</v>
      </c>
      <c r="H74" s="2">
        <f>Table834[[#This Row],[Morning Body Temp]]^2</f>
        <v>9312.25</v>
      </c>
      <c r="I74" s="2">
        <v>131</v>
      </c>
      <c r="J74" s="2">
        <f>Table834[[#This Row],[Morning Systolic Pressure]]^2</f>
        <v>17161</v>
      </c>
      <c r="K74" s="2">
        <v>76</v>
      </c>
      <c r="L74" s="2">
        <f>Table834[[#This Row],[Morning Diastolic Pressure]]^2</f>
        <v>5776</v>
      </c>
      <c r="M74" s="2">
        <v>68</v>
      </c>
      <c r="N74" s="2">
        <f>Table834[[#This Row],[Morning Pulse]]^2</f>
        <v>4624</v>
      </c>
      <c r="O74" s="2">
        <v>97.2</v>
      </c>
      <c r="P74" s="2">
        <f>Table834[[#This Row],[Night Body Temp]]^2</f>
        <v>9447.84</v>
      </c>
      <c r="Q74" s="2">
        <v>135</v>
      </c>
      <c r="R74" s="2">
        <f>Table834[[#This Row],[Night Systolic Pressure]]^2</f>
        <v>18225</v>
      </c>
      <c r="S74" s="2">
        <v>76</v>
      </c>
      <c r="T74" s="2">
        <f>Table834[[#This Row],[Night Diastolic Pressure]]^2</f>
        <v>5776</v>
      </c>
      <c r="U74" s="2">
        <v>72</v>
      </c>
      <c r="V74" s="2">
        <f>Table834[[#This Row],[Night Pulse]]^2</f>
        <v>5184</v>
      </c>
      <c r="W74" s="2">
        <v>4</v>
      </c>
      <c r="X74" s="2">
        <f>Table834[[#This Row],[Sleep]]^2</f>
        <v>16</v>
      </c>
      <c r="Y74" s="2">
        <f t="shared" si="3"/>
        <v>36.154285714285713</v>
      </c>
      <c r="Z74" s="2">
        <f>Table834[[#This Row],[BMI]]^2</f>
        <v>1307.1323755102039</v>
      </c>
      <c r="AA74" s="2">
        <f t="shared" si="2"/>
        <v>29.940865796666294</v>
      </c>
      <c r="AB74" s="2">
        <f>Table834[[#This Row],[CBF]]^2</f>
        <v>896.45544465398154</v>
      </c>
      <c r="AC74" s="2">
        <v>0</v>
      </c>
      <c r="AD74" s="2">
        <f>Table834[[#This Row],[Gym]]^2</f>
        <v>0</v>
      </c>
      <c r="AE74" s="2">
        <v>0</v>
      </c>
      <c r="AF74" s="2">
        <f>Table834[[#This Row],[Cardio]]^2</f>
        <v>0</v>
      </c>
      <c r="AG74" s="2">
        <v>1465</v>
      </c>
      <c r="AH74" s="2">
        <f>Table834[[#This Row],[Calories]]^2</f>
        <v>2146225</v>
      </c>
      <c r="AI74" s="2">
        <v>148.1</v>
      </c>
      <c r="AJ74" s="2">
        <f>Table834[[#This Row],[Carbs]]^2</f>
        <v>21933.609999999997</v>
      </c>
      <c r="AK74" s="2">
        <v>71.2</v>
      </c>
      <c r="AL74" s="2">
        <f>Table834[[#This Row],[Fat ]]^2</f>
        <v>5069.4400000000005</v>
      </c>
      <c r="AM74" s="2">
        <v>62.4</v>
      </c>
      <c r="AN74" s="2">
        <f>Table834[[#This Row],[Protein]]^2</f>
        <v>3893.7599999999998</v>
      </c>
      <c r="AO74" s="2">
        <v>13.7</v>
      </c>
      <c r="AP74" s="2">
        <f>Table834[[#This Row],[Fiber]]^2</f>
        <v>187.68999999999997</v>
      </c>
      <c r="AQ74" s="2">
        <v>23</v>
      </c>
      <c r="AR74" s="2">
        <f>Table834[[#This Row],[Sugar]]^2</f>
        <v>529</v>
      </c>
      <c r="AS74" s="2">
        <v>7</v>
      </c>
      <c r="AT74" s="2">
        <f>Table834[[#This Row],[Servings]]^2</f>
        <v>49</v>
      </c>
      <c r="AU74" s="2">
        <v>0.5</v>
      </c>
      <c r="AV74" s="2">
        <f>Table834[[#This Row],[Water]]^2</f>
        <v>0.25</v>
      </c>
      <c r="AW74" s="2">
        <v>640.79999999999995</v>
      </c>
      <c r="AX74" s="2">
        <f>Table834[[#This Row],[Fat Calories]]^2</f>
        <v>410624.63999999996</v>
      </c>
      <c r="AY74" s="3">
        <f>Table834[[#This Row],[Weight]]*Table834[[#This Row],[Waist]]</f>
        <v>10836</v>
      </c>
      <c r="AZ74" s="4">
        <f>Table834[[#This Row],[Weight]]*Table834[[#This Row],[Neck]]</f>
        <v>4158</v>
      </c>
      <c r="BA74" s="4">
        <f>Table834[[#This Row],[Weight]]*Table834[[#This Row],[Morning Body Temp]]</f>
        <v>24318</v>
      </c>
      <c r="BB74" s="4">
        <f>Table834[[#This Row],[Weight]]*Table834[[#This Row],[Morning Systolic Pressure]]</f>
        <v>33012</v>
      </c>
      <c r="BC74" s="11">
        <f>Table834[[#This Row],[Weight]]*Table834[[#This Row],[Morning Diastolic Pressure]]</f>
        <v>19152</v>
      </c>
      <c r="BD74" s="2">
        <f>Table834[[#This Row],[Weight]]*Table834[[#This Row],[Morning Pulse]]</f>
        <v>17136</v>
      </c>
      <c r="BE74" s="2">
        <f>Table834[[#This Row],[Weight]]*Table834[[#This Row],[Night Body Temp]]</f>
        <v>24494.400000000001</v>
      </c>
      <c r="BF74" s="2">
        <f>Table834[[#This Row],[Weight]]*Table834[[#This Row],[Night Systolic Pressure]]</f>
        <v>34020</v>
      </c>
      <c r="BG74" s="4">
        <f>Table83[[#This Row],[Weight]]*Table83[[#This Row],[Night Diastolic Pressure]]</f>
        <v>19152</v>
      </c>
      <c r="BH74" s="2">
        <f>Table834[[#This Row],[Weight]]*Table834[[#This Row],[Night Pulse]]</f>
        <v>18144</v>
      </c>
      <c r="BI74" s="2">
        <f>Table834[[#This Row],[Weight]]*Table834[[#This Row],[Sleep]]</f>
        <v>1008</v>
      </c>
      <c r="BJ74" s="2">
        <f>Table834[[#This Row],[Weight]]*Table834[[#This Row],[BMI]]</f>
        <v>9110.8799999999992</v>
      </c>
      <c r="BK74" s="2">
        <f>Table834[[#This Row],[Weight]]*Table834[[#This Row],[CBF]]</f>
        <v>7545.0981807599064</v>
      </c>
      <c r="BL74" s="2">
        <f>Table834[[#This Row],[Weight]]*Table834[[#This Row],[Gym]]</f>
        <v>0</v>
      </c>
      <c r="BM74" s="2">
        <f>Table834[[#This Row],[Weight]]*Table834[[#This Row],[Cardio]]</f>
        <v>0</v>
      </c>
      <c r="BN74" s="2">
        <f>Table834[[#This Row],[Weight]]*Table834[[#This Row],[Calories]]</f>
        <v>369180</v>
      </c>
      <c r="BO74" s="2">
        <f>Table834[[#This Row],[Weight]]*Table834[[#This Row],[Carbs]]</f>
        <v>37321.199999999997</v>
      </c>
      <c r="BP74" s="2">
        <f>Table834[[#This Row],[Weight]]*Table834[[#This Row],[Fat ]]</f>
        <v>17942.400000000001</v>
      </c>
      <c r="BQ74" s="2">
        <f>Table834[[#This Row],[Weight]]*Table834[[#This Row],[Protein]]</f>
        <v>15724.8</v>
      </c>
      <c r="BR74" s="2">
        <f>Table834[[#This Row],[Weight]]*Table834[[#This Row],[Fiber]]</f>
        <v>3452.3999999999996</v>
      </c>
      <c r="BS74" s="2">
        <f>Table834[[#This Row],[Weight]]*Table834[[#This Row],[Sugar]]</f>
        <v>5796</v>
      </c>
      <c r="BT74" s="2">
        <f>Table834[[#This Row],[Weight]]*Table834[[#This Row],[Servings]]</f>
        <v>1764</v>
      </c>
      <c r="BU74" s="2">
        <f>Table834[[#This Row],[Weight]]*Table834[[#This Row],[Water]]</f>
        <v>126</v>
      </c>
      <c r="BV74" s="2">
        <f>Table834[[#This Row],[Weight]]*Table834[[#This Row],[Fat Calories]]</f>
        <v>161481.59999999998</v>
      </c>
      <c r="BW74" s="2">
        <f>Table834[[#This Row],[Waist]]*Table834[[#This Row],[Neck]]</f>
        <v>709.5</v>
      </c>
      <c r="BX74" s="2">
        <f>Table834[[#This Row],[Waist]]*Table834[[#This Row],[Morning Body Temp]]</f>
        <v>4149.5</v>
      </c>
      <c r="BY74" s="2">
        <f>Table834[[#This Row],[Waist]]*Table834[[#This Row],[Morning Systolic Pressure]]</f>
        <v>5633</v>
      </c>
      <c r="BZ74" s="2">
        <f>Table834[[#This Row],[Waist]]*Table834[[#This Row],[Morning Diastolic Pressure]]</f>
        <v>3268</v>
      </c>
      <c r="CA74" s="2">
        <f>Table834[[#This Row],[Waist]]*Table834[[#This Row],[Morning Pulse]]</f>
        <v>2924</v>
      </c>
      <c r="CB74" s="2">
        <f>Table834[[#This Row],[Waist]]*Table834[[#This Row],[Night Body Temp]]</f>
        <v>4179.6000000000004</v>
      </c>
      <c r="CC74" s="2">
        <f>Table834[[#This Row],[Waist]]*Table834[[#This Row],[Night Systolic Pressure]]</f>
        <v>5805</v>
      </c>
      <c r="CD74" s="4">
        <f>Table83[[#This Row],[Waist]]*Table83[[#This Row],[Night Diastolic Pressure]]</f>
        <v>3268</v>
      </c>
      <c r="CE74" s="2">
        <f>Table834[[#This Row],[Waist]]*Table834[[#This Row],[Night Pulse]]</f>
        <v>3096</v>
      </c>
      <c r="CF74" s="2">
        <f>Table834[[#This Row],[Waist]]*Table834[[#This Row],[Sleep]]</f>
        <v>172</v>
      </c>
      <c r="CG74" s="2">
        <f>Table834[[#This Row],[Waist]]*Table834[[#This Row],[BMI]]</f>
        <v>1554.6342857142856</v>
      </c>
      <c r="CH74" s="2">
        <f>Table834[[#This Row],[Waist]]*Table834[[#This Row],[CBF]]</f>
        <v>1287.4572292566506</v>
      </c>
      <c r="CI74" s="2">
        <f>Table834[[#This Row],[Waist]]*Table834[[#This Row],[Gym]]</f>
        <v>0</v>
      </c>
      <c r="CJ74" s="2">
        <f>Table834[[#This Row],[Waist]]*Table834[[#This Row],[Cardio]]</f>
        <v>0</v>
      </c>
      <c r="CK74" s="2">
        <f>Table834[[#This Row],[Waist]]*Table834[[#This Row],[Calories]]</f>
        <v>62995</v>
      </c>
      <c r="CL74" s="2">
        <f>Table834[[#This Row],[Waist]]*Table834[[#This Row],[Carbs]]</f>
        <v>6368.3</v>
      </c>
      <c r="CM74" s="2">
        <f>Table834[[#This Row],[Waist]]*Table834[[#This Row],[Fat ]]</f>
        <v>3061.6</v>
      </c>
      <c r="CN74" s="2">
        <f>Table834[[#This Row],[Waist]]*Table834[[#This Row],[Protein]]</f>
        <v>2683.2</v>
      </c>
      <c r="CO74" s="2">
        <f>Table834[[#This Row],[Waist]]*Table834[[#This Row],[Fiber]]</f>
        <v>589.1</v>
      </c>
      <c r="CP74" s="2">
        <f>Table834[[#This Row],[Waist]]*Table834[[#This Row],[Sugar]]</f>
        <v>989</v>
      </c>
      <c r="CQ74" s="2">
        <f>Table834[[#This Row],[Waist]]*Table834[[#This Row],[Servings]]</f>
        <v>301</v>
      </c>
      <c r="CR74" s="2">
        <f>Table834[[#This Row],[Waist]]*Table834[[#This Row],[Water]]</f>
        <v>21.5</v>
      </c>
      <c r="CS74" s="2">
        <f>Table834[[#This Row],[Waist]]*Table834[[#This Row],[Fat Calories]]</f>
        <v>27554.399999999998</v>
      </c>
    </row>
    <row r="75" spans="1:97" x14ac:dyDescent="0.25">
      <c r="A75" s="2">
        <v>252</v>
      </c>
      <c r="B75" s="2">
        <f>Table834[[#This Row],[Weight]]^2</f>
        <v>63504</v>
      </c>
      <c r="C75" s="2">
        <v>43</v>
      </c>
      <c r="D75" s="2">
        <f>Table834[[#This Row],[Waist]]^2</f>
        <v>1849</v>
      </c>
      <c r="E75" s="2">
        <v>16.5</v>
      </c>
      <c r="F75" s="2">
        <f>Table834[[#This Row],[Neck]]^2</f>
        <v>272.25</v>
      </c>
      <c r="G75" s="2">
        <v>96.5</v>
      </c>
      <c r="H75" s="2">
        <f>Table834[[#This Row],[Morning Body Temp]]^2</f>
        <v>9312.25</v>
      </c>
      <c r="I75" s="2">
        <v>132</v>
      </c>
      <c r="J75" s="2">
        <f>Table834[[#This Row],[Morning Systolic Pressure]]^2</f>
        <v>17424</v>
      </c>
      <c r="K75" s="2">
        <v>77</v>
      </c>
      <c r="L75" s="2">
        <f>Table834[[#This Row],[Morning Diastolic Pressure]]^2</f>
        <v>5929</v>
      </c>
      <c r="M75" s="2">
        <v>69</v>
      </c>
      <c r="N75" s="2">
        <f>Table834[[#This Row],[Morning Pulse]]^2</f>
        <v>4761</v>
      </c>
      <c r="O75" s="2">
        <v>97.3</v>
      </c>
      <c r="P75" s="2">
        <f>Table834[[#This Row],[Night Body Temp]]^2</f>
        <v>9467.2899999999991</v>
      </c>
      <c r="Q75" s="2">
        <v>136</v>
      </c>
      <c r="R75" s="2">
        <f>Table834[[#This Row],[Night Systolic Pressure]]^2</f>
        <v>18496</v>
      </c>
      <c r="S75" s="2">
        <v>77</v>
      </c>
      <c r="T75" s="2">
        <f>Table834[[#This Row],[Night Diastolic Pressure]]^2</f>
        <v>5929</v>
      </c>
      <c r="U75" s="2">
        <v>73</v>
      </c>
      <c r="V75" s="2">
        <f>Table834[[#This Row],[Night Pulse]]^2</f>
        <v>5329</v>
      </c>
      <c r="W75" s="2">
        <v>4</v>
      </c>
      <c r="X75" s="2">
        <f>Table834[[#This Row],[Sleep]]^2</f>
        <v>16</v>
      </c>
      <c r="Y75" s="2">
        <f t="shared" si="3"/>
        <v>36.154285714285713</v>
      </c>
      <c r="Z75" s="2">
        <f>Table834[[#This Row],[BMI]]^2</f>
        <v>1307.1323755102039</v>
      </c>
      <c r="AA75" s="2">
        <f t="shared" si="2"/>
        <v>29.940865796666294</v>
      </c>
      <c r="AB75" s="2">
        <f>Table834[[#This Row],[CBF]]^2</f>
        <v>896.45544465398154</v>
      </c>
      <c r="AC75" s="2">
        <v>0</v>
      </c>
      <c r="AD75" s="2">
        <f>Table834[[#This Row],[Gym]]^2</f>
        <v>0</v>
      </c>
      <c r="AE75" s="2">
        <v>0</v>
      </c>
      <c r="AF75" s="2">
        <f>Table834[[#This Row],[Cardio]]^2</f>
        <v>0</v>
      </c>
      <c r="AG75" s="2">
        <v>5250</v>
      </c>
      <c r="AH75" s="2">
        <f>Table834[[#This Row],[Calories]]^2</f>
        <v>27562500</v>
      </c>
      <c r="AI75" s="2">
        <v>756</v>
      </c>
      <c r="AJ75" s="2">
        <f>Table834[[#This Row],[Carbs]]^2</f>
        <v>571536</v>
      </c>
      <c r="AK75" s="2">
        <v>209</v>
      </c>
      <c r="AL75" s="2">
        <f>Table834[[#This Row],[Fat ]]^2</f>
        <v>43681</v>
      </c>
      <c r="AM75" s="2">
        <v>123</v>
      </c>
      <c r="AN75" s="2">
        <f>Table834[[#This Row],[Protein]]^2</f>
        <v>15129</v>
      </c>
      <c r="AO75" s="2">
        <v>43.5</v>
      </c>
      <c r="AP75" s="2">
        <f>Table834[[#This Row],[Fiber]]^2</f>
        <v>1892.25</v>
      </c>
      <c r="AQ75" s="2">
        <v>443</v>
      </c>
      <c r="AR75" s="2">
        <f>Table834[[#This Row],[Sugar]]^2</f>
        <v>196249</v>
      </c>
      <c r="AS75" s="2">
        <v>114</v>
      </c>
      <c r="AT75" s="2">
        <f>Table834[[#This Row],[Servings]]^2</f>
        <v>12996</v>
      </c>
      <c r="AU75" s="2">
        <v>0.5</v>
      </c>
      <c r="AV75" s="2">
        <f>Table834[[#This Row],[Water]]^2</f>
        <v>0.25</v>
      </c>
      <c r="AW75" s="2">
        <v>1881</v>
      </c>
      <c r="AX75" s="2">
        <f>Table834[[#This Row],[Fat Calories]]^2</f>
        <v>3538161</v>
      </c>
      <c r="AY75" s="5">
        <f>Table834[[#This Row],[Weight]]*Table834[[#This Row],[Waist]]</f>
        <v>10836</v>
      </c>
      <c r="AZ75" s="6">
        <f>Table834[[#This Row],[Weight]]*Table834[[#This Row],[Neck]]</f>
        <v>4158</v>
      </c>
      <c r="BA75" s="6">
        <f>Table834[[#This Row],[Weight]]*Table834[[#This Row],[Morning Body Temp]]</f>
        <v>24318</v>
      </c>
      <c r="BB75" s="6">
        <f>Table834[[#This Row],[Weight]]*Table834[[#This Row],[Morning Systolic Pressure]]</f>
        <v>33264</v>
      </c>
      <c r="BC75" s="12">
        <f>Table834[[#This Row],[Weight]]*Table834[[#This Row],[Morning Diastolic Pressure]]</f>
        <v>19404</v>
      </c>
      <c r="BD75" s="2">
        <f>Table834[[#This Row],[Weight]]*Table834[[#This Row],[Morning Pulse]]</f>
        <v>17388</v>
      </c>
      <c r="BE75" s="2">
        <f>Table834[[#This Row],[Weight]]*Table834[[#This Row],[Night Body Temp]]</f>
        <v>24519.599999999999</v>
      </c>
      <c r="BF75" s="2">
        <f>Table834[[#This Row],[Weight]]*Table834[[#This Row],[Night Systolic Pressure]]</f>
        <v>34272</v>
      </c>
      <c r="BG75" s="4">
        <f>Table83[[#This Row],[Weight]]*Table83[[#This Row],[Night Diastolic Pressure]]</f>
        <v>19404</v>
      </c>
      <c r="BH75" s="2">
        <f>Table834[[#This Row],[Weight]]*Table834[[#This Row],[Night Pulse]]</f>
        <v>18396</v>
      </c>
      <c r="BI75" s="2">
        <f>Table834[[#This Row],[Weight]]*Table834[[#This Row],[Sleep]]</f>
        <v>1008</v>
      </c>
      <c r="BJ75" s="2">
        <f>Table834[[#This Row],[Weight]]*Table834[[#This Row],[BMI]]</f>
        <v>9110.8799999999992</v>
      </c>
      <c r="BK75" s="2">
        <f>Table834[[#This Row],[Weight]]*Table834[[#This Row],[CBF]]</f>
        <v>7545.0981807599064</v>
      </c>
      <c r="BL75" s="2">
        <f>Table834[[#This Row],[Weight]]*Table834[[#This Row],[Gym]]</f>
        <v>0</v>
      </c>
      <c r="BM75" s="2">
        <f>Table834[[#This Row],[Weight]]*Table834[[#This Row],[Cardio]]</f>
        <v>0</v>
      </c>
      <c r="BN75" s="2">
        <f>Table834[[#This Row],[Weight]]*Table834[[#This Row],[Calories]]</f>
        <v>1323000</v>
      </c>
      <c r="BO75" s="2">
        <f>Table834[[#This Row],[Weight]]*Table834[[#This Row],[Carbs]]</f>
        <v>190512</v>
      </c>
      <c r="BP75" s="2">
        <f>Table834[[#This Row],[Weight]]*Table834[[#This Row],[Fat ]]</f>
        <v>52668</v>
      </c>
      <c r="BQ75" s="2">
        <f>Table834[[#This Row],[Weight]]*Table834[[#This Row],[Protein]]</f>
        <v>30996</v>
      </c>
      <c r="BR75" s="2">
        <f>Table834[[#This Row],[Weight]]*Table834[[#This Row],[Fiber]]</f>
        <v>10962</v>
      </c>
      <c r="BS75" s="2">
        <f>Table834[[#This Row],[Weight]]*Table834[[#This Row],[Sugar]]</f>
        <v>111636</v>
      </c>
      <c r="BT75" s="2">
        <f>Table834[[#This Row],[Weight]]*Table834[[#This Row],[Servings]]</f>
        <v>28728</v>
      </c>
      <c r="BU75" s="2">
        <f>Table834[[#This Row],[Weight]]*Table834[[#This Row],[Water]]</f>
        <v>126</v>
      </c>
      <c r="BV75" s="2">
        <f>Table834[[#This Row],[Weight]]*Table834[[#This Row],[Fat Calories]]</f>
        <v>474012</v>
      </c>
      <c r="BW75" s="2">
        <f>Table834[[#This Row],[Waist]]*Table834[[#This Row],[Neck]]</f>
        <v>709.5</v>
      </c>
      <c r="BX75" s="2">
        <f>Table834[[#This Row],[Waist]]*Table834[[#This Row],[Morning Body Temp]]</f>
        <v>4149.5</v>
      </c>
      <c r="BY75" s="2">
        <f>Table834[[#This Row],[Waist]]*Table834[[#This Row],[Morning Systolic Pressure]]</f>
        <v>5676</v>
      </c>
      <c r="BZ75" s="2">
        <f>Table834[[#This Row],[Waist]]*Table834[[#This Row],[Morning Diastolic Pressure]]</f>
        <v>3311</v>
      </c>
      <c r="CA75" s="2">
        <f>Table834[[#This Row],[Waist]]*Table834[[#This Row],[Morning Pulse]]</f>
        <v>2967</v>
      </c>
      <c r="CB75" s="2">
        <f>Table834[[#This Row],[Waist]]*Table834[[#This Row],[Night Body Temp]]</f>
        <v>4183.8999999999996</v>
      </c>
      <c r="CC75" s="2">
        <f>Table834[[#This Row],[Waist]]*Table834[[#This Row],[Night Systolic Pressure]]</f>
        <v>5848</v>
      </c>
      <c r="CD75" s="4">
        <f>Table83[[#This Row],[Waist]]*Table83[[#This Row],[Night Diastolic Pressure]]</f>
        <v>3311</v>
      </c>
      <c r="CE75" s="2">
        <f>Table834[[#This Row],[Waist]]*Table834[[#This Row],[Night Pulse]]</f>
        <v>3139</v>
      </c>
      <c r="CF75" s="2">
        <f>Table834[[#This Row],[Waist]]*Table834[[#This Row],[Sleep]]</f>
        <v>172</v>
      </c>
      <c r="CG75" s="2">
        <f>Table834[[#This Row],[Waist]]*Table834[[#This Row],[BMI]]</f>
        <v>1554.6342857142856</v>
      </c>
      <c r="CH75" s="2">
        <f>Table834[[#This Row],[Waist]]*Table834[[#This Row],[CBF]]</f>
        <v>1287.4572292566506</v>
      </c>
      <c r="CI75" s="2">
        <f>Table834[[#This Row],[Waist]]*Table834[[#This Row],[Gym]]</f>
        <v>0</v>
      </c>
      <c r="CJ75" s="2">
        <f>Table834[[#This Row],[Waist]]*Table834[[#This Row],[Cardio]]</f>
        <v>0</v>
      </c>
      <c r="CK75" s="2">
        <f>Table834[[#This Row],[Waist]]*Table834[[#This Row],[Calories]]</f>
        <v>225750</v>
      </c>
      <c r="CL75" s="2">
        <f>Table834[[#This Row],[Waist]]*Table834[[#This Row],[Carbs]]</f>
        <v>32508</v>
      </c>
      <c r="CM75" s="2">
        <f>Table834[[#This Row],[Waist]]*Table834[[#This Row],[Fat ]]</f>
        <v>8987</v>
      </c>
      <c r="CN75" s="2">
        <f>Table834[[#This Row],[Waist]]*Table834[[#This Row],[Protein]]</f>
        <v>5289</v>
      </c>
      <c r="CO75" s="2">
        <f>Table834[[#This Row],[Waist]]*Table834[[#This Row],[Fiber]]</f>
        <v>1870.5</v>
      </c>
      <c r="CP75" s="2">
        <f>Table834[[#This Row],[Waist]]*Table834[[#This Row],[Sugar]]</f>
        <v>19049</v>
      </c>
      <c r="CQ75" s="2">
        <f>Table834[[#This Row],[Waist]]*Table834[[#This Row],[Servings]]</f>
        <v>4902</v>
      </c>
      <c r="CR75" s="2">
        <f>Table834[[#This Row],[Waist]]*Table834[[#This Row],[Water]]</f>
        <v>21.5</v>
      </c>
      <c r="CS75" s="2">
        <f>Table834[[#This Row],[Waist]]*Table834[[#This Row],[Fat Calories]]</f>
        <v>80883</v>
      </c>
    </row>
    <row r="76" spans="1:97" x14ac:dyDescent="0.25">
      <c r="A76" s="2">
        <v>253.4</v>
      </c>
      <c r="B76" s="2">
        <f>Table834[[#This Row],[Weight]]^2</f>
        <v>64211.560000000005</v>
      </c>
      <c r="C76" s="2">
        <v>44</v>
      </c>
      <c r="D76" s="2">
        <f>Table834[[#This Row],[Waist]]^2</f>
        <v>1936</v>
      </c>
      <c r="E76" s="2">
        <v>16.5</v>
      </c>
      <c r="F76" s="2">
        <f>Table834[[#This Row],[Neck]]^2</f>
        <v>272.25</v>
      </c>
      <c r="G76" s="2">
        <v>96.9</v>
      </c>
      <c r="H76" s="2">
        <f>Table834[[#This Row],[Morning Body Temp]]^2</f>
        <v>9389.61</v>
      </c>
      <c r="I76" s="2">
        <v>137</v>
      </c>
      <c r="J76" s="2">
        <f>Table834[[#This Row],[Morning Systolic Pressure]]^2</f>
        <v>18769</v>
      </c>
      <c r="K76" s="2">
        <v>75</v>
      </c>
      <c r="L76" s="2">
        <f>Table834[[#This Row],[Morning Diastolic Pressure]]^2</f>
        <v>5625</v>
      </c>
      <c r="M76" s="2">
        <v>63</v>
      </c>
      <c r="N76" s="2">
        <f>Table834[[#This Row],[Morning Pulse]]^2</f>
        <v>3969</v>
      </c>
      <c r="O76" s="2">
        <v>96.7</v>
      </c>
      <c r="P76" s="2">
        <f>Table834[[#This Row],[Night Body Temp]]^2</f>
        <v>9350.8900000000012</v>
      </c>
      <c r="Q76" s="2">
        <v>132</v>
      </c>
      <c r="R76" s="2">
        <f>Table834[[#This Row],[Night Systolic Pressure]]^2</f>
        <v>17424</v>
      </c>
      <c r="S76" s="2">
        <v>83</v>
      </c>
      <c r="T76" s="2">
        <f>Table834[[#This Row],[Night Diastolic Pressure]]^2</f>
        <v>6889</v>
      </c>
      <c r="U76" s="2">
        <v>66</v>
      </c>
      <c r="V76" s="2">
        <f>Table834[[#This Row],[Night Pulse]]^2</f>
        <v>4356</v>
      </c>
      <c r="W76" s="2">
        <v>11</v>
      </c>
      <c r="X76" s="2">
        <f>Table834[[#This Row],[Sleep]]^2</f>
        <v>121</v>
      </c>
      <c r="Y76" s="2">
        <f t="shared" si="3"/>
        <v>36.355142857142859</v>
      </c>
      <c r="Z76" s="2">
        <f>Table834[[#This Row],[BMI]]^2</f>
        <v>1321.6964121632654</v>
      </c>
      <c r="AA76" s="2">
        <f t="shared" si="2"/>
        <v>31.324493175702337</v>
      </c>
      <c r="AB76" s="2">
        <f>Table834[[#This Row],[CBF]]^2</f>
        <v>981.2238727146223</v>
      </c>
      <c r="AC76" s="2">
        <v>1</v>
      </c>
      <c r="AD76" s="2">
        <f>Table834[[#This Row],[Gym]]^2</f>
        <v>1</v>
      </c>
      <c r="AE76" s="2">
        <v>1</v>
      </c>
      <c r="AF76" s="2">
        <f>Table834[[#This Row],[Cardio]]^2</f>
        <v>1</v>
      </c>
      <c r="AG76" s="2">
        <v>1052.6833333333334</v>
      </c>
      <c r="AH76" s="2">
        <f>Table834[[#This Row],[Calories]]^2</f>
        <v>1108142.2002777779</v>
      </c>
      <c r="AI76" s="2">
        <v>92.538888888888891</v>
      </c>
      <c r="AJ76" s="2">
        <f>Table834[[#This Row],[Carbs]]^2</f>
        <v>8563.4459567901231</v>
      </c>
      <c r="AK76" s="2">
        <v>47.050000000000004</v>
      </c>
      <c r="AL76" s="2">
        <f>Table834[[#This Row],[Fat ]]^2</f>
        <v>2213.7025000000003</v>
      </c>
      <c r="AM76" s="2">
        <v>74.544444444444451</v>
      </c>
      <c r="AN76" s="2">
        <f>Table834[[#This Row],[Protein]]^2</f>
        <v>5556.8741975308649</v>
      </c>
      <c r="AO76" s="2">
        <v>15.005555555555553</v>
      </c>
      <c r="AP76" s="2">
        <f>Table834[[#This Row],[Fiber]]^2</f>
        <v>225.16669753086413</v>
      </c>
      <c r="AQ76" s="2">
        <v>45.991666666666667</v>
      </c>
      <c r="AR76" s="2">
        <f>Table834[[#This Row],[Sugar]]^2</f>
        <v>2115.2334027777779</v>
      </c>
      <c r="AS76" s="2">
        <v>12</v>
      </c>
      <c r="AT76" s="2">
        <f>Table834[[#This Row],[Servings]]^2</f>
        <v>144</v>
      </c>
      <c r="AU76" s="2">
        <v>1.5</v>
      </c>
      <c r="AV76" s="2">
        <f>Table834[[#This Row],[Water]]^2</f>
        <v>2.25</v>
      </c>
      <c r="AW76" s="2">
        <v>423.4500000000001</v>
      </c>
      <c r="AX76" s="2">
        <f>Table834[[#This Row],[Fat Calories]]^2</f>
        <v>179309.90250000008</v>
      </c>
      <c r="AY76" s="3">
        <f>Table834[[#This Row],[Weight]]*Table834[[#This Row],[Waist]]</f>
        <v>11149.6</v>
      </c>
      <c r="AZ76" s="4">
        <f>Table834[[#This Row],[Weight]]*Table834[[#This Row],[Neck]]</f>
        <v>4181.1000000000004</v>
      </c>
      <c r="BA76" s="4">
        <f>Table834[[#This Row],[Weight]]*Table834[[#This Row],[Morning Body Temp]]</f>
        <v>24554.460000000003</v>
      </c>
      <c r="BB76" s="4">
        <f>Table834[[#This Row],[Weight]]*Table834[[#This Row],[Morning Systolic Pressure]]</f>
        <v>34715.800000000003</v>
      </c>
      <c r="BC76" s="11">
        <f>Table834[[#This Row],[Weight]]*Table834[[#This Row],[Morning Diastolic Pressure]]</f>
        <v>19005</v>
      </c>
      <c r="BD76" s="2">
        <f>Table834[[#This Row],[Weight]]*Table834[[#This Row],[Morning Pulse]]</f>
        <v>15964.2</v>
      </c>
      <c r="BE76" s="2">
        <f>Table834[[#This Row],[Weight]]*Table834[[#This Row],[Night Body Temp]]</f>
        <v>24503.780000000002</v>
      </c>
      <c r="BF76" s="2">
        <f>Table834[[#This Row],[Weight]]*Table834[[#This Row],[Night Systolic Pressure]]</f>
        <v>33448.800000000003</v>
      </c>
      <c r="BG76" s="4">
        <f>Table83[[#This Row],[Weight]]*Table83[[#This Row],[Night Diastolic Pressure]]</f>
        <v>21032.2</v>
      </c>
      <c r="BH76" s="2">
        <f>Table834[[#This Row],[Weight]]*Table834[[#This Row],[Night Pulse]]</f>
        <v>16724.400000000001</v>
      </c>
      <c r="BI76" s="2">
        <f>Table834[[#This Row],[Weight]]*Table834[[#This Row],[Sleep]]</f>
        <v>2787.4</v>
      </c>
      <c r="BJ76" s="2">
        <f>Table834[[#This Row],[Weight]]*Table834[[#This Row],[BMI]]</f>
        <v>9212.3932000000004</v>
      </c>
      <c r="BK76" s="2">
        <f>Table834[[#This Row],[Weight]]*Table834[[#This Row],[CBF]]</f>
        <v>7937.6265707229722</v>
      </c>
      <c r="BL76" s="2">
        <f>Table834[[#This Row],[Weight]]*Table834[[#This Row],[Gym]]</f>
        <v>253.4</v>
      </c>
      <c r="BM76" s="2">
        <f>Table834[[#This Row],[Weight]]*Table834[[#This Row],[Cardio]]</f>
        <v>253.4</v>
      </c>
      <c r="BN76" s="2">
        <f>Table834[[#This Row],[Weight]]*Table834[[#This Row],[Calories]]</f>
        <v>266749.95666666667</v>
      </c>
      <c r="BO76" s="2">
        <f>Table834[[#This Row],[Weight]]*Table834[[#This Row],[Carbs]]</f>
        <v>23449.354444444445</v>
      </c>
      <c r="BP76" s="2">
        <f>Table834[[#This Row],[Weight]]*Table834[[#This Row],[Fat ]]</f>
        <v>11922.470000000001</v>
      </c>
      <c r="BQ76" s="2">
        <f>Table834[[#This Row],[Weight]]*Table834[[#This Row],[Protein]]</f>
        <v>18889.562222222223</v>
      </c>
      <c r="BR76" s="2">
        <f>Table834[[#This Row],[Weight]]*Table834[[#This Row],[Fiber]]</f>
        <v>3802.407777777777</v>
      </c>
      <c r="BS76" s="2">
        <f>Table834[[#This Row],[Weight]]*Table834[[#This Row],[Sugar]]</f>
        <v>11654.288333333334</v>
      </c>
      <c r="BT76" s="2">
        <f>Table834[[#This Row],[Weight]]*Table834[[#This Row],[Servings]]</f>
        <v>3040.8</v>
      </c>
      <c r="BU76" s="2">
        <f>Table834[[#This Row],[Weight]]*Table834[[#This Row],[Water]]</f>
        <v>380.1</v>
      </c>
      <c r="BV76" s="2">
        <f>Table834[[#This Row],[Weight]]*Table834[[#This Row],[Fat Calories]]</f>
        <v>107302.23000000003</v>
      </c>
      <c r="BW76" s="2">
        <f>Table834[[#This Row],[Waist]]*Table834[[#This Row],[Neck]]</f>
        <v>726</v>
      </c>
      <c r="BX76" s="2">
        <f>Table834[[#This Row],[Waist]]*Table834[[#This Row],[Morning Body Temp]]</f>
        <v>4263.6000000000004</v>
      </c>
      <c r="BY76" s="2">
        <f>Table834[[#This Row],[Waist]]*Table834[[#This Row],[Morning Systolic Pressure]]</f>
        <v>6028</v>
      </c>
      <c r="BZ76" s="2">
        <f>Table834[[#This Row],[Waist]]*Table834[[#This Row],[Morning Diastolic Pressure]]</f>
        <v>3300</v>
      </c>
      <c r="CA76" s="2">
        <f>Table834[[#This Row],[Waist]]*Table834[[#This Row],[Morning Pulse]]</f>
        <v>2772</v>
      </c>
      <c r="CB76" s="2">
        <f>Table834[[#This Row],[Waist]]*Table834[[#This Row],[Night Body Temp]]</f>
        <v>4254.8</v>
      </c>
      <c r="CC76" s="2">
        <f>Table834[[#This Row],[Waist]]*Table834[[#This Row],[Night Systolic Pressure]]</f>
        <v>5808</v>
      </c>
      <c r="CD76" s="4">
        <f>Table83[[#This Row],[Waist]]*Table83[[#This Row],[Night Diastolic Pressure]]</f>
        <v>3652</v>
      </c>
      <c r="CE76" s="2">
        <f>Table834[[#This Row],[Waist]]*Table834[[#This Row],[Night Pulse]]</f>
        <v>2904</v>
      </c>
      <c r="CF76" s="2">
        <f>Table834[[#This Row],[Waist]]*Table834[[#This Row],[Sleep]]</f>
        <v>484</v>
      </c>
      <c r="CG76" s="2">
        <f>Table834[[#This Row],[Waist]]*Table834[[#This Row],[BMI]]</f>
        <v>1599.6262857142858</v>
      </c>
      <c r="CH76" s="2">
        <f>Table834[[#This Row],[Waist]]*Table834[[#This Row],[CBF]]</f>
        <v>1378.2776997309029</v>
      </c>
      <c r="CI76" s="2">
        <f>Table834[[#This Row],[Waist]]*Table834[[#This Row],[Gym]]</f>
        <v>44</v>
      </c>
      <c r="CJ76" s="2">
        <f>Table834[[#This Row],[Waist]]*Table834[[#This Row],[Cardio]]</f>
        <v>44</v>
      </c>
      <c r="CK76" s="2">
        <f>Table834[[#This Row],[Waist]]*Table834[[#This Row],[Calories]]</f>
        <v>46318.066666666666</v>
      </c>
      <c r="CL76" s="2">
        <f>Table834[[#This Row],[Waist]]*Table834[[#This Row],[Carbs]]</f>
        <v>4071.7111111111112</v>
      </c>
      <c r="CM76" s="2">
        <f>Table834[[#This Row],[Waist]]*Table834[[#This Row],[Fat ]]</f>
        <v>2070.2000000000003</v>
      </c>
      <c r="CN76" s="2">
        <f>Table834[[#This Row],[Waist]]*Table834[[#This Row],[Protein]]</f>
        <v>3279.9555555555557</v>
      </c>
      <c r="CO76" s="2">
        <f>Table834[[#This Row],[Waist]]*Table834[[#This Row],[Fiber]]</f>
        <v>660.2444444444443</v>
      </c>
      <c r="CP76" s="2">
        <f>Table834[[#This Row],[Waist]]*Table834[[#This Row],[Sugar]]</f>
        <v>2023.6333333333334</v>
      </c>
      <c r="CQ76" s="2">
        <f>Table834[[#This Row],[Waist]]*Table834[[#This Row],[Servings]]</f>
        <v>528</v>
      </c>
      <c r="CR76" s="2">
        <f>Table834[[#This Row],[Waist]]*Table834[[#This Row],[Water]]</f>
        <v>66</v>
      </c>
      <c r="CS76" s="2">
        <f>Table834[[#This Row],[Waist]]*Table834[[#This Row],[Fat Calories]]</f>
        <v>18631.800000000003</v>
      </c>
    </row>
    <row r="77" spans="1:97" x14ac:dyDescent="0.25">
      <c r="A77" s="2">
        <v>249.6</v>
      </c>
      <c r="B77" s="2">
        <f>Table834[[#This Row],[Weight]]^2</f>
        <v>62300.159999999996</v>
      </c>
      <c r="C77" s="2">
        <v>43.5</v>
      </c>
      <c r="D77" s="2">
        <f>Table834[[#This Row],[Waist]]^2</f>
        <v>1892.25</v>
      </c>
      <c r="E77" s="2">
        <v>16.5</v>
      </c>
      <c r="F77" s="2">
        <f>Table834[[#This Row],[Neck]]^2</f>
        <v>272.25</v>
      </c>
      <c r="G77" s="2">
        <v>96.4</v>
      </c>
      <c r="H77" s="2">
        <f>Table834[[#This Row],[Morning Body Temp]]^2</f>
        <v>9292.9600000000009</v>
      </c>
      <c r="I77" s="2">
        <v>133</v>
      </c>
      <c r="J77" s="2">
        <f>Table834[[#This Row],[Morning Systolic Pressure]]^2</f>
        <v>17689</v>
      </c>
      <c r="K77" s="2">
        <v>78</v>
      </c>
      <c r="L77" s="2">
        <f>Table834[[#This Row],[Morning Diastolic Pressure]]^2</f>
        <v>6084</v>
      </c>
      <c r="M77" s="2">
        <v>68</v>
      </c>
      <c r="N77" s="2">
        <f>Table834[[#This Row],[Morning Pulse]]^2</f>
        <v>4624</v>
      </c>
      <c r="O77" s="2">
        <v>96.8</v>
      </c>
      <c r="P77" s="2">
        <f>Table834[[#This Row],[Night Body Temp]]^2</f>
        <v>9370.24</v>
      </c>
      <c r="Q77" s="2">
        <v>132</v>
      </c>
      <c r="R77" s="2">
        <f>Table834[[#This Row],[Night Systolic Pressure]]^2</f>
        <v>17424</v>
      </c>
      <c r="S77" s="2">
        <v>74</v>
      </c>
      <c r="T77" s="2">
        <f>Table834[[#This Row],[Night Diastolic Pressure]]^2</f>
        <v>5476</v>
      </c>
      <c r="U77" s="2">
        <v>67</v>
      </c>
      <c r="V77" s="2">
        <f>Table834[[#This Row],[Night Pulse]]^2</f>
        <v>4489</v>
      </c>
      <c r="W77" s="2">
        <v>9.5</v>
      </c>
      <c r="X77" s="2">
        <f>Table834[[#This Row],[Sleep]]^2</f>
        <v>90.25</v>
      </c>
      <c r="Y77" s="2">
        <f t="shared" si="3"/>
        <v>35.80995918367347</v>
      </c>
      <c r="Z77" s="2">
        <f>Table834[[#This Row],[BMI]]^2</f>
        <v>1282.35317673636</v>
      </c>
      <c r="AA77" s="2">
        <f t="shared" si="2"/>
        <v>30.639085534675949</v>
      </c>
      <c r="AB77" s="2">
        <f>Table834[[#This Row],[CBF]]^2</f>
        <v>938.75356240118901</v>
      </c>
      <c r="AC77" s="2">
        <v>1</v>
      </c>
      <c r="AD77" s="2">
        <f>Table834[[#This Row],[Gym]]^2</f>
        <v>1</v>
      </c>
      <c r="AE77" s="2">
        <v>1</v>
      </c>
      <c r="AF77" s="2">
        <f>Table834[[#This Row],[Cardio]]^2</f>
        <v>1</v>
      </c>
      <c r="AG77" s="2">
        <v>1256.7809523809524</v>
      </c>
      <c r="AH77" s="2">
        <f>Table834[[#This Row],[Calories]]^2</f>
        <v>1579498.3622675736</v>
      </c>
      <c r="AI77" s="2">
        <v>66.046428571428578</v>
      </c>
      <c r="AJ77" s="2">
        <f>Table834[[#This Row],[Carbs]]^2</f>
        <v>4362.130727040817</v>
      </c>
      <c r="AK77" s="2">
        <v>67.80952380952381</v>
      </c>
      <c r="AL77" s="2">
        <f>Table834[[#This Row],[Fat ]]^2</f>
        <v>4598.1315192743768</v>
      </c>
      <c r="AM77" s="2">
        <v>102.74047619047619</v>
      </c>
      <c r="AN77" s="2">
        <f>Table834[[#This Row],[Protein]]^2</f>
        <v>10555.605447845805</v>
      </c>
      <c r="AO77" s="2">
        <v>6.4666666666666659</v>
      </c>
      <c r="AP77" s="2">
        <f>Table834[[#This Row],[Fiber]]^2</f>
        <v>41.817777777777771</v>
      </c>
      <c r="AQ77" s="2">
        <v>31.115476190476191</v>
      </c>
      <c r="AR77" s="2">
        <f>Table834[[#This Row],[Sugar]]^2</f>
        <v>968.17285856009073</v>
      </c>
      <c r="AS77" s="2">
        <v>16</v>
      </c>
      <c r="AT77" s="2">
        <f>Table834[[#This Row],[Servings]]^2</f>
        <v>256</v>
      </c>
      <c r="AU77" s="2">
        <v>2.5</v>
      </c>
      <c r="AV77" s="2">
        <f>Table834[[#This Row],[Water]]^2</f>
        <v>6.25</v>
      </c>
      <c r="AW77" s="2">
        <v>610.28571428571422</v>
      </c>
      <c r="AX77" s="2">
        <f>Table834[[#This Row],[Fat Calories]]^2</f>
        <v>372448.65306122444</v>
      </c>
      <c r="AY77" s="5">
        <f>Table834[[#This Row],[Weight]]*Table834[[#This Row],[Waist]]</f>
        <v>10857.6</v>
      </c>
      <c r="AZ77" s="6">
        <f>Table834[[#This Row],[Weight]]*Table834[[#This Row],[Neck]]</f>
        <v>4118.3999999999996</v>
      </c>
      <c r="BA77" s="6">
        <f>Table834[[#This Row],[Weight]]*Table834[[#This Row],[Morning Body Temp]]</f>
        <v>24061.440000000002</v>
      </c>
      <c r="BB77" s="6">
        <f>Table834[[#This Row],[Weight]]*Table834[[#This Row],[Morning Systolic Pressure]]</f>
        <v>33196.799999999996</v>
      </c>
      <c r="BC77" s="12">
        <f>Table834[[#This Row],[Weight]]*Table834[[#This Row],[Morning Diastolic Pressure]]</f>
        <v>19468.8</v>
      </c>
      <c r="BD77" s="2">
        <f>Table834[[#This Row],[Weight]]*Table834[[#This Row],[Morning Pulse]]</f>
        <v>16972.8</v>
      </c>
      <c r="BE77" s="2">
        <f>Table834[[#This Row],[Weight]]*Table834[[#This Row],[Night Body Temp]]</f>
        <v>24161.279999999999</v>
      </c>
      <c r="BF77" s="2">
        <f>Table834[[#This Row],[Weight]]*Table834[[#This Row],[Night Systolic Pressure]]</f>
        <v>32947.199999999997</v>
      </c>
      <c r="BG77" s="4">
        <f>Table83[[#This Row],[Weight]]*Table83[[#This Row],[Night Diastolic Pressure]]</f>
        <v>18470.399999999998</v>
      </c>
      <c r="BH77" s="2">
        <f>Table834[[#This Row],[Weight]]*Table834[[#This Row],[Night Pulse]]</f>
        <v>16723.2</v>
      </c>
      <c r="BI77" s="2">
        <f>Table834[[#This Row],[Weight]]*Table834[[#This Row],[Sleep]]</f>
        <v>2371.1999999999998</v>
      </c>
      <c r="BJ77" s="2">
        <f>Table834[[#This Row],[Weight]]*Table834[[#This Row],[BMI]]</f>
        <v>8938.1658122448971</v>
      </c>
      <c r="BK77" s="2">
        <f>Table834[[#This Row],[Weight]]*Table834[[#This Row],[CBF]]</f>
        <v>7647.5157494551167</v>
      </c>
      <c r="BL77" s="2">
        <f>Table834[[#This Row],[Weight]]*Table834[[#This Row],[Gym]]</f>
        <v>249.6</v>
      </c>
      <c r="BM77" s="2">
        <f>Table834[[#This Row],[Weight]]*Table834[[#This Row],[Cardio]]</f>
        <v>249.6</v>
      </c>
      <c r="BN77" s="2">
        <f>Table834[[#This Row],[Weight]]*Table834[[#This Row],[Calories]]</f>
        <v>313692.52571428573</v>
      </c>
      <c r="BO77" s="2">
        <f>Table834[[#This Row],[Weight]]*Table834[[#This Row],[Carbs]]</f>
        <v>16485.188571428571</v>
      </c>
      <c r="BP77" s="2">
        <f>Table834[[#This Row],[Weight]]*Table834[[#This Row],[Fat ]]</f>
        <v>16925.257142857143</v>
      </c>
      <c r="BQ77" s="2">
        <f>Table834[[#This Row],[Weight]]*Table834[[#This Row],[Protein]]</f>
        <v>25644.022857142856</v>
      </c>
      <c r="BR77" s="2">
        <f>Table834[[#This Row],[Weight]]*Table834[[#This Row],[Fiber]]</f>
        <v>1614.0799999999997</v>
      </c>
      <c r="BS77" s="2">
        <f>Table834[[#This Row],[Weight]]*Table834[[#This Row],[Sugar]]</f>
        <v>7766.4228571428566</v>
      </c>
      <c r="BT77" s="2">
        <f>Table834[[#This Row],[Weight]]*Table834[[#This Row],[Servings]]</f>
        <v>3993.6</v>
      </c>
      <c r="BU77" s="2">
        <f>Table834[[#This Row],[Weight]]*Table834[[#This Row],[Water]]</f>
        <v>624</v>
      </c>
      <c r="BV77" s="2">
        <f>Table834[[#This Row],[Weight]]*Table834[[#This Row],[Fat Calories]]</f>
        <v>152327.31428571427</v>
      </c>
      <c r="BW77" s="2">
        <f>Table834[[#This Row],[Waist]]*Table834[[#This Row],[Neck]]</f>
        <v>717.75</v>
      </c>
      <c r="BX77" s="2">
        <f>Table834[[#This Row],[Waist]]*Table834[[#This Row],[Morning Body Temp]]</f>
        <v>4193.4000000000005</v>
      </c>
      <c r="BY77" s="2">
        <f>Table834[[#This Row],[Waist]]*Table834[[#This Row],[Morning Systolic Pressure]]</f>
        <v>5785.5</v>
      </c>
      <c r="BZ77" s="2">
        <f>Table834[[#This Row],[Waist]]*Table834[[#This Row],[Morning Diastolic Pressure]]</f>
        <v>3393</v>
      </c>
      <c r="CA77" s="2">
        <f>Table834[[#This Row],[Waist]]*Table834[[#This Row],[Morning Pulse]]</f>
        <v>2958</v>
      </c>
      <c r="CB77" s="2">
        <f>Table834[[#This Row],[Waist]]*Table834[[#This Row],[Night Body Temp]]</f>
        <v>4210.8</v>
      </c>
      <c r="CC77" s="2">
        <f>Table834[[#This Row],[Waist]]*Table834[[#This Row],[Night Systolic Pressure]]</f>
        <v>5742</v>
      </c>
      <c r="CD77" s="4">
        <f>Table83[[#This Row],[Waist]]*Table83[[#This Row],[Night Diastolic Pressure]]</f>
        <v>3219</v>
      </c>
      <c r="CE77" s="2">
        <f>Table834[[#This Row],[Waist]]*Table834[[#This Row],[Night Pulse]]</f>
        <v>2914.5</v>
      </c>
      <c r="CF77" s="2">
        <f>Table834[[#This Row],[Waist]]*Table834[[#This Row],[Sleep]]</f>
        <v>413.25</v>
      </c>
      <c r="CG77" s="2">
        <f>Table834[[#This Row],[Waist]]*Table834[[#This Row],[BMI]]</f>
        <v>1557.7332244897959</v>
      </c>
      <c r="CH77" s="2">
        <f>Table834[[#This Row],[Waist]]*Table834[[#This Row],[CBF]]</f>
        <v>1332.8002207584038</v>
      </c>
      <c r="CI77" s="2">
        <f>Table834[[#This Row],[Waist]]*Table834[[#This Row],[Gym]]</f>
        <v>43.5</v>
      </c>
      <c r="CJ77" s="2">
        <f>Table834[[#This Row],[Waist]]*Table834[[#This Row],[Cardio]]</f>
        <v>43.5</v>
      </c>
      <c r="CK77" s="2">
        <f>Table834[[#This Row],[Waist]]*Table834[[#This Row],[Calories]]</f>
        <v>54669.971428571429</v>
      </c>
      <c r="CL77" s="2">
        <f>Table834[[#This Row],[Waist]]*Table834[[#This Row],[Carbs]]</f>
        <v>2873.019642857143</v>
      </c>
      <c r="CM77" s="2">
        <f>Table834[[#This Row],[Waist]]*Table834[[#This Row],[Fat ]]</f>
        <v>2949.7142857142858</v>
      </c>
      <c r="CN77" s="2">
        <f>Table834[[#This Row],[Waist]]*Table834[[#This Row],[Protein]]</f>
        <v>4469.2107142857139</v>
      </c>
      <c r="CO77" s="2">
        <f>Table834[[#This Row],[Waist]]*Table834[[#This Row],[Fiber]]</f>
        <v>281.29999999999995</v>
      </c>
      <c r="CP77" s="2">
        <f>Table834[[#This Row],[Waist]]*Table834[[#This Row],[Sugar]]</f>
        <v>1353.5232142857142</v>
      </c>
      <c r="CQ77" s="2">
        <f>Table834[[#This Row],[Waist]]*Table834[[#This Row],[Servings]]</f>
        <v>696</v>
      </c>
      <c r="CR77" s="2">
        <f>Table834[[#This Row],[Waist]]*Table834[[#This Row],[Water]]</f>
        <v>108.75</v>
      </c>
      <c r="CS77" s="2">
        <f>Table834[[#This Row],[Waist]]*Table834[[#This Row],[Fat Calories]]</f>
        <v>26547.428571428569</v>
      </c>
    </row>
    <row r="78" spans="1:97" x14ac:dyDescent="0.25">
      <c r="A78" s="2">
        <v>248.8</v>
      </c>
      <c r="B78" s="2">
        <f>Table834[[#This Row],[Weight]]^2</f>
        <v>61901.440000000002</v>
      </c>
      <c r="C78" s="2">
        <v>43</v>
      </c>
      <c r="D78" s="2">
        <f>Table834[[#This Row],[Waist]]^2</f>
        <v>1849</v>
      </c>
      <c r="E78" s="2">
        <v>16.5</v>
      </c>
      <c r="F78" s="2">
        <f>Table834[[#This Row],[Neck]]^2</f>
        <v>272.25</v>
      </c>
      <c r="G78" s="2">
        <v>95.7</v>
      </c>
      <c r="H78" s="2">
        <f>Table834[[#This Row],[Morning Body Temp]]^2</f>
        <v>9158.49</v>
      </c>
      <c r="I78" s="2">
        <v>133</v>
      </c>
      <c r="J78" s="2">
        <f>Table834[[#This Row],[Morning Systolic Pressure]]^2</f>
        <v>17689</v>
      </c>
      <c r="K78" s="2">
        <v>74</v>
      </c>
      <c r="L78" s="2">
        <f>Table834[[#This Row],[Morning Diastolic Pressure]]^2</f>
        <v>5476</v>
      </c>
      <c r="M78" s="2">
        <v>61</v>
      </c>
      <c r="N78" s="2">
        <f>Table834[[#This Row],[Morning Pulse]]^2</f>
        <v>3721</v>
      </c>
      <c r="O78" s="2">
        <v>97.4</v>
      </c>
      <c r="P78" s="2">
        <f>Table834[[#This Row],[Night Body Temp]]^2</f>
        <v>9486.76</v>
      </c>
      <c r="Q78" s="2">
        <v>126</v>
      </c>
      <c r="R78" s="2">
        <f>Table834[[#This Row],[Night Systolic Pressure]]^2</f>
        <v>15876</v>
      </c>
      <c r="S78" s="2">
        <v>75</v>
      </c>
      <c r="T78" s="2">
        <f>Table834[[#This Row],[Night Diastolic Pressure]]^2</f>
        <v>5625</v>
      </c>
      <c r="U78" s="2">
        <v>67</v>
      </c>
      <c r="V78" s="2">
        <f>Table834[[#This Row],[Night Pulse]]^2</f>
        <v>4489</v>
      </c>
      <c r="W78" s="2">
        <v>3</v>
      </c>
      <c r="X78" s="2">
        <f>Table834[[#This Row],[Sleep]]^2</f>
        <v>9</v>
      </c>
      <c r="Y78" s="2">
        <f t="shared" si="3"/>
        <v>35.695183673469387</v>
      </c>
      <c r="Z78" s="2">
        <f>Table834[[#This Row],[BMI]]^2</f>
        <v>1274.1461374827154</v>
      </c>
      <c r="AA78" s="2">
        <f t="shared" si="2"/>
        <v>29.940865796666294</v>
      </c>
      <c r="AB78" s="2">
        <f>Table834[[#This Row],[CBF]]^2</f>
        <v>896.45544465398154</v>
      </c>
      <c r="AC78" s="2">
        <v>1</v>
      </c>
      <c r="AD78" s="2">
        <f>Table834[[#This Row],[Gym]]^2</f>
        <v>1</v>
      </c>
      <c r="AE78" s="2">
        <v>0</v>
      </c>
      <c r="AF78" s="2">
        <f>Table834[[#This Row],[Cardio]]^2</f>
        <v>0</v>
      </c>
      <c r="AG78" s="2">
        <v>1981.3666666666666</v>
      </c>
      <c r="AH78" s="2">
        <f>Table834[[#This Row],[Calories]]^2</f>
        <v>3925813.8677777774</v>
      </c>
      <c r="AI78" s="2">
        <v>122.57777777777777</v>
      </c>
      <c r="AJ78" s="2">
        <f>Table834[[#This Row],[Carbs]]^2</f>
        <v>15025.31160493827</v>
      </c>
      <c r="AK78" s="2">
        <v>102.10000000000001</v>
      </c>
      <c r="AL78" s="2">
        <f>Table834[[#This Row],[Fat ]]^2</f>
        <v>10424.410000000002</v>
      </c>
      <c r="AM78" s="2">
        <v>155.48888888888891</v>
      </c>
      <c r="AN78" s="2">
        <f>Table834[[#This Row],[Protein]]^2</f>
        <v>24176.794567901241</v>
      </c>
      <c r="AO78" s="2">
        <v>16.81111111111111</v>
      </c>
      <c r="AP78" s="2">
        <f>Table834[[#This Row],[Fiber]]^2</f>
        <v>282.61345679012339</v>
      </c>
      <c r="AQ78" s="2">
        <v>53.783333333333331</v>
      </c>
      <c r="AR78" s="2">
        <f>Table834[[#This Row],[Sugar]]^2</f>
        <v>2892.6469444444442</v>
      </c>
      <c r="AS78" s="2">
        <v>18</v>
      </c>
      <c r="AT78" s="2">
        <f>Table834[[#This Row],[Servings]]^2</f>
        <v>324</v>
      </c>
      <c r="AU78" s="2">
        <v>2</v>
      </c>
      <c r="AV78" s="2">
        <f>Table834[[#This Row],[Water]]^2</f>
        <v>4</v>
      </c>
      <c r="AW78" s="2">
        <v>918.90000000000009</v>
      </c>
      <c r="AX78" s="2">
        <f>Table834[[#This Row],[Fat Calories]]^2</f>
        <v>844377.2100000002</v>
      </c>
      <c r="AY78" s="3">
        <f>Table834[[#This Row],[Weight]]*Table834[[#This Row],[Waist]]</f>
        <v>10698.4</v>
      </c>
      <c r="AZ78" s="4">
        <f>Table834[[#This Row],[Weight]]*Table834[[#This Row],[Neck]]</f>
        <v>4105.2</v>
      </c>
      <c r="BA78" s="4">
        <f>Table834[[#This Row],[Weight]]*Table834[[#This Row],[Morning Body Temp]]</f>
        <v>23810.160000000003</v>
      </c>
      <c r="BB78" s="4">
        <f>Table834[[#This Row],[Weight]]*Table834[[#This Row],[Morning Systolic Pressure]]</f>
        <v>33090.400000000001</v>
      </c>
      <c r="BC78" s="11">
        <f>Table834[[#This Row],[Weight]]*Table834[[#This Row],[Morning Diastolic Pressure]]</f>
        <v>18411.2</v>
      </c>
      <c r="BD78" s="2">
        <f>Table834[[#This Row],[Weight]]*Table834[[#This Row],[Morning Pulse]]</f>
        <v>15176.800000000001</v>
      </c>
      <c r="BE78" s="2">
        <f>Table834[[#This Row],[Weight]]*Table834[[#This Row],[Night Body Temp]]</f>
        <v>24233.120000000003</v>
      </c>
      <c r="BF78" s="2">
        <f>Table834[[#This Row],[Weight]]*Table834[[#This Row],[Night Systolic Pressure]]</f>
        <v>31348.800000000003</v>
      </c>
      <c r="BG78" s="4">
        <f>Table83[[#This Row],[Weight]]*Table83[[#This Row],[Night Diastolic Pressure]]</f>
        <v>18660</v>
      </c>
      <c r="BH78" s="2">
        <f>Table834[[#This Row],[Weight]]*Table834[[#This Row],[Night Pulse]]</f>
        <v>16669.600000000002</v>
      </c>
      <c r="BI78" s="2">
        <f>Table834[[#This Row],[Weight]]*Table834[[#This Row],[Sleep]]</f>
        <v>746.40000000000009</v>
      </c>
      <c r="BJ78" s="2">
        <f>Table834[[#This Row],[Weight]]*Table834[[#This Row],[BMI]]</f>
        <v>8880.9616979591847</v>
      </c>
      <c r="BK78" s="2">
        <f>Table834[[#This Row],[Weight]]*Table834[[#This Row],[CBF]]</f>
        <v>7449.2874102105743</v>
      </c>
      <c r="BL78" s="2">
        <f>Table834[[#This Row],[Weight]]*Table834[[#This Row],[Gym]]</f>
        <v>248.8</v>
      </c>
      <c r="BM78" s="2">
        <f>Table834[[#This Row],[Weight]]*Table834[[#This Row],[Cardio]]</f>
        <v>0</v>
      </c>
      <c r="BN78" s="2">
        <f>Table834[[#This Row],[Weight]]*Table834[[#This Row],[Calories]]</f>
        <v>492964.02666666667</v>
      </c>
      <c r="BO78" s="2">
        <f>Table834[[#This Row],[Weight]]*Table834[[#This Row],[Carbs]]</f>
        <v>30497.351111111111</v>
      </c>
      <c r="BP78" s="2">
        <f>Table834[[#This Row],[Weight]]*Table834[[#This Row],[Fat ]]</f>
        <v>25402.480000000003</v>
      </c>
      <c r="BQ78" s="2">
        <f>Table834[[#This Row],[Weight]]*Table834[[#This Row],[Protein]]</f>
        <v>38685.635555555564</v>
      </c>
      <c r="BR78" s="2">
        <f>Table834[[#This Row],[Weight]]*Table834[[#This Row],[Fiber]]</f>
        <v>4182.6044444444442</v>
      </c>
      <c r="BS78" s="2">
        <f>Table834[[#This Row],[Weight]]*Table834[[#This Row],[Sugar]]</f>
        <v>13381.293333333333</v>
      </c>
      <c r="BT78" s="2">
        <f>Table834[[#This Row],[Weight]]*Table834[[#This Row],[Servings]]</f>
        <v>4478.4000000000005</v>
      </c>
      <c r="BU78" s="2">
        <f>Table834[[#This Row],[Weight]]*Table834[[#This Row],[Water]]</f>
        <v>497.6</v>
      </c>
      <c r="BV78" s="2">
        <f>Table834[[#This Row],[Weight]]*Table834[[#This Row],[Fat Calories]]</f>
        <v>228622.32000000004</v>
      </c>
      <c r="BW78" s="2">
        <f>Table834[[#This Row],[Waist]]*Table834[[#This Row],[Neck]]</f>
        <v>709.5</v>
      </c>
      <c r="BX78" s="2">
        <f>Table834[[#This Row],[Waist]]*Table834[[#This Row],[Morning Body Temp]]</f>
        <v>4115.1000000000004</v>
      </c>
      <c r="BY78" s="2">
        <f>Table834[[#This Row],[Waist]]*Table834[[#This Row],[Morning Systolic Pressure]]</f>
        <v>5719</v>
      </c>
      <c r="BZ78" s="2">
        <f>Table834[[#This Row],[Waist]]*Table834[[#This Row],[Morning Diastolic Pressure]]</f>
        <v>3182</v>
      </c>
      <c r="CA78" s="2">
        <f>Table834[[#This Row],[Waist]]*Table834[[#This Row],[Morning Pulse]]</f>
        <v>2623</v>
      </c>
      <c r="CB78" s="2">
        <f>Table834[[#This Row],[Waist]]*Table834[[#This Row],[Night Body Temp]]</f>
        <v>4188.2</v>
      </c>
      <c r="CC78" s="2">
        <f>Table834[[#This Row],[Waist]]*Table834[[#This Row],[Night Systolic Pressure]]</f>
        <v>5418</v>
      </c>
      <c r="CD78" s="4">
        <f>Table83[[#This Row],[Waist]]*Table83[[#This Row],[Night Diastolic Pressure]]</f>
        <v>3225</v>
      </c>
      <c r="CE78" s="2">
        <f>Table834[[#This Row],[Waist]]*Table834[[#This Row],[Night Pulse]]</f>
        <v>2881</v>
      </c>
      <c r="CF78" s="2">
        <f>Table834[[#This Row],[Waist]]*Table834[[#This Row],[Sleep]]</f>
        <v>129</v>
      </c>
      <c r="CG78" s="2">
        <f>Table834[[#This Row],[Waist]]*Table834[[#This Row],[BMI]]</f>
        <v>1534.8928979591838</v>
      </c>
      <c r="CH78" s="2">
        <f>Table834[[#This Row],[Waist]]*Table834[[#This Row],[CBF]]</f>
        <v>1287.4572292566506</v>
      </c>
      <c r="CI78" s="2">
        <f>Table834[[#This Row],[Waist]]*Table834[[#This Row],[Gym]]</f>
        <v>43</v>
      </c>
      <c r="CJ78" s="2">
        <f>Table834[[#This Row],[Waist]]*Table834[[#This Row],[Cardio]]</f>
        <v>0</v>
      </c>
      <c r="CK78" s="2">
        <f>Table834[[#This Row],[Waist]]*Table834[[#This Row],[Calories]]</f>
        <v>85198.766666666663</v>
      </c>
      <c r="CL78" s="2">
        <f>Table834[[#This Row],[Waist]]*Table834[[#This Row],[Carbs]]</f>
        <v>5270.844444444444</v>
      </c>
      <c r="CM78" s="2">
        <f>Table834[[#This Row],[Waist]]*Table834[[#This Row],[Fat ]]</f>
        <v>4390.3</v>
      </c>
      <c r="CN78" s="2">
        <f>Table834[[#This Row],[Waist]]*Table834[[#This Row],[Protein]]</f>
        <v>6686.0222222222228</v>
      </c>
      <c r="CO78" s="2">
        <f>Table834[[#This Row],[Waist]]*Table834[[#This Row],[Fiber]]</f>
        <v>722.87777777777774</v>
      </c>
      <c r="CP78" s="2">
        <f>Table834[[#This Row],[Waist]]*Table834[[#This Row],[Sugar]]</f>
        <v>2312.6833333333334</v>
      </c>
      <c r="CQ78" s="2">
        <f>Table834[[#This Row],[Waist]]*Table834[[#This Row],[Servings]]</f>
        <v>774</v>
      </c>
      <c r="CR78" s="2">
        <f>Table834[[#This Row],[Waist]]*Table834[[#This Row],[Water]]</f>
        <v>86</v>
      </c>
      <c r="CS78" s="2">
        <f>Table834[[#This Row],[Waist]]*Table834[[#This Row],[Fat Calories]]</f>
        <v>39512.700000000004</v>
      </c>
    </row>
    <row r="79" spans="1:97" x14ac:dyDescent="0.25">
      <c r="A79" s="2">
        <v>248</v>
      </c>
      <c r="B79" s="2">
        <f>Table834[[#This Row],[Weight]]^2</f>
        <v>61504</v>
      </c>
      <c r="C79" s="2">
        <v>43.5</v>
      </c>
      <c r="D79" s="2">
        <f>Table834[[#This Row],[Waist]]^2</f>
        <v>1892.25</v>
      </c>
      <c r="E79" s="2">
        <v>16.5</v>
      </c>
      <c r="F79" s="2">
        <f>Table834[[#This Row],[Neck]]^2</f>
        <v>272.25</v>
      </c>
      <c r="G79" s="2">
        <v>95.5</v>
      </c>
      <c r="H79" s="2">
        <f>Table834[[#This Row],[Morning Body Temp]]^2</f>
        <v>9120.25</v>
      </c>
      <c r="I79" s="2">
        <v>128</v>
      </c>
      <c r="J79" s="2">
        <f>Table834[[#This Row],[Morning Systolic Pressure]]^2</f>
        <v>16384</v>
      </c>
      <c r="K79" s="2">
        <v>72</v>
      </c>
      <c r="L79" s="2">
        <f>Table834[[#This Row],[Morning Diastolic Pressure]]^2</f>
        <v>5184</v>
      </c>
      <c r="M79" s="2">
        <v>61</v>
      </c>
      <c r="N79" s="2">
        <f>Table834[[#This Row],[Morning Pulse]]^2</f>
        <v>3721</v>
      </c>
      <c r="O79" s="2">
        <v>97.5</v>
      </c>
      <c r="P79" s="2">
        <f>Table834[[#This Row],[Night Body Temp]]^2</f>
        <v>9506.25</v>
      </c>
      <c r="Q79" s="2">
        <v>133</v>
      </c>
      <c r="R79" s="2">
        <f>Table834[[#This Row],[Night Systolic Pressure]]^2</f>
        <v>17689</v>
      </c>
      <c r="S79" s="2">
        <v>75</v>
      </c>
      <c r="T79" s="2">
        <f>Table834[[#This Row],[Night Diastolic Pressure]]^2</f>
        <v>5625</v>
      </c>
      <c r="U79" s="2">
        <v>69</v>
      </c>
      <c r="V79" s="2">
        <f>Table834[[#This Row],[Night Pulse]]^2</f>
        <v>4761</v>
      </c>
      <c r="W79" s="2">
        <v>2</v>
      </c>
      <c r="X79" s="2">
        <f>Table834[[#This Row],[Sleep]]^2</f>
        <v>4</v>
      </c>
      <c r="Y79" s="2">
        <f t="shared" si="3"/>
        <v>35.580408163265311</v>
      </c>
      <c r="Z79" s="2">
        <f>Table834[[#This Row],[BMI]]^2</f>
        <v>1265.9654450645567</v>
      </c>
      <c r="AA79" s="2">
        <f t="shared" si="2"/>
        <v>30.639085534675949</v>
      </c>
      <c r="AB79" s="2">
        <f>Table834[[#This Row],[CBF]]^2</f>
        <v>938.75356240118901</v>
      </c>
      <c r="AC79" s="2">
        <v>1</v>
      </c>
      <c r="AD79" s="2">
        <f>Table834[[#This Row],[Gym]]^2</f>
        <v>1</v>
      </c>
      <c r="AE79" s="2">
        <v>1</v>
      </c>
      <c r="AF79" s="2">
        <f>Table834[[#This Row],[Cardio]]^2</f>
        <v>1</v>
      </c>
      <c r="AG79" s="2">
        <v>1446.7809523809524</v>
      </c>
      <c r="AH79" s="2">
        <f>Table834[[#This Row],[Calories]]^2</f>
        <v>2093175.1241723357</v>
      </c>
      <c r="AI79" s="2">
        <v>140.54642857142855</v>
      </c>
      <c r="AJ79" s="2">
        <f>Table834[[#This Row],[Carbs]]^2</f>
        <v>19753.298584183667</v>
      </c>
      <c r="AK79" s="2">
        <v>62.80952380952381</v>
      </c>
      <c r="AL79" s="2">
        <f>Table834[[#This Row],[Fat ]]^2</f>
        <v>3945.0362811791383</v>
      </c>
      <c r="AM79" s="2">
        <v>77.740476190476187</v>
      </c>
      <c r="AN79" s="2">
        <f>Table834[[#This Row],[Protein]]^2</f>
        <v>6043.5816383219953</v>
      </c>
      <c r="AO79" s="2">
        <v>8.466666666666665</v>
      </c>
      <c r="AP79" s="2">
        <f>Table834[[#This Row],[Fiber]]^2</f>
        <v>71.684444444444409</v>
      </c>
      <c r="AQ79" s="2">
        <v>90.615476190476187</v>
      </c>
      <c r="AR79" s="2">
        <f>Table834[[#This Row],[Sugar]]^2</f>
        <v>8211.1645252267572</v>
      </c>
      <c r="AS79" s="2">
        <v>15</v>
      </c>
      <c r="AT79" s="2">
        <f>Table834[[#This Row],[Servings]]^2</f>
        <v>225</v>
      </c>
      <c r="AU79" s="2">
        <v>1.5</v>
      </c>
      <c r="AV79" s="2">
        <f>Table834[[#This Row],[Water]]^2</f>
        <v>2.25</v>
      </c>
      <c r="AW79" s="2">
        <v>565.28571428571422</v>
      </c>
      <c r="AX79" s="2">
        <f>Table834[[#This Row],[Fat Calories]]^2</f>
        <v>319547.93877551012</v>
      </c>
      <c r="AY79" s="5">
        <f>Table834[[#This Row],[Weight]]*Table834[[#This Row],[Waist]]</f>
        <v>10788</v>
      </c>
      <c r="AZ79" s="6">
        <f>Table834[[#This Row],[Weight]]*Table834[[#This Row],[Neck]]</f>
        <v>4092</v>
      </c>
      <c r="BA79" s="6">
        <f>Table834[[#This Row],[Weight]]*Table834[[#This Row],[Morning Body Temp]]</f>
        <v>23684</v>
      </c>
      <c r="BB79" s="6">
        <f>Table834[[#This Row],[Weight]]*Table834[[#This Row],[Morning Systolic Pressure]]</f>
        <v>31744</v>
      </c>
      <c r="BC79" s="12">
        <f>Table834[[#This Row],[Weight]]*Table834[[#This Row],[Morning Diastolic Pressure]]</f>
        <v>17856</v>
      </c>
      <c r="BD79" s="2">
        <f>Table834[[#This Row],[Weight]]*Table834[[#This Row],[Morning Pulse]]</f>
        <v>15128</v>
      </c>
      <c r="BE79" s="2">
        <f>Table834[[#This Row],[Weight]]*Table834[[#This Row],[Night Body Temp]]</f>
        <v>24180</v>
      </c>
      <c r="BF79" s="2">
        <f>Table834[[#This Row],[Weight]]*Table834[[#This Row],[Night Systolic Pressure]]</f>
        <v>32984</v>
      </c>
      <c r="BG79" s="4">
        <f>Table83[[#This Row],[Weight]]*Table83[[#This Row],[Night Diastolic Pressure]]</f>
        <v>18600</v>
      </c>
      <c r="BH79" s="2">
        <f>Table834[[#This Row],[Weight]]*Table834[[#This Row],[Night Pulse]]</f>
        <v>17112</v>
      </c>
      <c r="BI79" s="2">
        <f>Table834[[#This Row],[Weight]]*Table834[[#This Row],[Sleep]]</f>
        <v>496</v>
      </c>
      <c r="BJ79" s="2">
        <f>Table834[[#This Row],[Weight]]*Table834[[#This Row],[BMI]]</f>
        <v>8823.9412244897976</v>
      </c>
      <c r="BK79" s="2">
        <f>Table834[[#This Row],[Weight]]*Table834[[#This Row],[CBF]]</f>
        <v>7598.4932125996356</v>
      </c>
      <c r="BL79" s="2">
        <f>Table834[[#This Row],[Weight]]*Table834[[#This Row],[Gym]]</f>
        <v>248</v>
      </c>
      <c r="BM79" s="2">
        <f>Table834[[#This Row],[Weight]]*Table834[[#This Row],[Cardio]]</f>
        <v>248</v>
      </c>
      <c r="BN79" s="2">
        <f>Table834[[#This Row],[Weight]]*Table834[[#This Row],[Calories]]</f>
        <v>358801.67619047617</v>
      </c>
      <c r="BO79" s="2">
        <f>Table834[[#This Row],[Weight]]*Table834[[#This Row],[Carbs]]</f>
        <v>34855.514285714278</v>
      </c>
      <c r="BP79" s="2">
        <f>Table834[[#This Row],[Weight]]*Table834[[#This Row],[Fat ]]</f>
        <v>15576.761904761905</v>
      </c>
      <c r="BQ79" s="2">
        <f>Table834[[#This Row],[Weight]]*Table834[[#This Row],[Protein]]</f>
        <v>19279.638095238093</v>
      </c>
      <c r="BR79" s="2">
        <f>Table834[[#This Row],[Weight]]*Table834[[#This Row],[Fiber]]</f>
        <v>2099.7333333333331</v>
      </c>
      <c r="BS79" s="2">
        <f>Table834[[#This Row],[Weight]]*Table834[[#This Row],[Sugar]]</f>
        <v>22472.638095238093</v>
      </c>
      <c r="BT79" s="2">
        <f>Table834[[#This Row],[Weight]]*Table834[[#This Row],[Servings]]</f>
        <v>3720</v>
      </c>
      <c r="BU79" s="2">
        <f>Table834[[#This Row],[Weight]]*Table834[[#This Row],[Water]]</f>
        <v>372</v>
      </c>
      <c r="BV79" s="2">
        <f>Table834[[#This Row],[Weight]]*Table834[[#This Row],[Fat Calories]]</f>
        <v>140190.85714285713</v>
      </c>
      <c r="BW79" s="2">
        <f>Table834[[#This Row],[Waist]]*Table834[[#This Row],[Neck]]</f>
        <v>717.75</v>
      </c>
      <c r="BX79" s="2">
        <f>Table834[[#This Row],[Waist]]*Table834[[#This Row],[Morning Body Temp]]</f>
        <v>4154.25</v>
      </c>
      <c r="BY79" s="2">
        <f>Table834[[#This Row],[Waist]]*Table834[[#This Row],[Morning Systolic Pressure]]</f>
        <v>5568</v>
      </c>
      <c r="BZ79" s="2">
        <f>Table834[[#This Row],[Waist]]*Table834[[#This Row],[Morning Diastolic Pressure]]</f>
        <v>3132</v>
      </c>
      <c r="CA79" s="2">
        <f>Table834[[#This Row],[Waist]]*Table834[[#This Row],[Morning Pulse]]</f>
        <v>2653.5</v>
      </c>
      <c r="CB79" s="2">
        <f>Table834[[#This Row],[Waist]]*Table834[[#This Row],[Night Body Temp]]</f>
        <v>4241.25</v>
      </c>
      <c r="CC79" s="2">
        <f>Table834[[#This Row],[Waist]]*Table834[[#This Row],[Night Systolic Pressure]]</f>
        <v>5785.5</v>
      </c>
      <c r="CD79" s="4">
        <f>Table83[[#This Row],[Waist]]*Table83[[#This Row],[Night Diastolic Pressure]]</f>
        <v>3262.5</v>
      </c>
      <c r="CE79" s="2">
        <f>Table834[[#This Row],[Waist]]*Table834[[#This Row],[Night Pulse]]</f>
        <v>3001.5</v>
      </c>
      <c r="CF79" s="2">
        <f>Table834[[#This Row],[Waist]]*Table834[[#This Row],[Sleep]]</f>
        <v>87</v>
      </c>
      <c r="CG79" s="2">
        <f>Table834[[#This Row],[Waist]]*Table834[[#This Row],[BMI]]</f>
        <v>1547.7477551020411</v>
      </c>
      <c r="CH79" s="2">
        <f>Table834[[#This Row],[Waist]]*Table834[[#This Row],[CBF]]</f>
        <v>1332.8002207584038</v>
      </c>
      <c r="CI79" s="2">
        <f>Table834[[#This Row],[Waist]]*Table834[[#This Row],[Gym]]</f>
        <v>43.5</v>
      </c>
      <c r="CJ79" s="2">
        <f>Table834[[#This Row],[Waist]]*Table834[[#This Row],[Cardio]]</f>
        <v>43.5</v>
      </c>
      <c r="CK79" s="2">
        <f>Table834[[#This Row],[Waist]]*Table834[[#This Row],[Calories]]</f>
        <v>62934.971428571429</v>
      </c>
      <c r="CL79" s="2">
        <f>Table834[[#This Row],[Waist]]*Table834[[#This Row],[Carbs]]</f>
        <v>6113.7696428571417</v>
      </c>
      <c r="CM79" s="2">
        <f>Table834[[#This Row],[Waist]]*Table834[[#This Row],[Fat ]]</f>
        <v>2732.2142857142858</v>
      </c>
      <c r="CN79" s="2">
        <f>Table834[[#This Row],[Waist]]*Table834[[#This Row],[Protein]]</f>
        <v>3381.7107142857139</v>
      </c>
      <c r="CO79" s="2">
        <f>Table834[[#This Row],[Waist]]*Table834[[#This Row],[Fiber]]</f>
        <v>368.29999999999995</v>
      </c>
      <c r="CP79" s="2">
        <f>Table834[[#This Row],[Waist]]*Table834[[#This Row],[Sugar]]</f>
        <v>3941.7732142857139</v>
      </c>
      <c r="CQ79" s="2">
        <f>Table834[[#This Row],[Waist]]*Table834[[#This Row],[Servings]]</f>
        <v>652.5</v>
      </c>
      <c r="CR79" s="2">
        <f>Table834[[#This Row],[Waist]]*Table834[[#This Row],[Water]]</f>
        <v>65.25</v>
      </c>
      <c r="CS79" s="2">
        <f>Table834[[#This Row],[Waist]]*Table834[[#This Row],[Fat Calories]]</f>
        <v>24589.928571428569</v>
      </c>
    </row>
    <row r="80" spans="1:97" x14ac:dyDescent="0.25">
      <c r="A80" s="2">
        <v>246.6</v>
      </c>
      <c r="B80" s="2">
        <f>Table834[[#This Row],[Weight]]^2</f>
        <v>60811.56</v>
      </c>
      <c r="C80" s="2">
        <v>43.5</v>
      </c>
      <c r="D80" s="2">
        <f>Table834[[#This Row],[Waist]]^2</f>
        <v>1892.25</v>
      </c>
      <c r="E80" s="2">
        <v>16.5</v>
      </c>
      <c r="F80" s="2">
        <f>Table834[[#This Row],[Neck]]^2</f>
        <v>272.25</v>
      </c>
      <c r="G80" s="2">
        <v>96.7</v>
      </c>
      <c r="H80" s="2">
        <f>Table834[[#This Row],[Morning Body Temp]]^2</f>
        <v>9350.8900000000012</v>
      </c>
      <c r="I80" s="2">
        <v>142</v>
      </c>
      <c r="J80" s="2">
        <f>Table834[[#This Row],[Morning Systolic Pressure]]^2</f>
        <v>20164</v>
      </c>
      <c r="K80" s="2">
        <v>71</v>
      </c>
      <c r="L80" s="2">
        <f>Table834[[#This Row],[Morning Diastolic Pressure]]^2</f>
        <v>5041</v>
      </c>
      <c r="M80" s="2">
        <v>70</v>
      </c>
      <c r="N80" s="2">
        <f>Table834[[#This Row],[Morning Pulse]]^2</f>
        <v>4900</v>
      </c>
      <c r="O80" s="2">
        <v>97.2</v>
      </c>
      <c r="P80" s="2">
        <f>Table834[[#This Row],[Night Body Temp]]^2</f>
        <v>9447.84</v>
      </c>
      <c r="Q80" s="2">
        <v>133</v>
      </c>
      <c r="R80" s="2">
        <f>Table834[[#This Row],[Night Systolic Pressure]]^2</f>
        <v>17689</v>
      </c>
      <c r="S80" s="2">
        <v>73</v>
      </c>
      <c r="T80" s="2">
        <f>Table834[[#This Row],[Night Diastolic Pressure]]^2</f>
        <v>5329</v>
      </c>
      <c r="U80" s="2">
        <v>62</v>
      </c>
      <c r="V80" s="2">
        <f>Table834[[#This Row],[Night Pulse]]^2</f>
        <v>3844</v>
      </c>
      <c r="W80" s="2">
        <v>0.5</v>
      </c>
      <c r="X80" s="2">
        <f>Table834[[#This Row],[Sleep]]^2</f>
        <v>0.25</v>
      </c>
      <c r="Y80" s="2">
        <f t="shared" si="3"/>
        <v>35.379551020408158</v>
      </c>
      <c r="Z80" s="2">
        <f>Table834[[#This Row],[BMI]]^2</f>
        <v>1251.712630405664</v>
      </c>
      <c r="AA80" s="2">
        <f t="shared" si="2"/>
        <v>30.639085534675949</v>
      </c>
      <c r="AB80" s="2">
        <f>Table834[[#This Row],[CBF]]^2</f>
        <v>938.75356240118901</v>
      </c>
      <c r="AC80" s="2">
        <v>1</v>
      </c>
      <c r="AD80" s="2">
        <f>Table834[[#This Row],[Gym]]^2</f>
        <v>1</v>
      </c>
      <c r="AE80" s="2">
        <v>0</v>
      </c>
      <c r="AF80" s="2">
        <f>Table834[[#This Row],[Cardio]]^2</f>
        <v>0</v>
      </c>
      <c r="AG80" s="2">
        <v>6761.2809523809519</v>
      </c>
      <c r="AH80" s="2">
        <f>Table834[[#This Row],[Calories]]^2</f>
        <v>45714920.117029473</v>
      </c>
      <c r="AI80" s="2">
        <v>936.84642857142853</v>
      </c>
      <c r="AJ80" s="2">
        <f>Table834[[#This Row],[Carbs]]^2</f>
        <v>877681.23072704079</v>
      </c>
      <c r="AK80" s="2">
        <v>240.2095238095238</v>
      </c>
      <c r="AL80" s="2">
        <f>Table834[[#This Row],[Fat ]]^2</f>
        <v>57700.61532879818</v>
      </c>
      <c r="AM80" s="2">
        <v>210.04047619047617</v>
      </c>
      <c r="AN80" s="2">
        <f>Table834[[#This Row],[Protein]]^2</f>
        <v>44117.001638321985</v>
      </c>
      <c r="AO80" s="2">
        <v>15.866666666666665</v>
      </c>
      <c r="AP80" s="2">
        <f>Table834[[#This Row],[Fiber]]^2</f>
        <v>251.75111111111107</v>
      </c>
      <c r="AQ80" s="2">
        <v>591.21547619047624</v>
      </c>
      <c r="AR80" s="2">
        <f>Table834[[#This Row],[Sugar]]^2</f>
        <v>349535.73928713158</v>
      </c>
      <c r="AS80" s="2">
        <v>138.5</v>
      </c>
      <c r="AT80" s="2">
        <f>Table834[[#This Row],[Servings]]^2</f>
        <v>19182.25</v>
      </c>
      <c r="AU80" s="2">
        <v>0.5</v>
      </c>
      <c r="AV80" s="2">
        <f>Table834[[#This Row],[Water]]^2</f>
        <v>0.25</v>
      </c>
      <c r="AW80" s="2">
        <v>2161.8857142857146</v>
      </c>
      <c r="AX80" s="2">
        <f>Table834[[#This Row],[Fat Calories]]^2</f>
        <v>4673749.841632654</v>
      </c>
      <c r="AY80" s="3">
        <f>Table834[[#This Row],[Weight]]*Table834[[#This Row],[Waist]]</f>
        <v>10727.1</v>
      </c>
      <c r="AZ80" s="4">
        <f>Table834[[#This Row],[Weight]]*Table834[[#This Row],[Neck]]</f>
        <v>4068.9</v>
      </c>
      <c r="BA80" s="4">
        <f>Table834[[#This Row],[Weight]]*Table834[[#This Row],[Morning Body Temp]]</f>
        <v>23846.22</v>
      </c>
      <c r="BB80" s="4">
        <f>Table834[[#This Row],[Weight]]*Table834[[#This Row],[Morning Systolic Pressure]]</f>
        <v>35017.199999999997</v>
      </c>
      <c r="BC80" s="11">
        <f>Table834[[#This Row],[Weight]]*Table834[[#This Row],[Morning Diastolic Pressure]]</f>
        <v>17508.599999999999</v>
      </c>
      <c r="BD80" s="2">
        <f>Table834[[#This Row],[Weight]]*Table834[[#This Row],[Morning Pulse]]</f>
        <v>17262</v>
      </c>
      <c r="BE80" s="2">
        <f>Table834[[#This Row],[Weight]]*Table834[[#This Row],[Night Body Temp]]</f>
        <v>23969.52</v>
      </c>
      <c r="BF80" s="2">
        <f>Table834[[#This Row],[Weight]]*Table834[[#This Row],[Night Systolic Pressure]]</f>
        <v>32797.799999999996</v>
      </c>
      <c r="BG80" s="4">
        <f>Table83[[#This Row],[Weight]]*Table83[[#This Row],[Night Diastolic Pressure]]</f>
        <v>18001.8</v>
      </c>
      <c r="BH80" s="2">
        <f>Table834[[#This Row],[Weight]]*Table834[[#This Row],[Night Pulse]]</f>
        <v>15289.199999999999</v>
      </c>
      <c r="BI80" s="2">
        <f>Table834[[#This Row],[Weight]]*Table834[[#This Row],[Sleep]]</f>
        <v>123.3</v>
      </c>
      <c r="BJ80" s="2">
        <f>Table834[[#This Row],[Weight]]*Table834[[#This Row],[BMI]]</f>
        <v>8724.5972816326521</v>
      </c>
      <c r="BK80" s="2">
        <f>Table834[[#This Row],[Weight]]*Table834[[#This Row],[CBF]]</f>
        <v>7555.5984928510888</v>
      </c>
      <c r="BL80" s="2">
        <f>Table834[[#This Row],[Weight]]*Table834[[#This Row],[Gym]]</f>
        <v>246.6</v>
      </c>
      <c r="BM80" s="2">
        <f>Table834[[#This Row],[Weight]]*Table834[[#This Row],[Cardio]]</f>
        <v>0</v>
      </c>
      <c r="BN80" s="2">
        <f>Table834[[#This Row],[Weight]]*Table834[[#This Row],[Calories]]</f>
        <v>1667331.8828571427</v>
      </c>
      <c r="BO80" s="2">
        <f>Table834[[#This Row],[Weight]]*Table834[[#This Row],[Carbs]]</f>
        <v>231026.32928571428</v>
      </c>
      <c r="BP80" s="2">
        <f>Table834[[#This Row],[Weight]]*Table834[[#This Row],[Fat ]]</f>
        <v>59235.66857142857</v>
      </c>
      <c r="BQ80" s="2">
        <f>Table834[[#This Row],[Weight]]*Table834[[#This Row],[Protein]]</f>
        <v>51795.981428571424</v>
      </c>
      <c r="BR80" s="2">
        <f>Table834[[#This Row],[Weight]]*Table834[[#This Row],[Fiber]]</f>
        <v>3912.72</v>
      </c>
      <c r="BS80" s="2">
        <f>Table834[[#This Row],[Weight]]*Table834[[#This Row],[Sugar]]</f>
        <v>145793.73642857143</v>
      </c>
      <c r="BT80" s="2">
        <f>Table834[[#This Row],[Weight]]*Table834[[#This Row],[Servings]]</f>
        <v>34154.1</v>
      </c>
      <c r="BU80" s="2">
        <f>Table834[[#This Row],[Weight]]*Table834[[#This Row],[Water]]</f>
        <v>123.3</v>
      </c>
      <c r="BV80" s="2">
        <f>Table834[[#This Row],[Weight]]*Table834[[#This Row],[Fat Calories]]</f>
        <v>533121.01714285719</v>
      </c>
      <c r="BW80" s="2">
        <f>Table834[[#This Row],[Waist]]*Table834[[#This Row],[Neck]]</f>
        <v>717.75</v>
      </c>
      <c r="BX80" s="2">
        <f>Table834[[#This Row],[Waist]]*Table834[[#This Row],[Morning Body Temp]]</f>
        <v>4206.45</v>
      </c>
      <c r="BY80" s="2">
        <f>Table834[[#This Row],[Waist]]*Table834[[#This Row],[Morning Systolic Pressure]]</f>
        <v>6177</v>
      </c>
      <c r="BZ80" s="2">
        <f>Table834[[#This Row],[Waist]]*Table834[[#This Row],[Morning Diastolic Pressure]]</f>
        <v>3088.5</v>
      </c>
      <c r="CA80" s="2">
        <f>Table834[[#This Row],[Waist]]*Table834[[#This Row],[Morning Pulse]]</f>
        <v>3045</v>
      </c>
      <c r="CB80" s="2">
        <f>Table834[[#This Row],[Waist]]*Table834[[#This Row],[Night Body Temp]]</f>
        <v>4228.2</v>
      </c>
      <c r="CC80" s="2">
        <f>Table834[[#This Row],[Waist]]*Table834[[#This Row],[Night Systolic Pressure]]</f>
        <v>5785.5</v>
      </c>
      <c r="CD80" s="4">
        <f>Table83[[#This Row],[Waist]]*Table83[[#This Row],[Night Diastolic Pressure]]</f>
        <v>3175.5</v>
      </c>
      <c r="CE80" s="2">
        <f>Table834[[#This Row],[Waist]]*Table834[[#This Row],[Night Pulse]]</f>
        <v>2697</v>
      </c>
      <c r="CF80" s="2">
        <f>Table834[[#This Row],[Waist]]*Table834[[#This Row],[Sleep]]</f>
        <v>21.75</v>
      </c>
      <c r="CG80" s="2">
        <f>Table834[[#This Row],[Waist]]*Table834[[#This Row],[BMI]]</f>
        <v>1539.0104693877549</v>
      </c>
      <c r="CH80" s="2">
        <f>Table834[[#This Row],[Waist]]*Table834[[#This Row],[CBF]]</f>
        <v>1332.8002207584038</v>
      </c>
      <c r="CI80" s="2">
        <f>Table834[[#This Row],[Waist]]*Table834[[#This Row],[Gym]]</f>
        <v>43.5</v>
      </c>
      <c r="CJ80" s="2">
        <f>Table834[[#This Row],[Waist]]*Table834[[#This Row],[Cardio]]</f>
        <v>0</v>
      </c>
      <c r="CK80" s="2">
        <f>Table834[[#This Row],[Waist]]*Table834[[#This Row],[Calories]]</f>
        <v>294115.72142857139</v>
      </c>
      <c r="CL80" s="2">
        <f>Table834[[#This Row],[Waist]]*Table834[[#This Row],[Carbs]]</f>
        <v>40752.819642857139</v>
      </c>
      <c r="CM80" s="2">
        <f>Table834[[#This Row],[Waist]]*Table834[[#This Row],[Fat ]]</f>
        <v>10449.114285714286</v>
      </c>
      <c r="CN80" s="2">
        <f>Table834[[#This Row],[Waist]]*Table834[[#This Row],[Protein]]</f>
        <v>9136.7607142857141</v>
      </c>
      <c r="CO80" s="2">
        <f>Table834[[#This Row],[Waist]]*Table834[[#This Row],[Fiber]]</f>
        <v>690.19999999999993</v>
      </c>
      <c r="CP80" s="2">
        <f>Table834[[#This Row],[Waist]]*Table834[[#This Row],[Sugar]]</f>
        <v>25717.873214285715</v>
      </c>
      <c r="CQ80" s="2">
        <f>Table834[[#This Row],[Waist]]*Table834[[#This Row],[Servings]]</f>
        <v>6024.75</v>
      </c>
      <c r="CR80" s="2">
        <f>Table834[[#This Row],[Waist]]*Table834[[#This Row],[Water]]</f>
        <v>21.75</v>
      </c>
      <c r="CS80" s="2">
        <f>Table834[[#This Row],[Waist]]*Table834[[#This Row],[Fat Calories]]</f>
        <v>94042.028571428586</v>
      </c>
    </row>
    <row r="81" spans="1:97" x14ac:dyDescent="0.25">
      <c r="A81" s="2">
        <v>250.8</v>
      </c>
      <c r="B81" s="2">
        <f>Table834[[#This Row],[Weight]]^2</f>
        <v>62900.640000000007</v>
      </c>
      <c r="C81" s="2">
        <v>43.5</v>
      </c>
      <c r="D81" s="2">
        <f>Table834[[#This Row],[Waist]]^2</f>
        <v>1892.25</v>
      </c>
      <c r="E81" s="2">
        <v>16.5</v>
      </c>
      <c r="F81" s="2">
        <f>Table834[[#This Row],[Neck]]^2</f>
        <v>272.25</v>
      </c>
      <c r="G81" s="2">
        <v>96</v>
      </c>
      <c r="H81" s="2">
        <f>Table834[[#This Row],[Morning Body Temp]]^2</f>
        <v>9216</v>
      </c>
      <c r="I81" s="2">
        <v>112</v>
      </c>
      <c r="J81" s="2">
        <f>Table834[[#This Row],[Morning Systolic Pressure]]^2</f>
        <v>12544</v>
      </c>
      <c r="K81" s="2">
        <v>76</v>
      </c>
      <c r="L81" s="2">
        <f>Table834[[#This Row],[Morning Diastolic Pressure]]^2</f>
        <v>5776</v>
      </c>
      <c r="M81" s="2">
        <v>60</v>
      </c>
      <c r="N81" s="2">
        <f>Table834[[#This Row],[Morning Pulse]]^2</f>
        <v>3600</v>
      </c>
      <c r="O81" s="2">
        <v>97.2</v>
      </c>
      <c r="P81" s="2">
        <f>Table834[[#This Row],[Night Body Temp]]^2</f>
        <v>9447.84</v>
      </c>
      <c r="Q81" s="2">
        <v>135</v>
      </c>
      <c r="R81" s="2">
        <f>Table834[[#This Row],[Night Systolic Pressure]]^2</f>
        <v>18225</v>
      </c>
      <c r="S81" s="2">
        <v>76</v>
      </c>
      <c r="T81" s="2">
        <f>Table834[[#This Row],[Night Diastolic Pressure]]^2</f>
        <v>5776</v>
      </c>
      <c r="U81" s="2">
        <v>72</v>
      </c>
      <c r="V81" s="2">
        <f>Table834[[#This Row],[Night Pulse]]^2</f>
        <v>5184</v>
      </c>
      <c r="W81" s="2">
        <v>3</v>
      </c>
      <c r="X81" s="2">
        <f>Table834[[#This Row],[Sleep]]^2</f>
        <v>9</v>
      </c>
      <c r="Y81" s="2">
        <f t="shared" si="3"/>
        <v>35.982122448979595</v>
      </c>
      <c r="Z81" s="2">
        <f>Table834[[#This Row],[BMI]]^2</f>
        <v>1294.7131359333614</v>
      </c>
      <c r="AA81" s="2">
        <f t="shared" si="2"/>
        <v>30.639085534675949</v>
      </c>
      <c r="AB81" s="2">
        <f>Table834[[#This Row],[CBF]]^2</f>
        <v>938.75356240118901</v>
      </c>
      <c r="AC81" s="2">
        <v>0</v>
      </c>
      <c r="AD81" s="2">
        <f>Table834[[#This Row],[Gym]]^2</f>
        <v>0</v>
      </c>
      <c r="AE81" s="2">
        <v>0</v>
      </c>
      <c r="AF81" s="2">
        <f>Table834[[#This Row],[Cardio]]^2</f>
        <v>0</v>
      </c>
      <c r="AG81" s="2">
        <v>3475</v>
      </c>
      <c r="AH81" s="2">
        <f>Table834[[#This Row],[Calories]]^2</f>
        <v>12075625</v>
      </c>
      <c r="AI81" s="2">
        <v>342.6</v>
      </c>
      <c r="AJ81" s="2">
        <f>Table834[[#This Row],[Carbs]]^2</f>
        <v>117374.76000000001</v>
      </c>
      <c r="AK81" s="2">
        <v>127.5</v>
      </c>
      <c r="AL81" s="2">
        <f>Table834[[#This Row],[Fat ]]^2</f>
        <v>16256.25</v>
      </c>
      <c r="AM81" s="2">
        <v>92.100000000000009</v>
      </c>
      <c r="AN81" s="2">
        <f>Table834[[#This Row],[Protein]]^2</f>
        <v>8482.4100000000017</v>
      </c>
      <c r="AO81" s="2">
        <v>10.3</v>
      </c>
      <c r="AP81" s="2">
        <f>Table834[[#This Row],[Fiber]]^2</f>
        <v>106.09000000000002</v>
      </c>
      <c r="AQ81" s="2">
        <v>155.6</v>
      </c>
      <c r="AR81" s="2">
        <f>Table834[[#This Row],[Sugar]]^2</f>
        <v>24211.359999999997</v>
      </c>
      <c r="AS81" s="2">
        <v>20.5</v>
      </c>
      <c r="AT81" s="2">
        <f>Table834[[#This Row],[Servings]]^2</f>
        <v>420.25</v>
      </c>
      <c r="AU81" s="2">
        <v>0.5</v>
      </c>
      <c r="AV81" s="2">
        <f>Table834[[#This Row],[Water]]^2</f>
        <v>0.25</v>
      </c>
      <c r="AW81" s="2">
        <v>1147.5</v>
      </c>
      <c r="AX81" s="2">
        <f>Table834[[#This Row],[Fat Calories]]^2</f>
        <v>1316756.25</v>
      </c>
      <c r="AY81" s="5">
        <f>Table834[[#This Row],[Weight]]*Table834[[#This Row],[Waist]]</f>
        <v>10909.800000000001</v>
      </c>
      <c r="AZ81" s="6">
        <f>Table834[[#This Row],[Weight]]*Table834[[#This Row],[Neck]]</f>
        <v>4138.2</v>
      </c>
      <c r="BA81" s="6">
        <f>Table834[[#This Row],[Weight]]*Table834[[#This Row],[Morning Body Temp]]</f>
        <v>24076.800000000003</v>
      </c>
      <c r="BB81" s="6">
        <f>Table834[[#This Row],[Weight]]*Table834[[#This Row],[Morning Systolic Pressure]]</f>
        <v>28089.600000000002</v>
      </c>
      <c r="BC81" s="12">
        <f>Table834[[#This Row],[Weight]]*Table834[[#This Row],[Morning Diastolic Pressure]]</f>
        <v>19060.8</v>
      </c>
      <c r="BD81" s="2">
        <f>Table834[[#This Row],[Weight]]*Table834[[#This Row],[Morning Pulse]]</f>
        <v>15048</v>
      </c>
      <c r="BE81" s="2">
        <f>Table834[[#This Row],[Weight]]*Table834[[#This Row],[Night Body Temp]]</f>
        <v>24377.760000000002</v>
      </c>
      <c r="BF81" s="2">
        <f>Table834[[#This Row],[Weight]]*Table834[[#This Row],[Night Systolic Pressure]]</f>
        <v>33858</v>
      </c>
      <c r="BG81" s="4">
        <f>Table83[[#This Row],[Weight]]*Table83[[#This Row],[Night Diastolic Pressure]]</f>
        <v>19060.8</v>
      </c>
      <c r="BH81" s="2">
        <f>Table834[[#This Row],[Weight]]*Table834[[#This Row],[Night Pulse]]</f>
        <v>18057.600000000002</v>
      </c>
      <c r="BI81" s="2">
        <f>Table834[[#This Row],[Weight]]*Table834[[#This Row],[Sleep]]</f>
        <v>752.40000000000009</v>
      </c>
      <c r="BJ81" s="2">
        <f>Table834[[#This Row],[Weight]]*Table834[[#This Row],[BMI]]</f>
        <v>9024.3163102040835</v>
      </c>
      <c r="BK81" s="2">
        <f>Table834[[#This Row],[Weight]]*Table834[[#This Row],[CBF]]</f>
        <v>7684.2826520967283</v>
      </c>
      <c r="BL81" s="2">
        <f>Table834[[#This Row],[Weight]]*Table834[[#This Row],[Gym]]</f>
        <v>0</v>
      </c>
      <c r="BM81" s="2">
        <f>Table834[[#This Row],[Weight]]*Table834[[#This Row],[Cardio]]</f>
        <v>0</v>
      </c>
      <c r="BN81" s="2">
        <f>Table834[[#This Row],[Weight]]*Table834[[#This Row],[Calories]]</f>
        <v>871530</v>
      </c>
      <c r="BO81" s="2">
        <f>Table834[[#This Row],[Weight]]*Table834[[#This Row],[Carbs]]</f>
        <v>85924.080000000016</v>
      </c>
      <c r="BP81" s="2">
        <f>Table834[[#This Row],[Weight]]*Table834[[#This Row],[Fat ]]</f>
        <v>31977</v>
      </c>
      <c r="BQ81" s="2">
        <f>Table834[[#This Row],[Weight]]*Table834[[#This Row],[Protein]]</f>
        <v>23098.680000000004</v>
      </c>
      <c r="BR81" s="2">
        <f>Table834[[#This Row],[Weight]]*Table834[[#This Row],[Fiber]]</f>
        <v>2583.2400000000002</v>
      </c>
      <c r="BS81" s="2">
        <f>Table834[[#This Row],[Weight]]*Table834[[#This Row],[Sugar]]</f>
        <v>39024.480000000003</v>
      </c>
      <c r="BT81" s="2">
        <f>Table834[[#This Row],[Weight]]*Table834[[#This Row],[Servings]]</f>
        <v>5141.4000000000005</v>
      </c>
      <c r="BU81" s="2">
        <f>Table834[[#This Row],[Weight]]*Table834[[#This Row],[Water]]</f>
        <v>125.4</v>
      </c>
      <c r="BV81" s="2">
        <f>Table834[[#This Row],[Weight]]*Table834[[#This Row],[Fat Calories]]</f>
        <v>287793</v>
      </c>
      <c r="BW81" s="2">
        <f>Table834[[#This Row],[Waist]]*Table834[[#This Row],[Neck]]</f>
        <v>717.75</v>
      </c>
      <c r="BX81" s="2">
        <f>Table834[[#This Row],[Waist]]*Table834[[#This Row],[Morning Body Temp]]</f>
        <v>4176</v>
      </c>
      <c r="BY81" s="2">
        <f>Table834[[#This Row],[Waist]]*Table834[[#This Row],[Morning Systolic Pressure]]</f>
        <v>4872</v>
      </c>
      <c r="BZ81" s="2">
        <f>Table834[[#This Row],[Waist]]*Table834[[#This Row],[Morning Diastolic Pressure]]</f>
        <v>3306</v>
      </c>
      <c r="CA81" s="2">
        <f>Table834[[#This Row],[Waist]]*Table834[[#This Row],[Morning Pulse]]</f>
        <v>2610</v>
      </c>
      <c r="CB81" s="2">
        <f>Table834[[#This Row],[Waist]]*Table834[[#This Row],[Night Body Temp]]</f>
        <v>4228.2</v>
      </c>
      <c r="CC81" s="2">
        <f>Table834[[#This Row],[Waist]]*Table834[[#This Row],[Night Systolic Pressure]]</f>
        <v>5872.5</v>
      </c>
      <c r="CD81" s="4">
        <f>Table83[[#This Row],[Waist]]*Table83[[#This Row],[Night Diastolic Pressure]]</f>
        <v>3306</v>
      </c>
      <c r="CE81" s="2">
        <f>Table834[[#This Row],[Waist]]*Table834[[#This Row],[Night Pulse]]</f>
        <v>3132</v>
      </c>
      <c r="CF81" s="2">
        <f>Table834[[#This Row],[Waist]]*Table834[[#This Row],[Sleep]]</f>
        <v>130.5</v>
      </c>
      <c r="CG81" s="2">
        <f>Table834[[#This Row],[Waist]]*Table834[[#This Row],[BMI]]</f>
        <v>1565.2223265306125</v>
      </c>
      <c r="CH81" s="2">
        <f>Table834[[#This Row],[Waist]]*Table834[[#This Row],[CBF]]</f>
        <v>1332.8002207584038</v>
      </c>
      <c r="CI81" s="2">
        <f>Table834[[#This Row],[Waist]]*Table834[[#This Row],[Gym]]</f>
        <v>0</v>
      </c>
      <c r="CJ81" s="2">
        <f>Table834[[#This Row],[Waist]]*Table834[[#This Row],[Cardio]]</f>
        <v>0</v>
      </c>
      <c r="CK81" s="2">
        <f>Table834[[#This Row],[Waist]]*Table834[[#This Row],[Calories]]</f>
        <v>151162.5</v>
      </c>
      <c r="CL81" s="2">
        <f>Table834[[#This Row],[Waist]]*Table834[[#This Row],[Carbs]]</f>
        <v>14903.1</v>
      </c>
      <c r="CM81" s="2">
        <f>Table834[[#This Row],[Waist]]*Table834[[#This Row],[Fat ]]</f>
        <v>5546.25</v>
      </c>
      <c r="CN81" s="2">
        <f>Table834[[#This Row],[Waist]]*Table834[[#This Row],[Protein]]</f>
        <v>4006.3500000000004</v>
      </c>
      <c r="CO81" s="2">
        <f>Table834[[#This Row],[Waist]]*Table834[[#This Row],[Fiber]]</f>
        <v>448.05</v>
      </c>
      <c r="CP81" s="2">
        <f>Table834[[#This Row],[Waist]]*Table834[[#This Row],[Sugar]]</f>
        <v>6768.5999999999995</v>
      </c>
      <c r="CQ81" s="2">
        <f>Table834[[#This Row],[Waist]]*Table834[[#This Row],[Servings]]</f>
        <v>891.75</v>
      </c>
      <c r="CR81" s="2">
        <f>Table834[[#This Row],[Waist]]*Table834[[#This Row],[Water]]</f>
        <v>21.75</v>
      </c>
      <c r="CS81" s="2">
        <f>Table834[[#This Row],[Waist]]*Table834[[#This Row],[Fat Calories]]</f>
        <v>49916.25</v>
      </c>
    </row>
    <row r="82" spans="1:97" x14ac:dyDescent="0.25">
      <c r="A82" s="2">
        <v>251.8</v>
      </c>
      <c r="B82" s="2">
        <f>Table834[[#This Row],[Weight]]^2</f>
        <v>63403.240000000005</v>
      </c>
      <c r="C82" s="2">
        <v>43.5</v>
      </c>
      <c r="D82" s="2">
        <f>Table834[[#This Row],[Waist]]^2</f>
        <v>1892.25</v>
      </c>
      <c r="E82" s="2">
        <v>16.5</v>
      </c>
      <c r="F82" s="2">
        <f>Table834[[#This Row],[Neck]]^2</f>
        <v>272.25</v>
      </c>
      <c r="G82" s="2">
        <v>97.5</v>
      </c>
      <c r="H82" s="2">
        <f>Table834[[#This Row],[Morning Body Temp]]^2</f>
        <v>9506.25</v>
      </c>
      <c r="I82" s="2">
        <v>127</v>
      </c>
      <c r="J82" s="2">
        <f>Table834[[#This Row],[Morning Systolic Pressure]]^2</f>
        <v>16129</v>
      </c>
      <c r="K82" s="2">
        <v>70</v>
      </c>
      <c r="L82" s="2">
        <f>Table834[[#This Row],[Morning Diastolic Pressure]]^2</f>
        <v>4900</v>
      </c>
      <c r="M82" s="2">
        <v>86</v>
      </c>
      <c r="N82" s="2">
        <f>Table834[[#This Row],[Morning Pulse]]^2</f>
        <v>7396</v>
      </c>
      <c r="O82" s="2">
        <v>97.5</v>
      </c>
      <c r="P82" s="2">
        <f>Table834[[#This Row],[Night Body Temp]]^2</f>
        <v>9506.25</v>
      </c>
      <c r="Q82" s="2">
        <v>134</v>
      </c>
      <c r="R82" s="2">
        <f>Table834[[#This Row],[Night Systolic Pressure]]^2</f>
        <v>17956</v>
      </c>
      <c r="S82" s="2">
        <v>74</v>
      </c>
      <c r="T82" s="2">
        <f>Table834[[#This Row],[Night Diastolic Pressure]]^2</f>
        <v>5476</v>
      </c>
      <c r="U82" s="2">
        <v>70</v>
      </c>
      <c r="V82" s="2">
        <f>Table834[[#This Row],[Night Pulse]]^2</f>
        <v>4900</v>
      </c>
      <c r="W82" s="2">
        <v>7</v>
      </c>
      <c r="X82" s="2">
        <f>Table834[[#This Row],[Sleep]]^2</f>
        <v>49</v>
      </c>
      <c r="Y82" s="2">
        <f t="shared" si="3"/>
        <v>36.125591836734699</v>
      </c>
      <c r="Z82" s="2">
        <f>Table834[[#This Row],[BMI]]^2</f>
        <v>1305.0583855543528</v>
      </c>
      <c r="AA82" s="2">
        <f t="shared" si="2"/>
        <v>30.639085534675949</v>
      </c>
      <c r="AB82" s="2">
        <f>Table834[[#This Row],[CBF]]^2</f>
        <v>938.75356240118901</v>
      </c>
      <c r="AC82" s="2">
        <v>1</v>
      </c>
      <c r="AD82" s="2">
        <f>Table834[[#This Row],[Gym]]^2</f>
        <v>1</v>
      </c>
      <c r="AE82" s="2">
        <v>0</v>
      </c>
      <c r="AF82" s="2">
        <f>Table834[[#This Row],[Cardio]]^2</f>
        <v>0</v>
      </c>
      <c r="AG82" s="2">
        <v>1697.6833333333334</v>
      </c>
      <c r="AH82" s="2">
        <f>Table834[[#This Row],[Calories]]^2</f>
        <v>2882128.7002777779</v>
      </c>
      <c r="AI82" s="2">
        <v>241.83888888888887</v>
      </c>
      <c r="AJ82" s="2">
        <f>Table834[[#This Row],[Carbs]]^2</f>
        <v>58486.048179012338</v>
      </c>
      <c r="AK82" s="2">
        <v>54.45</v>
      </c>
      <c r="AL82" s="2">
        <f>Table834[[#This Row],[Fat ]]^2</f>
        <v>2964.8025000000002</v>
      </c>
      <c r="AM82" s="2">
        <v>74.044444444444451</v>
      </c>
      <c r="AN82" s="2">
        <f>Table834[[#This Row],[Protein]]^2</f>
        <v>5482.5797530864211</v>
      </c>
      <c r="AO82" s="2">
        <v>7.8055555555555545</v>
      </c>
      <c r="AP82" s="2">
        <f>Table834[[#This Row],[Fiber]]^2</f>
        <v>60.926697530864182</v>
      </c>
      <c r="AQ82" s="2">
        <v>201.79166666666669</v>
      </c>
      <c r="AR82" s="2">
        <f>Table834[[#This Row],[Sugar]]^2</f>
        <v>40719.876736111117</v>
      </c>
      <c r="AS82" s="2">
        <v>65</v>
      </c>
      <c r="AT82" s="2">
        <f>Table834[[#This Row],[Servings]]^2</f>
        <v>4225</v>
      </c>
      <c r="AU82" s="2">
        <v>0.5</v>
      </c>
      <c r="AV82" s="2">
        <f>Table834[[#This Row],[Water]]^2</f>
        <v>0.25</v>
      </c>
      <c r="AW82" s="2">
        <v>490.05000000000007</v>
      </c>
      <c r="AX82" s="2">
        <f>Table834[[#This Row],[Fat Calories]]^2</f>
        <v>240149.00250000006</v>
      </c>
      <c r="AY82" s="3">
        <f>Table834[[#This Row],[Weight]]*Table834[[#This Row],[Waist]]</f>
        <v>10953.300000000001</v>
      </c>
      <c r="AZ82" s="4">
        <f>Table834[[#This Row],[Weight]]*Table834[[#This Row],[Neck]]</f>
        <v>4154.7</v>
      </c>
      <c r="BA82" s="4">
        <f>Table834[[#This Row],[Weight]]*Table834[[#This Row],[Morning Body Temp]]</f>
        <v>24550.5</v>
      </c>
      <c r="BB82" s="4">
        <f>Table834[[#This Row],[Weight]]*Table834[[#This Row],[Morning Systolic Pressure]]</f>
        <v>31978.600000000002</v>
      </c>
      <c r="BC82" s="11">
        <f>Table834[[#This Row],[Weight]]*Table834[[#This Row],[Morning Diastolic Pressure]]</f>
        <v>17626</v>
      </c>
      <c r="BD82" s="2">
        <f>Table834[[#This Row],[Weight]]*Table834[[#This Row],[Morning Pulse]]</f>
        <v>21654.799999999999</v>
      </c>
      <c r="BE82" s="2">
        <f>Table834[[#This Row],[Weight]]*Table834[[#This Row],[Night Body Temp]]</f>
        <v>24550.5</v>
      </c>
      <c r="BF82" s="2">
        <f>Table834[[#This Row],[Weight]]*Table834[[#This Row],[Night Systolic Pressure]]</f>
        <v>33741.200000000004</v>
      </c>
      <c r="BG82" s="4">
        <f>Table83[[#This Row],[Weight]]*Table83[[#This Row],[Night Diastolic Pressure]]</f>
        <v>18633.2</v>
      </c>
      <c r="BH82" s="2">
        <f>Table834[[#This Row],[Weight]]*Table834[[#This Row],[Night Pulse]]</f>
        <v>17626</v>
      </c>
      <c r="BI82" s="2">
        <f>Table834[[#This Row],[Weight]]*Table834[[#This Row],[Sleep]]</f>
        <v>1762.6000000000001</v>
      </c>
      <c r="BJ82" s="2">
        <f>Table834[[#This Row],[Weight]]*Table834[[#This Row],[BMI]]</f>
        <v>9096.4240244897974</v>
      </c>
      <c r="BK82" s="2">
        <f>Table834[[#This Row],[Weight]]*Table834[[#This Row],[CBF]]</f>
        <v>7714.9217376314045</v>
      </c>
      <c r="BL82" s="2">
        <f>Table834[[#This Row],[Weight]]*Table834[[#This Row],[Gym]]</f>
        <v>251.8</v>
      </c>
      <c r="BM82" s="2">
        <f>Table834[[#This Row],[Weight]]*Table834[[#This Row],[Cardio]]</f>
        <v>0</v>
      </c>
      <c r="BN82" s="2">
        <f>Table834[[#This Row],[Weight]]*Table834[[#This Row],[Calories]]</f>
        <v>427476.66333333339</v>
      </c>
      <c r="BO82" s="2">
        <f>Table834[[#This Row],[Weight]]*Table834[[#This Row],[Carbs]]</f>
        <v>60895.032222222224</v>
      </c>
      <c r="BP82" s="2">
        <f>Table834[[#This Row],[Weight]]*Table834[[#This Row],[Fat ]]</f>
        <v>13710.510000000002</v>
      </c>
      <c r="BQ82" s="2">
        <f>Table834[[#This Row],[Weight]]*Table834[[#This Row],[Protein]]</f>
        <v>18644.391111111112</v>
      </c>
      <c r="BR82" s="2">
        <f>Table834[[#This Row],[Weight]]*Table834[[#This Row],[Fiber]]</f>
        <v>1965.4388888888886</v>
      </c>
      <c r="BS82" s="2">
        <f>Table834[[#This Row],[Weight]]*Table834[[#This Row],[Sugar]]</f>
        <v>50811.141666666677</v>
      </c>
      <c r="BT82" s="2">
        <f>Table834[[#This Row],[Weight]]*Table834[[#This Row],[Servings]]</f>
        <v>16367</v>
      </c>
      <c r="BU82" s="2">
        <f>Table834[[#This Row],[Weight]]*Table834[[#This Row],[Water]]</f>
        <v>125.9</v>
      </c>
      <c r="BV82" s="2">
        <f>Table834[[#This Row],[Weight]]*Table834[[#This Row],[Fat Calories]]</f>
        <v>123394.59000000003</v>
      </c>
      <c r="BW82" s="2">
        <f>Table834[[#This Row],[Waist]]*Table834[[#This Row],[Neck]]</f>
        <v>717.75</v>
      </c>
      <c r="BX82" s="2">
        <f>Table834[[#This Row],[Waist]]*Table834[[#This Row],[Morning Body Temp]]</f>
        <v>4241.25</v>
      </c>
      <c r="BY82" s="2">
        <f>Table834[[#This Row],[Waist]]*Table834[[#This Row],[Morning Systolic Pressure]]</f>
        <v>5524.5</v>
      </c>
      <c r="BZ82" s="2">
        <f>Table834[[#This Row],[Waist]]*Table834[[#This Row],[Morning Diastolic Pressure]]</f>
        <v>3045</v>
      </c>
      <c r="CA82" s="2">
        <f>Table834[[#This Row],[Waist]]*Table834[[#This Row],[Morning Pulse]]</f>
        <v>3741</v>
      </c>
      <c r="CB82" s="2">
        <f>Table834[[#This Row],[Waist]]*Table834[[#This Row],[Night Body Temp]]</f>
        <v>4241.25</v>
      </c>
      <c r="CC82" s="2">
        <f>Table834[[#This Row],[Waist]]*Table834[[#This Row],[Night Systolic Pressure]]</f>
        <v>5829</v>
      </c>
      <c r="CD82" s="4">
        <f>Table83[[#This Row],[Waist]]*Table83[[#This Row],[Night Diastolic Pressure]]</f>
        <v>3219</v>
      </c>
      <c r="CE82" s="2">
        <f>Table834[[#This Row],[Waist]]*Table834[[#This Row],[Night Pulse]]</f>
        <v>3045</v>
      </c>
      <c r="CF82" s="2">
        <f>Table834[[#This Row],[Waist]]*Table834[[#This Row],[Sleep]]</f>
        <v>304.5</v>
      </c>
      <c r="CG82" s="2">
        <f>Table834[[#This Row],[Waist]]*Table834[[#This Row],[BMI]]</f>
        <v>1571.4632448979594</v>
      </c>
      <c r="CH82" s="2">
        <f>Table834[[#This Row],[Waist]]*Table834[[#This Row],[CBF]]</f>
        <v>1332.8002207584038</v>
      </c>
      <c r="CI82" s="2">
        <f>Table834[[#This Row],[Waist]]*Table834[[#This Row],[Gym]]</f>
        <v>43.5</v>
      </c>
      <c r="CJ82" s="2">
        <f>Table834[[#This Row],[Waist]]*Table834[[#This Row],[Cardio]]</f>
        <v>0</v>
      </c>
      <c r="CK82" s="2">
        <f>Table834[[#This Row],[Waist]]*Table834[[#This Row],[Calories]]</f>
        <v>73849.225000000006</v>
      </c>
      <c r="CL82" s="2">
        <f>Table834[[#This Row],[Waist]]*Table834[[#This Row],[Carbs]]</f>
        <v>10519.991666666667</v>
      </c>
      <c r="CM82" s="2">
        <f>Table834[[#This Row],[Waist]]*Table834[[#This Row],[Fat ]]</f>
        <v>2368.5750000000003</v>
      </c>
      <c r="CN82" s="2">
        <f>Table834[[#This Row],[Waist]]*Table834[[#This Row],[Protein]]</f>
        <v>3220.9333333333338</v>
      </c>
      <c r="CO82" s="2">
        <f>Table834[[#This Row],[Waist]]*Table834[[#This Row],[Fiber]]</f>
        <v>339.54166666666663</v>
      </c>
      <c r="CP82" s="2">
        <f>Table834[[#This Row],[Waist]]*Table834[[#This Row],[Sugar]]</f>
        <v>8777.9375</v>
      </c>
      <c r="CQ82" s="2">
        <f>Table834[[#This Row],[Waist]]*Table834[[#This Row],[Servings]]</f>
        <v>2827.5</v>
      </c>
      <c r="CR82" s="2">
        <f>Table834[[#This Row],[Waist]]*Table834[[#This Row],[Water]]</f>
        <v>21.75</v>
      </c>
      <c r="CS82" s="2">
        <f>Table834[[#This Row],[Waist]]*Table834[[#This Row],[Fat Calories]]</f>
        <v>21317.175000000003</v>
      </c>
    </row>
    <row r="83" spans="1:97" x14ac:dyDescent="0.25">
      <c r="A83" s="2">
        <v>252.6</v>
      </c>
      <c r="B83" s="2">
        <f>Table834[[#This Row],[Weight]]^2</f>
        <v>63806.759999999995</v>
      </c>
      <c r="C83" s="2">
        <v>43</v>
      </c>
      <c r="D83" s="2">
        <f>Table834[[#This Row],[Waist]]^2</f>
        <v>1849</v>
      </c>
      <c r="E83" s="2">
        <v>16.5</v>
      </c>
      <c r="F83" s="2">
        <f>Table834[[#This Row],[Neck]]^2</f>
        <v>272.25</v>
      </c>
      <c r="G83" s="2">
        <v>96.2</v>
      </c>
      <c r="H83" s="2">
        <f>Table834[[#This Row],[Morning Body Temp]]^2</f>
        <v>9254.44</v>
      </c>
      <c r="I83" s="2">
        <v>141</v>
      </c>
      <c r="J83" s="2">
        <f>Table834[[#This Row],[Morning Systolic Pressure]]^2</f>
        <v>19881</v>
      </c>
      <c r="K83" s="2">
        <v>80</v>
      </c>
      <c r="L83" s="2">
        <f>Table834[[#This Row],[Morning Diastolic Pressure]]^2</f>
        <v>6400</v>
      </c>
      <c r="M83" s="2">
        <v>66</v>
      </c>
      <c r="N83" s="2">
        <f>Table834[[#This Row],[Morning Pulse]]^2</f>
        <v>4356</v>
      </c>
      <c r="O83" s="2">
        <v>97.3</v>
      </c>
      <c r="P83" s="2">
        <f>Table834[[#This Row],[Night Body Temp]]^2</f>
        <v>9467.2899999999991</v>
      </c>
      <c r="Q83" s="2">
        <v>138</v>
      </c>
      <c r="R83" s="2">
        <f>Table834[[#This Row],[Night Systolic Pressure]]^2</f>
        <v>19044</v>
      </c>
      <c r="S83" s="2">
        <v>81</v>
      </c>
      <c r="T83" s="2">
        <f>Table834[[#This Row],[Night Diastolic Pressure]]^2</f>
        <v>6561</v>
      </c>
      <c r="U83" s="2">
        <v>78</v>
      </c>
      <c r="V83" s="2">
        <f>Table834[[#This Row],[Night Pulse]]^2</f>
        <v>6084</v>
      </c>
      <c r="W83" s="2">
        <v>7</v>
      </c>
      <c r="X83" s="2">
        <f>Table834[[#This Row],[Sleep]]^2</f>
        <v>49</v>
      </c>
      <c r="Y83" s="2">
        <f t="shared" si="3"/>
        <v>36.240367346938775</v>
      </c>
      <c r="Z83" s="2">
        <f>Table834[[#This Row],[BMI]]^2</f>
        <v>1313.3642254410663</v>
      </c>
      <c r="AA83" s="2">
        <f t="shared" si="2"/>
        <v>29.940865796666294</v>
      </c>
      <c r="AB83" s="2">
        <f>Table834[[#This Row],[CBF]]^2</f>
        <v>896.45544465398154</v>
      </c>
      <c r="AC83" s="2">
        <v>1</v>
      </c>
      <c r="AD83" s="2">
        <f>Table834[[#This Row],[Gym]]^2</f>
        <v>1</v>
      </c>
      <c r="AE83" s="2">
        <v>0</v>
      </c>
      <c r="AF83" s="2">
        <f>Table834[[#This Row],[Cardio]]^2</f>
        <v>0</v>
      </c>
      <c r="AG83" s="2">
        <v>2614.1476190476192</v>
      </c>
      <c r="AH83" s="2">
        <f>Table834[[#This Row],[Calories]]^2</f>
        <v>6833767.7741723359</v>
      </c>
      <c r="AI83" s="2">
        <v>412.20642857142855</v>
      </c>
      <c r="AJ83" s="2">
        <f>Table834[[#This Row],[Carbs]]^2</f>
        <v>169914.13975561221</v>
      </c>
      <c r="AK83" s="2">
        <v>73.624523809523808</v>
      </c>
      <c r="AL83" s="2">
        <f>Table834[[#This Row],[Fat ]]^2</f>
        <v>5420.5705061791377</v>
      </c>
      <c r="AM83" s="2">
        <v>102.20380952380953</v>
      </c>
      <c r="AN83" s="2">
        <f>Table834[[#This Row],[Protein]]^2</f>
        <v>10445.618681179139</v>
      </c>
      <c r="AO83" s="2">
        <v>5.8299999999999992</v>
      </c>
      <c r="AP83" s="2">
        <f>Table834[[#This Row],[Fiber]]^2</f>
        <v>33.988899999999994</v>
      </c>
      <c r="AQ83" s="2">
        <v>386.47047619047618</v>
      </c>
      <c r="AR83" s="2">
        <f>Table834[[#This Row],[Sugar]]^2</f>
        <v>149359.42896689341</v>
      </c>
      <c r="AS83" s="2">
        <v>60.45</v>
      </c>
      <c r="AT83" s="2">
        <f>Table834[[#This Row],[Servings]]^2</f>
        <v>3654.2025000000003</v>
      </c>
      <c r="AU83" s="2">
        <v>0.5</v>
      </c>
      <c r="AV83" s="2">
        <f>Table834[[#This Row],[Water]]^2</f>
        <v>0.25</v>
      </c>
      <c r="AW83" s="2">
        <v>662.62071428571426</v>
      </c>
      <c r="AX83" s="2">
        <f>Table834[[#This Row],[Fat Calories]]^2</f>
        <v>439066.21100051014</v>
      </c>
      <c r="AY83" s="5">
        <f>Table834[[#This Row],[Weight]]*Table834[[#This Row],[Waist]]</f>
        <v>10861.8</v>
      </c>
      <c r="AZ83" s="6">
        <f>Table834[[#This Row],[Weight]]*Table834[[#This Row],[Neck]]</f>
        <v>4167.8999999999996</v>
      </c>
      <c r="BA83" s="6">
        <f>Table834[[#This Row],[Weight]]*Table834[[#This Row],[Morning Body Temp]]</f>
        <v>24300.12</v>
      </c>
      <c r="BB83" s="6">
        <f>Table834[[#This Row],[Weight]]*Table834[[#This Row],[Morning Systolic Pressure]]</f>
        <v>35616.6</v>
      </c>
      <c r="BC83" s="12">
        <f>Table834[[#This Row],[Weight]]*Table834[[#This Row],[Morning Diastolic Pressure]]</f>
        <v>20208</v>
      </c>
      <c r="BD83" s="2">
        <f>Table834[[#This Row],[Weight]]*Table834[[#This Row],[Morning Pulse]]</f>
        <v>16671.599999999999</v>
      </c>
      <c r="BE83" s="2">
        <f>Table834[[#This Row],[Weight]]*Table834[[#This Row],[Night Body Temp]]</f>
        <v>24577.98</v>
      </c>
      <c r="BF83" s="2">
        <f>Table834[[#This Row],[Weight]]*Table834[[#This Row],[Night Systolic Pressure]]</f>
        <v>34858.799999999996</v>
      </c>
      <c r="BG83" s="4">
        <f>Table83[[#This Row],[Weight]]*Table83[[#This Row],[Night Diastolic Pressure]]</f>
        <v>20460.599999999999</v>
      </c>
      <c r="BH83" s="2">
        <f>Table834[[#This Row],[Weight]]*Table834[[#This Row],[Night Pulse]]</f>
        <v>19702.8</v>
      </c>
      <c r="BI83" s="2">
        <f>Table834[[#This Row],[Weight]]*Table834[[#This Row],[Sleep]]</f>
        <v>1768.2</v>
      </c>
      <c r="BJ83" s="2">
        <f>Table834[[#This Row],[Weight]]*Table834[[#This Row],[BMI]]</f>
        <v>9154.3167918367344</v>
      </c>
      <c r="BK83" s="2">
        <f>Table834[[#This Row],[Weight]]*Table834[[#This Row],[CBF]]</f>
        <v>7563.062700237906</v>
      </c>
      <c r="BL83" s="2">
        <f>Table834[[#This Row],[Weight]]*Table834[[#This Row],[Gym]]</f>
        <v>252.6</v>
      </c>
      <c r="BM83" s="2">
        <f>Table834[[#This Row],[Weight]]*Table834[[#This Row],[Cardio]]</f>
        <v>0</v>
      </c>
      <c r="BN83" s="2">
        <f>Table834[[#This Row],[Weight]]*Table834[[#This Row],[Calories]]</f>
        <v>660333.68857142853</v>
      </c>
      <c r="BO83" s="2">
        <f>Table834[[#This Row],[Weight]]*Table834[[#This Row],[Carbs]]</f>
        <v>104123.34385714284</v>
      </c>
      <c r="BP83" s="2">
        <f>Table834[[#This Row],[Weight]]*Table834[[#This Row],[Fat ]]</f>
        <v>18597.554714285714</v>
      </c>
      <c r="BQ83" s="2">
        <f>Table834[[#This Row],[Weight]]*Table834[[#This Row],[Protein]]</f>
        <v>25816.682285714287</v>
      </c>
      <c r="BR83" s="2">
        <f>Table834[[#This Row],[Weight]]*Table834[[#This Row],[Fiber]]</f>
        <v>1472.6579999999997</v>
      </c>
      <c r="BS83" s="2">
        <f>Table834[[#This Row],[Weight]]*Table834[[#This Row],[Sugar]]</f>
        <v>97622.442285714278</v>
      </c>
      <c r="BT83" s="2">
        <f>Table834[[#This Row],[Weight]]*Table834[[#This Row],[Servings]]</f>
        <v>15269.67</v>
      </c>
      <c r="BU83" s="2">
        <f>Table834[[#This Row],[Weight]]*Table834[[#This Row],[Water]]</f>
        <v>126.3</v>
      </c>
      <c r="BV83" s="2">
        <f>Table834[[#This Row],[Weight]]*Table834[[#This Row],[Fat Calories]]</f>
        <v>167377.99242857142</v>
      </c>
      <c r="BW83" s="2">
        <f>Table834[[#This Row],[Waist]]*Table834[[#This Row],[Neck]]</f>
        <v>709.5</v>
      </c>
      <c r="BX83" s="2">
        <f>Table834[[#This Row],[Waist]]*Table834[[#This Row],[Morning Body Temp]]</f>
        <v>4136.6000000000004</v>
      </c>
      <c r="BY83" s="2">
        <f>Table834[[#This Row],[Waist]]*Table834[[#This Row],[Morning Systolic Pressure]]</f>
        <v>6063</v>
      </c>
      <c r="BZ83" s="2">
        <f>Table834[[#This Row],[Waist]]*Table834[[#This Row],[Morning Diastolic Pressure]]</f>
        <v>3440</v>
      </c>
      <c r="CA83" s="2">
        <f>Table834[[#This Row],[Waist]]*Table834[[#This Row],[Morning Pulse]]</f>
        <v>2838</v>
      </c>
      <c r="CB83" s="2">
        <f>Table834[[#This Row],[Waist]]*Table834[[#This Row],[Night Body Temp]]</f>
        <v>4183.8999999999996</v>
      </c>
      <c r="CC83" s="2">
        <f>Table834[[#This Row],[Waist]]*Table834[[#This Row],[Night Systolic Pressure]]</f>
        <v>5934</v>
      </c>
      <c r="CD83" s="4">
        <f>Table83[[#This Row],[Waist]]*Table83[[#This Row],[Night Diastolic Pressure]]</f>
        <v>3483</v>
      </c>
      <c r="CE83" s="2">
        <f>Table834[[#This Row],[Waist]]*Table834[[#This Row],[Night Pulse]]</f>
        <v>3354</v>
      </c>
      <c r="CF83" s="2">
        <f>Table834[[#This Row],[Waist]]*Table834[[#This Row],[Sleep]]</f>
        <v>301</v>
      </c>
      <c r="CG83" s="2">
        <f>Table834[[#This Row],[Waist]]*Table834[[#This Row],[BMI]]</f>
        <v>1558.3357959183672</v>
      </c>
      <c r="CH83" s="2">
        <f>Table834[[#This Row],[Waist]]*Table834[[#This Row],[CBF]]</f>
        <v>1287.4572292566506</v>
      </c>
      <c r="CI83" s="2">
        <f>Table834[[#This Row],[Waist]]*Table834[[#This Row],[Gym]]</f>
        <v>43</v>
      </c>
      <c r="CJ83" s="2">
        <f>Table834[[#This Row],[Waist]]*Table834[[#This Row],[Cardio]]</f>
        <v>0</v>
      </c>
      <c r="CK83" s="2">
        <f>Table834[[#This Row],[Waist]]*Table834[[#This Row],[Calories]]</f>
        <v>112408.34761904762</v>
      </c>
      <c r="CL83" s="2">
        <f>Table834[[#This Row],[Waist]]*Table834[[#This Row],[Carbs]]</f>
        <v>17724.876428571428</v>
      </c>
      <c r="CM83" s="2">
        <f>Table834[[#This Row],[Waist]]*Table834[[#This Row],[Fat ]]</f>
        <v>3165.8545238095239</v>
      </c>
      <c r="CN83" s="2">
        <f>Table834[[#This Row],[Waist]]*Table834[[#This Row],[Protein]]</f>
        <v>4394.7638095238099</v>
      </c>
      <c r="CO83" s="2">
        <f>Table834[[#This Row],[Waist]]*Table834[[#This Row],[Fiber]]</f>
        <v>250.68999999999997</v>
      </c>
      <c r="CP83" s="2">
        <f>Table834[[#This Row],[Waist]]*Table834[[#This Row],[Sugar]]</f>
        <v>16618.230476190474</v>
      </c>
      <c r="CQ83" s="2">
        <f>Table834[[#This Row],[Waist]]*Table834[[#This Row],[Servings]]</f>
        <v>2599.35</v>
      </c>
      <c r="CR83" s="2">
        <f>Table834[[#This Row],[Waist]]*Table834[[#This Row],[Water]]</f>
        <v>21.5</v>
      </c>
      <c r="CS83" s="2">
        <f>Table834[[#This Row],[Waist]]*Table834[[#This Row],[Fat Calories]]</f>
        <v>28492.690714285713</v>
      </c>
    </row>
    <row r="84" spans="1:97" x14ac:dyDescent="0.25">
      <c r="A84" s="2">
        <v>249.2</v>
      </c>
      <c r="B84" s="2">
        <f>Table834[[#This Row],[Weight]]^2</f>
        <v>62100.639999999992</v>
      </c>
      <c r="C84" s="2">
        <v>43.5</v>
      </c>
      <c r="D84" s="2">
        <f>Table834[[#This Row],[Waist]]^2</f>
        <v>1892.25</v>
      </c>
      <c r="E84" s="2">
        <v>16.5</v>
      </c>
      <c r="F84" s="2">
        <f>Table834[[#This Row],[Neck]]^2</f>
        <v>272.25</v>
      </c>
      <c r="G84" s="2">
        <v>96.3</v>
      </c>
      <c r="H84" s="2">
        <f>Table834[[#This Row],[Morning Body Temp]]^2</f>
        <v>9273.6899999999987</v>
      </c>
      <c r="I84" s="2">
        <v>124</v>
      </c>
      <c r="J84" s="2">
        <f>Table834[[#This Row],[Morning Systolic Pressure]]^2</f>
        <v>15376</v>
      </c>
      <c r="K84" s="2">
        <v>67</v>
      </c>
      <c r="L84" s="2">
        <f>Table834[[#This Row],[Morning Diastolic Pressure]]^2</f>
        <v>4489</v>
      </c>
      <c r="M84" s="2">
        <v>65</v>
      </c>
      <c r="N84" s="2">
        <f>Table834[[#This Row],[Morning Pulse]]^2</f>
        <v>4225</v>
      </c>
      <c r="O84" s="2">
        <v>97.1</v>
      </c>
      <c r="P84" s="2">
        <f>Table834[[#This Row],[Night Body Temp]]^2</f>
        <v>9428.409999999998</v>
      </c>
      <c r="Q84" s="2">
        <v>132</v>
      </c>
      <c r="R84" s="2">
        <f>Table834[[#This Row],[Night Systolic Pressure]]^2</f>
        <v>17424</v>
      </c>
      <c r="S84" s="2">
        <v>82</v>
      </c>
      <c r="T84" s="2">
        <f>Table834[[#This Row],[Night Diastolic Pressure]]^2</f>
        <v>6724</v>
      </c>
      <c r="U84" s="2">
        <v>69</v>
      </c>
      <c r="V84" s="2">
        <f>Table834[[#This Row],[Night Pulse]]^2</f>
        <v>4761</v>
      </c>
      <c r="W84" s="2">
        <v>8</v>
      </c>
      <c r="X84" s="2">
        <f>Table834[[#This Row],[Sleep]]^2</f>
        <v>64</v>
      </c>
      <c r="Y84" s="2">
        <f t="shared" si="3"/>
        <v>35.752571428571429</v>
      </c>
      <c r="Z84" s="2">
        <f>Table834[[#This Row],[BMI]]^2</f>
        <v>1278.246363755102</v>
      </c>
      <c r="AA84" s="2">
        <f t="shared" si="2"/>
        <v>30.639085534675949</v>
      </c>
      <c r="AB84" s="2">
        <f>Table834[[#This Row],[CBF]]^2</f>
        <v>938.75356240118901</v>
      </c>
      <c r="AC84" s="2">
        <v>1</v>
      </c>
      <c r="AD84" s="2">
        <f>Table834[[#This Row],[Gym]]^2</f>
        <v>1</v>
      </c>
      <c r="AE84" s="2">
        <v>0</v>
      </c>
      <c r="AF84" s="2">
        <f>Table834[[#This Row],[Cardio]]^2</f>
        <v>0</v>
      </c>
      <c r="AG84" s="2">
        <v>2384.9333333333334</v>
      </c>
      <c r="AH84" s="2">
        <f>Table834[[#This Row],[Calories]]^2</f>
        <v>5687907.0044444446</v>
      </c>
      <c r="AI84" s="2">
        <v>390.66500000000002</v>
      </c>
      <c r="AJ84" s="2">
        <f>Table834[[#This Row],[Carbs]]^2</f>
        <v>152619.14222500002</v>
      </c>
      <c r="AK84" s="2">
        <v>63.115000000000002</v>
      </c>
      <c r="AL84" s="2">
        <f>Table834[[#This Row],[Fat ]]^2</f>
        <v>3983.5032250000004</v>
      </c>
      <c r="AM84" s="2">
        <v>73.701666666666682</v>
      </c>
      <c r="AN84" s="2">
        <f>Table834[[#This Row],[Protein]]^2</f>
        <v>5431.9356694444468</v>
      </c>
      <c r="AO84" s="2">
        <v>42.146666666666668</v>
      </c>
      <c r="AP84" s="2">
        <f>Table834[[#This Row],[Fiber]]^2</f>
        <v>1776.3415111111112</v>
      </c>
      <c r="AQ84" s="2">
        <v>265.63499999999999</v>
      </c>
      <c r="AR84" s="2">
        <f>Table834[[#This Row],[Sugar]]^2</f>
        <v>70561.95322499999</v>
      </c>
      <c r="AS84" s="2">
        <v>65.55</v>
      </c>
      <c r="AT84" s="2">
        <f>Table834[[#This Row],[Servings]]^2</f>
        <v>4296.8024999999998</v>
      </c>
      <c r="AU84" s="2">
        <v>0.5</v>
      </c>
      <c r="AV84" s="2">
        <f>Table834[[#This Row],[Water]]^2</f>
        <v>0.25</v>
      </c>
      <c r="AW84" s="2">
        <v>568.03499999999997</v>
      </c>
      <c r="AX84" s="2">
        <f>Table834[[#This Row],[Fat Calories]]^2</f>
        <v>322663.76122499997</v>
      </c>
      <c r="AY84" s="3">
        <f>Table834[[#This Row],[Weight]]*Table834[[#This Row],[Waist]]</f>
        <v>10840.199999999999</v>
      </c>
      <c r="AZ84" s="4">
        <f>Table834[[#This Row],[Weight]]*Table834[[#This Row],[Neck]]</f>
        <v>4111.8</v>
      </c>
      <c r="BA84" s="4">
        <f>Table834[[#This Row],[Weight]]*Table834[[#This Row],[Morning Body Temp]]</f>
        <v>23997.96</v>
      </c>
      <c r="BB84" s="4">
        <f>Table834[[#This Row],[Weight]]*Table834[[#This Row],[Morning Systolic Pressure]]</f>
        <v>30900.799999999999</v>
      </c>
      <c r="BC84" s="11">
        <f>Table834[[#This Row],[Weight]]*Table834[[#This Row],[Morning Diastolic Pressure]]</f>
        <v>16696.399999999998</v>
      </c>
      <c r="BD84" s="2">
        <f>Table834[[#This Row],[Weight]]*Table834[[#This Row],[Morning Pulse]]</f>
        <v>16198</v>
      </c>
      <c r="BE84" s="2">
        <f>Table834[[#This Row],[Weight]]*Table834[[#This Row],[Night Body Temp]]</f>
        <v>24197.319999999996</v>
      </c>
      <c r="BF84" s="2">
        <f>Table834[[#This Row],[Weight]]*Table834[[#This Row],[Night Systolic Pressure]]</f>
        <v>32894.400000000001</v>
      </c>
      <c r="BG84" s="4">
        <f>Table83[[#This Row],[Weight]]*Table83[[#This Row],[Night Diastolic Pressure]]</f>
        <v>20434.399999999998</v>
      </c>
      <c r="BH84" s="2">
        <f>Table834[[#This Row],[Weight]]*Table834[[#This Row],[Night Pulse]]</f>
        <v>17194.8</v>
      </c>
      <c r="BI84" s="2">
        <f>Table834[[#This Row],[Weight]]*Table834[[#This Row],[Sleep]]</f>
        <v>1993.6</v>
      </c>
      <c r="BJ84" s="2">
        <f>Table834[[#This Row],[Weight]]*Table834[[#This Row],[BMI]]</f>
        <v>8909.5407999999989</v>
      </c>
      <c r="BK84" s="2">
        <f>Table834[[#This Row],[Weight]]*Table834[[#This Row],[CBF]]</f>
        <v>7635.2601152412462</v>
      </c>
      <c r="BL84" s="2">
        <f>Table834[[#This Row],[Weight]]*Table834[[#This Row],[Gym]]</f>
        <v>249.2</v>
      </c>
      <c r="BM84" s="2">
        <f>Table834[[#This Row],[Weight]]*Table834[[#This Row],[Cardio]]</f>
        <v>0</v>
      </c>
      <c r="BN84" s="2">
        <f>Table834[[#This Row],[Weight]]*Table834[[#This Row],[Calories]]</f>
        <v>594325.3866666666</v>
      </c>
      <c r="BO84" s="2">
        <f>Table834[[#This Row],[Weight]]*Table834[[#This Row],[Carbs]]</f>
        <v>97353.717999999993</v>
      </c>
      <c r="BP84" s="2">
        <f>Table834[[#This Row],[Weight]]*Table834[[#This Row],[Fat ]]</f>
        <v>15728.258</v>
      </c>
      <c r="BQ84" s="2">
        <f>Table834[[#This Row],[Weight]]*Table834[[#This Row],[Protein]]</f>
        <v>18366.455333333335</v>
      </c>
      <c r="BR84" s="2">
        <f>Table834[[#This Row],[Weight]]*Table834[[#This Row],[Fiber]]</f>
        <v>10502.949333333334</v>
      </c>
      <c r="BS84" s="2">
        <f>Table834[[#This Row],[Weight]]*Table834[[#This Row],[Sugar]]</f>
        <v>66196.241999999998</v>
      </c>
      <c r="BT84" s="2">
        <f>Table834[[#This Row],[Weight]]*Table834[[#This Row],[Servings]]</f>
        <v>16335.059999999998</v>
      </c>
      <c r="BU84" s="2">
        <f>Table834[[#This Row],[Weight]]*Table834[[#This Row],[Water]]</f>
        <v>124.6</v>
      </c>
      <c r="BV84" s="2">
        <f>Table834[[#This Row],[Weight]]*Table834[[#This Row],[Fat Calories]]</f>
        <v>141554.32199999999</v>
      </c>
      <c r="BW84" s="2">
        <f>Table834[[#This Row],[Waist]]*Table834[[#This Row],[Neck]]</f>
        <v>717.75</v>
      </c>
      <c r="BX84" s="2">
        <f>Table834[[#This Row],[Waist]]*Table834[[#This Row],[Morning Body Temp]]</f>
        <v>4189.05</v>
      </c>
      <c r="BY84" s="2">
        <f>Table834[[#This Row],[Waist]]*Table834[[#This Row],[Morning Systolic Pressure]]</f>
        <v>5394</v>
      </c>
      <c r="BZ84" s="2">
        <f>Table834[[#This Row],[Waist]]*Table834[[#This Row],[Morning Diastolic Pressure]]</f>
        <v>2914.5</v>
      </c>
      <c r="CA84" s="2">
        <f>Table834[[#This Row],[Waist]]*Table834[[#This Row],[Morning Pulse]]</f>
        <v>2827.5</v>
      </c>
      <c r="CB84" s="2">
        <f>Table834[[#This Row],[Waist]]*Table834[[#This Row],[Night Body Temp]]</f>
        <v>4223.8499999999995</v>
      </c>
      <c r="CC84" s="2">
        <f>Table834[[#This Row],[Waist]]*Table834[[#This Row],[Night Systolic Pressure]]</f>
        <v>5742</v>
      </c>
      <c r="CD84" s="4">
        <f>Table83[[#This Row],[Waist]]*Table83[[#This Row],[Night Diastolic Pressure]]</f>
        <v>3567</v>
      </c>
      <c r="CE84" s="2">
        <f>Table834[[#This Row],[Waist]]*Table834[[#This Row],[Night Pulse]]</f>
        <v>3001.5</v>
      </c>
      <c r="CF84" s="2">
        <f>Table834[[#This Row],[Waist]]*Table834[[#This Row],[Sleep]]</f>
        <v>348</v>
      </c>
      <c r="CG84" s="2">
        <f>Table834[[#This Row],[Waist]]*Table834[[#This Row],[BMI]]</f>
        <v>1555.2368571428572</v>
      </c>
      <c r="CH84" s="2">
        <f>Table834[[#This Row],[Waist]]*Table834[[#This Row],[CBF]]</f>
        <v>1332.8002207584038</v>
      </c>
      <c r="CI84" s="2">
        <f>Table834[[#This Row],[Waist]]*Table834[[#This Row],[Gym]]</f>
        <v>43.5</v>
      </c>
      <c r="CJ84" s="2">
        <f>Table834[[#This Row],[Waist]]*Table834[[#This Row],[Cardio]]</f>
        <v>0</v>
      </c>
      <c r="CK84" s="2">
        <f>Table834[[#This Row],[Waist]]*Table834[[#This Row],[Calories]]</f>
        <v>103744.6</v>
      </c>
      <c r="CL84" s="2">
        <f>Table834[[#This Row],[Waist]]*Table834[[#This Row],[Carbs]]</f>
        <v>16993.927500000002</v>
      </c>
      <c r="CM84" s="2">
        <f>Table834[[#This Row],[Waist]]*Table834[[#This Row],[Fat ]]</f>
        <v>2745.5025000000001</v>
      </c>
      <c r="CN84" s="2">
        <f>Table834[[#This Row],[Waist]]*Table834[[#This Row],[Protein]]</f>
        <v>3206.0225000000005</v>
      </c>
      <c r="CO84" s="2">
        <f>Table834[[#This Row],[Waist]]*Table834[[#This Row],[Fiber]]</f>
        <v>1833.38</v>
      </c>
      <c r="CP84" s="2">
        <f>Table834[[#This Row],[Waist]]*Table834[[#This Row],[Sugar]]</f>
        <v>11555.122499999999</v>
      </c>
      <c r="CQ84" s="2">
        <f>Table834[[#This Row],[Waist]]*Table834[[#This Row],[Servings]]</f>
        <v>2851.4249999999997</v>
      </c>
      <c r="CR84" s="2">
        <f>Table834[[#This Row],[Waist]]*Table834[[#This Row],[Water]]</f>
        <v>21.75</v>
      </c>
      <c r="CS84" s="2">
        <f>Table834[[#This Row],[Waist]]*Table834[[#This Row],[Fat Calories]]</f>
        <v>24709.522499999999</v>
      </c>
    </row>
    <row r="85" spans="1:97" x14ac:dyDescent="0.25">
      <c r="A85" s="2">
        <v>248.6</v>
      </c>
      <c r="B85" s="2">
        <f>Table834[[#This Row],[Weight]]^2</f>
        <v>61801.96</v>
      </c>
      <c r="C85" s="2">
        <v>43.5</v>
      </c>
      <c r="D85" s="2">
        <f>Table834[[#This Row],[Waist]]^2</f>
        <v>1892.25</v>
      </c>
      <c r="E85" s="2">
        <v>16.5</v>
      </c>
      <c r="F85" s="2">
        <f>Table834[[#This Row],[Neck]]^2</f>
        <v>272.25</v>
      </c>
      <c r="G85" s="2">
        <v>96.8</v>
      </c>
      <c r="H85" s="2">
        <f>Table834[[#This Row],[Morning Body Temp]]^2</f>
        <v>9370.24</v>
      </c>
      <c r="I85" s="2">
        <v>136</v>
      </c>
      <c r="J85" s="2">
        <f>Table834[[#This Row],[Morning Systolic Pressure]]^2</f>
        <v>18496</v>
      </c>
      <c r="K85" s="2">
        <v>76</v>
      </c>
      <c r="L85" s="2">
        <f>Table834[[#This Row],[Morning Diastolic Pressure]]^2</f>
        <v>5776</v>
      </c>
      <c r="M85" s="2">
        <v>75</v>
      </c>
      <c r="N85" s="2">
        <f>Table834[[#This Row],[Morning Pulse]]^2</f>
        <v>5625</v>
      </c>
      <c r="O85" s="2">
        <v>97.2</v>
      </c>
      <c r="P85" s="2">
        <f>Table834[[#This Row],[Night Body Temp]]^2</f>
        <v>9447.84</v>
      </c>
      <c r="Q85" s="2">
        <v>135</v>
      </c>
      <c r="R85" s="2">
        <f>Table834[[#This Row],[Night Systolic Pressure]]^2</f>
        <v>18225</v>
      </c>
      <c r="S85" s="2">
        <v>76</v>
      </c>
      <c r="T85" s="2">
        <f>Table834[[#This Row],[Night Diastolic Pressure]]^2</f>
        <v>5776</v>
      </c>
      <c r="U85" s="2">
        <v>72</v>
      </c>
      <c r="V85" s="2">
        <f>Table834[[#This Row],[Night Pulse]]^2</f>
        <v>5184</v>
      </c>
      <c r="W85" s="2">
        <v>2</v>
      </c>
      <c r="X85" s="2">
        <f>Table834[[#This Row],[Sleep]]^2</f>
        <v>4</v>
      </c>
      <c r="Y85" s="2">
        <f t="shared" si="3"/>
        <v>35.666489795918366</v>
      </c>
      <c r="Z85" s="2">
        <f>Table834[[#This Row],[BMI]]^2</f>
        <v>1272.0984943623489</v>
      </c>
      <c r="AA85" s="2">
        <f t="shared" si="2"/>
        <v>30.639085534675949</v>
      </c>
      <c r="AB85" s="2">
        <f>Table834[[#This Row],[CBF]]^2</f>
        <v>938.75356240118901</v>
      </c>
      <c r="AC85" s="2">
        <v>0</v>
      </c>
      <c r="AD85" s="2">
        <f>Table834[[#This Row],[Gym]]^2</f>
        <v>0</v>
      </c>
      <c r="AE85" s="2">
        <v>0</v>
      </c>
      <c r="AF85" s="2">
        <f>Table834[[#This Row],[Cardio]]^2</f>
        <v>0</v>
      </c>
      <c r="AG85" s="2">
        <v>1826.8833333333332</v>
      </c>
      <c r="AH85" s="2">
        <f>Table834[[#This Row],[Calories]]^2</f>
        <v>3337502.7136111106</v>
      </c>
      <c r="AI85" s="2">
        <v>321.42</v>
      </c>
      <c r="AJ85" s="2">
        <f>Table834[[#This Row],[Carbs]]^2</f>
        <v>103310.81640000001</v>
      </c>
      <c r="AK85" s="2">
        <v>38.720000000000006</v>
      </c>
      <c r="AL85" s="2">
        <f>Table834[[#This Row],[Fat ]]^2</f>
        <v>1499.2384000000004</v>
      </c>
      <c r="AM85" s="2">
        <v>74.12166666666667</v>
      </c>
      <c r="AN85" s="2">
        <f>Table834[[#This Row],[Protein]]^2</f>
        <v>5494.0214694444448</v>
      </c>
      <c r="AO85" s="2">
        <v>49.881666666666668</v>
      </c>
      <c r="AP85" s="2">
        <f>Table834[[#This Row],[Fiber]]^2</f>
        <v>2488.1806694444444</v>
      </c>
      <c r="AQ85" s="2">
        <v>231.05500000000001</v>
      </c>
      <c r="AR85" s="2">
        <f>Table834[[#This Row],[Sugar]]^2</f>
        <v>53386.413025000002</v>
      </c>
      <c r="AS85" s="2">
        <v>73.900000000000006</v>
      </c>
      <c r="AT85" s="2">
        <f>Table834[[#This Row],[Servings]]^2</f>
        <v>5461.2100000000009</v>
      </c>
      <c r="AU85" s="2">
        <v>0.5</v>
      </c>
      <c r="AV85" s="2">
        <f>Table834[[#This Row],[Water]]^2</f>
        <v>0.25</v>
      </c>
      <c r="AW85" s="2">
        <v>348.48</v>
      </c>
      <c r="AX85" s="2">
        <f>Table834[[#This Row],[Fat Calories]]^2</f>
        <v>121438.31040000002</v>
      </c>
      <c r="AY85" s="5">
        <f>Table834[[#This Row],[Weight]]*Table834[[#This Row],[Waist]]</f>
        <v>10814.1</v>
      </c>
      <c r="AZ85" s="6">
        <f>Table834[[#This Row],[Weight]]*Table834[[#This Row],[Neck]]</f>
        <v>4101.8999999999996</v>
      </c>
      <c r="BA85" s="6">
        <f>Table834[[#This Row],[Weight]]*Table834[[#This Row],[Morning Body Temp]]</f>
        <v>24064.48</v>
      </c>
      <c r="BB85" s="6">
        <f>Table834[[#This Row],[Weight]]*Table834[[#This Row],[Morning Systolic Pressure]]</f>
        <v>33809.599999999999</v>
      </c>
      <c r="BC85" s="12">
        <f>Table834[[#This Row],[Weight]]*Table834[[#This Row],[Morning Diastolic Pressure]]</f>
        <v>18893.599999999999</v>
      </c>
      <c r="BD85" s="2">
        <f>Table834[[#This Row],[Weight]]*Table834[[#This Row],[Morning Pulse]]</f>
        <v>18645</v>
      </c>
      <c r="BE85" s="2">
        <f>Table834[[#This Row],[Weight]]*Table834[[#This Row],[Night Body Temp]]</f>
        <v>24163.920000000002</v>
      </c>
      <c r="BF85" s="2">
        <f>Table834[[#This Row],[Weight]]*Table834[[#This Row],[Night Systolic Pressure]]</f>
        <v>33561</v>
      </c>
      <c r="BG85" s="4">
        <f>Table83[[#This Row],[Weight]]*Table83[[#This Row],[Night Diastolic Pressure]]</f>
        <v>18893.599999999999</v>
      </c>
      <c r="BH85" s="2">
        <f>Table834[[#This Row],[Weight]]*Table834[[#This Row],[Night Pulse]]</f>
        <v>17899.2</v>
      </c>
      <c r="BI85" s="2">
        <f>Table834[[#This Row],[Weight]]*Table834[[#This Row],[Sleep]]</f>
        <v>497.2</v>
      </c>
      <c r="BJ85" s="2">
        <f>Table834[[#This Row],[Weight]]*Table834[[#This Row],[BMI]]</f>
        <v>8866.6893632653064</v>
      </c>
      <c r="BK85" s="2">
        <f>Table834[[#This Row],[Weight]]*Table834[[#This Row],[CBF]]</f>
        <v>7616.8766639204405</v>
      </c>
      <c r="BL85" s="2">
        <f>Table834[[#This Row],[Weight]]*Table834[[#This Row],[Gym]]</f>
        <v>0</v>
      </c>
      <c r="BM85" s="2">
        <f>Table834[[#This Row],[Weight]]*Table834[[#This Row],[Cardio]]</f>
        <v>0</v>
      </c>
      <c r="BN85" s="2">
        <f>Table834[[#This Row],[Weight]]*Table834[[#This Row],[Calories]]</f>
        <v>454163.1966666666</v>
      </c>
      <c r="BO85" s="2">
        <f>Table834[[#This Row],[Weight]]*Table834[[#This Row],[Carbs]]</f>
        <v>79905.012000000002</v>
      </c>
      <c r="BP85" s="2">
        <f>Table834[[#This Row],[Weight]]*Table834[[#This Row],[Fat ]]</f>
        <v>9625.7920000000013</v>
      </c>
      <c r="BQ85" s="2">
        <f>Table834[[#This Row],[Weight]]*Table834[[#This Row],[Protein]]</f>
        <v>18426.646333333334</v>
      </c>
      <c r="BR85" s="2">
        <f>Table834[[#This Row],[Weight]]*Table834[[#This Row],[Fiber]]</f>
        <v>12400.582333333334</v>
      </c>
      <c r="BS85" s="2">
        <f>Table834[[#This Row],[Weight]]*Table834[[#This Row],[Sugar]]</f>
        <v>57440.273000000001</v>
      </c>
      <c r="BT85" s="2">
        <f>Table834[[#This Row],[Weight]]*Table834[[#This Row],[Servings]]</f>
        <v>18371.54</v>
      </c>
      <c r="BU85" s="2">
        <f>Table834[[#This Row],[Weight]]*Table834[[#This Row],[Water]]</f>
        <v>124.3</v>
      </c>
      <c r="BV85" s="2">
        <f>Table834[[#This Row],[Weight]]*Table834[[#This Row],[Fat Calories]]</f>
        <v>86632.127999999997</v>
      </c>
      <c r="BW85" s="2">
        <f>Table834[[#This Row],[Waist]]*Table834[[#This Row],[Neck]]</f>
        <v>717.75</v>
      </c>
      <c r="BX85" s="2">
        <f>Table834[[#This Row],[Waist]]*Table834[[#This Row],[Morning Body Temp]]</f>
        <v>4210.8</v>
      </c>
      <c r="BY85" s="2">
        <f>Table834[[#This Row],[Waist]]*Table834[[#This Row],[Morning Systolic Pressure]]</f>
        <v>5916</v>
      </c>
      <c r="BZ85" s="2">
        <f>Table834[[#This Row],[Waist]]*Table834[[#This Row],[Morning Diastolic Pressure]]</f>
        <v>3306</v>
      </c>
      <c r="CA85" s="2">
        <f>Table834[[#This Row],[Waist]]*Table834[[#This Row],[Morning Pulse]]</f>
        <v>3262.5</v>
      </c>
      <c r="CB85" s="2">
        <f>Table834[[#This Row],[Waist]]*Table834[[#This Row],[Night Body Temp]]</f>
        <v>4228.2</v>
      </c>
      <c r="CC85" s="2">
        <f>Table834[[#This Row],[Waist]]*Table834[[#This Row],[Night Systolic Pressure]]</f>
        <v>5872.5</v>
      </c>
      <c r="CD85" s="4">
        <f>Table83[[#This Row],[Waist]]*Table83[[#This Row],[Night Diastolic Pressure]]</f>
        <v>3306</v>
      </c>
      <c r="CE85" s="2">
        <f>Table834[[#This Row],[Waist]]*Table834[[#This Row],[Night Pulse]]</f>
        <v>3132</v>
      </c>
      <c r="CF85" s="2">
        <f>Table834[[#This Row],[Waist]]*Table834[[#This Row],[Sleep]]</f>
        <v>87</v>
      </c>
      <c r="CG85" s="2">
        <f>Table834[[#This Row],[Waist]]*Table834[[#This Row],[BMI]]</f>
        <v>1551.492306122449</v>
      </c>
      <c r="CH85" s="2">
        <f>Table834[[#This Row],[Waist]]*Table834[[#This Row],[CBF]]</f>
        <v>1332.8002207584038</v>
      </c>
      <c r="CI85" s="2">
        <f>Table834[[#This Row],[Waist]]*Table834[[#This Row],[Gym]]</f>
        <v>0</v>
      </c>
      <c r="CJ85" s="2">
        <f>Table834[[#This Row],[Waist]]*Table834[[#This Row],[Cardio]]</f>
        <v>0</v>
      </c>
      <c r="CK85" s="2">
        <f>Table834[[#This Row],[Waist]]*Table834[[#This Row],[Calories]]</f>
        <v>79469.424999999988</v>
      </c>
      <c r="CL85" s="2">
        <f>Table834[[#This Row],[Waist]]*Table834[[#This Row],[Carbs]]</f>
        <v>13981.77</v>
      </c>
      <c r="CM85" s="2">
        <f>Table834[[#This Row],[Waist]]*Table834[[#This Row],[Fat ]]</f>
        <v>1684.3200000000002</v>
      </c>
      <c r="CN85" s="2">
        <f>Table834[[#This Row],[Waist]]*Table834[[#This Row],[Protein]]</f>
        <v>3224.2925</v>
      </c>
      <c r="CO85" s="2">
        <f>Table834[[#This Row],[Waist]]*Table834[[#This Row],[Fiber]]</f>
        <v>2169.8525</v>
      </c>
      <c r="CP85" s="2">
        <f>Table834[[#This Row],[Waist]]*Table834[[#This Row],[Sugar]]</f>
        <v>10050.8925</v>
      </c>
      <c r="CQ85" s="2">
        <f>Table834[[#This Row],[Waist]]*Table834[[#This Row],[Servings]]</f>
        <v>3214.65</v>
      </c>
      <c r="CR85" s="2">
        <f>Table834[[#This Row],[Waist]]*Table834[[#This Row],[Water]]</f>
        <v>21.75</v>
      </c>
      <c r="CS85" s="2">
        <f>Table834[[#This Row],[Waist]]*Table834[[#This Row],[Fat Calories]]</f>
        <v>15158.880000000001</v>
      </c>
    </row>
    <row r="86" spans="1:97" x14ac:dyDescent="0.25">
      <c r="A86" s="2">
        <v>250</v>
      </c>
      <c r="B86" s="2">
        <f>Table834[[#This Row],[Weight]]^2</f>
        <v>62500</v>
      </c>
      <c r="C86" s="2">
        <v>43.5</v>
      </c>
      <c r="D86" s="2">
        <f>Table834[[#This Row],[Waist]]^2</f>
        <v>1892.25</v>
      </c>
      <c r="E86" s="2">
        <v>16.5</v>
      </c>
      <c r="F86" s="2">
        <f>Table834[[#This Row],[Neck]]^2</f>
        <v>272.25</v>
      </c>
      <c r="G86" s="2">
        <v>96.9</v>
      </c>
      <c r="H86" s="2">
        <f>Table834[[#This Row],[Morning Body Temp]]^2</f>
        <v>9389.61</v>
      </c>
      <c r="I86" s="2">
        <v>131</v>
      </c>
      <c r="J86" s="2">
        <f>Table834[[#This Row],[Morning Systolic Pressure]]^2</f>
        <v>17161</v>
      </c>
      <c r="K86" s="2">
        <v>74</v>
      </c>
      <c r="L86" s="2">
        <f>Table834[[#This Row],[Morning Diastolic Pressure]]^2</f>
        <v>5476</v>
      </c>
      <c r="M86" s="2">
        <v>66</v>
      </c>
      <c r="N86" s="2">
        <f>Table834[[#This Row],[Morning Pulse]]^2</f>
        <v>4356</v>
      </c>
      <c r="O86" s="2">
        <v>97.3</v>
      </c>
      <c r="P86" s="2">
        <f>Table834[[#This Row],[Night Body Temp]]^2</f>
        <v>9467.2899999999991</v>
      </c>
      <c r="Q86" s="2">
        <v>136</v>
      </c>
      <c r="R86" s="2">
        <f>Table834[[#This Row],[Night Systolic Pressure]]^2</f>
        <v>18496</v>
      </c>
      <c r="S86" s="2">
        <v>77</v>
      </c>
      <c r="T86" s="2">
        <f>Table834[[#This Row],[Night Diastolic Pressure]]^2</f>
        <v>5929</v>
      </c>
      <c r="U86" s="2">
        <v>73</v>
      </c>
      <c r="V86" s="2">
        <f>Table834[[#This Row],[Night Pulse]]^2</f>
        <v>5329</v>
      </c>
      <c r="W86" s="2">
        <v>9</v>
      </c>
      <c r="X86" s="2">
        <f>Table834[[#This Row],[Sleep]]^2</f>
        <v>81</v>
      </c>
      <c r="Y86" s="2">
        <f t="shared" si="3"/>
        <v>35.867346938775512</v>
      </c>
      <c r="Z86" s="2">
        <f>Table834[[#This Row],[BMI]]^2</f>
        <v>1286.4665764264892</v>
      </c>
      <c r="AA86" s="2">
        <f t="shared" si="2"/>
        <v>30.639085534675949</v>
      </c>
      <c r="AB86" s="2">
        <f>Table834[[#This Row],[CBF]]^2</f>
        <v>938.75356240118901</v>
      </c>
      <c r="AC86" s="2">
        <v>1</v>
      </c>
      <c r="AD86" s="2">
        <f>Table834[[#This Row],[Gym]]^2</f>
        <v>1</v>
      </c>
      <c r="AE86" s="2">
        <v>1</v>
      </c>
      <c r="AF86" s="2">
        <f>Table834[[#This Row],[Cardio]]^2</f>
        <v>1</v>
      </c>
      <c r="AG86" s="2">
        <v>3227.333333333333</v>
      </c>
      <c r="AH86" s="2">
        <f>Table834[[#This Row],[Calories]]^2</f>
        <v>10415680.444444442</v>
      </c>
      <c r="AI86" s="2">
        <v>466.72500000000002</v>
      </c>
      <c r="AJ86" s="2">
        <f>Table834[[#This Row],[Carbs]]^2</f>
        <v>217832.22562500002</v>
      </c>
      <c r="AK86" s="2">
        <v>73.174999999999997</v>
      </c>
      <c r="AL86" s="2">
        <f>Table834[[#This Row],[Fat ]]^2</f>
        <v>5354.5806249999996</v>
      </c>
      <c r="AM86" s="2">
        <v>90.541666666666671</v>
      </c>
      <c r="AN86" s="2">
        <f>Table834[[#This Row],[Protein]]^2</f>
        <v>8197.7934027777792</v>
      </c>
      <c r="AO86" s="2">
        <v>47.56666666666667</v>
      </c>
      <c r="AP86" s="2">
        <f>Table834[[#This Row],[Fiber]]^2</f>
        <v>2262.5877777777782</v>
      </c>
      <c r="AQ86" s="2">
        <v>326.67500000000001</v>
      </c>
      <c r="AR86" s="2">
        <f>Table834[[#This Row],[Sugar]]^2</f>
        <v>106716.55562500001</v>
      </c>
      <c r="AS86" s="2">
        <v>78.75</v>
      </c>
      <c r="AT86" s="2">
        <f>Table834[[#This Row],[Servings]]^2</f>
        <v>6201.5625</v>
      </c>
      <c r="AU86" s="2">
        <v>0</v>
      </c>
      <c r="AV86" s="2">
        <f>Table834[[#This Row],[Water]]^2</f>
        <v>0</v>
      </c>
      <c r="AW86" s="2">
        <v>658.57500000000005</v>
      </c>
      <c r="AX86" s="2">
        <f>Table834[[#This Row],[Fat Calories]]^2</f>
        <v>433721.03062500007</v>
      </c>
      <c r="AY86" s="3">
        <f>Table834[[#This Row],[Weight]]*Table834[[#This Row],[Waist]]</f>
        <v>10875</v>
      </c>
      <c r="AZ86" s="4">
        <f>Table834[[#This Row],[Weight]]*Table834[[#This Row],[Neck]]</f>
        <v>4125</v>
      </c>
      <c r="BA86" s="4">
        <f>Table834[[#This Row],[Weight]]*Table834[[#This Row],[Morning Body Temp]]</f>
        <v>24225</v>
      </c>
      <c r="BB86" s="4">
        <f>Table834[[#This Row],[Weight]]*Table834[[#This Row],[Morning Systolic Pressure]]</f>
        <v>32750</v>
      </c>
      <c r="BC86" s="11">
        <f>Table834[[#This Row],[Weight]]*Table834[[#This Row],[Morning Diastolic Pressure]]</f>
        <v>18500</v>
      </c>
      <c r="BD86" s="2">
        <f>Table834[[#This Row],[Weight]]*Table834[[#This Row],[Morning Pulse]]</f>
        <v>16500</v>
      </c>
      <c r="BE86" s="2">
        <f>Table834[[#This Row],[Weight]]*Table834[[#This Row],[Night Body Temp]]</f>
        <v>24325</v>
      </c>
      <c r="BF86" s="2">
        <f>Table834[[#This Row],[Weight]]*Table834[[#This Row],[Night Systolic Pressure]]</f>
        <v>34000</v>
      </c>
      <c r="BG86" s="4">
        <f>Table83[[#This Row],[Weight]]*Table83[[#This Row],[Night Diastolic Pressure]]</f>
        <v>19250</v>
      </c>
      <c r="BH86" s="2">
        <f>Table834[[#This Row],[Weight]]*Table834[[#This Row],[Night Pulse]]</f>
        <v>18250</v>
      </c>
      <c r="BI86" s="2">
        <f>Table834[[#This Row],[Weight]]*Table834[[#This Row],[Sleep]]</f>
        <v>2250</v>
      </c>
      <c r="BJ86" s="2">
        <f>Table834[[#This Row],[Weight]]*Table834[[#This Row],[BMI]]</f>
        <v>8966.8367346938776</v>
      </c>
      <c r="BK86" s="2">
        <f>Table834[[#This Row],[Weight]]*Table834[[#This Row],[CBF]]</f>
        <v>7659.7713836689873</v>
      </c>
      <c r="BL86" s="2">
        <f>Table834[[#This Row],[Weight]]*Table834[[#This Row],[Gym]]</f>
        <v>250</v>
      </c>
      <c r="BM86" s="2">
        <f>Table834[[#This Row],[Weight]]*Table834[[#This Row],[Cardio]]</f>
        <v>250</v>
      </c>
      <c r="BN86" s="2">
        <f>Table834[[#This Row],[Weight]]*Table834[[#This Row],[Calories]]</f>
        <v>806833.33333333326</v>
      </c>
      <c r="BO86" s="2">
        <f>Table834[[#This Row],[Weight]]*Table834[[#This Row],[Carbs]]</f>
        <v>116681.25</v>
      </c>
      <c r="BP86" s="2">
        <f>Table834[[#This Row],[Weight]]*Table834[[#This Row],[Fat ]]</f>
        <v>18293.75</v>
      </c>
      <c r="BQ86" s="2">
        <f>Table834[[#This Row],[Weight]]*Table834[[#This Row],[Protein]]</f>
        <v>22635.416666666668</v>
      </c>
      <c r="BR86" s="2">
        <f>Table834[[#This Row],[Weight]]*Table834[[#This Row],[Fiber]]</f>
        <v>11891.666666666668</v>
      </c>
      <c r="BS86" s="2">
        <f>Table834[[#This Row],[Weight]]*Table834[[#This Row],[Sugar]]</f>
        <v>81668.75</v>
      </c>
      <c r="BT86" s="2">
        <f>Table834[[#This Row],[Weight]]*Table834[[#This Row],[Servings]]</f>
        <v>19687.5</v>
      </c>
      <c r="BU86" s="2">
        <f>Table834[[#This Row],[Weight]]*Table834[[#This Row],[Water]]</f>
        <v>0</v>
      </c>
      <c r="BV86" s="2">
        <f>Table834[[#This Row],[Weight]]*Table834[[#This Row],[Fat Calories]]</f>
        <v>164643.75</v>
      </c>
      <c r="BW86" s="2">
        <f>Table834[[#This Row],[Waist]]*Table834[[#This Row],[Neck]]</f>
        <v>717.75</v>
      </c>
      <c r="BX86" s="2">
        <f>Table834[[#This Row],[Waist]]*Table834[[#This Row],[Morning Body Temp]]</f>
        <v>4215.1500000000005</v>
      </c>
      <c r="BY86" s="2">
        <f>Table834[[#This Row],[Waist]]*Table834[[#This Row],[Morning Systolic Pressure]]</f>
        <v>5698.5</v>
      </c>
      <c r="BZ86" s="2">
        <f>Table834[[#This Row],[Waist]]*Table834[[#This Row],[Morning Diastolic Pressure]]</f>
        <v>3219</v>
      </c>
      <c r="CA86" s="2">
        <f>Table834[[#This Row],[Waist]]*Table834[[#This Row],[Morning Pulse]]</f>
        <v>2871</v>
      </c>
      <c r="CB86" s="2">
        <f>Table834[[#This Row],[Waist]]*Table834[[#This Row],[Night Body Temp]]</f>
        <v>4232.55</v>
      </c>
      <c r="CC86" s="2">
        <f>Table834[[#This Row],[Waist]]*Table834[[#This Row],[Night Systolic Pressure]]</f>
        <v>5916</v>
      </c>
      <c r="CD86" s="4">
        <f>Table83[[#This Row],[Waist]]*Table83[[#This Row],[Night Diastolic Pressure]]</f>
        <v>3349.5</v>
      </c>
      <c r="CE86" s="2">
        <f>Table834[[#This Row],[Waist]]*Table834[[#This Row],[Night Pulse]]</f>
        <v>3175.5</v>
      </c>
      <c r="CF86" s="2">
        <f>Table834[[#This Row],[Waist]]*Table834[[#This Row],[Sleep]]</f>
        <v>391.5</v>
      </c>
      <c r="CG86" s="2">
        <f>Table834[[#This Row],[Waist]]*Table834[[#This Row],[BMI]]</f>
        <v>1560.2295918367347</v>
      </c>
      <c r="CH86" s="2">
        <f>Table834[[#This Row],[Waist]]*Table834[[#This Row],[CBF]]</f>
        <v>1332.8002207584038</v>
      </c>
      <c r="CI86" s="2">
        <f>Table834[[#This Row],[Waist]]*Table834[[#This Row],[Gym]]</f>
        <v>43.5</v>
      </c>
      <c r="CJ86" s="2">
        <f>Table834[[#This Row],[Waist]]*Table834[[#This Row],[Cardio]]</f>
        <v>43.5</v>
      </c>
      <c r="CK86" s="2">
        <f>Table834[[#This Row],[Waist]]*Table834[[#This Row],[Calories]]</f>
        <v>140389</v>
      </c>
      <c r="CL86" s="2">
        <f>Table834[[#This Row],[Waist]]*Table834[[#This Row],[Carbs]]</f>
        <v>20302.537500000002</v>
      </c>
      <c r="CM86" s="2">
        <f>Table834[[#This Row],[Waist]]*Table834[[#This Row],[Fat ]]</f>
        <v>3183.1124999999997</v>
      </c>
      <c r="CN86" s="2">
        <f>Table834[[#This Row],[Waist]]*Table834[[#This Row],[Protein]]</f>
        <v>3938.5625</v>
      </c>
      <c r="CO86" s="2">
        <f>Table834[[#This Row],[Waist]]*Table834[[#This Row],[Fiber]]</f>
        <v>2069.15</v>
      </c>
      <c r="CP86" s="2">
        <f>Table834[[#This Row],[Waist]]*Table834[[#This Row],[Sugar]]</f>
        <v>14210.362500000001</v>
      </c>
      <c r="CQ86" s="2">
        <f>Table834[[#This Row],[Waist]]*Table834[[#This Row],[Servings]]</f>
        <v>3425.625</v>
      </c>
      <c r="CR86" s="2">
        <f>Table834[[#This Row],[Waist]]*Table834[[#This Row],[Water]]</f>
        <v>0</v>
      </c>
      <c r="CS86" s="2">
        <f>Table834[[#This Row],[Waist]]*Table834[[#This Row],[Fat Calories]]</f>
        <v>28648.012500000001</v>
      </c>
    </row>
    <row r="87" spans="1:97" x14ac:dyDescent="0.25">
      <c r="A87" s="2">
        <v>251</v>
      </c>
      <c r="B87" s="2">
        <f>Table834[[#This Row],[Weight]]^2</f>
        <v>63001</v>
      </c>
      <c r="C87" s="2">
        <v>43.5</v>
      </c>
      <c r="D87" s="2">
        <f>Table834[[#This Row],[Waist]]^2</f>
        <v>1892.25</v>
      </c>
      <c r="E87" s="2">
        <v>16.5</v>
      </c>
      <c r="F87" s="2">
        <f>Table834[[#This Row],[Neck]]^2</f>
        <v>272.25</v>
      </c>
      <c r="G87" s="2">
        <v>96.8</v>
      </c>
      <c r="H87" s="2">
        <f>Table834[[#This Row],[Morning Body Temp]]^2</f>
        <v>9370.24</v>
      </c>
      <c r="I87" s="2">
        <v>136</v>
      </c>
      <c r="J87" s="2">
        <f>Table834[[#This Row],[Morning Systolic Pressure]]^2</f>
        <v>18496</v>
      </c>
      <c r="K87" s="2">
        <v>77</v>
      </c>
      <c r="L87" s="2">
        <f>Table834[[#This Row],[Morning Diastolic Pressure]]^2</f>
        <v>5929</v>
      </c>
      <c r="M87" s="2">
        <v>76</v>
      </c>
      <c r="N87" s="2">
        <f>Table834[[#This Row],[Morning Pulse]]^2</f>
        <v>5776</v>
      </c>
      <c r="O87" s="2">
        <v>97.3</v>
      </c>
      <c r="P87" s="2">
        <f>Table834[[#This Row],[Night Body Temp]]^2</f>
        <v>9467.2899999999991</v>
      </c>
      <c r="Q87" s="2">
        <v>135</v>
      </c>
      <c r="R87" s="2">
        <f>Table834[[#This Row],[Night Systolic Pressure]]^2</f>
        <v>18225</v>
      </c>
      <c r="S87" s="2">
        <v>76</v>
      </c>
      <c r="T87" s="2">
        <f>Table834[[#This Row],[Night Diastolic Pressure]]^2</f>
        <v>5776</v>
      </c>
      <c r="U87" s="2">
        <v>72</v>
      </c>
      <c r="V87" s="2">
        <f>Table834[[#This Row],[Night Pulse]]^2</f>
        <v>5184</v>
      </c>
      <c r="W87" s="2">
        <v>10</v>
      </c>
      <c r="X87" s="2">
        <f>Table834[[#This Row],[Sleep]]^2</f>
        <v>100</v>
      </c>
      <c r="Y87" s="2">
        <f t="shared" si="3"/>
        <v>36.010816326530609</v>
      </c>
      <c r="Z87" s="2">
        <f>Table834[[#This Row],[BMI]]^2</f>
        <v>1296.7788925031234</v>
      </c>
      <c r="AA87" s="2">
        <f t="shared" si="2"/>
        <v>30.639085534675949</v>
      </c>
      <c r="AB87" s="2">
        <f>Table834[[#This Row],[CBF]]^2</f>
        <v>938.75356240118901</v>
      </c>
      <c r="AC87" s="2">
        <v>0</v>
      </c>
      <c r="AD87" s="2">
        <f>Table834[[#This Row],[Gym]]^2</f>
        <v>0</v>
      </c>
      <c r="AE87" s="2">
        <v>0</v>
      </c>
      <c r="AF87" s="2">
        <f>Table834[[#This Row],[Cardio]]^2</f>
        <v>0</v>
      </c>
      <c r="AG87" s="2">
        <v>5149.2775000000001</v>
      </c>
      <c r="AH87" s="2">
        <f>Table834[[#This Row],[Calories]]^2</f>
        <v>26515058.772006251</v>
      </c>
      <c r="AI87" s="2">
        <v>797.06784722222221</v>
      </c>
      <c r="AJ87" s="2">
        <f>Table834[[#This Row],[Carbs]]^2</f>
        <v>635317.1530754678</v>
      </c>
      <c r="AK87" s="2">
        <v>134.22624999999999</v>
      </c>
      <c r="AL87" s="2">
        <f>Table834[[#This Row],[Fat ]]^2</f>
        <v>18016.686189062497</v>
      </c>
      <c r="AM87" s="2">
        <v>136.32965277777777</v>
      </c>
      <c r="AN87" s="2">
        <f>Table834[[#This Row],[Protein]]^2</f>
        <v>18585.774226509449</v>
      </c>
      <c r="AO87" s="2">
        <v>17.288888888888888</v>
      </c>
      <c r="AP87" s="2">
        <f>Table834[[#This Row],[Fiber]]^2</f>
        <v>298.90567901234562</v>
      </c>
      <c r="AQ87" s="2">
        <v>638.91187500000001</v>
      </c>
      <c r="AR87" s="2">
        <f>Table834[[#This Row],[Sugar]]^2</f>
        <v>408208.38401601563</v>
      </c>
      <c r="AS87" s="2">
        <v>103</v>
      </c>
      <c r="AT87" s="2">
        <f>Table834[[#This Row],[Servings]]^2</f>
        <v>10609</v>
      </c>
      <c r="AU87" s="2">
        <v>0.5</v>
      </c>
      <c r="AV87" s="2">
        <f>Table834[[#This Row],[Water]]^2</f>
        <v>0.25</v>
      </c>
      <c r="AW87" s="2">
        <v>1208.0362500000001</v>
      </c>
      <c r="AX87" s="2">
        <f>Table834[[#This Row],[Fat Calories]]^2</f>
        <v>1459351.5813140627</v>
      </c>
      <c r="AY87" s="5">
        <f>Table834[[#This Row],[Weight]]*Table834[[#This Row],[Waist]]</f>
        <v>10918.5</v>
      </c>
      <c r="AZ87" s="6">
        <f>Table834[[#This Row],[Weight]]*Table834[[#This Row],[Neck]]</f>
        <v>4141.5</v>
      </c>
      <c r="BA87" s="6">
        <f>Table834[[#This Row],[Weight]]*Table834[[#This Row],[Morning Body Temp]]</f>
        <v>24296.799999999999</v>
      </c>
      <c r="BB87" s="6">
        <f>Table834[[#This Row],[Weight]]*Table834[[#This Row],[Morning Systolic Pressure]]</f>
        <v>34136</v>
      </c>
      <c r="BC87" s="12">
        <f>Table834[[#This Row],[Weight]]*Table834[[#This Row],[Morning Diastolic Pressure]]</f>
        <v>19327</v>
      </c>
      <c r="BD87" s="2">
        <f>Table834[[#This Row],[Weight]]*Table834[[#This Row],[Morning Pulse]]</f>
        <v>19076</v>
      </c>
      <c r="BE87" s="2">
        <f>Table834[[#This Row],[Weight]]*Table834[[#This Row],[Night Body Temp]]</f>
        <v>24422.3</v>
      </c>
      <c r="BF87" s="2">
        <f>Table834[[#This Row],[Weight]]*Table834[[#This Row],[Night Systolic Pressure]]</f>
        <v>33885</v>
      </c>
      <c r="BG87" s="4">
        <f>Table83[[#This Row],[Weight]]*Table83[[#This Row],[Night Diastolic Pressure]]</f>
        <v>19076</v>
      </c>
      <c r="BH87" s="2">
        <f>Table834[[#This Row],[Weight]]*Table834[[#This Row],[Night Pulse]]</f>
        <v>18072</v>
      </c>
      <c r="BI87" s="2">
        <f>Table834[[#This Row],[Weight]]*Table834[[#This Row],[Sleep]]</f>
        <v>2510</v>
      </c>
      <c r="BJ87" s="2">
        <f>Table834[[#This Row],[Weight]]*Table834[[#This Row],[BMI]]</f>
        <v>9038.7148979591821</v>
      </c>
      <c r="BK87" s="2">
        <f>Table834[[#This Row],[Weight]]*Table834[[#This Row],[CBF]]</f>
        <v>7690.4104692036635</v>
      </c>
      <c r="BL87" s="2">
        <f>Table834[[#This Row],[Weight]]*Table834[[#This Row],[Gym]]</f>
        <v>0</v>
      </c>
      <c r="BM87" s="2">
        <f>Table834[[#This Row],[Weight]]*Table834[[#This Row],[Cardio]]</f>
        <v>0</v>
      </c>
      <c r="BN87" s="2">
        <f>Table834[[#This Row],[Weight]]*Table834[[#This Row],[Calories]]</f>
        <v>1292468.6525000001</v>
      </c>
      <c r="BO87" s="2">
        <f>Table834[[#This Row],[Weight]]*Table834[[#This Row],[Carbs]]</f>
        <v>200064.02965277777</v>
      </c>
      <c r="BP87" s="2">
        <f>Table834[[#This Row],[Weight]]*Table834[[#This Row],[Fat ]]</f>
        <v>33690.78875</v>
      </c>
      <c r="BQ87" s="2">
        <f>Table834[[#This Row],[Weight]]*Table834[[#This Row],[Protein]]</f>
        <v>34218.742847222216</v>
      </c>
      <c r="BR87" s="2">
        <f>Table834[[#This Row],[Weight]]*Table834[[#This Row],[Fiber]]</f>
        <v>4339.5111111111109</v>
      </c>
      <c r="BS87" s="2">
        <f>Table834[[#This Row],[Weight]]*Table834[[#This Row],[Sugar]]</f>
        <v>160366.88062499999</v>
      </c>
      <c r="BT87" s="2">
        <f>Table834[[#This Row],[Weight]]*Table834[[#This Row],[Servings]]</f>
        <v>25853</v>
      </c>
      <c r="BU87" s="2">
        <f>Table834[[#This Row],[Weight]]*Table834[[#This Row],[Water]]</f>
        <v>125.5</v>
      </c>
      <c r="BV87" s="2">
        <f>Table834[[#This Row],[Weight]]*Table834[[#This Row],[Fat Calories]]</f>
        <v>303217.09875</v>
      </c>
      <c r="BW87" s="2">
        <f>Table834[[#This Row],[Waist]]*Table834[[#This Row],[Neck]]</f>
        <v>717.75</v>
      </c>
      <c r="BX87" s="2">
        <f>Table834[[#This Row],[Waist]]*Table834[[#This Row],[Morning Body Temp]]</f>
        <v>4210.8</v>
      </c>
      <c r="BY87" s="2">
        <f>Table834[[#This Row],[Waist]]*Table834[[#This Row],[Morning Systolic Pressure]]</f>
        <v>5916</v>
      </c>
      <c r="BZ87" s="2">
        <f>Table834[[#This Row],[Waist]]*Table834[[#This Row],[Morning Diastolic Pressure]]</f>
        <v>3349.5</v>
      </c>
      <c r="CA87" s="2">
        <f>Table834[[#This Row],[Waist]]*Table834[[#This Row],[Morning Pulse]]</f>
        <v>3306</v>
      </c>
      <c r="CB87" s="2">
        <f>Table834[[#This Row],[Waist]]*Table834[[#This Row],[Night Body Temp]]</f>
        <v>4232.55</v>
      </c>
      <c r="CC87" s="2">
        <f>Table834[[#This Row],[Waist]]*Table834[[#This Row],[Night Systolic Pressure]]</f>
        <v>5872.5</v>
      </c>
      <c r="CD87" s="4">
        <f>Table83[[#This Row],[Waist]]*Table83[[#This Row],[Night Diastolic Pressure]]</f>
        <v>3306</v>
      </c>
      <c r="CE87" s="2">
        <f>Table834[[#This Row],[Waist]]*Table834[[#This Row],[Night Pulse]]</f>
        <v>3132</v>
      </c>
      <c r="CF87" s="2">
        <f>Table834[[#This Row],[Waist]]*Table834[[#This Row],[Sleep]]</f>
        <v>435</v>
      </c>
      <c r="CG87" s="2">
        <f>Table834[[#This Row],[Waist]]*Table834[[#This Row],[BMI]]</f>
        <v>1566.4705102040814</v>
      </c>
      <c r="CH87" s="2">
        <f>Table834[[#This Row],[Waist]]*Table834[[#This Row],[CBF]]</f>
        <v>1332.8002207584038</v>
      </c>
      <c r="CI87" s="2">
        <f>Table834[[#This Row],[Waist]]*Table834[[#This Row],[Gym]]</f>
        <v>0</v>
      </c>
      <c r="CJ87" s="2">
        <f>Table834[[#This Row],[Waist]]*Table834[[#This Row],[Cardio]]</f>
        <v>0</v>
      </c>
      <c r="CK87" s="2">
        <f>Table834[[#This Row],[Waist]]*Table834[[#This Row],[Calories]]</f>
        <v>223993.57125000001</v>
      </c>
      <c r="CL87" s="2">
        <f>Table834[[#This Row],[Waist]]*Table834[[#This Row],[Carbs]]</f>
        <v>34672.451354166667</v>
      </c>
      <c r="CM87" s="2">
        <f>Table834[[#This Row],[Waist]]*Table834[[#This Row],[Fat ]]</f>
        <v>5838.8418750000001</v>
      </c>
      <c r="CN87" s="2">
        <f>Table834[[#This Row],[Waist]]*Table834[[#This Row],[Protein]]</f>
        <v>5930.3398958333328</v>
      </c>
      <c r="CO87" s="2">
        <f>Table834[[#This Row],[Waist]]*Table834[[#This Row],[Fiber]]</f>
        <v>752.06666666666661</v>
      </c>
      <c r="CP87" s="2">
        <f>Table834[[#This Row],[Waist]]*Table834[[#This Row],[Sugar]]</f>
        <v>27792.666562499999</v>
      </c>
      <c r="CQ87" s="2">
        <f>Table834[[#This Row],[Waist]]*Table834[[#This Row],[Servings]]</f>
        <v>4480.5</v>
      </c>
      <c r="CR87" s="2">
        <f>Table834[[#This Row],[Waist]]*Table834[[#This Row],[Water]]</f>
        <v>21.75</v>
      </c>
      <c r="CS87" s="2">
        <f>Table834[[#This Row],[Waist]]*Table834[[#This Row],[Fat Calories]]</f>
        <v>52549.576875000006</v>
      </c>
    </row>
    <row r="88" spans="1:97" x14ac:dyDescent="0.25">
      <c r="A88" s="2">
        <v>254.8</v>
      </c>
      <c r="B88" s="2">
        <f>Table834[[#This Row],[Weight]]^2</f>
        <v>64923.040000000008</v>
      </c>
      <c r="C88" s="2">
        <v>43.5</v>
      </c>
      <c r="D88" s="2">
        <f>Table834[[#This Row],[Waist]]^2</f>
        <v>1892.25</v>
      </c>
      <c r="E88" s="2">
        <v>16.5</v>
      </c>
      <c r="F88" s="2">
        <f>Table834[[#This Row],[Neck]]^2</f>
        <v>272.25</v>
      </c>
      <c r="G88" s="2">
        <v>96.5</v>
      </c>
      <c r="H88" s="2">
        <f>Table834[[#This Row],[Morning Body Temp]]^2</f>
        <v>9312.25</v>
      </c>
      <c r="I88" s="2">
        <v>131</v>
      </c>
      <c r="J88" s="2">
        <f>Table834[[#This Row],[Morning Systolic Pressure]]^2</f>
        <v>17161</v>
      </c>
      <c r="K88" s="2">
        <v>76</v>
      </c>
      <c r="L88" s="2">
        <f>Table834[[#This Row],[Morning Diastolic Pressure]]^2</f>
        <v>5776</v>
      </c>
      <c r="M88" s="2">
        <v>68</v>
      </c>
      <c r="N88" s="2">
        <f>Table834[[#This Row],[Morning Pulse]]^2</f>
        <v>4624</v>
      </c>
      <c r="O88" s="2">
        <v>97.2</v>
      </c>
      <c r="P88" s="2">
        <f>Table834[[#This Row],[Night Body Temp]]^2</f>
        <v>9447.84</v>
      </c>
      <c r="Q88" s="2">
        <v>136</v>
      </c>
      <c r="R88" s="2">
        <f>Table834[[#This Row],[Night Systolic Pressure]]^2</f>
        <v>18496</v>
      </c>
      <c r="S88" s="2">
        <v>77</v>
      </c>
      <c r="T88" s="2">
        <f>Table834[[#This Row],[Night Diastolic Pressure]]^2</f>
        <v>5929</v>
      </c>
      <c r="U88" s="2">
        <v>73</v>
      </c>
      <c r="V88" s="2">
        <f>Table834[[#This Row],[Night Pulse]]^2</f>
        <v>5329</v>
      </c>
      <c r="W88" s="2">
        <v>10</v>
      </c>
      <c r="X88" s="2">
        <f>Table834[[#This Row],[Sleep]]^2</f>
        <v>100</v>
      </c>
      <c r="Y88" s="2">
        <f t="shared" si="3"/>
        <v>36.556000000000004</v>
      </c>
      <c r="Z88" s="2">
        <f>Table834[[#This Row],[BMI]]^2</f>
        <v>1336.3411360000002</v>
      </c>
      <c r="AA88" s="2">
        <f t="shared" si="2"/>
        <v>30.639085534675949</v>
      </c>
      <c r="AB88" s="2">
        <f>Table834[[#This Row],[CBF]]^2</f>
        <v>938.75356240118901</v>
      </c>
      <c r="AC88" s="2">
        <v>0</v>
      </c>
      <c r="AD88" s="2">
        <f>Table834[[#This Row],[Gym]]^2</f>
        <v>0</v>
      </c>
      <c r="AE88" s="2">
        <v>0</v>
      </c>
      <c r="AF88" s="2">
        <f>Table834[[#This Row],[Cardio]]^2</f>
        <v>0</v>
      </c>
      <c r="AG88" s="2">
        <v>6937.7775000000001</v>
      </c>
      <c r="AH88" s="2">
        <f>Table834[[#This Row],[Calories]]^2</f>
        <v>48132756.639506251</v>
      </c>
      <c r="AI88" s="2">
        <v>989.93312500000002</v>
      </c>
      <c r="AJ88" s="2">
        <f>Table834[[#This Row],[Carbs]]^2</f>
        <v>979967.59197226563</v>
      </c>
      <c r="AK88" s="2">
        <v>266.45125000000002</v>
      </c>
      <c r="AL88" s="2">
        <f>Table834[[#This Row],[Fat ]]^2</f>
        <v>70996.268626562509</v>
      </c>
      <c r="AM88" s="2">
        <v>192.764375</v>
      </c>
      <c r="AN88" s="2">
        <f>Table834[[#This Row],[Protein]]^2</f>
        <v>37158.104269140626</v>
      </c>
      <c r="AO88" s="2">
        <v>34.024999999999999</v>
      </c>
      <c r="AP88" s="2">
        <f>Table834[[#This Row],[Fiber]]^2</f>
        <v>1157.7006249999999</v>
      </c>
      <c r="AQ88" s="2">
        <v>522.52437499999996</v>
      </c>
      <c r="AR88" s="2">
        <f>Table834[[#This Row],[Sugar]]^2</f>
        <v>273031.7224691406</v>
      </c>
      <c r="AS88" s="2">
        <v>154</v>
      </c>
      <c r="AT88" s="2">
        <f>Table834[[#This Row],[Servings]]^2</f>
        <v>23716</v>
      </c>
      <c r="AU88" s="2">
        <v>0</v>
      </c>
      <c r="AV88" s="2">
        <f>Table834[[#This Row],[Water]]^2</f>
        <v>0</v>
      </c>
      <c r="AW88" s="2">
        <v>2398.0612499999997</v>
      </c>
      <c r="AX88" s="2">
        <f>Table834[[#This Row],[Fat Calories]]^2</f>
        <v>5750697.7587515609</v>
      </c>
      <c r="AY88" s="3">
        <f>Table834[[#This Row],[Weight]]*Table834[[#This Row],[Waist]]</f>
        <v>11083.800000000001</v>
      </c>
      <c r="AZ88" s="4">
        <f>Table834[[#This Row],[Weight]]*Table834[[#This Row],[Neck]]</f>
        <v>4204.2</v>
      </c>
      <c r="BA88" s="4">
        <f>Table834[[#This Row],[Weight]]*Table834[[#This Row],[Morning Body Temp]]</f>
        <v>24588.2</v>
      </c>
      <c r="BB88" s="4">
        <f>Table834[[#This Row],[Weight]]*Table834[[#This Row],[Morning Systolic Pressure]]</f>
        <v>33378.800000000003</v>
      </c>
      <c r="BC88" s="11">
        <f>Table834[[#This Row],[Weight]]*Table834[[#This Row],[Morning Diastolic Pressure]]</f>
        <v>19364.8</v>
      </c>
      <c r="BD88" s="2">
        <f>Table834[[#This Row],[Weight]]*Table834[[#This Row],[Morning Pulse]]</f>
        <v>17326.400000000001</v>
      </c>
      <c r="BE88" s="2">
        <f>Table834[[#This Row],[Weight]]*Table834[[#This Row],[Night Body Temp]]</f>
        <v>24766.560000000001</v>
      </c>
      <c r="BF88" s="2">
        <f>Table834[[#This Row],[Weight]]*Table834[[#This Row],[Night Systolic Pressure]]</f>
        <v>34652.800000000003</v>
      </c>
      <c r="BG88" s="4">
        <f>Table83[[#This Row],[Weight]]*Table83[[#This Row],[Night Diastolic Pressure]]</f>
        <v>19619.600000000002</v>
      </c>
      <c r="BH88" s="2">
        <f>Table834[[#This Row],[Weight]]*Table834[[#This Row],[Night Pulse]]</f>
        <v>18600.400000000001</v>
      </c>
      <c r="BI88" s="2">
        <f>Table834[[#This Row],[Weight]]*Table834[[#This Row],[Sleep]]</f>
        <v>2548</v>
      </c>
      <c r="BJ88" s="2">
        <f>Table834[[#This Row],[Weight]]*Table834[[#This Row],[BMI]]</f>
        <v>9314.4688000000024</v>
      </c>
      <c r="BK88" s="2">
        <f>Table834[[#This Row],[Weight]]*Table834[[#This Row],[CBF]]</f>
        <v>7806.8389942354324</v>
      </c>
      <c r="BL88" s="2">
        <f>Table834[[#This Row],[Weight]]*Table834[[#This Row],[Gym]]</f>
        <v>0</v>
      </c>
      <c r="BM88" s="2">
        <f>Table834[[#This Row],[Weight]]*Table834[[#This Row],[Cardio]]</f>
        <v>0</v>
      </c>
      <c r="BN88" s="2">
        <f>Table834[[#This Row],[Weight]]*Table834[[#This Row],[Calories]]</f>
        <v>1767745.7070000002</v>
      </c>
      <c r="BO88" s="2">
        <f>Table834[[#This Row],[Weight]]*Table834[[#This Row],[Carbs]]</f>
        <v>252234.96025</v>
      </c>
      <c r="BP88" s="2">
        <f>Table834[[#This Row],[Weight]]*Table834[[#This Row],[Fat ]]</f>
        <v>67891.7785</v>
      </c>
      <c r="BQ88" s="2">
        <f>Table834[[#This Row],[Weight]]*Table834[[#This Row],[Protein]]</f>
        <v>49116.36275</v>
      </c>
      <c r="BR88" s="2">
        <f>Table834[[#This Row],[Weight]]*Table834[[#This Row],[Fiber]]</f>
        <v>8669.57</v>
      </c>
      <c r="BS88" s="2">
        <f>Table834[[#This Row],[Weight]]*Table834[[#This Row],[Sugar]]</f>
        <v>133139.21075</v>
      </c>
      <c r="BT88" s="2">
        <f>Table834[[#This Row],[Weight]]*Table834[[#This Row],[Servings]]</f>
        <v>39239.200000000004</v>
      </c>
      <c r="BU88" s="2">
        <f>Table834[[#This Row],[Weight]]*Table834[[#This Row],[Water]]</f>
        <v>0</v>
      </c>
      <c r="BV88" s="2">
        <f>Table834[[#This Row],[Weight]]*Table834[[#This Row],[Fat Calories]]</f>
        <v>611026.00650000002</v>
      </c>
      <c r="BW88" s="2">
        <f>Table834[[#This Row],[Waist]]*Table834[[#This Row],[Neck]]</f>
        <v>717.75</v>
      </c>
      <c r="BX88" s="2">
        <f>Table834[[#This Row],[Waist]]*Table834[[#This Row],[Morning Body Temp]]</f>
        <v>4197.75</v>
      </c>
      <c r="BY88" s="2">
        <f>Table834[[#This Row],[Waist]]*Table834[[#This Row],[Morning Systolic Pressure]]</f>
        <v>5698.5</v>
      </c>
      <c r="BZ88" s="2">
        <f>Table834[[#This Row],[Waist]]*Table834[[#This Row],[Morning Diastolic Pressure]]</f>
        <v>3306</v>
      </c>
      <c r="CA88" s="2">
        <f>Table834[[#This Row],[Waist]]*Table834[[#This Row],[Morning Pulse]]</f>
        <v>2958</v>
      </c>
      <c r="CB88" s="2">
        <f>Table834[[#This Row],[Waist]]*Table834[[#This Row],[Night Body Temp]]</f>
        <v>4228.2</v>
      </c>
      <c r="CC88" s="2">
        <f>Table834[[#This Row],[Waist]]*Table834[[#This Row],[Night Systolic Pressure]]</f>
        <v>5916</v>
      </c>
      <c r="CD88" s="4">
        <f>Table83[[#This Row],[Waist]]*Table83[[#This Row],[Night Diastolic Pressure]]</f>
        <v>3349.5</v>
      </c>
      <c r="CE88" s="2">
        <f>Table834[[#This Row],[Waist]]*Table834[[#This Row],[Night Pulse]]</f>
        <v>3175.5</v>
      </c>
      <c r="CF88" s="2">
        <f>Table834[[#This Row],[Waist]]*Table834[[#This Row],[Sleep]]</f>
        <v>435</v>
      </c>
      <c r="CG88" s="2">
        <f>Table834[[#This Row],[Waist]]*Table834[[#This Row],[BMI]]</f>
        <v>1590.1860000000001</v>
      </c>
      <c r="CH88" s="2">
        <f>Table834[[#This Row],[Waist]]*Table834[[#This Row],[CBF]]</f>
        <v>1332.8002207584038</v>
      </c>
      <c r="CI88" s="2">
        <f>Table834[[#This Row],[Waist]]*Table834[[#This Row],[Gym]]</f>
        <v>0</v>
      </c>
      <c r="CJ88" s="2">
        <f>Table834[[#This Row],[Waist]]*Table834[[#This Row],[Cardio]]</f>
        <v>0</v>
      </c>
      <c r="CK88" s="2">
        <f>Table834[[#This Row],[Waist]]*Table834[[#This Row],[Calories]]</f>
        <v>301793.32124999998</v>
      </c>
      <c r="CL88" s="2">
        <f>Table834[[#This Row],[Waist]]*Table834[[#This Row],[Carbs]]</f>
        <v>43062.090937499997</v>
      </c>
      <c r="CM88" s="2">
        <f>Table834[[#This Row],[Waist]]*Table834[[#This Row],[Fat ]]</f>
        <v>11590.629375</v>
      </c>
      <c r="CN88" s="2">
        <f>Table834[[#This Row],[Waist]]*Table834[[#This Row],[Protein]]</f>
        <v>8385.2503125000003</v>
      </c>
      <c r="CO88" s="2">
        <f>Table834[[#This Row],[Waist]]*Table834[[#This Row],[Fiber]]</f>
        <v>1480.0874999999999</v>
      </c>
      <c r="CP88" s="2">
        <f>Table834[[#This Row],[Waist]]*Table834[[#This Row],[Sugar]]</f>
        <v>22729.810312499998</v>
      </c>
      <c r="CQ88" s="2">
        <f>Table834[[#This Row],[Waist]]*Table834[[#This Row],[Servings]]</f>
        <v>6699</v>
      </c>
      <c r="CR88" s="2">
        <f>Table834[[#This Row],[Waist]]*Table834[[#This Row],[Water]]</f>
        <v>0</v>
      </c>
      <c r="CS88" s="2">
        <f>Table834[[#This Row],[Waist]]*Table834[[#This Row],[Fat Calories]]</f>
        <v>104315.66437499999</v>
      </c>
    </row>
    <row r="89" spans="1:97" x14ac:dyDescent="0.25">
      <c r="A89" s="2">
        <v>258</v>
      </c>
      <c r="B89" s="2">
        <f>Table834[[#This Row],[Weight]]^2</f>
        <v>66564</v>
      </c>
      <c r="C89" s="2">
        <v>43.5</v>
      </c>
      <c r="D89" s="2">
        <f>Table834[[#This Row],[Waist]]^2</f>
        <v>1892.25</v>
      </c>
      <c r="E89" s="2">
        <v>16.5</v>
      </c>
      <c r="F89" s="2">
        <f>Table834[[#This Row],[Neck]]^2</f>
        <v>272.25</v>
      </c>
      <c r="G89" s="2">
        <v>96.2</v>
      </c>
      <c r="H89" s="2">
        <f>Table834[[#This Row],[Morning Body Temp]]^2</f>
        <v>9254.44</v>
      </c>
      <c r="I89" s="2">
        <v>130</v>
      </c>
      <c r="J89" s="2">
        <f>Table834[[#This Row],[Morning Systolic Pressure]]^2</f>
        <v>16900</v>
      </c>
      <c r="K89" s="2">
        <v>78</v>
      </c>
      <c r="L89" s="2">
        <f>Table834[[#This Row],[Morning Diastolic Pressure]]^2</f>
        <v>6084</v>
      </c>
      <c r="M89" s="2">
        <v>72</v>
      </c>
      <c r="N89" s="2">
        <f>Table834[[#This Row],[Morning Pulse]]^2</f>
        <v>5184</v>
      </c>
      <c r="O89" s="2">
        <v>97.6</v>
      </c>
      <c r="P89" s="2">
        <f>Table834[[#This Row],[Night Body Temp]]^2</f>
        <v>9525.7599999999984</v>
      </c>
      <c r="Q89" s="2">
        <v>130</v>
      </c>
      <c r="R89" s="2">
        <f>Table834[[#This Row],[Night Systolic Pressure]]^2</f>
        <v>16900</v>
      </c>
      <c r="S89" s="2">
        <v>72</v>
      </c>
      <c r="T89" s="2">
        <f>Table834[[#This Row],[Night Diastolic Pressure]]^2</f>
        <v>5184</v>
      </c>
      <c r="U89" s="2">
        <v>69</v>
      </c>
      <c r="V89" s="2">
        <f>Table834[[#This Row],[Night Pulse]]^2</f>
        <v>4761</v>
      </c>
      <c r="W89" s="2">
        <v>8</v>
      </c>
      <c r="X89" s="2">
        <f>Table834[[#This Row],[Sleep]]^2</f>
        <v>64</v>
      </c>
      <c r="Y89" s="2">
        <f t="shared" si="3"/>
        <v>37.015102040816323</v>
      </c>
      <c r="Z89" s="2">
        <f>Table834[[#This Row],[BMI]]^2</f>
        <v>1370.1177790920447</v>
      </c>
      <c r="AA89" s="2">
        <f t="shared" si="2"/>
        <v>30.639085534675949</v>
      </c>
      <c r="AB89" s="2">
        <f>Table834[[#This Row],[CBF]]^2</f>
        <v>938.75356240118901</v>
      </c>
      <c r="AC89" s="2">
        <v>0</v>
      </c>
      <c r="AD89" s="2">
        <f>Table834[[#This Row],[Gym]]^2</f>
        <v>0</v>
      </c>
      <c r="AE89" s="2">
        <v>0</v>
      </c>
      <c r="AF89" s="2">
        <f>Table834[[#This Row],[Cardio]]^2</f>
        <v>0</v>
      </c>
      <c r="AG89" s="2">
        <v>1985.5549999999998</v>
      </c>
      <c r="AH89" s="2">
        <f>Table834[[#This Row],[Calories]]^2</f>
        <v>3942428.6580249993</v>
      </c>
      <c r="AI89" s="2">
        <v>303.86625000000004</v>
      </c>
      <c r="AJ89" s="2">
        <f>Table834[[#This Row],[Carbs]]^2</f>
        <v>92334.697889062518</v>
      </c>
      <c r="AK89" s="2">
        <v>64.902500000000003</v>
      </c>
      <c r="AL89" s="2">
        <f>Table834[[#This Row],[Fat ]]^2</f>
        <v>4212.3345062500002</v>
      </c>
      <c r="AM89" s="2">
        <v>49.528750000000002</v>
      </c>
      <c r="AN89" s="2">
        <f>Table834[[#This Row],[Protein]]^2</f>
        <v>2453.0970765625002</v>
      </c>
      <c r="AO89" s="2">
        <v>6.05</v>
      </c>
      <c r="AP89" s="2">
        <f>Table834[[#This Row],[Fiber]]^2</f>
        <v>36.602499999999999</v>
      </c>
      <c r="AQ89" s="2">
        <v>208.04874999999998</v>
      </c>
      <c r="AR89" s="2">
        <f>Table834[[#This Row],[Sugar]]^2</f>
        <v>43284.282376562493</v>
      </c>
      <c r="AS89" s="2">
        <v>63</v>
      </c>
      <c r="AT89" s="2">
        <f>Table834[[#This Row],[Servings]]^2</f>
        <v>3969</v>
      </c>
      <c r="AU89" s="2">
        <v>0</v>
      </c>
      <c r="AV89" s="2">
        <f>Table834[[#This Row],[Water]]^2</f>
        <v>0</v>
      </c>
      <c r="AW89" s="2">
        <v>584.12249999999995</v>
      </c>
      <c r="AX89" s="2">
        <f>Table834[[#This Row],[Fat Calories]]^2</f>
        <v>341199.09500624996</v>
      </c>
      <c r="AY89" s="5">
        <f>Table834[[#This Row],[Weight]]*Table834[[#This Row],[Waist]]</f>
        <v>11223</v>
      </c>
      <c r="AZ89" s="6">
        <f>Table834[[#This Row],[Weight]]*Table834[[#This Row],[Neck]]</f>
        <v>4257</v>
      </c>
      <c r="BA89" s="6">
        <f>Table834[[#This Row],[Weight]]*Table834[[#This Row],[Morning Body Temp]]</f>
        <v>24819.600000000002</v>
      </c>
      <c r="BB89" s="6">
        <f>Table834[[#This Row],[Weight]]*Table834[[#This Row],[Morning Systolic Pressure]]</f>
        <v>33540</v>
      </c>
      <c r="BC89" s="12">
        <f>Table834[[#This Row],[Weight]]*Table834[[#This Row],[Morning Diastolic Pressure]]</f>
        <v>20124</v>
      </c>
      <c r="BD89" s="2">
        <f>Table834[[#This Row],[Weight]]*Table834[[#This Row],[Morning Pulse]]</f>
        <v>18576</v>
      </c>
      <c r="BE89" s="2">
        <f>Table834[[#This Row],[Weight]]*Table834[[#This Row],[Night Body Temp]]</f>
        <v>25180.799999999999</v>
      </c>
      <c r="BF89" s="2">
        <f>Table834[[#This Row],[Weight]]*Table834[[#This Row],[Night Systolic Pressure]]</f>
        <v>33540</v>
      </c>
      <c r="BG89" s="4">
        <f>Table83[[#This Row],[Weight]]*Table83[[#This Row],[Night Diastolic Pressure]]</f>
        <v>18576</v>
      </c>
      <c r="BH89" s="2">
        <f>Table834[[#This Row],[Weight]]*Table834[[#This Row],[Night Pulse]]</f>
        <v>17802</v>
      </c>
      <c r="BI89" s="2">
        <f>Table834[[#This Row],[Weight]]*Table834[[#This Row],[Sleep]]</f>
        <v>2064</v>
      </c>
      <c r="BJ89" s="2">
        <f>Table834[[#This Row],[Weight]]*Table834[[#This Row],[BMI]]</f>
        <v>9549.896326530612</v>
      </c>
      <c r="BK89" s="2">
        <f>Table834[[#This Row],[Weight]]*Table834[[#This Row],[CBF]]</f>
        <v>7904.8840679463947</v>
      </c>
      <c r="BL89" s="2">
        <f>Table834[[#This Row],[Weight]]*Table834[[#This Row],[Gym]]</f>
        <v>0</v>
      </c>
      <c r="BM89" s="2">
        <f>Table834[[#This Row],[Weight]]*Table834[[#This Row],[Cardio]]</f>
        <v>0</v>
      </c>
      <c r="BN89" s="2">
        <f>Table834[[#This Row],[Weight]]*Table834[[#This Row],[Calories]]</f>
        <v>512273.18999999994</v>
      </c>
      <c r="BO89" s="2">
        <f>Table834[[#This Row],[Weight]]*Table834[[#This Row],[Carbs]]</f>
        <v>78397.492500000008</v>
      </c>
      <c r="BP89" s="2">
        <f>Table834[[#This Row],[Weight]]*Table834[[#This Row],[Fat ]]</f>
        <v>16744.845000000001</v>
      </c>
      <c r="BQ89" s="2">
        <f>Table834[[#This Row],[Weight]]*Table834[[#This Row],[Protein]]</f>
        <v>12778.417500000001</v>
      </c>
      <c r="BR89" s="2">
        <f>Table834[[#This Row],[Weight]]*Table834[[#This Row],[Fiber]]</f>
        <v>1560.8999999999999</v>
      </c>
      <c r="BS89" s="2">
        <f>Table834[[#This Row],[Weight]]*Table834[[#This Row],[Sugar]]</f>
        <v>53676.577499999999</v>
      </c>
      <c r="BT89" s="2">
        <f>Table834[[#This Row],[Weight]]*Table834[[#This Row],[Servings]]</f>
        <v>16254</v>
      </c>
      <c r="BU89" s="2">
        <f>Table834[[#This Row],[Weight]]*Table834[[#This Row],[Water]]</f>
        <v>0</v>
      </c>
      <c r="BV89" s="2">
        <f>Table834[[#This Row],[Weight]]*Table834[[#This Row],[Fat Calories]]</f>
        <v>150703.60499999998</v>
      </c>
      <c r="BW89" s="2">
        <f>Table834[[#This Row],[Waist]]*Table834[[#This Row],[Neck]]</f>
        <v>717.75</v>
      </c>
      <c r="BX89" s="2">
        <f>Table834[[#This Row],[Waist]]*Table834[[#This Row],[Morning Body Temp]]</f>
        <v>4184.7</v>
      </c>
      <c r="BY89" s="2">
        <f>Table834[[#This Row],[Waist]]*Table834[[#This Row],[Morning Systolic Pressure]]</f>
        <v>5655</v>
      </c>
      <c r="BZ89" s="2">
        <f>Table834[[#This Row],[Waist]]*Table834[[#This Row],[Morning Diastolic Pressure]]</f>
        <v>3393</v>
      </c>
      <c r="CA89" s="2">
        <f>Table834[[#This Row],[Waist]]*Table834[[#This Row],[Morning Pulse]]</f>
        <v>3132</v>
      </c>
      <c r="CB89" s="2">
        <f>Table834[[#This Row],[Waist]]*Table834[[#This Row],[Night Body Temp]]</f>
        <v>4245.5999999999995</v>
      </c>
      <c r="CC89" s="2">
        <f>Table834[[#This Row],[Waist]]*Table834[[#This Row],[Night Systolic Pressure]]</f>
        <v>5655</v>
      </c>
      <c r="CD89" s="4">
        <f>Table83[[#This Row],[Waist]]*Table83[[#This Row],[Night Diastolic Pressure]]</f>
        <v>3132</v>
      </c>
      <c r="CE89" s="2">
        <f>Table834[[#This Row],[Waist]]*Table834[[#This Row],[Night Pulse]]</f>
        <v>3001.5</v>
      </c>
      <c r="CF89" s="2">
        <f>Table834[[#This Row],[Waist]]*Table834[[#This Row],[Sleep]]</f>
        <v>348</v>
      </c>
      <c r="CG89" s="2">
        <f>Table834[[#This Row],[Waist]]*Table834[[#This Row],[BMI]]</f>
        <v>1610.1569387755101</v>
      </c>
      <c r="CH89" s="2">
        <f>Table834[[#This Row],[Waist]]*Table834[[#This Row],[CBF]]</f>
        <v>1332.8002207584038</v>
      </c>
      <c r="CI89" s="2">
        <f>Table834[[#This Row],[Waist]]*Table834[[#This Row],[Gym]]</f>
        <v>0</v>
      </c>
      <c r="CJ89" s="2">
        <f>Table834[[#This Row],[Waist]]*Table834[[#This Row],[Cardio]]</f>
        <v>0</v>
      </c>
      <c r="CK89" s="2">
        <f>Table834[[#This Row],[Waist]]*Table834[[#This Row],[Calories]]</f>
        <v>86371.642499999987</v>
      </c>
      <c r="CL89" s="2">
        <f>Table834[[#This Row],[Waist]]*Table834[[#This Row],[Carbs]]</f>
        <v>13218.181875000002</v>
      </c>
      <c r="CM89" s="2">
        <f>Table834[[#This Row],[Waist]]*Table834[[#This Row],[Fat ]]</f>
        <v>2823.25875</v>
      </c>
      <c r="CN89" s="2">
        <f>Table834[[#This Row],[Waist]]*Table834[[#This Row],[Protein]]</f>
        <v>2154.5006250000001</v>
      </c>
      <c r="CO89" s="2">
        <f>Table834[[#This Row],[Waist]]*Table834[[#This Row],[Fiber]]</f>
        <v>263.17500000000001</v>
      </c>
      <c r="CP89" s="2">
        <f>Table834[[#This Row],[Waist]]*Table834[[#This Row],[Sugar]]</f>
        <v>9050.1206249999996</v>
      </c>
      <c r="CQ89" s="2">
        <f>Table834[[#This Row],[Waist]]*Table834[[#This Row],[Servings]]</f>
        <v>2740.5</v>
      </c>
      <c r="CR89" s="2">
        <f>Table834[[#This Row],[Waist]]*Table834[[#This Row],[Water]]</f>
        <v>0</v>
      </c>
      <c r="CS89" s="2">
        <f>Table834[[#This Row],[Waist]]*Table834[[#This Row],[Fat Calories]]</f>
        <v>25409.328749999997</v>
      </c>
    </row>
    <row r="90" spans="1:97" x14ac:dyDescent="0.25">
      <c r="A90" s="2">
        <v>254.4</v>
      </c>
      <c r="B90" s="2">
        <f>Table834[[#This Row],[Weight]]^2</f>
        <v>64719.360000000001</v>
      </c>
      <c r="C90" s="2">
        <v>43.5</v>
      </c>
      <c r="D90" s="2">
        <f>Table834[[#This Row],[Waist]]^2</f>
        <v>1892.25</v>
      </c>
      <c r="E90" s="2">
        <v>16.5</v>
      </c>
      <c r="F90" s="2">
        <f>Table834[[#This Row],[Neck]]^2</f>
        <v>272.25</v>
      </c>
      <c r="G90" s="2">
        <v>96.8</v>
      </c>
      <c r="H90" s="2">
        <f>Table834[[#This Row],[Morning Body Temp]]^2</f>
        <v>9370.24</v>
      </c>
      <c r="I90" s="2">
        <v>132</v>
      </c>
      <c r="J90" s="2">
        <f>Table834[[#This Row],[Morning Systolic Pressure]]^2</f>
        <v>17424</v>
      </c>
      <c r="K90" s="2">
        <v>72</v>
      </c>
      <c r="L90" s="2">
        <f>Table834[[#This Row],[Morning Diastolic Pressure]]^2</f>
        <v>5184</v>
      </c>
      <c r="M90" s="2">
        <v>64</v>
      </c>
      <c r="N90" s="2">
        <f>Table834[[#This Row],[Morning Pulse]]^2</f>
        <v>4096</v>
      </c>
      <c r="O90" s="2">
        <v>96.2</v>
      </c>
      <c r="P90" s="2">
        <f>Table834[[#This Row],[Night Body Temp]]^2</f>
        <v>9254.44</v>
      </c>
      <c r="Q90" s="2">
        <v>119</v>
      </c>
      <c r="R90" s="2">
        <f>Table834[[#This Row],[Night Systolic Pressure]]^2</f>
        <v>14161</v>
      </c>
      <c r="S90" s="2">
        <v>73</v>
      </c>
      <c r="T90" s="2">
        <f>Table834[[#This Row],[Night Diastolic Pressure]]^2</f>
        <v>5329</v>
      </c>
      <c r="U90" s="2">
        <v>63</v>
      </c>
      <c r="V90" s="2">
        <f>Table834[[#This Row],[Night Pulse]]^2</f>
        <v>3969</v>
      </c>
      <c r="W90" s="2">
        <v>10</v>
      </c>
      <c r="X90" s="2">
        <f>Table834[[#This Row],[Sleep]]^2</f>
        <v>100</v>
      </c>
      <c r="Y90" s="2">
        <f t="shared" si="3"/>
        <v>36.498612244897963</v>
      </c>
      <c r="Z90" s="2">
        <f>Table834[[#This Row],[BMI]]^2</f>
        <v>1332.1486958034154</v>
      </c>
      <c r="AA90" s="2">
        <f t="shared" si="2"/>
        <v>30.639085534675949</v>
      </c>
      <c r="AB90" s="2">
        <f>Table834[[#This Row],[CBF]]^2</f>
        <v>938.75356240118901</v>
      </c>
      <c r="AC90" s="2">
        <v>1</v>
      </c>
      <c r="AD90" s="2">
        <f>Table834[[#This Row],[Gym]]^2</f>
        <v>1</v>
      </c>
      <c r="AE90" s="2">
        <v>1</v>
      </c>
      <c r="AF90" s="2">
        <f>Table834[[#This Row],[Cardio]]^2</f>
        <v>1</v>
      </c>
      <c r="AG90" s="2">
        <v>2473.7108333333331</v>
      </c>
      <c r="AH90" s="2">
        <f>Table834[[#This Row],[Calories]]^2</f>
        <v>6119245.2869506935</v>
      </c>
      <c r="AI90" s="2">
        <v>310.198125</v>
      </c>
      <c r="AJ90" s="2">
        <f>Table834[[#This Row],[Carbs]]^2</f>
        <v>96222.876753515622</v>
      </c>
      <c r="AK90" s="2">
        <v>86.866250000000008</v>
      </c>
      <c r="AL90" s="2">
        <f>Table834[[#This Row],[Fat ]]^2</f>
        <v>7545.7453890625011</v>
      </c>
      <c r="AM90" s="2">
        <v>96.066041666666663</v>
      </c>
      <c r="AN90" s="2">
        <f>Table834[[#This Row],[Protein]]^2</f>
        <v>9228.6843615017351</v>
      </c>
      <c r="AO90" s="2">
        <v>29.471666666666664</v>
      </c>
      <c r="AP90" s="2">
        <f>Table834[[#This Row],[Fiber]]^2</f>
        <v>868.57913611111098</v>
      </c>
      <c r="AQ90" s="2">
        <v>154.55937500000002</v>
      </c>
      <c r="AR90" s="2">
        <f>Table834[[#This Row],[Sugar]]^2</f>
        <v>23888.600400390631</v>
      </c>
      <c r="AS90" s="2">
        <v>25.55</v>
      </c>
      <c r="AT90" s="2">
        <f>Table834[[#This Row],[Servings]]^2</f>
        <v>652.80250000000001</v>
      </c>
      <c r="AU90" s="2">
        <v>2</v>
      </c>
      <c r="AV90" s="2">
        <f>Table834[[#This Row],[Water]]^2</f>
        <v>4</v>
      </c>
      <c r="AW90" s="2">
        <v>781.7962500000001</v>
      </c>
      <c r="AX90" s="2">
        <f>Table834[[#This Row],[Fat Calories]]^2</f>
        <v>611205.37651406263</v>
      </c>
      <c r="AY90" s="3">
        <f>Table834[[#This Row],[Weight]]*Table834[[#This Row],[Waist]]</f>
        <v>11066.4</v>
      </c>
      <c r="AZ90" s="4">
        <f>Table834[[#This Row],[Weight]]*Table834[[#This Row],[Neck]]</f>
        <v>4197.6000000000004</v>
      </c>
      <c r="BA90" s="4">
        <f>Table834[[#This Row],[Weight]]*Table834[[#This Row],[Morning Body Temp]]</f>
        <v>24625.919999999998</v>
      </c>
      <c r="BB90" s="4">
        <f>Table834[[#This Row],[Weight]]*Table834[[#This Row],[Morning Systolic Pressure]]</f>
        <v>33580.800000000003</v>
      </c>
      <c r="BC90" s="11">
        <f>Table834[[#This Row],[Weight]]*Table834[[#This Row],[Morning Diastolic Pressure]]</f>
        <v>18316.8</v>
      </c>
      <c r="BD90" s="2">
        <f>Table834[[#This Row],[Weight]]*Table834[[#This Row],[Morning Pulse]]</f>
        <v>16281.6</v>
      </c>
      <c r="BE90" s="2">
        <f>Table834[[#This Row],[Weight]]*Table834[[#This Row],[Night Body Temp]]</f>
        <v>24473.280000000002</v>
      </c>
      <c r="BF90" s="2">
        <f>Table834[[#This Row],[Weight]]*Table834[[#This Row],[Night Systolic Pressure]]</f>
        <v>30273.600000000002</v>
      </c>
      <c r="BG90" s="4">
        <f>Table83[[#This Row],[Weight]]*Table83[[#This Row],[Night Diastolic Pressure]]</f>
        <v>18571.2</v>
      </c>
      <c r="BH90" s="2">
        <f>Table834[[#This Row],[Weight]]*Table834[[#This Row],[Night Pulse]]</f>
        <v>16027.2</v>
      </c>
      <c r="BI90" s="2">
        <f>Table834[[#This Row],[Weight]]*Table834[[#This Row],[Sleep]]</f>
        <v>2544</v>
      </c>
      <c r="BJ90" s="2">
        <f>Table834[[#This Row],[Weight]]*Table834[[#This Row],[BMI]]</f>
        <v>9285.2469551020422</v>
      </c>
      <c r="BK90" s="2">
        <f>Table834[[#This Row],[Weight]]*Table834[[#This Row],[CBF]]</f>
        <v>7794.5833600215619</v>
      </c>
      <c r="BL90" s="2">
        <f>Table834[[#This Row],[Weight]]*Table834[[#This Row],[Gym]]</f>
        <v>254.4</v>
      </c>
      <c r="BM90" s="2">
        <f>Table834[[#This Row],[Weight]]*Table834[[#This Row],[Cardio]]</f>
        <v>254.4</v>
      </c>
      <c r="BN90" s="2">
        <f>Table834[[#This Row],[Weight]]*Table834[[#This Row],[Calories]]</f>
        <v>629312.03599999996</v>
      </c>
      <c r="BO90" s="2">
        <f>Table834[[#This Row],[Weight]]*Table834[[#This Row],[Carbs]]</f>
        <v>78914.403000000006</v>
      </c>
      <c r="BP90" s="2">
        <f>Table834[[#This Row],[Weight]]*Table834[[#This Row],[Fat ]]</f>
        <v>22098.774000000001</v>
      </c>
      <c r="BQ90" s="2">
        <f>Table834[[#This Row],[Weight]]*Table834[[#This Row],[Protein]]</f>
        <v>24439.201000000001</v>
      </c>
      <c r="BR90" s="2">
        <f>Table834[[#This Row],[Weight]]*Table834[[#This Row],[Fiber]]</f>
        <v>7497.5919999999996</v>
      </c>
      <c r="BS90" s="2">
        <f>Table834[[#This Row],[Weight]]*Table834[[#This Row],[Sugar]]</f>
        <v>39319.905000000006</v>
      </c>
      <c r="BT90" s="2">
        <f>Table834[[#This Row],[Weight]]*Table834[[#This Row],[Servings]]</f>
        <v>6499.92</v>
      </c>
      <c r="BU90" s="2">
        <f>Table834[[#This Row],[Weight]]*Table834[[#This Row],[Water]]</f>
        <v>508.8</v>
      </c>
      <c r="BV90" s="2">
        <f>Table834[[#This Row],[Weight]]*Table834[[#This Row],[Fat Calories]]</f>
        <v>198888.96600000004</v>
      </c>
      <c r="BW90" s="2">
        <f>Table834[[#This Row],[Waist]]*Table834[[#This Row],[Neck]]</f>
        <v>717.75</v>
      </c>
      <c r="BX90" s="2">
        <f>Table834[[#This Row],[Waist]]*Table834[[#This Row],[Morning Body Temp]]</f>
        <v>4210.8</v>
      </c>
      <c r="BY90" s="2">
        <f>Table834[[#This Row],[Waist]]*Table834[[#This Row],[Morning Systolic Pressure]]</f>
        <v>5742</v>
      </c>
      <c r="BZ90" s="2">
        <f>Table834[[#This Row],[Waist]]*Table834[[#This Row],[Morning Diastolic Pressure]]</f>
        <v>3132</v>
      </c>
      <c r="CA90" s="2">
        <f>Table834[[#This Row],[Waist]]*Table834[[#This Row],[Morning Pulse]]</f>
        <v>2784</v>
      </c>
      <c r="CB90" s="2">
        <f>Table834[[#This Row],[Waist]]*Table834[[#This Row],[Night Body Temp]]</f>
        <v>4184.7</v>
      </c>
      <c r="CC90" s="2">
        <f>Table834[[#This Row],[Waist]]*Table834[[#This Row],[Night Systolic Pressure]]</f>
        <v>5176.5</v>
      </c>
      <c r="CD90" s="4">
        <f>Table83[[#This Row],[Waist]]*Table83[[#This Row],[Night Diastolic Pressure]]</f>
        <v>3175.5</v>
      </c>
      <c r="CE90" s="2">
        <f>Table834[[#This Row],[Waist]]*Table834[[#This Row],[Night Pulse]]</f>
        <v>2740.5</v>
      </c>
      <c r="CF90" s="2">
        <f>Table834[[#This Row],[Waist]]*Table834[[#This Row],[Sleep]]</f>
        <v>435</v>
      </c>
      <c r="CG90" s="2">
        <f>Table834[[#This Row],[Waist]]*Table834[[#This Row],[BMI]]</f>
        <v>1587.6896326530614</v>
      </c>
      <c r="CH90" s="2">
        <f>Table834[[#This Row],[Waist]]*Table834[[#This Row],[CBF]]</f>
        <v>1332.8002207584038</v>
      </c>
      <c r="CI90" s="2">
        <f>Table834[[#This Row],[Waist]]*Table834[[#This Row],[Gym]]</f>
        <v>43.5</v>
      </c>
      <c r="CJ90" s="2">
        <f>Table834[[#This Row],[Waist]]*Table834[[#This Row],[Cardio]]</f>
        <v>43.5</v>
      </c>
      <c r="CK90" s="2">
        <f>Table834[[#This Row],[Waist]]*Table834[[#This Row],[Calories]]</f>
        <v>107606.42124999998</v>
      </c>
      <c r="CL90" s="2">
        <f>Table834[[#This Row],[Waist]]*Table834[[#This Row],[Carbs]]</f>
        <v>13493.618437499999</v>
      </c>
      <c r="CM90" s="2">
        <f>Table834[[#This Row],[Waist]]*Table834[[#This Row],[Fat ]]</f>
        <v>3778.6818750000002</v>
      </c>
      <c r="CN90" s="2">
        <f>Table834[[#This Row],[Waist]]*Table834[[#This Row],[Protein]]</f>
        <v>4178.8728124999998</v>
      </c>
      <c r="CO90" s="2">
        <f>Table834[[#This Row],[Waist]]*Table834[[#This Row],[Fiber]]</f>
        <v>1282.0174999999999</v>
      </c>
      <c r="CP90" s="2">
        <f>Table834[[#This Row],[Waist]]*Table834[[#This Row],[Sugar]]</f>
        <v>6723.3328125000007</v>
      </c>
      <c r="CQ90" s="2">
        <f>Table834[[#This Row],[Waist]]*Table834[[#This Row],[Servings]]</f>
        <v>1111.425</v>
      </c>
      <c r="CR90" s="2">
        <f>Table834[[#This Row],[Waist]]*Table834[[#This Row],[Water]]</f>
        <v>87</v>
      </c>
      <c r="CS90" s="2">
        <f>Table834[[#This Row],[Waist]]*Table834[[#This Row],[Fat Calories]]</f>
        <v>34008.136875000004</v>
      </c>
    </row>
    <row r="91" spans="1:97" x14ac:dyDescent="0.25">
      <c r="A91" s="2">
        <v>253</v>
      </c>
      <c r="B91" s="2">
        <f>Table834[[#This Row],[Weight]]^2</f>
        <v>64009</v>
      </c>
      <c r="C91" s="2">
        <v>44</v>
      </c>
      <c r="D91" s="2">
        <f>Table834[[#This Row],[Waist]]^2</f>
        <v>1936</v>
      </c>
      <c r="E91" s="2">
        <v>16.5</v>
      </c>
      <c r="F91" s="2">
        <f>Table834[[#This Row],[Neck]]^2</f>
        <v>272.25</v>
      </c>
      <c r="G91" s="2">
        <v>95.8</v>
      </c>
      <c r="H91" s="2">
        <f>Table834[[#This Row],[Morning Body Temp]]^2</f>
        <v>9177.64</v>
      </c>
      <c r="I91" s="2">
        <v>141</v>
      </c>
      <c r="J91" s="2">
        <f>Table834[[#This Row],[Morning Systolic Pressure]]^2</f>
        <v>19881</v>
      </c>
      <c r="K91" s="2">
        <v>77</v>
      </c>
      <c r="L91" s="2">
        <f>Table834[[#This Row],[Morning Diastolic Pressure]]^2</f>
        <v>5929</v>
      </c>
      <c r="M91" s="2">
        <v>68</v>
      </c>
      <c r="N91" s="2">
        <f>Table834[[#This Row],[Morning Pulse]]^2</f>
        <v>4624</v>
      </c>
      <c r="O91" s="2">
        <v>97.3</v>
      </c>
      <c r="P91" s="2">
        <f>Table834[[#This Row],[Night Body Temp]]^2</f>
        <v>9467.2899999999991</v>
      </c>
      <c r="Q91" s="2">
        <v>128</v>
      </c>
      <c r="R91" s="2">
        <f>Table834[[#This Row],[Night Systolic Pressure]]^2</f>
        <v>16384</v>
      </c>
      <c r="S91" s="2">
        <v>74</v>
      </c>
      <c r="T91" s="2">
        <f>Table834[[#This Row],[Night Diastolic Pressure]]^2</f>
        <v>5476</v>
      </c>
      <c r="U91" s="2">
        <v>77</v>
      </c>
      <c r="V91" s="2">
        <f>Table834[[#This Row],[Night Pulse]]^2</f>
        <v>5929</v>
      </c>
      <c r="W91" s="2">
        <v>5</v>
      </c>
      <c r="X91" s="2">
        <f>Table834[[#This Row],[Sleep]]^2</f>
        <v>25</v>
      </c>
      <c r="Y91" s="2">
        <f t="shared" si="3"/>
        <v>36.297755102040817</v>
      </c>
      <c r="Z91" s="2">
        <f>Table834[[#This Row],[BMI]]^2</f>
        <v>1317.5270254477302</v>
      </c>
      <c r="AA91" s="2">
        <f t="shared" si="2"/>
        <v>31.324493175702337</v>
      </c>
      <c r="AB91" s="2">
        <f>Table834[[#This Row],[CBF]]^2</f>
        <v>981.2238727146223</v>
      </c>
      <c r="AC91" s="2">
        <v>1</v>
      </c>
      <c r="AD91" s="2">
        <f>Table834[[#This Row],[Gym]]^2</f>
        <v>1</v>
      </c>
      <c r="AE91" s="2">
        <v>1</v>
      </c>
      <c r="AF91" s="2">
        <f>Table834[[#This Row],[Cardio]]^2</f>
        <v>1</v>
      </c>
      <c r="AG91" s="2">
        <v>3155.1333333333332</v>
      </c>
      <c r="AH91" s="2">
        <f>Table834[[#This Row],[Calories]]^2</f>
        <v>9954866.3511111103</v>
      </c>
      <c r="AI91" s="2">
        <v>326.05972222222221</v>
      </c>
      <c r="AJ91" s="2">
        <f>Table834[[#This Row],[Carbs]]^2</f>
        <v>106314.9424556327</v>
      </c>
      <c r="AK91" s="2">
        <v>128.44999999999999</v>
      </c>
      <c r="AL91" s="2">
        <f>Table834[[#This Row],[Fat ]]^2</f>
        <v>16499.402499999997</v>
      </c>
      <c r="AM91" s="2">
        <v>157.00694444444446</v>
      </c>
      <c r="AN91" s="2">
        <f>Table834[[#This Row],[Protein]]^2</f>
        <v>24651.180603780867</v>
      </c>
      <c r="AO91" s="2">
        <v>24.130555555555553</v>
      </c>
      <c r="AP91" s="2">
        <f>Table834[[#This Row],[Fiber]]^2</f>
        <v>582.28371141975299</v>
      </c>
      <c r="AQ91" s="2">
        <v>197.26250000000002</v>
      </c>
      <c r="AR91" s="2">
        <f>Table834[[#This Row],[Sugar]]^2</f>
        <v>38912.493906250005</v>
      </c>
      <c r="AS91" s="2">
        <v>29.75</v>
      </c>
      <c r="AT91" s="2">
        <f>Table834[[#This Row],[Servings]]^2</f>
        <v>885.0625</v>
      </c>
      <c r="AU91" s="2">
        <v>1</v>
      </c>
      <c r="AV91" s="2">
        <f>Table834[[#This Row],[Water]]^2</f>
        <v>1</v>
      </c>
      <c r="AW91" s="2">
        <v>1156.05</v>
      </c>
      <c r="AX91" s="2">
        <f>Table834[[#This Row],[Fat Calories]]^2</f>
        <v>1336451.6024999998</v>
      </c>
      <c r="AY91" s="5">
        <f>Table834[[#This Row],[Weight]]*Table834[[#This Row],[Waist]]</f>
        <v>11132</v>
      </c>
      <c r="AZ91" s="6">
        <f>Table834[[#This Row],[Weight]]*Table834[[#This Row],[Neck]]</f>
        <v>4174.5</v>
      </c>
      <c r="BA91" s="6">
        <f>Table834[[#This Row],[Weight]]*Table834[[#This Row],[Morning Body Temp]]</f>
        <v>24237.399999999998</v>
      </c>
      <c r="BB91" s="6">
        <f>Table834[[#This Row],[Weight]]*Table834[[#This Row],[Morning Systolic Pressure]]</f>
        <v>35673</v>
      </c>
      <c r="BC91" s="12">
        <f>Table834[[#This Row],[Weight]]*Table834[[#This Row],[Morning Diastolic Pressure]]</f>
        <v>19481</v>
      </c>
      <c r="BD91" s="2">
        <f>Table834[[#This Row],[Weight]]*Table834[[#This Row],[Morning Pulse]]</f>
        <v>17204</v>
      </c>
      <c r="BE91" s="2">
        <f>Table834[[#This Row],[Weight]]*Table834[[#This Row],[Night Body Temp]]</f>
        <v>24616.899999999998</v>
      </c>
      <c r="BF91" s="2">
        <f>Table834[[#This Row],[Weight]]*Table834[[#This Row],[Night Systolic Pressure]]</f>
        <v>32384</v>
      </c>
      <c r="BG91" s="4">
        <f>Table83[[#This Row],[Weight]]*Table83[[#This Row],[Night Diastolic Pressure]]</f>
        <v>18722</v>
      </c>
      <c r="BH91" s="2">
        <f>Table834[[#This Row],[Weight]]*Table834[[#This Row],[Night Pulse]]</f>
        <v>19481</v>
      </c>
      <c r="BI91" s="2">
        <f>Table834[[#This Row],[Weight]]*Table834[[#This Row],[Sleep]]</f>
        <v>1265</v>
      </c>
      <c r="BJ91" s="2">
        <f>Table834[[#This Row],[Weight]]*Table834[[#This Row],[BMI]]</f>
        <v>9183.3320408163272</v>
      </c>
      <c r="BK91" s="2">
        <f>Table834[[#This Row],[Weight]]*Table834[[#This Row],[CBF]]</f>
        <v>7925.0967734526912</v>
      </c>
      <c r="BL91" s="2">
        <f>Table834[[#This Row],[Weight]]*Table834[[#This Row],[Gym]]</f>
        <v>253</v>
      </c>
      <c r="BM91" s="2">
        <f>Table834[[#This Row],[Weight]]*Table834[[#This Row],[Cardio]]</f>
        <v>253</v>
      </c>
      <c r="BN91" s="2">
        <f>Table834[[#This Row],[Weight]]*Table834[[#This Row],[Calories]]</f>
        <v>798248.73333333328</v>
      </c>
      <c r="BO91" s="2">
        <f>Table834[[#This Row],[Weight]]*Table834[[#This Row],[Carbs]]</f>
        <v>82493.109722222216</v>
      </c>
      <c r="BP91" s="2">
        <f>Table834[[#This Row],[Weight]]*Table834[[#This Row],[Fat ]]</f>
        <v>32497.85</v>
      </c>
      <c r="BQ91" s="2">
        <f>Table834[[#This Row],[Weight]]*Table834[[#This Row],[Protein]]</f>
        <v>39722.756944444445</v>
      </c>
      <c r="BR91" s="2">
        <f>Table834[[#This Row],[Weight]]*Table834[[#This Row],[Fiber]]</f>
        <v>6105.0305555555551</v>
      </c>
      <c r="BS91" s="2">
        <f>Table834[[#This Row],[Weight]]*Table834[[#This Row],[Sugar]]</f>
        <v>49907.412500000006</v>
      </c>
      <c r="BT91" s="2">
        <f>Table834[[#This Row],[Weight]]*Table834[[#This Row],[Servings]]</f>
        <v>7526.75</v>
      </c>
      <c r="BU91" s="2">
        <f>Table834[[#This Row],[Weight]]*Table834[[#This Row],[Water]]</f>
        <v>253</v>
      </c>
      <c r="BV91" s="2">
        <f>Table834[[#This Row],[Weight]]*Table834[[#This Row],[Fat Calories]]</f>
        <v>292480.64999999997</v>
      </c>
      <c r="BW91" s="2">
        <f>Table834[[#This Row],[Waist]]*Table834[[#This Row],[Neck]]</f>
        <v>726</v>
      </c>
      <c r="BX91" s="2">
        <f>Table834[[#This Row],[Waist]]*Table834[[#This Row],[Morning Body Temp]]</f>
        <v>4215.2</v>
      </c>
      <c r="BY91" s="2">
        <f>Table834[[#This Row],[Waist]]*Table834[[#This Row],[Morning Systolic Pressure]]</f>
        <v>6204</v>
      </c>
      <c r="BZ91" s="2">
        <f>Table834[[#This Row],[Waist]]*Table834[[#This Row],[Morning Diastolic Pressure]]</f>
        <v>3388</v>
      </c>
      <c r="CA91" s="2">
        <f>Table834[[#This Row],[Waist]]*Table834[[#This Row],[Morning Pulse]]</f>
        <v>2992</v>
      </c>
      <c r="CB91" s="2">
        <f>Table834[[#This Row],[Waist]]*Table834[[#This Row],[Night Body Temp]]</f>
        <v>4281.2</v>
      </c>
      <c r="CC91" s="2">
        <f>Table834[[#This Row],[Waist]]*Table834[[#This Row],[Night Systolic Pressure]]</f>
        <v>5632</v>
      </c>
      <c r="CD91" s="4">
        <f>Table83[[#This Row],[Waist]]*Table83[[#This Row],[Night Diastolic Pressure]]</f>
        <v>3256</v>
      </c>
      <c r="CE91" s="2">
        <f>Table834[[#This Row],[Waist]]*Table834[[#This Row],[Night Pulse]]</f>
        <v>3388</v>
      </c>
      <c r="CF91" s="2">
        <f>Table834[[#This Row],[Waist]]*Table834[[#This Row],[Sleep]]</f>
        <v>220</v>
      </c>
      <c r="CG91" s="2">
        <f>Table834[[#This Row],[Waist]]*Table834[[#This Row],[BMI]]</f>
        <v>1597.1012244897959</v>
      </c>
      <c r="CH91" s="2">
        <f>Table834[[#This Row],[Waist]]*Table834[[#This Row],[CBF]]</f>
        <v>1378.2776997309029</v>
      </c>
      <c r="CI91" s="2">
        <f>Table834[[#This Row],[Waist]]*Table834[[#This Row],[Gym]]</f>
        <v>44</v>
      </c>
      <c r="CJ91" s="2">
        <f>Table834[[#This Row],[Waist]]*Table834[[#This Row],[Cardio]]</f>
        <v>44</v>
      </c>
      <c r="CK91" s="2">
        <f>Table834[[#This Row],[Waist]]*Table834[[#This Row],[Calories]]</f>
        <v>138825.86666666667</v>
      </c>
      <c r="CL91" s="2">
        <f>Table834[[#This Row],[Waist]]*Table834[[#This Row],[Carbs]]</f>
        <v>14346.627777777778</v>
      </c>
      <c r="CM91" s="2">
        <f>Table834[[#This Row],[Waist]]*Table834[[#This Row],[Fat ]]</f>
        <v>5651.7999999999993</v>
      </c>
      <c r="CN91" s="2">
        <f>Table834[[#This Row],[Waist]]*Table834[[#This Row],[Protein]]</f>
        <v>6908.3055555555566</v>
      </c>
      <c r="CO91" s="2">
        <f>Table834[[#This Row],[Waist]]*Table834[[#This Row],[Fiber]]</f>
        <v>1061.7444444444443</v>
      </c>
      <c r="CP91" s="2">
        <f>Table834[[#This Row],[Waist]]*Table834[[#This Row],[Sugar]]</f>
        <v>8679.5500000000011</v>
      </c>
      <c r="CQ91" s="2">
        <f>Table834[[#This Row],[Waist]]*Table834[[#This Row],[Servings]]</f>
        <v>1309</v>
      </c>
      <c r="CR91" s="2">
        <f>Table834[[#This Row],[Waist]]*Table834[[#This Row],[Water]]</f>
        <v>44</v>
      </c>
      <c r="CS91" s="2">
        <f>Table834[[#This Row],[Waist]]*Table834[[#This Row],[Fat Calories]]</f>
        <v>50866.2</v>
      </c>
    </row>
    <row r="92" spans="1:97" x14ac:dyDescent="0.25">
      <c r="A92" s="2">
        <v>254.4</v>
      </c>
      <c r="B92" s="2">
        <f>Table834[[#This Row],[Weight]]^2</f>
        <v>64719.360000000001</v>
      </c>
      <c r="C92" s="2">
        <v>43.5</v>
      </c>
      <c r="D92" s="2">
        <f>Table834[[#This Row],[Waist]]^2</f>
        <v>1892.25</v>
      </c>
      <c r="E92" s="2">
        <v>16.5</v>
      </c>
      <c r="F92" s="2">
        <f>Table834[[#This Row],[Neck]]^2</f>
        <v>272.25</v>
      </c>
      <c r="G92" s="2">
        <v>95.9</v>
      </c>
      <c r="H92" s="2">
        <f>Table834[[#This Row],[Morning Body Temp]]^2</f>
        <v>9196.8100000000013</v>
      </c>
      <c r="I92" s="2">
        <v>140</v>
      </c>
      <c r="J92" s="2">
        <f>Table834[[#This Row],[Morning Systolic Pressure]]^2</f>
        <v>19600</v>
      </c>
      <c r="K92" s="2">
        <v>74</v>
      </c>
      <c r="L92" s="2">
        <f>Table834[[#This Row],[Morning Diastolic Pressure]]^2</f>
        <v>5476</v>
      </c>
      <c r="M92" s="2">
        <v>72</v>
      </c>
      <c r="N92" s="2">
        <f>Table834[[#This Row],[Morning Pulse]]^2</f>
        <v>5184</v>
      </c>
      <c r="O92" s="2">
        <v>97.2</v>
      </c>
      <c r="P92" s="2">
        <f>Table834[[#This Row],[Night Body Temp]]^2</f>
        <v>9447.84</v>
      </c>
      <c r="Q92" s="2">
        <v>120</v>
      </c>
      <c r="R92" s="2">
        <f>Table834[[#This Row],[Night Systolic Pressure]]^2</f>
        <v>14400</v>
      </c>
      <c r="S92" s="2">
        <v>78</v>
      </c>
      <c r="T92" s="2">
        <f>Table834[[#This Row],[Night Diastolic Pressure]]^2</f>
        <v>6084</v>
      </c>
      <c r="U92" s="2">
        <v>72</v>
      </c>
      <c r="V92" s="2">
        <f>Table834[[#This Row],[Night Pulse]]^2</f>
        <v>5184</v>
      </c>
      <c r="W92" s="2">
        <v>7</v>
      </c>
      <c r="X92" s="2">
        <f>Table834[[#This Row],[Sleep]]^2</f>
        <v>49</v>
      </c>
      <c r="Y92" s="2">
        <f t="shared" si="3"/>
        <v>36.498612244897963</v>
      </c>
      <c r="Z92" s="2">
        <f>Table834[[#This Row],[BMI]]^2</f>
        <v>1332.1486958034154</v>
      </c>
      <c r="AA92" s="2">
        <f t="shared" si="2"/>
        <v>30.639085534675949</v>
      </c>
      <c r="AB92" s="2">
        <f>Table834[[#This Row],[CBF]]^2</f>
        <v>938.75356240118901</v>
      </c>
      <c r="AC92" s="2">
        <v>1</v>
      </c>
      <c r="AD92" s="2">
        <f>Table834[[#This Row],[Gym]]^2</f>
        <v>1</v>
      </c>
      <c r="AE92" s="2">
        <v>0</v>
      </c>
      <c r="AF92" s="2">
        <f>Table834[[#This Row],[Cardio]]^2</f>
        <v>0</v>
      </c>
      <c r="AG92" s="2">
        <v>2717.6</v>
      </c>
      <c r="AH92" s="2">
        <f>Table834[[#This Row],[Calories]]^2</f>
        <v>7385349.7599999998</v>
      </c>
      <c r="AI92" s="2">
        <v>268.66944444444448</v>
      </c>
      <c r="AJ92" s="2">
        <f>Table834[[#This Row],[Carbs]]^2</f>
        <v>72183.270378086439</v>
      </c>
      <c r="AK92" s="2">
        <v>125.25000000000001</v>
      </c>
      <c r="AL92" s="2">
        <f>Table834[[#This Row],[Fat ]]^2</f>
        <v>15687.562500000004</v>
      </c>
      <c r="AM92" s="2">
        <v>165.53055555555559</v>
      </c>
      <c r="AN92" s="2">
        <f>Table834[[#This Row],[Protein]]^2</f>
        <v>27400.364822530875</v>
      </c>
      <c r="AO92" s="2">
        <v>10.327777777777776</v>
      </c>
      <c r="AP92" s="2">
        <f>Table834[[#This Row],[Fiber]]^2</f>
        <v>106.66299382716045</v>
      </c>
      <c r="AQ92" s="2">
        <v>234.97500000000002</v>
      </c>
      <c r="AR92" s="2">
        <f>Table834[[#This Row],[Sugar]]^2</f>
        <v>55213.250625000008</v>
      </c>
      <c r="AS92" s="2">
        <v>75</v>
      </c>
      <c r="AT92" s="2">
        <f>Table834[[#This Row],[Servings]]^2</f>
        <v>5625</v>
      </c>
      <c r="AU92" s="2">
        <v>0</v>
      </c>
      <c r="AV92" s="2">
        <f>Table834[[#This Row],[Water]]^2</f>
        <v>0</v>
      </c>
      <c r="AW92" s="2">
        <v>1127.25</v>
      </c>
      <c r="AX92" s="2">
        <f>Table834[[#This Row],[Fat Calories]]^2</f>
        <v>1270692.5625</v>
      </c>
      <c r="AY92" s="3">
        <f>Table834[[#This Row],[Weight]]*Table834[[#This Row],[Waist]]</f>
        <v>11066.4</v>
      </c>
      <c r="AZ92" s="4">
        <f>Table834[[#This Row],[Weight]]*Table834[[#This Row],[Neck]]</f>
        <v>4197.6000000000004</v>
      </c>
      <c r="BA92" s="4">
        <f>Table834[[#This Row],[Weight]]*Table834[[#This Row],[Morning Body Temp]]</f>
        <v>24396.960000000003</v>
      </c>
      <c r="BB92" s="4">
        <f>Table834[[#This Row],[Weight]]*Table834[[#This Row],[Morning Systolic Pressure]]</f>
        <v>35616</v>
      </c>
      <c r="BC92" s="11">
        <f>Table834[[#This Row],[Weight]]*Table834[[#This Row],[Morning Diastolic Pressure]]</f>
        <v>18825.600000000002</v>
      </c>
      <c r="BD92" s="2">
        <f>Table834[[#This Row],[Weight]]*Table834[[#This Row],[Morning Pulse]]</f>
        <v>18316.8</v>
      </c>
      <c r="BE92" s="2">
        <f>Table834[[#This Row],[Weight]]*Table834[[#This Row],[Night Body Temp]]</f>
        <v>24727.68</v>
      </c>
      <c r="BF92" s="2">
        <f>Table834[[#This Row],[Weight]]*Table834[[#This Row],[Night Systolic Pressure]]</f>
        <v>30528</v>
      </c>
      <c r="BG92" s="4">
        <f>Table83[[#This Row],[Weight]]*Table83[[#This Row],[Night Diastolic Pressure]]</f>
        <v>19843.2</v>
      </c>
      <c r="BH92" s="2">
        <f>Table834[[#This Row],[Weight]]*Table834[[#This Row],[Night Pulse]]</f>
        <v>18316.8</v>
      </c>
      <c r="BI92" s="2">
        <f>Table834[[#This Row],[Weight]]*Table834[[#This Row],[Sleep]]</f>
        <v>1780.8</v>
      </c>
      <c r="BJ92" s="2">
        <f>Table834[[#This Row],[Weight]]*Table834[[#This Row],[BMI]]</f>
        <v>9285.2469551020422</v>
      </c>
      <c r="BK92" s="2">
        <f>Table834[[#This Row],[Weight]]*Table834[[#This Row],[CBF]]</f>
        <v>7794.5833600215619</v>
      </c>
      <c r="BL92" s="2">
        <f>Table834[[#This Row],[Weight]]*Table834[[#This Row],[Gym]]</f>
        <v>254.4</v>
      </c>
      <c r="BM92" s="2">
        <f>Table834[[#This Row],[Weight]]*Table834[[#This Row],[Cardio]]</f>
        <v>0</v>
      </c>
      <c r="BN92" s="2">
        <f>Table834[[#This Row],[Weight]]*Table834[[#This Row],[Calories]]</f>
        <v>691357.44</v>
      </c>
      <c r="BO92" s="2">
        <f>Table834[[#This Row],[Weight]]*Table834[[#This Row],[Carbs]]</f>
        <v>68349.506666666683</v>
      </c>
      <c r="BP92" s="2">
        <f>Table834[[#This Row],[Weight]]*Table834[[#This Row],[Fat ]]</f>
        <v>31863.600000000006</v>
      </c>
      <c r="BQ92" s="2">
        <f>Table834[[#This Row],[Weight]]*Table834[[#This Row],[Protein]]</f>
        <v>42110.973333333342</v>
      </c>
      <c r="BR92" s="2">
        <f>Table834[[#This Row],[Weight]]*Table834[[#This Row],[Fiber]]</f>
        <v>2627.3866666666663</v>
      </c>
      <c r="BS92" s="2">
        <f>Table834[[#This Row],[Weight]]*Table834[[#This Row],[Sugar]]</f>
        <v>59777.640000000007</v>
      </c>
      <c r="BT92" s="2">
        <f>Table834[[#This Row],[Weight]]*Table834[[#This Row],[Servings]]</f>
        <v>19080</v>
      </c>
      <c r="BU92" s="2">
        <f>Table834[[#This Row],[Weight]]*Table834[[#This Row],[Water]]</f>
        <v>0</v>
      </c>
      <c r="BV92" s="2">
        <f>Table834[[#This Row],[Weight]]*Table834[[#This Row],[Fat Calories]]</f>
        <v>286772.40000000002</v>
      </c>
      <c r="BW92" s="2">
        <f>Table834[[#This Row],[Waist]]*Table834[[#This Row],[Neck]]</f>
        <v>717.75</v>
      </c>
      <c r="BX92" s="2">
        <f>Table834[[#This Row],[Waist]]*Table834[[#This Row],[Morning Body Temp]]</f>
        <v>4171.6500000000005</v>
      </c>
      <c r="BY92" s="2">
        <f>Table834[[#This Row],[Waist]]*Table834[[#This Row],[Morning Systolic Pressure]]</f>
        <v>6090</v>
      </c>
      <c r="BZ92" s="2">
        <f>Table834[[#This Row],[Waist]]*Table834[[#This Row],[Morning Diastolic Pressure]]</f>
        <v>3219</v>
      </c>
      <c r="CA92" s="2">
        <f>Table834[[#This Row],[Waist]]*Table834[[#This Row],[Morning Pulse]]</f>
        <v>3132</v>
      </c>
      <c r="CB92" s="2">
        <f>Table834[[#This Row],[Waist]]*Table834[[#This Row],[Night Body Temp]]</f>
        <v>4228.2</v>
      </c>
      <c r="CC92" s="2">
        <f>Table834[[#This Row],[Waist]]*Table834[[#This Row],[Night Systolic Pressure]]</f>
        <v>5220</v>
      </c>
      <c r="CD92" s="4">
        <f>Table83[[#This Row],[Waist]]*Table83[[#This Row],[Night Diastolic Pressure]]</f>
        <v>3393</v>
      </c>
      <c r="CE92" s="2">
        <f>Table834[[#This Row],[Waist]]*Table834[[#This Row],[Night Pulse]]</f>
        <v>3132</v>
      </c>
      <c r="CF92" s="2">
        <f>Table834[[#This Row],[Waist]]*Table834[[#This Row],[Sleep]]</f>
        <v>304.5</v>
      </c>
      <c r="CG92" s="2">
        <f>Table834[[#This Row],[Waist]]*Table834[[#This Row],[BMI]]</f>
        <v>1587.6896326530614</v>
      </c>
      <c r="CH92" s="2">
        <f>Table834[[#This Row],[Waist]]*Table834[[#This Row],[CBF]]</f>
        <v>1332.8002207584038</v>
      </c>
      <c r="CI92" s="2">
        <f>Table834[[#This Row],[Waist]]*Table834[[#This Row],[Gym]]</f>
        <v>43.5</v>
      </c>
      <c r="CJ92" s="2">
        <f>Table834[[#This Row],[Waist]]*Table834[[#This Row],[Cardio]]</f>
        <v>0</v>
      </c>
      <c r="CK92" s="2">
        <f>Table834[[#This Row],[Waist]]*Table834[[#This Row],[Calories]]</f>
        <v>118215.59999999999</v>
      </c>
      <c r="CL92" s="2">
        <f>Table834[[#This Row],[Waist]]*Table834[[#This Row],[Carbs]]</f>
        <v>11687.120833333334</v>
      </c>
      <c r="CM92" s="2">
        <f>Table834[[#This Row],[Waist]]*Table834[[#This Row],[Fat ]]</f>
        <v>5448.3750000000009</v>
      </c>
      <c r="CN92" s="2">
        <f>Table834[[#This Row],[Waist]]*Table834[[#This Row],[Protein]]</f>
        <v>7200.5791666666682</v>
      </c>
      <c r="CO92" s="2">
        <f>Table834[[#This Row],[Waist]]*Table834[[#This Row],[Fiber]]</f>
        <v>449.25833333333327</v>
      </c>
      <c r="CP92" s="2">
        <f>Table834[[#This Row],[Waist]]*Table834[[#This Row],[Sugar]]</f>
        <v>10221.4125</v>
      </c>
      <c r="CQ92" s="2">
        <f>Table834[[#This Row],[Waist]]*Table834[[#This Row],[Servings]]</f>
        <v>3262.5</v>
      </c>
      <c r="CR92" s="2">
        <f>Table834[[#This Row],[Waist]]*Table834[[#This Row],[Water]]</f>
        <v>0</v>
      </c>
      <c r="CS92" s="2">
        <f>Table834[[#This Row],[Waist]]*Table834[[#This Row],[Fat Calories]]</f>
        <v>49035.375</v>
      </c>
    </row>
    <row r="93" spans="1:97" x14ac:dyDescent="0.25">
      <c r="A93" s="2">
        <v>252.4</v>
      </c>
      <c r="B93" s="2">
        <f>Table834[[#This Row],[Weight]]^2</f>
        <v>63705.760000000002</v>
      </c>
      <c r="C93" s="2">
        <v>43.5</v>
      </c>
      <c r="D93" s="2">
        <f>Table834[[#This Row],[Waist]]^2</f>
        <v>1892.25</v>
      </c>
      <c r="E93" s="2">
        <v>16.5</v>
      </c>
      <c r="F93" s="2">
        <f>Table834[[#This Row],[Neck]]^2</f>
        <v>272.25</v>
      </c>
      <c r="G93" s="2">
        <v>95.9</v>
      </c>
      <c r="H93" s="2">
        <f>Table834[[#This Row],[Morning Body Temp]]^2</f>
        <v>9196.8100000000013</v>
      </c>
      <c r="I93" s="2">
        <v>135</v>
      </c>
      <c r="J93" s="2">
        <f>Table834[[#This Row],[Morning Systolic Pressure]]^2</f>
        <v>18225</v>
      </c>
      <c r="K93" s="2">
        <v>76</v>
      </c>
      <c r="L93" s="2">
        <f>Table834[[#This Row],[Morning Diastolic Pressure]]^2</f>
        <v>5776</v>
      </c>
      <c r="M93" s="2">
        <v>74</v>
      </c>
      <c r="N93" s="2">
        <f>Table834[[#This Row],[Morning Pulse]]^2</f>
        <v>5476</v>
      </c>
      <c r="O93" s="2">
        <v>96.2</v>
      </c>
      <c r="P93" s="2">
        <f>Table834[[#This Row],[Night Body Temp]]^2</f>
        <v>9254.44</v>
      </c>
      <c r="Q93" s="2">
        <v>148</v>
      </c>
      <c r="R93" s="2">
        <f>Table834[[#This Row],[Night Systolic Pressure]]^2</f>
        <v>21904</v>
      </c>
      <c r="S93" s="2">
        <v>80</v>
      </c>
      <c r="T93" s="2">
        <f>Table834[[#This Row],[Night Diastolic Pressure]]^2</f>
        <v>6400</v>
      </c>
      <c r="U93" s="2">
        <v>77</v>
      </c>
      <c r="V93" s="2">
        <f>Table834[[#This Row],[Night Pulse]]^2</f>
        <v>5929</v>
      </c>
      <c r="W93" s="2">
        <v>5</v>
      </c>
      <c r="X93" s="2">
        <f>Table834[[#This Row],[Sleep]]^2</f>
        <v>25</v>
      </c>
      <c r="Y93" s="2">
        <f t="shared" si="3"/>
        <v>36.211673469387755</v>
      </c>
      <c r="Z93" s="2">
        <f>Table834[[#This Row],[BMI]]^2</f>
        <v>1311.285295453561</v>
      </c>
      <c r="AA93" s="2">
        <f t="shared" si="2"/>
        <v>30.639085534675949</v>
      </c>
      <c r="AB93" s="2">
        <f>Table834[[#This Row],[CBF]]^2</f>
        <v>938.75356240118901</v>
      </c>
      <c r="AC93" s="2">
        <v>0</v>
      </c>
      <c r="AD93" s="2">
        <f>Table834[[#This Row],[Gym]]^2</f>
        <v>0</v>
      </c>
      <c r="AE93" s="2">
        <v>0</v>
      </c>
      <c r="AF93" s="2">
        <f>Table834[[#This Row],[Cardio]]^2</f>
        <v>0</v>
      </c>
      <c r="AG93" s="2">
        <v>7706.8</v>
      </c>
      <c r="AH93" s="2">
        <f>Table834[[#This Row],[Calories]]^2</f>
        <v>59394766.240000002</v>
      </c>
      <c r="AI93" s="2">
        <v>934.53472222222229</v>
      </c>
      <c r="AJ93" s="2">
        <f>Table834[[#This Row],[Carbs]]^2</f>
        <v>873355.14703896618</v>
      </c>
      <c r="AK93" s="2">
        <v>327.47499999999997</v>
      </c>
      <c r="AL93" s="2">
        <f>Table834[[#This Row],[Fat ]]^2</f>
        <v>107239.87562499997</v>
      </c>
      <c r="AM93" s="2">
        <v>276.46527777777777</v>
      </c>
      <c r="AN93" s="2">
        <f>Table834[[#This Row],[Protein]]^2</f>
        <v>76433.04981674382</v>
      </c>
      <c r="AO93" s="2">
        <v>28.763888888888889</v>
      </c>
      <c r="AP93" s="2">
        <f>Table834[[#This Row],[Fiber]]^2</f>
        <v>827.36130401234573</v>
      </c>
      <c r="AQ93" s="2">
        <v>523.58749999999998</v>
      </c>
      <c r="AR93" s="2">
        <f>Table834[[#This Row],[Sugar]]^2</f>
        <v>274143.87015624996</v>
      </c>
      <c r="AS93" s="2">
        <v>98.666666666666671</v>
      </c>
      <c r="AT93" s="2">
        <f>Table834[[#This Row],[Servings]]^2</f>
        <v>9735.1111111111113</v>
      </c>
      <c r="AU93" s="2">
        <v>0</v>
      </c>
      <c r="AV93" s="2">
        <f>Table834[[#This Row],[Water]]^2</f>
        <v>0</v>
      </c>
      <c r="AW93" s="2">
        <v>2947.2750000000001</v>
      </c>
      <c r="AX93" s="2">
        <f>Table834[[#This Row],[Fat Calories]]^2</f>
        <v>8686429.9256250001</v>
      </c>
      <c r="AY93" s="5">
        <f>Table834[[#This Row],[Weight]]*Table834[[#This Row],[Waist]]</f>
        <v>10979.4</v>
      </c>
      <c r="AZ93" s="6">
        <f>Table834[[#This Row],[Weight]]*Table834[[#This Row],[Neck]]</f>
        <v>4164.6000000000004</v>
      </c>
      <c r="BA93" s="6">
        <f>Table834[[#This Row],[Weight]]*Table834[[#This Row],[Morning Body Temp]]</f>
        <v>24205.160000000003</v>
      </c>
      <c r="BB93" s="6">
        <f>Table834[[#This Row],[Weight]]*Table834[[#This Row],[Morning Systolic Pressure]]</f>
        <v>34074</v>
      </c>
      <c r="BC93" s="12">
        <f>Table834[[#This Row],[Weight]]*Table834[[#This Row],[Morning Diastolic Pressure]]</f>
        <v>19182.400000000001</v>
      </c>
      <c r="BD93" s="2">
        <f>Table834[[#This Row],[Weight]]*Table834[[#This Row],[Morning Pulse]]</f>
        <v>18677.600000000002</v>
      </c>
      <c r="BE93" s="2">
        <f>Table834[[#This Row],[Weight]]*Table834[[#This Row],[Night Body Temp]]</f>
        <v>24280.880000000001</v>
      </c>
      <c r="BF93" s="2">
        <f>Table834[[#This Row],[Weight]]*Table834[[#This Row],[Night Systolic Pressure]]</f>
        <v>37355.200000000004</v>
      </c>
      <c r="BG93" s="4">
        <f>Table83[[#This Row],[Weight]]*Table83[[#This Row],[Night Diastolic Pressure]]</f>
        <v>20192</v>
      </c>
      <c r="BH93" s="2">
        <f>Table834[[#This Row],[Weight]]*Table834[[#This Row],[Night Pulse]]</f>
        <v>19434.8</v>
      </c>
      <c r="BI93" s="2">
        <f>Table834[[#This Row],[Weight]]*Table834[[#This Row],[Sleep]]</f>
        <v>1262</v>
      </c>
      <c r="BJ93" s="2">
        <f>Table834[[#This Row],[Weight]]*Table834[[#This Row],[BMI]]</f>
        <v>9139.8263836734695</v>
      </c>
      <c r="BK93" s="2">
        <f>Table834[[#This Row],[Weight]]*Table834[[#This Row],[CBF]]</f>
        <v>7733.3051889522094</v>
      </c>
      <c r="BL93" s="2">
        <f>Table834[[#This Row],[Weight]]*Table834[[#This Row],[Gym]]</f>
        <v>0</v>
      </c>
      <c r="BM93" s="2">
        <f>Table834[[#This Row],[Weight]]*Table834[[#This Row],[Cardio]]</f>
        <v>0</v>
      </c>
      <c r="BN93" s="2">
        <f>Table834[[#This Row],[Weight]]*Table834[[#This Row],[Calories]]</f>
        <v>1945196.32</v>
      </c>
      <c r="BO93" s="2">
        <f>Table834[[#This Row],[Weight]]*Table834[[#This Row],[Carbs]]</f>
        <v>235876.56388888892</v>
      </c>
      <c r="BP93" s="2">
        <f>Table834[[#This Row],[Weight]]*Table834[[#This Row],[Fat ]]</f>
        <v>82654.689999999988</v>
      </c>
      <c r="BQ93" s="2">
        <f>Table834[[#This Row],[Weight]]*Table834[[#This Row],[Protein]]</f>
        <v>69779.836111111115</v>
      </c>
      <c r="BR93" s="2">
        <f>Table834[[#This Row],[Weight]]*Table834[[#This Row],[Fiber]]</f>
        <v>7260.0055555555555</v>
      </c>
      <c r="BS93" s="2">
        <f>Table834[[#This Row],[Weight]]*Table834[[#This Row],[Sugar]]</f>
        <v>132153.48499999999</v>
      </c>
      <c r="BT93" s="2">
        <f>Table834[[#This Row],[Weight]]*Table834[[#This Row],[Servings]]</f>
        <v>24903.466666666667</v>
      </c>
      <c r="BU93" s="2">
        <f>Table834[[#This Row],[Weight]]*Table834[[#This Row],[Water]]</f>
        <v>0</v>
      </c>
      <c r="BV93" s="2">
        <f>Table834[[#This Row],[Weight]]*Table834[[#This Row],[Fat Calories]]</f>
        <v>743892.21000000008</v>
      </c>
      <c r="BW93" s="2">
        <f>Table834[[#This Row],[Waist]]*Table834[[#This Row],[Neck]]</f>
        <v>717.75</v>
      </c>
      <c r="BX93" s="2">
        <f>Table834[[#This Row],[Waist]]*Table834[[#This Row],[Morning Body Temp]]</f>
        <v>4171.6500000000005</v>
      </c>
      <c r="BY93" s="2">
        <f>Table834[[#This Row],[Waist]]*Table834[[#This Row],[Morning Systolic Pressure]]</f>
        <v>5872.5</v>
      </c>
      <c r="BZ93" s="2">
        <f>Table834[[#This Row],[Waist]]*Table834[[#This Row],[Morning Diastolic Pressure]]</f>
        <v>3306</v>
      </c>
      <c r="CA93" s="2">
        <f>Table834[[#This Row],[Waist]]*Table834[[#This Row],[Morning Pulse]]</f>
        <v>3219</v>
      </c>
      <c r="CB93" s="2">
        <f>Table834[[#This Row],[Waist]]*Table834[[#This Row],[Night Body Temp]]</f>
        <v>4184.7</v>
      </c>
      <c r="CC93" s="2">
        <f>Table834[[#This Row],[Waist]]*Table834[[#This Row],[Night Systolic Pressure]]</f>
        <v>6438</v>
      </c>
      <c r="CD93" s="4">
        <f>Table83[[#This Row],[Waist]]*Table83[[#This Row],[Night Diastolic Pressure]]</f>
        <v>3480</v>
      </c>
      <c r="CE93" s="2">
        <f>Table834[[#This Row],[Waist]]*Table834[[#This Row],[Night Pulse]]</f>
        <v>3349.5</v>
      </c>
      <c r="CF93" s="2">
        <f>Table834[[#This Row],[Waist]]*Table834[[#This Row],[Sleep]]</f>
        <v>217.5</v>
      </c>
      <c r="CG93" s="2">
        <f>Table834[[#This Row],[Waist]]*Table834[[#This Row],[BMI]]</f>
        <v>1575.2077959183673</v>
      </c>
      <c r="CH93" s="2">
        <f>Table834[[#This Row],[Waist]]*Table834[[#This Row],[CBF]]</f>
        <v>1332.8002207584038</v>
      </c>
      <c r="CI93" s="2">
        <f>Table834[[#This Row],[Waist]]*Table834[[#This Row],[Gym]]</f>
        <v>0</v>
      </c>
      <c r="CJ93" s="2">
        <f>Table834[[#This Row],[Waist]]*Table834[[#This Row],[Cardio]]</f>
        <v>0</v>
      </c>
      <c r="CK93" s="2">
        <f>Table834[[#This Row],[Waist]]*Table834[[#This Row],[Calories]]</f>
        <v>335245.8</v>
      </c>
      <c r="CL93" s="2">
        <f>Table834[[#This Row],[Waist]]*Table834[[#This Row],[Carbs]]</f>
        <v>40652.260416666672</v>
      </c>
      <c r="CM93" s="2">
        <f>Table834[[#This Row],[Waist]]*Table834[[#This Row],[Fat ]]</f>
        <v>14245.162499999999</v>
      </c>
      <c r="CN93" s="2">
        <f>Table834[[#This Row],[Waist]]*Table834[[#This Row],[Protein]]</f>
        <v>12026.239583333334</v>
      </c>
      <c r="CO93" s="2">
        <f>Table834[[#This Row],[Waist]]*Table834[[#This Row],[Fiber]]</f>
        <v>1251.2291666666667</v>
      </c>
      <c r="CP93" s="2">
        <f>Table834[[#This Row],[Waist]]*Table834[[#This Row],[Sugar]]</f>
        <v>22776.056249999998</v>
      </c>
      <c r="CQ93" s="2">
        <f>Table834[[#This Row],[Waist]]*Table834[[#This Row],[Servings]]</f>
        <v>4292</v>
      </c>
      <c r="CR93" s="2">
        <f>Table834[[#This Row],[Waist]]*Table834[[#This Row],[Water]]</f>
        <v>0</v>
      </c>
      <c r="CS93" s="2">
        <f>Table834[[#This Row],[Waist]]*Table834[[#This Row],[Fat Calories]]</f>
        <v>128206.46250000001</v>
      </c>
    </row>
    <row r="94" spans="1:97" x14ac:dyDescent="0.25">
      <c r="A94" s="2">
        <v>255.8</v>
      </c>
      <c r="B94" s="2">
        <f>Table834[[#This Row],[Weight]]^2</f>
        <v>65433.640000000007</v>
      </c>
      <c r="C94" s="2">
        <v>44</v>
      </c>
      <c r="D94" s="2">
        <f>Table834[[#This Row],[Waist]]^2</f>
        <v>1936</v>
      </c>
      <c r="E94" s="2">
        <v>16.5</v>
      </c>
      <c r="F94" s="2">
        <f>Table834[[#This Row],[Neck]]^2</f>
        <v>272.25</v>
      </c>
      <c r="G94" s="2">
        <v>98</v>
      </c>
      <c r="H94" s="2">
        <f>Table834[[#This Row],[Morning Body Temp]]^2</f>
        <v>9604</v>
      </c>
      <c r="I94" s="2">
        <v>159</v>
      </c>
      <c r="J94" s="2">
        <f>Table834[[#This Row],[Morning Systolic Pressure]]^2</f>
        <v>25281</v>
      </c>
      <c r="K94" s="2">
        <v>83</v>
      </c>
      <c r="L94" s="2">
        <f>Table834[[#This Row],[Morning Diastolic Pressure]]^2</f>
        <v>6889</v>
      </c>
      <c r="M94" s="2">
        <v>87</v>
      </c>
      <c r="N94" s="2">
        <f>Table834[[#This Row],[Morning Pulse]]^2</f>
        <v>7569</v>
      </c>
      <c r="O94" s="2">
        <v>96.9</v>
      </c>
      <c r="P94" s="2">
        <f>Table834[[#This Row],[Night Body Temp]]^2</f>
        <v>9389.61</v>
      </c>
      <c r="Q94" s="2">
        <v>148</v>
      </c>
      <c r="R94" s="2">
        <f>Table834[[#This Row],[Night Systolic Pressure]]^2</f>
        <v>21904</v>
      </c>
      <c r="S94" s="2">
        <v>81</v>
      </c>
      <c r="T94" s="2">
        <f>Table834[[#This Row],[Night Diastolic Pressure]]^2</f>
        <v>6561</v>
      </c>
      <c r="U94" s="2">
        <v>82</v>
      </c>
      <c r="V94" s="2">
        <f>Table834[[#This Row],[Night Pulse]]^2</f>
        <v>6724</v>
      </c>
      <c r="W94" s="2">
        <v>8</v>
      </c>
      <c r="X94" s="2">
        <f>Table834[[#This Row],[Sleep]]^2</f>
        <v>64</v>
      </c>
      <c r="Y94" s="2">
        <f t="shared" si="3"/>
        <v>36.699469387755101</v>
      </c>
      <c r="Z94" s="2">
        <f>Table834[[#This Row],[BMI]]^2</f>
        <v>1346.8510533427739</v>
      </c>
      <c r="AA94" s="2">
        <f t="shared" si="2"/>
        <v>31.324493175702337</v>
      </c>
      <c r="AB94" s="2">
        <f>Table834[[#This Row],[CBF]]^2</f>
        <v>981.2238727146223</v>
      </c>
      <c r="AC94" s="2">
        <v>0</v>
      </c>
      <c r="AD94" s="2">
        <f>Table834[[#This Row],[Gym]]^2</f>
        <v>0</v>
      </c>
      <c r="AE94" s="2">
        <v>0</v>
      </c>
      <c r="AF94" s="2">
        <f>Table834[[#This Row],[Cardio]]^2</f>
        <v>0</v>
      </c>
      <c r="AG94" s="2">
        <v>6005.7866666666669</v>
      </c>
      <c r="AH94" s="2">
        <f>Table834[[#This Row],[Calories]]^2</f>
        <v>36069473.485511117</v>
      </c>
      <c r="AI94" s="2">
        <v>970.16666666666674</v>
      </c>
      <c r="AJ94" s="2">
        <f>Table834[[#This Row],[Carbs]]^2</f>
        <v>941223.36111111124</v>
      </c>
      <c r="AK94" s="2">
        <v>195.5</v>
      </c>
      <c r="AL94" s="2">
        <f>Table834[[#This Row],[Fat ]]^2</f>
        <v>38220.25</v>
      </c>
      <c r="AM94" s="2">
        <v>95.833333333333343</v>
      </c>
      <c r="AN94" s="2">
        <f>Table834[[#This Row],[Protein]]^2</f>
        <v>9184.0277777777792</v>
      </c>
      <c r="AO94" s="2">
        <v>36.256666666666668</v>
      </c>
      <c r="AP94" s="2">
        <f>Table834[[#This Row],[Fiber]]^2</f>
        <v>1314.5458777777778</v>
      </c>
      <c r="AQ94" s="2">
        <v>653.99</v>
      </c>
      <c r="AR94" s="2">
        <f>Table834[[#This Row],[Sugar]]^2</f>
        <v>427702.92009999999</v>
      </c>
      <c r="AS94" s="2">
        <v>126.7</v>
      </c>
      <c r="AT94" s="2">
        <f>Table834[[#This Row],[Servings]]^2</f>
        <v>16052.890000000001</v>
      </c>
      <c r="AU94" s="2">
        <v>0</v>
      </c>
      <c r="AV94" s="2">
        <f>Table834[[#This Row],[Water]]^2</f>
        <v>0</v>
      </c>
      <c r="AW94" s="2">
        <v>1759.5</v>
      </c>
      <c r="AX94" s="2">
        <f>Table834[[#This Row],[Fat Calories]]^2</f>
        <v>3095840.25</v>
      </c>
      <c r="AY94" s="3">
        <f>Table834[[#This Row],[Weight]]*Table834[[#This Row],[Waist]]</f>
        <v>11255.2</v>
      </c>
      <c r="AZ94" s="4">
        <f>Table834[[#This Row],[Weight]]*Table834[[#This Row],[Neck]]</f>
        <v>4220.7</v>
      </c>
      <c r="BA94" s="4">
        <f>Table834[[#This Row],[Weight]]*Table834[[#This Row],[Morning Body Temp]]</f>
        <v>25068.400000000001</v>
      </c>
      <c r="BB94" s="4">
        <f>Table834[[#This Row],[Weight]]*Table834[[#This Row],[Morning Systolic Pressure]]</f>
        <v>40672.200000000004</v>
      </c>
      <c r="BC94" s="11">
        <f>Table834[[#This Row],[Weight]]*Table834[[#This Row],[Morning Diastolic Pressure]]</f>
        <v>21231.4</v>
      </c>
      <c r="BD94" s="2">
        <f>Table834[[#This Row],[Weight]]*Table834[[#This Row],[Morning Pulse]]</f>
        <v>22254.600000000002</v>
      </c>
      <c r="BE94" s="2">
        <f>Table834[[#This Row],[Weight]]*Table834[[#This Row],[Night Body Temp]]</f>
        <v>24787.020000000004</v>
      </c>
      <c r="BF94" s="2">
        <f>Table834[[#This Row],[Weight]]*Table834[[#This Row],[Night Systolic Pressure]]</f>
        <v>37858.400000000001</v>
      </c>
      <c r="BG94" s="4">
        <f>Table83[[#This Row],[Weight]]*Table83[[#This Row],[Night Diastolic Pressure]]</f>
        <v>20719.8</v>
      </c>
      <c r="BH94" s="2">
        <f>Table834[[#This Row],[Weight]]*Table834[[#This Row],[Night Pulse]]</f>
        <v>20975.600000000002</v>
      </c>
      <c r="BI94" s="2">
        <f>Table834[[#This Row],[Weight]]*Table834[[#This Row],[Sleep]]</f>
        <v>2046.4</v>
      </c>
      <c r="BJ94" s="2">
        <f>Table834[[#This Row],[Weight]]*Table834[[#This Row],[BMI]]</f>
        <v>9387.7242693877561</v>
      </c>
      <c r="BK94" s="2">
        <f>Table834[[#This Row],[Weight]]*Table834[[#This Row],[CBF]]</f>
        <v>8012.8053543446576</v>
      </c>
      <c r="BL94" s="2">
        <f>Table834[[#This Row],[Weight]]*Table834[[#This Row],[Gym]]</f>
        <v>0</v>
      </c>
      <c r="BM94" s="2">
        <f>Table834[[#This Row],[Weight]]*Table834[[#This Row],[Cardio]]</f>
        <v>0</v>
      </c>
      <c r="BN94" s="2">
        <f>Table834[[#This Row],[Weight]]*Table834[[#This Row],[Calories]]</f>
        <v>1536280.2293333334</v>
      </c>
      <c r="BO94" s="2">
        <f>Table834[[#This Row],[Weight]]*Table834[[#This Row],[Carbs]]</f>
        <v>248168.63333333336</v>
      </c>
      <c r="BP94" s="2">
        <f>Table834[[#This Row],[Weight]]*Table834[[#This Row],[Fat ]]</f>
        <v>50008.9</v>
      </c>
      <c r="BQ94" s="2">
        <f>Table834[[#This Row],[Weight]]*Table834[[#This Row],[Protein]]</f>
        <v>24514.166666666672</v>
      </c>
      <c r="BR94" s="2">
        <f>Table834[[#This Row],[Weight]]*Table834[[#This Row],[Fiber]]</f>
        <v>9274.4553333333333</v>
      </c>
      <c r="BS94" s="2">
        <f>Table834[[#This Row],[Weight]]*Table834[[#This Row],[Sugar]]</f>
        <v>167290.64200000002</v>
      </c>
      <c r="BT94" s="2">
        <f>Table834[[#This Row],[Weight]]*Table834[[#This Row],[Servings]]</f>
        <v>32409.86</v>
      </c>
      <c r="BU94" s="2">
        <f>Table834[[#This Row],[Weight]]*Table834[[#This Row],[Water]]</f>
        <v>0</v>
      </c>
      <c r="BV94" s="2">
        <f>Table834[[#This Row],[Weight]]*Table834[[#This Row],[Fat Calories]]</f>
        <v>450080.10000000003</v>
      </c>
      <c r="BW94" s="2">
        <f>Table834[[#This Row],[Waist]]*Table834[[#This Row],[Neck]]</f>
        <v>726</v>
      </c>
      <c r="BX94" s="2">
        <f>Table834[[#This Row],[Waist]]*Table834[[#This Row],[Morning Body Temp]]</f>
        <v>4312</v>
      </c>
      <c r="BY94" s="2">
        <f>Table834[[#This Row],[Waist]]*Table834[[#This Row],[Morning Systolic Pressure]]</f>
        <v>6996</v>
      </c>
      <c r="BZ94" s="2">
        <f>Table834[[#This Row],[Waist]]*Table834[[#This Row],[Morning Diastolic Pressure]]</f>
        <v>3652</v>
      </c>
      <c r="CA94" s="2">
        <f>Table834[[#This Row],[Waist]]*Table834[[#This Row],[Morning Pulse]]</f>
        <v>3828</v>
      </c>
      <c r="CB94" s="2">
        <f>Table834[[#This Row],[Waist]]*Table834[[#This Row],[Night Body Temp]]</f>
        <v>4263.6000000000004</v>
      </c>
      <c r="CC94" s="2">
        <f>Table834[[#This Row],[Waist]]*Table834[[#This Row],[Night Systolic Pressure]]</f>
        <v>6512</v>
      </c>
      <c r="CD94" s="4">
        <f>Table83[[#This Row],[Waist]]*Table83[[#This Row],[Night Diastolic Pressure]]</f>
        <v>3564</v>
      </c>
      <c r="CE94" s="2">
        <f>Table834[[#This Row],[Waist]]*Table834[[#This Row],[Night Pulse]]</f>
        <v>3608</v>
      </c>
      <c r="CF94" s="2">
        <f>Table834[[#This Row],[Waist]]*Table834[[#This Row],[Sleep]]</f>
        <v>352</v>
      </c>
      <c r="CG94" s="2">
        <f>Table834[[#This Row],[Waist]]*Table834[[#This Row],[BMI]]</f>
        <v>1614.7766530612244</v>
      </c>
      <c r="CH94" s="2">
        <f>Table834[[#This Row],[Waist]]*Table834[[#This Row],[CBF]]</f>
        <v>1378.2776997309029</v>
      </c>
      <c r="CI94" s="2">
        <f>Table834[[#This Row],[Waist]]*Table834[[#This Row],[Gym]]</f>
        <v>0</v>
      </c>
      <c r="CJ94" s="2">
        <f>Table834[[#This Row],[Waist]]*Table834[[#This Row],[Cardio]]</f>
        <v>0</v>
      </c>
      <c r="CK94" s="2">
        <f>Table834[[#This Row],[Waist]]*Table834[[#This Row],[Calories]]</f>
        <v>264254.61333333334</v>
      </c>
      <c r="CL94" s="2">
        <f>Table834[[#This Row],[Waist]]*Table834[[#This Row],[Carbs]]</f>
        <v>42687.333333333336</v>
      </c>
      <c r="CM94" s="2">
        <f>Table834[[#This Row],[Waist]]*Table834[[#This Row],[Fat ]]</f>
        <v>8602</v>
      </c>
      <c r="CN94" s="2">
        <f>Table834[[#This Row],[Waist]]*Table834[[#This Row],[Protein]]</f>
        <v>4216.666666666667</v>
      </c>
      <c r="CO94" s="2">
        <f>Table834[[#This Row],[Waist]]*Table834[[#This Row],[Fiber]]</f>
        <v>1595.2933333333333</v>
      </c>
      <c r="CP94" s="2">
        <f>Table834[[#This Row],[Waist]]*Table834[[#This Row],[Sugar]]</f>
        <v>28775.56</v>
      </c>
      <c r="CQ94" s="2">
        <f>Table834[[#This Row],[Waist]]*Table834[[#This Row],[Servings]]</f>
        <v>5574.8</v>
      </c>
      <c r="CR94" s="2">
        <f>Table834[[#This Row],[Waist]]*Table834[[#This Row],[Water]]</f>
        <v>0</v>
      </c>
      <c r="CS94" s="2">
        <f>Table834[[#This Row],[Waist]]*Table834[[#This Row],[Fat Calories]]</f>
        <v>77418</v>
      </c>
    </row>
    <row r="95" spans="1:97" x14ac:dyDescent="0.25">
      <c r="A95" s="2">
        <v>255.6</v>
      </c>
      <c r="B95" s="2">
        <f>Table834[[#This Row],[Weight]]^2</f>
        <v>65331.360000000001</v>
      </c>
      <c r="C95" s="2">
        <v>44.5</v>
      </c>
      <c r="D95" s="2">
        <f>Table834[[#This Row],[Waist]]^2</f>
        <v>1980.25</v>
      </c>
      <c r="E95" s="2">
        <v>16.5</v>
      </c>
      <c r="F95" s="2">
        <f>Table834[[#This Row],[Neck]]^2</f>
        <v>272.25</v>
      </c>
      <c r="G95" s="2">
        <v>96.4</v>
      </c>
      <c r="H95" s="2">
        <f>Table834[[#This Row],[Morning Body Temp]]^2</f>
        <v>9292.9600000000009</v>
      </c>
      <c r="I95" s="2">
        <v>132</v>
      </c>
      <c r="J95" s="2">
        <f>Table834[[#This Row],[Morning Systolic Pressure]]^2</f>
        <v>17424</v>
      </c>
      <c r="K95" s="2">
        <v>81</v>
      </c>
      <c r="L95" s="2">
        <f>Table834[[#This Row],[Morning Diastolic Pressure]]^2</f>
        <v>6561</v>
      </c>
      <c r="M95" s="2">
        <v>62</v>
      </c>
      <c r="N95" s="2">
        <f>Table834[[#This Row],[Morning Pulse]]^2</f>
        <v>3844</v>
      </c>
      <c r="O95" s="2">
        <v>96.9</v>
      </c>
      <c r="P95" s="2">
        <f>Table834[[#This Row],[Night Body Temp]]^2</f>
        <v>9389.61</v>
      </c>
      <c r="Q95" s="2">
        <v>120</v>
      </c>
      <c r="R95" s="2">
        <f>Table834[[#This Row],[Night Systolic Pressure]]^2</f>
        <v>14400</v>
      </c>
      <c r="S95" s="2">
        <v>66</v>
      </c>
      <c r="T95" s="2">
        <f>Table834[[#This Row],[Night Diastolic Pressure]]^2</f>
        <v>4356</v>
      </c>
      <c r="U95" s="2">
        <v>67</v>
      </c>
      <c r="V95" s="2">
        <f>Table834[[#This Row],[Night Pulse]]^2</f>
        <v>4489</v>
      </c>
      <c r="W95" s="2">
        <v>7</v>
      </c>
      <c r="X95" s="2">
        <f>Table834[[#This Row],[Sleep]]^2</f>
        <v>49</v>
      </c>
      <c r="Y95" s="2">
        <f t="shared" si="3"/>
        <v>36.670775510204081</v>
      </c>
      <c r="Z95" s="2">
        <f>Table834[[#This Row],[BMI]]^2</f>
        <v>1344.7457765197832</v>
      </c>
      <c r="AA95" s="2">
        <f t="shared" si="2"/>
        <v>31.997550455105717</v>
      </c>
      <c r="AB95" s="2">
        <f>Table834[[#This Row],[CBF]]^2</f>
        <v>1023.8432351270361</v>
      </c>
      <c r="AC95" s="2">
        <v>1</v>
      </c>
      <c r="AD95" s="2">
        <f>Table834[[#This Row],[Gym]]^2</f>
        <v>1</v>
      </c>
      <c r="AE95" s="2">
        <v>1</v>
      </c>
      <c r="AF95" s="2">
        <f>Table834[[#This Row],[Cardio]]^2</f>
        <v>1</v>
      </c>
      <c r="AG95" s="2">
        <v>1501.3583333333331</v>
      </c>
      <c r="AH95" s="2">
        <f>Table834[[#This Row],[Calories]]^2</f>
        <v>2254076.8450694438</v>
      </c>
      <c r="AI95" s="2">
        <v>99.205555555555549</v>
      </c>
      <c r="AJ95" s="2">
        <f>Table834[[#This Row],[Carbs]]^2</f>
        <v>9841.7422530864187</v>
      </c>
      <c r="AK95" s="2">
        <v>76.7</v>
      </c>
      <c r="AL95" s="2">
        <f>Table834[[#This Row],[Fat ]]^2</f>
        <v>5882.89</v>
      </c>
      <c r="AM95" s="2">
        <v>110.48611111111113</v>
      </c>
      <c r="AN95" s="2">
        <f>Table834[[#This Row],[Protein]]^2</f>
        <v>12207.180748456794</v>
      </c>
      <c r="AO95" s="2">
        <v>12.234722222222221</v>
      </c>
      <c r="AP95" s="2">
        <f>Table834[[#This Row],[Fiber]]^2</f>
        <v>149.68842785493823</v>
      </c>
      <c r="AQ95" s="2">
        <v>28.254166666666666</v>
      </c>
      <c r="AR95" s="2">
        <f>Table834[[#This Row],[Sugar]]^2</f>
        <v>798.29793402777773</v>
      </c>
      <c r="AS95" s="2">
        <v>15</v>
      </c>
      <c r="AT95" s="2">
        <f>Table834[[#This Row],[Servings]]^2</f>
        <v>225</v>
      </c>
      <c r="AU95" s="2">
        <v>2.5</v>
      </c>
      <c r="AV95" s="2">
        <f>Table834[[#This Row],[Water]]^2</f>
        <v>6.25</v>
      </c>
      <c r="AW95" s="2">
        <v>690.3</v>
      </c>
      <c r="AX95" s="2">
        <f>Table834[[#This Row],[Fat Calories]]^2</f>
        <v>476514.08999999991</v>
      </c>
      <c r="AY95" s="5">
        <f>Table834[[#This Row],[Weight]]*Table834[[#This Row],[Waist]]</f>
        <v>11374.199999999999</v>
      </c>
      <c r="AZ95" s="6">
        <f>Table834[[#This Row],[Weight]]*Table834[[#This Row],[Neck]]</f>
        <v>4217.3999999999996</v>
      </c>
      <c r="BA95" s="6">
        <f>Table834[[#This Row],[Weight]]*Table834[[#This Row],[Morning Body Temp]]</f>
        <v>24639.84</v>
      </c>
      <c r="BB95" s="6">
        <f>Table834[[#This Row],[Weight]]*Table834[[#This Row],[Morning Systolic Pressure]]</f>
        <v>33739.199999999997</v>
      </c>
      <c r="BC95" s="12">
        <f>Table834[[#This Row],[Weight]]*Table834[[#This Row],[Morning Diastolic Pressure]]</f>
        <v>20703.599999999999</v>
      </c>
      <c r="BD95" s="2">
        <f>Table834[[#This Row],[Weight]]*Table834[[#This Row],[Morning Pulse]]</f>
        <v>15847.199999999999</v>
      </c>
      <c r="BE95" s="2">
        <f>Table834[[#This Row],[Weight]]*Table834[[#This Row],[Night Body Temp]]</f>
        <v>24767.64</v>
      </c>
      <c r="BF95" s="2">
        <f>Table834[[#This Row],[Weight]]*Table834[[#This Row],[Night Systolic Pressure]]</f>
        <v>30672</v>
      </c>
      <c r="BG95" s="4">
        <f>Table83[[#This Row],[Weight]]*Table83[[#This Row],[Night Diastolic Pressure]]</f>
        <v>16869.599999999999</v>
      </c>
      <c r="BH95" s="2">
        <f>Table834[[#This Row],[Weight]]*Table834[[#This Row],[Night Pulse]]</f>
        <v>17125.2</v>
      </c>
      <c r="BI95" s="2">
        <f>Table834[[#This Row],[Weight]]*Table834[[#This Row],[Sleep]]</f>
        <v>1789.2</v>
      </c>
      <c r="BJ95" s="2">
        <f>Table834[[#This Row],[Weight]]*Table834[[#This Row],[BMI]]</f>
        <v>9373.0502204081622</v>
      </c>
      <c r="BK95" s="2">
        <f>Table834[[#This Row],[Weight]]*Table834[[#This Row],[CBF]]</f>
        <v>8178.5738963250215</v>
      </c>
      <c r="BL95" s="2">
        <f>Table834[[#This Row],[Weight]]*Table834[[#This Row],[Gym]]</f>
        <v>255.6</v>
      </c>
      <c r="BM95" s="2">
        <f>Table834[[#This Row],[Weight]]*Table834[[#This Row],[Cardio]]</f>
        <v>255.6</v>
      </c>
      <c r="BN95" s="2">
        <f>Table834[[#This Row],[Weight]]*Table834[[#This Row],[Calories]]</f>
        <v>383747.18999999994</v>
      </c>
      <c r="BO95" s="2">
        <f>Table834[[#This Row],[Weight]]*Table834[[#This Row],[Carbs]]</f>
        <v>25356.94</v>
      </c>
      <c r="BP95" s="2">
        <f>Table834[[#This Row],[Weight]]*Table834[[#This Row],[Fat ]]</f>
        <v>19604.52</v>
      </c>
      <c r="BQ95" s="2">
        <f>Table834[[#This Row],[Weight]]*Table834[[#This Row],[Protein]]</f>
        <v>28240.250000000004</v>
      </c>
      <c r="BR95" s="2">
        <f>Table834[[#This Row],[Weight]]*Table834[[#This Row],[Fiber]]</f>
        <v>3127.1949999999997</v>
      </c>
      <c r="BS95" s="2">
        <f>Table834[[#This Row],[Weight]]*Table834[[#This Row],[Sugar]]</f>
        <v>7221.7649999999994</v>
      </c>
      <c r="BT95" s="2">
        <f>Table834[[#This Row],[Weight]]*Table834[[#This Row],[Servings]]</f>
        <v>3834</v>
      </c>
      <c r="BU95" s="2">
        <f>Table834[[#This Row],[Weight]]*Table834[[#This Row],[Water]]</f>
        <v>639</v>
      </c>
      <c r="BV95" s="2">
        <f>Table834[[#This Row],[Weight]]*Table834[[#This Row],[Fat Calories]]</f>
        <v>176440.68</v>
      </c>
      <c r="BW95" s="2">
        <f>Table834[[#This Row],[Waist]]*Table834[[#This Row],[Neck]]</f>
        <v>734.25</v>
      </c>
      <c r="BX95" s="2">
        <f>Table834[[#This Row],[Waist]]*Table834[[#This Row],[Morning Body Temp]]</f>
        <v>4289.8</v>
      </c>
      <c r="BY95" s="2">
        <f>Table834[[#This Row],[Waist]]*Table834[[#This Row],[Morning Systolic Pressure]]</f>
        <v>5874</v>
      </c>
      <c r="BZ95" s="2">
        <f>Table834[[#This Row],[Waist]]*Table834[[#This Row],[Morning Diastolic Pressure]]</f>
        <v>3604.5</v>
      </c>
      <c r="CA95" s="2">
        <f>Table834[[#This Row],[Waist]]*Table834[[#This Row],[Morning Pulse]]</f>
        <v>2759</v>
      </c>
      <c r="CB95" s="2">
        <f>Table834[[#This Row],[Waist]]*Table834[[#This Row],[Night Body Temp]]</f>
        <v>4312.05</v>
      </c>
      <c r="CC95" s="2">
        <f>Table834[[#This Row],[Waist]]*Table834[[#This Row],[Night Systolic Pressure]]</f>
        <v>5340</v>
      </c>
      <c r="CD95" s="4">
        <f>Table83[[#This Row],[Waist]]*Table83[[#This Row],[Night Diastolic Pressure]]</f>
        <v>2937</v>
      </c>
      <c r="CE95" s="2">
        <f>Table834[[#This Row],[Waist]]*Table834[[#This Row],[Night Pulse]]</f>
        <v>2981.5</v>
      </c>
      <c r="CF95" s="2">
        <f>Table834[[#This Row],[Waist]]*Table834[[#This Row],[Sleep]]</f>
        <v>311.5</v>
      </c>
      <c r="CG95" s="2">
        <f>Table834[[#This Row],[Waist]]*Table834[[#This Row],[BMI]]</f>
        <v>1631.8495102040815</v>
      </c>
      <c r="CH95" s="2">
        <f>Table834[[#This Row],[Waist]]*Table834[[#This Row],[CBF]]</f>
        <v>1423.8909952522044</v>
      </c>
      <c r="CI95" s="2">
        <f>Table834[[#This Row],[Waist]]*Table834[[#This Row],[Gym]]</f>
        <v>44.5</v>
      </c>
      <c r="CJ95" s="2">
        <f>Table834[[#This Row],[Waist]]*Table834[[#This Row],[Cardio]]</f>
        <v>44.5</v>
      </c>
      <c r="CK95" s="2">
        <f>Table834[[#This Row],[Waist]]*Table834[[#This Row],[Calories]]</f>
        <v>66810.445833333317</v>
      </c>
      <c r="CL95" s="2">
        <f>Table834[[#This Row],[Waist]]*Table834[[#This Row],[Carbs]]</f>
        <v>4414.6472222222219</v>
      </c>
      <c r="CM95" s="2">
        <f>Table834[[#This Row],[Waist]]*Table834[[#This Row],[Fat ]]</f>
        <v>3413.15</v>
      </c>
      <c r="CN95" s="2">
        <f>Table834[[#This Row],[Waist]]*Table834[[#This Row],[Protein]]</f>
        <v>4916.6319444444453</v>
      </c>
      <c r="CO95" s="2">
        <f>Table834[[#This Row],[Waist]]*Table834[[#This Row],[Fiber]]</f>
        <v>544.44513888888878</v>
      </c>
      <c r="CP95" s="2">
        <f>Table834[[#This Row],[Waist]]*Table834[[#This Row],[Sugar]]</f>
        <v>1257.3104166666667</v>
      </c>
      <c r="CQ95" s="2">
        <f>Table834[[#This Row],[Waist]]*Table834[[#This Row],[Servings]]</f>
        <v>667.5</v>
      </c>
      <c r="CR95" s="2">
        <f>Table834[[#This Row],[Waist]]*Table834[[#This Row],[Water]]</f>
        <v>111.25</v>
      </c>
      <c r="CS95" s="2">
        <f>Table834[[#This Row],[Waist]]*Table834[[#This Row],[Fat Calories]]</f>
        <v>30718.35</v>
      </c>
    </row>
    <row r="96" spans="1:97" x14ac:dyDescent="0.25">
      <c r="A96" s="2">
        <v>253.4</v>
      </c>
      <c r="B96" s="2">
        <f>Table834[[#This Row],[Weight]]^2</f>
        <v>64211.560000000005</v>
      </c>
      <c r="C96" s="2">
        <v>44.5</v>
      </c>
      <c r="D96" s="2">
        <f>Table834[[#This Row],[Waist]]^2</f>
        <v>1980.25</v>
      </c>
      <c r="E96" s="2">
        <v>16.5</v>
      </c>
      <c r="F96" s="2">
        <f>Table834[[#This Row],[Neck]]^2</f>
        <v>272.25</v>
      </c>
      <c r="G96" s="2">
        <v>96.8</v>
      </c>
      <c r="H96" s="2">
        <f>Table834[[#This Row],[Morning Body Temp]]^2</f>
        <v>9370.24</v>
      </c>
      <c r="I96" s="2">
        <v>114</v>
      </c>
      <c r="J96" s="2">
        <f>Table834[[#This Row],[Morning Systolic Pressure]]^2</f>
        <v>12996</v>
      </c>
      <c r="K96" s="2">
        <v>67</v>
      </c>
      <c r="L96" s="2">
        <f>Table834[[#This Row],[Morning Diastolic Pressure]]^2</f>
        <v>4489</v>
      </c>
      <c r="M96" s="2">
        <v>62</v>
      </c>
      <c r="N96" s="2">
        <f>Table834[[#This Row],[Morning Pulse]]^2</f>
        <v>3844</v>
      </c>
      <c r="O96" s="2">
        <v>96.3</v>
      </c>
      <c r="P96" s="2">
        <f>Table834[[#This Row],[Night Body Temp]]^2</f>
        <v>9273.6899999999987</v>
      </c>
      <c r="Q96" s="2">
        <v>139</v>
      </c>
      <c r="R96" s="2">
        <f>Table834[[#This Row],[Night Systolic Pressure]]^2</f>
        <v>19321</v>
      </c>
      <c r="S96" s="2">
        <v>74</v>
      </c>
      <c r="T96" s="2">
        <f>Table834[[#This Row],[Night Diastolic Pressure]]^2</f>
        <v>5476</v>
      </c>
      <c r="U96" s="2">
        <v>62</v>
      </c>
      <c r="V96" s="2">
        <f>Table834[[#This Row],[Night Pulse]]^2</f>
        <v>3844</v>
      </c>
      <c r="W96" s="2">
        <v>6.5</v>
      </c>
      <c r="X96" s="2">
        <f>Table834[[#This Row],[Sleep]]^2</f>
        <v>42.25</v>
      </c>
      <c r="Y96" s="2">
        <f t="shared" si="3"/>
        <v>36.355142857142859</v>
      </c>
      <c r="Z96" s="2">
        <f>Table834[[#This Row],[BMI]]^2</f>
        <v>1321.6964121632654</v>
      </c>
      <c r="AA96" s="2">
        <f t="shared" si="2"/>
        <v>31.997550455105717</v>
      </c>
      <c r="AB96" s="2">
        <f>Table834[[#This Row],[CBF]]^2</f>
        <v>1023.8432351270361</v>
      </c>
      <c r="AC96" s="2">
        <v>1</v>
      </c>
      <c r="AD96" s="2">
        <f>Table834[[#This Row],[Gym]]^2</f>
        <v>1</v>
      </c>
      <c r="AE96" s="2">
        <v>1</v>
      </c>
      <c r="AF96" s="2">
        <f>Table834[[#This Row],[Cardio]]^2</f>
        <v>1</v>
      </c>
      <c r="AG96" s="2">
        <v>1293.1566666666668</v>
      </c>
      <c r="AH96" s="2">
        <f>Table834[[#This Row],[Calories]]^2</f>
        <v>1672254.1645444448</v>
      </c>
      <c r="AI96" s="2">
        <v>101.54700000000001</v>
      </c>
      <c r="AJ96" s="2">
        <f>Table834[[#This Row],[Carbs]]^2</f>
        <v>10311.793209000003</v>
      </c>
      <c r="AK96" s="2">
        <v>63.729333333333336</v>
      </c>
      <c r="AL96" s="2">
        <f>Table834[[#This Row],[Fat ]]^2</f>
        <v>4061.4279271111113</v>
      </c>
      <c r="AM96" s="2">
        <v>79.132000000000005</v>
      </c>
      <c r="AN96" s="2">
        <f>Table834[[#This Row],[Protein]]^2</f>
        <v>6261.8734240000003</v>
      </c>
      <c r="AO96" s="2">
        <v>37.317666666666668</v>
      </c>
      <c r="AP96" s="2">
        <f>Table834[[#This Row],[Fiber]]^2</f>
        <v>1392.6082454444445</v>
      </c>
      <c r="AQ96" s="2">
        <v>25.539666666666665</v>
      </c>
      <c r="AR96" s="2">
        <f>Table834[[#This Row],[Sugar]]^2</f>
        <v>652.2745734444444</v>
      </c>
      <c r="AS96" s="2">
        <v>20.73</v>
      </c>
      <c r="AT96" s="2">
        <f>Table834[[#This Row],[Servings]]^2</f>
        <v>429.73290000000003</v>
      </c>
      <c r="AU96" s="2">
        <v>3</v>
      </c>
      <c r="AV96" s="2">
        <f>Table834[[#This Row],[Water]]^2</f>
        <v>9</v>
      </c>
      <c r="AW96" s="2">
        <v>573.56399999999996</v>
      </c>
      <c r="AX96" s="2">
        <f>Table834[[#This Row],[Fat Calories]]^2</f>
        <v>328975.66209599999</v>
      </c>
      <c r="AY96" s="3">
        <f>Table834[[#This Row],[Weight]]*Table834[[#This Row],[Waist]]</f>
        <v>11276.300000000001</v>
      </c>
      <c r="AZ96" s="4">
        <f>Table834[[#This Row],[Weight]]*Table834[[#This Row],[Neck]]</f>
        <v>4181.1000000000004</v>
      </c>
      <c r="BA96" s="4">
        <f>Table834[[#This Row],[Weight]]*Table834[[#This Row],[Morning Body Temp]]</f>
        <v>24529.119999999999</v>
      </c>
      <c r="BB96" s="4">
        <f>Table834[[#This Row],[Weight]]*Table834[[#This Row],[Morning Systolic Pressure]]</f>
        <v>28887.600000000002</v>
      </c>
      <c r="BC96" s="11">
        <f>Table834[[#This Row],[Weight]]*Table834[[#This Row],[Morning Diastolic Pressure]]</f>
        <v>16977.8</v>
      </c>
      <c r="BD96" s="2">
        <f>Table834[[#This Row],[Weight]]*Table834[[#This Row],[Morning Pulse]]</f>
        <v>15710.800000000001</v>
      </c>
      <c r="BE96" s="2">
        <f>Table834[[#This Row],[Weight]]*Table834[[#This Row],[Night Body Temp]]</f>
        <v>24402.42</v>
      </c>
      <c r="BF96" s="2">
        <f>Table834[[#This Row],[Weight]]*Table834[[#This Row],[Night Systolic Pressure]]</f>
        <v>35222.6</v>
      </c>
      <c r="BG96" s="4">
        <f>Table83[[#This Row],[Weight]]*Table83[[#This Row],[Night Diastolic Pressure]]</f>
        <v>18751.600000000002</v>
      </c>
      <c r="BH96" s="2">
        <f>Table834[[#This Row],[Weight]]*Table834[[#This Row],[Night Pulse]]</f>
        <v>15710.800000000001</v>
      </c>
      <c r="BI96" s="2">
        <f>Table834[[#This Row],[Weight]]*Table834[[#This Row],[Sleep]]</f>
        <v>1647.1000000000001</v>
      </c>
      <c r="BJ96" s="2">
        <f>Table834[[#This Row],[Weight]]*Table834[[#This Row],[BMI]]</f>
        <v>9212.3932000000004</v>
      </c>
      <c r="BK96" s="2">
        <f>Table834[[#This Row],[Weight]]*Table834[[#This Row],[CBF]]</f>
        <v>8108.1792853237885</v>
      </c>
      <c r="BL96" s="2">
        <f>Table834[[#This Row],[Weight]]*Table834[[#This Row],[Gym]]</f>
        <v>253.4</v>
      </c>
      <c r="BM96" s="2">
        <f>Table834[[#This Row],[Weight]]*Table834[[#This Row],[Cardio]]</f>
        <v>253.4</v>
      </c>
      <c r="BN96" s="2">
        <f>Table834[[#This Row],[Weight]]*Table834[[#This Row],[Calories]]</f>
        <v>327685.89933333336</v>
      </c>
      <c r="BO96" s="2">
        <f>Table834[[#This Row],[Weight]]*Table834[[#This Row],[Carbs]]</f>
        <v>25732.009800000003</v>
      </c>
      <c r="BP96" s="2">
        <f>Table834[[#This Row],[Weight]]*Table834[[#This Row],[Fat ]]</f>
        <v>16149.013066666668</v>
      </c>
      <c r="BQ96" s="2">
        <f>Table834[[#This Row],[Weight]]*Table834[[#This Row],[Protein]]</f>
        <v>20052.0488</v>
      </c>
      <c r="BR96" s="2">
        <f>Table834[[#This Row],[Weight]]*Table834[[#This Row],[Fiber]]</f>
        <v>9456.2967333333345</v>
      </c>
      <c r="BS96" s="2">
        <f>Table834[[#This Row],[Weight]]*Table834[[#This Row],[Sugar]]</f>
        <v>6471.7515333333331</v>
      </c>
      <c r="BT96" s="2">
        <f>Table834[[#This Row],[Weight]]*Table834[[#This Row],[Servings]]</f>
        <v>5252.982</v>
      </c>
      <c r="BU96" s="2">
        <f>Table834[[#This Row],[Weight]]*Table834[[#This Row],[Water]]</f>
        <v>760.2</v>
      </c>
      <c r="BV96" s="2">
        <f>Table834[[#This Row],[Weight]]*Table834[[#This Row],[Fat Calories]]</f>
        <v>145341.1176</v>
      </c>
      <c r="BW96" s="2">
        <f>Table834[[#This Row],[Waist]]*Table834[[#This Row],[Neck]]</f>
        <v>734.25</v>
      </c>
      <c r="BX96" s="2">
        <f>Table834[[#This Row],[Waist]]*Table834[[#This Row],[Morning Body Temp]]</f>
        <v>4307.5999999999995</v>
      </c>
      <c r="BY96" s="2">
        <f>Table834[[#This Row],[Waist]]*Table834[[#This Row],[Morning Systolic Pressure]]</f>
        <v>5073</v>
      </c>
      <c r="BZ96" s="2">
        <f>Table834[[#This Row],[Waist]]*Table834[[#This Row],[Morning Diastolic Pressure]]</f>
        <v>2981.5</v>
      </c>
      <c r="CA96" s="2">
        <f>Table834[[#This Row],[Waist]]*Table834[[#This Row],[Morning Pulse]]</f>
        <v>2759</v>
      </c>
      <c r="CB96" s="2">
        <f>Table834[[#This Row],[Waist]]*Table834[[#This Row],[Night Body Temp]]</f>
        <v>4285.3499999999995</v>
      </c>
      <c r="CC96" s="2">
        <f>Table834[[#This Row],[Waist]]*Table834[[#This Row],[Night Systolic Pressure]]</f>
        <v>6185.5</v>
      </c>
      <c r="CD96" s="4">
        <f>Table83[[#This Row],[Waist]]*Table83[[#This Row],[Night Diastolic Pressure]]</f>
        <v>3293</v>
      </c>
      <c r="CE96" s="2">
        <f>Table834[[#This Row],[Waist]]*Table834[[#This Row],[Night Pulse]]</f>
        <v>2759</v>
      </c>
      <c r="CF96" s="2">
        <f>Table834[[#This Row],[Waist]]*Table834[[#This Row],[Sleep]]</f>
        <v>289.25</v>
      </c>
      <c r="CG96" s="2">
        <f>Table834[[#This Row],[Waist]]*Table834[[#This Row],[BMI]]</f>
        <v>1617.8038571428572</v>
      </c>
      <c r="CH96" s="2">
        <f>Table834[[#This Row],[Waist]]*Table834[[#This Row],[CBF]]</f>
        <v>1423.8909952522044</v>
      </c>
      <c r="CI96" s="2">
        <f>Table834[[#This Row],[Waist]]*Table834[[#This Row],[Gym]]</f>
        <v>44.5</v>
      </c>
      <c r="CJ96" s="2">
        <f>Table834[[#This Row],[Waist]]*Table834[[#This Row],[Cardio]]</f>
        <v>44.5</v>
      </c>
      <c r="CK96" s="2">
        <f>Table834[[#This Row],[Waist]]*Table834[[#This Row],[Calories]]</f>
        <v>57545.471666666672</v>
      </c>
      <c r="CL96" s="2">
        <f>Table834[[#This Row],[Waist]]*Table834[[#This Row],[Carbs]]</f>
        <v>4518.8415000000005</v>
      </c>
      <c r="CM96" s="2">
        <f>Table834[[#This Row],[Waist]]*Table834[[#This Row],[Fat ]]</f>
        <v>2835.9553333333333</v>
      </c>
      <c r="CN96" s="2">
        <f>Table834[[#This Row],[Waist]]*Table834[[#This Row],[Protein]]</f>
        <v>3521.3740000000003</v>
      </c>
      <c r="CO96" s="2">
        <f>Table834[[#This Row],[Waist]]*Table834[[#This Row],[Fiber]]</f>
        <v>1660.6361666666667</v>
      </c>
      <c r="CP96" s="2">
        <f>Table834[[#This Row],[Waist]]*Table834[[#This Row],[Sugar]]</f>
        <v>1136.5151666666666</v>
      </c>
      <c r="CQ96" s="2">
        <f>Table834[[#This Row],[Waist]]*Table834[[#This Row],[Servings]]</f>
        <v>922.48500000000001</v>
      </c>
      <c r="CR96" s="2">
        <f>Table834[[#This Row],[Waist]]*Table834[[#This Row],[Water]]</f>
        <v>133.5</v>
      </c>
      <c r="CS96" s="2">
        <f>Table834[[#This Row],[Waist]]*Table834[[#This Row],[Fat Calories]]</f>
        <v>25523.597999999998</v>
      </c>
    </row>
    <row r="97" spans="1:97" x14ac:dyDescent="0.25">
      <c r="A97" s="2">
        <v>253.4</v>
      </c>
      <c r="B97" s="2">
        <f>Table834[[#This Row],[Weight]]^2</f>
        <v>64211.560000000005</v>
      </c>
      <c r="C97" s="2">
        <v>44</v>
      </c>
      <c r="D97" s="2">
        <f>Table834[[#This Row],[Waist]]^2</f>
        <v>1936</v>
      </c>
      <c r="E97" s="2">
        <v>16.5</v>
      </c>
      <c r="F97" s="2">
        <f>Table834[[#This Row],[Neck]]^2</f>
        <v>272.25</v>
      </c>
      <c r="G97" s="2">
        <v>95.7</v>
      </c>
      <c r="H97" s="2">
        <f>Table834[[#This Row],[Morning Body Temp]]^2</f>
        <v>9158.49</v>
      </c>
      <c r="I97" s="2">
        <v>128</v>
      </c>
      <c r="J97" s="2">
        <f>Table834[[#This Row],[Morning Systolic Pressure]]^2</f>
        <v>16384</v>
      </c>
      <c r="K97" s="2">
        <v>61</v>
      </c>
      <c r="L97" s="2">
        <f>Table834[[#This Row],[Morning Diastolic Pressure]]^2</f>
        <v>3721</v>
      </c>
      <c r="M97" s="2">
        <v>69</v>
      </c>
      <c r="N97" s="2">
        <f>Table834[[#This Row],[Morning Pulse]]^2</f>
        <v>4761</v>
      </c>
      <c r="O97" s="2">
        <v>96.8</v>
      </c>
      <c r="P97" s="2">
        <f>Table834[[#This Row],[Night Body Temp]]^2</f>
        <v>9370.24</v>
      </c>
      <c r="Q97" s="2">
        <v>120</v>
      </c>
      <c r="R97" s="2">
        <f>Table834[[#This Row],[Night Systolic Pressure]]^2</f>
        <v>14400</v>
      </c>
      <c r="S97" s="2">
        <v>79</v>
      </c>
      <c r="T97" s="2">
        <f>Table834[[#This Row],[Night Diastolic Pressure]]^2</f>
        <v>6241</v>
      </c>
      <c r="U97" s="2">
        <v>66</v>
      </c>
      <c r="V97" s="2">
        <f>Table834[[#This Row],[Night Pulse]]^2</f>
        <v>4356</v>
      </c>
      <c r="W97" s="2">
        <v>5</v>
      </c>
      <c r="X97" s="2">
        <f>Table834[[#This Row],[Sleep]]^2</f>
        <v>25</v>
      </c>
      <c r="Y97" s="2">
        <f t="shared" si="3"/>
        <v>36.355142857142859</v>
      </c>
      <c r="Z97" s="2">
        <f>Table834[[#This Row],[BMI]]^2</f>
        <v>1321.6964121632654</v>
      </c>
      <c r="AA97" s="2">
        <f t="shared" si="2"/>
        <v>31.324493175702337</v>
      </c>
      <c r="AB97" s="2">
        <f>Table834[[#This Row],[CBF]]^2</f>
        <v>981.2238727146223</v>
      </c>
      <c r="AC97" s="2">
        <v>1</v>
      </c>
      <c r="AD97" s="2">
        <f>Table834[[#This Row],[Gym]]^2</f>
        <v>1</v>
      </c>
      <c r="AE97" s="2">
        <v>1</v>
      </c>
      <c r="AF97" s="2">
        <f>Table834[[#This Row],[Cardio]]^2</f>
        <v>1</v>
      </c>
      <c r="AG97" s="2">
        <v>2740.1949999999997</v>
      </c>
      <c r="AH97" s="2">
        <f>Table834[[#This Row],[Calories]]^2</f>
        <v>7508668.6380249988</v>
      </c>
      <c r="AI97" s="2">
        <v>193.24499999999998</v>
      </c>
      <c r="AJ97" s="2">
        <f>Table834[[#This Row],[Carbs]]^2</f>
        <v>37343.630024999991</v>
      </c>
      <c r="AK97" s="2">
        <v>153.24</v>
      </c>
      <c r="AL97" s="2">
        <f>Table834[[#This Row],[Fat ]]^2</f>
        <v>23482.497600000002</v>
      </c>
      <c r="AM97" s="2">
        <v>148.85499999999999</v>
      </c>
      <c r="AN97" s="2">
        <f>Table834[[#This Row],[Protein]]^2</f>
        <v>22157.811024999995</v>
      </c>
      <c r="AO97" s="2">
        <v>13.184999999999999</v>
      </c>
      <c r="AP97" s="2">
        <f>Table834[[#This Row],[Fiber]]^2</f>
        <v>173.84422499999997</v>
      </c>
      <c r="AQ97" s="2">
        <v>40.587499999999999</v>
      </c>
      <c r="AR97" s="2">
        <f>Table834[[#This Row],[Sugar]]^2</f>
        <v>1647.3451562499999</v>
      </c>
      <c r="AS97" s="2">
        <v>25</v>
      </c>
      <c r="AT97" s="2">
        <f>Table834[[#This Row],[Servings]]^2</f>
        <v>625</v>
      </c>
      <c r="AU97" s="2">
        <v>4</v>
      </c>
      <c r="AV97" s="2">
        <f>Table834[[#This Row],[Water]]^2</f>
        <v>16</v>
      </c>
      <c r="AW97" s="2">
        <v>1379.16</v>
      </c>
      <c r="AX97" s="2">
        <f>Table834[[#This Row],[Fat Calories]]^2</f>
        <v>1902082.3056000003</v>
      </c>
      <c r="AY97" s="5">
        <f>Table834[[#This Row],[Weight]]*Table834[[#This Row],[Waist]]</f>
        <v>11149.6</v>
      </c>
      <c r="AZ97" s="6">
        <f>Table834[[#This Row],[Weight]]*Table834[[#This Row],[Neck]]</f>
        <v>4181.1000000000004</v>
      </c>
      <c r="BA97" s="6">
        <f>Table834[[#This Row],[Weight]]*Table834[[#This Row],[Morning Body Temp]]</f>
        <v>24250.38</v>
      </c>
      <c r="BB97" s="6">
        <f>Table834[[#This Row],[Weight]]*Table834[[#This Row],[Morning Systolic Pressure]]</f>
        <v>32435.200000000001</v>
      </c>
      <c r="BC97" s="12">
        <f>Table834[[#This Row],[Weight]]*Table834[[#This Row],[Morning Diastolic Pressure]]</f>
        <v>15457.4</v>
      </c>
      <c r="BD97" s="2">
        <f>Table834[[#This Row],[Weight]]*Table834[[#This Row],[Morning Pulse]]</f>
        <v>17484.600000000002</v>
      </c>
      <c r="BE97" s="2">
        <f>Table834[[#This Row],[Weight]]*Table834[[#This Row],[Night Body Temp]]</f>
        <v>24529.119999999999</v>
      </c>
      <c r="BF97" s="2">
        <f>Table834[[#This Row],[Weight]]*Table834[[#This Row],[Night Systolic Pressure]]</f>
        <v>30408</v>
      </c>
      <c r="BG97" s="4">
        <f>Table83[[#This Row],[Weight]]*Table83[[#This Row],[Night Diastolic Pressure]]</f>
        <v>20018.600000000002</v>
      </c>
      <c r="BH97" s="2">
        <f>Table834[[#This Row],[Weight]]*Table834[[#This Row],[Night Pulse]]</f>
        <v>16724.400000000001</v>
      </c>
      <c r="BI97" s="2">
        <f>Table834[[#This Row],[Weight]]*Table834[[#This Row],[Sleep]]</f>
        <v>1267</v>
      </c>
      <c r="BJ97" s="2">
        <f>Table834[[#This Row],[Weight]]*Table834[[#This Row],[BMI]]</f>
        <v>9212.3932000000004</v>
      </c>
      <c r="BK97" s="2">
        <f>Table834[[#This Row],[Weight]]*Table834[[#This Row],[CBF]]</f>
        <v>7937.6265707229722</v>
      </c>
      <c r="BL97" s="2">
        <f>Table834[[#This Row],[Weight]]*Table834[[#This Row],[Gym]]</f>
        <v>253.4</v>
      </c>
      <c r="BM97" s="2">
        <f>Table834[[#This Row],[Weight]]*Table834[[#This Row],[Cardio]]</f>
        <v>253.4</v>
      </c>
      <c r="BN97" s="2">
        <f>Table834[[#This Row],[Weight]]*Table834[[#This Row],[Calories]]</f>
        <v>694365.41299999994</v>
      </c>
      <c r="BO97" s="2">
        <f>Table834[[#This Row],[Weight]]*Table834[[#This Row],[Carbs]]</f>
        <v>48968.282999999996</v>
      </c>
      <c r="BP97" s="2">
        <f>Table834[[#This Row],[Weight]]*Table834[[#This Row],[Fat ]]</f>
        <v>38831.016000000003</v>
      </c>
      <c r="BQ97" s="2">
        <f>Table834[[#This Row],[Weight]]*Table834[[#This Row],[Protein]]</f>
        <v>37719.856999999996</v>
      </c>
      <c r="BR97" s="2">
        <f>Table834[[#This Row],[Weight]]*Table834[[#This Row],[Fiber]]</f>
        <v>3341.0789999999997</v>
      </c>
      <c r="BS97" s="2">
        <f>Table834[[#This Row],[Weight]]*Table834[[#This Row],[Sugar]]</f>
        <v>10284.872499999999</v>
      </c>
      <c r="BT97" s="2">
        <f>Table834[[#This Row],[Weight]]*Table834[[#This Row],[Servings]]</f>
        <v>6335</v>
      </c>
      <c r="BU97" s="2">
        <f>Table834[[#This Row],[Weight]]*Table834[[#This Row],[Water]]</f>
        <v>1013.6</v>
      </c>
      <c r="BV97" s="2">
        <f>Table834[[#This Row],[Weight]]*Table834[[#This Row],[Fat Calories]]</f>
        <v>349479.14400000003</v>
      </c>
      <c r="BW97" s="2">
        <f>Table834[[#This Row],[Waist]]*Table834[[#This Row],[Neck]]</f>
        <v>726</v>
      </c>
      <c r="BX97" s="2">
        <f>Table834[[#This Row],[Waist]]*Table834[[#This Row],[Morning Body Temp]]</f>
        <v>4210.8</v>
      </c>
      <c r="BY97" s="2">
        <f>Table834[[#This Row],[Waist]]*Table834[[#This Row],[Morning Systolic Pressure]]</f>
        <v>5632</v>
      </c>
      <c r="BZ97" s="2">
        <f>Table834[[#This Row],[Waist]]*Table834[[#This Row],[Morning Diastolic Pressure]]</f>
        <v>2684</v>
      </c>
      <c r="CA97" s="2">
        <f>Table834[[#This Row],[Waist]]*Table834[[#This Row],[Morning Pulse]]</f>
        <v>3036</v>
      </c>
      <c r="CB97" s="2">
        <f>Table834[[#This Row],[Waist]]*Table834[[#This Row],[Night Body Temp]]</f>
        <v>4259.2</v>
      </c>
      <c r="CC97" s="2">
        <f>Table834[[#This Row],[Waist]]*Table834[[#This Row],[Night Systolic Pressure]]</f>
        <v>5280</v>
      </c>
      <c r="CD97" s="4">
        <f>Table83[[#This Row],[Waist]]*Table83[[#This Row],[Night Diastolic Pressure]]</f>
        <v>3476</v>
      </c>
      <c r="CE97" s="2">
        <f>Table834[[#This Row],[Waist]]*Table834[[#This Row],[Night Pulse]]</f>
        <v>2904</v>
      </c>
      <c r="CF97" s="2">
        <f>Table834[[#This Row],[Waist]]*Table834[[#This Row],[Sleep]]</f>
        <v>220</v>
      </c>
      <c r="CG97" s="2">
        <f>Table834[[#This Row],[Waist]]*Table834[[#This Row],[BMI]]</f>
        <v>1599.6262857142858</v>
      </c>
      <c r="CH97" s="2">
        <f>Table834[[#This Row],[Waist]]*Table834[[#This Row],[CBF]]</f>
        <v>1378.2776997309029</v>
      </c>
      <c r="CI97" s="2">
        <f>Table834[[#This Row],[Waist]]*Table834[[#This Row],[Gym]]</f>
        <v>44</v>
      </c>
      <c r="CJ97" s="2">
        <f>Table834[[#This Row],[Waist]]*Table834[[#This Row],[Cardio]]</f>
        <v>44</v>
      </c>
      <c r="CK97" s="2">
        <f>Table834[[#This Row],[Waist]]*Table834[[#This Row],[Calories]]</f>
        <v>120568.57999999999</v>
      </c>
      <c r="CL97" s="2">
        <f>Table834[[#This Row],[Waist]]*Table834[[#This Row],[Carbs]]</f>
        <v>8502.7799999999988</v>
      </c>
      <c r="CM97" s="2">
        <f>Table834[[#This Row],[Waist]]*Table834[[#This Row],[Fat ]]</f>
        <v>6742.56</v>
      </c>
      <c r="CN97" s="2">
        <f>Table834[[#This Row],[Waist]]*Table834[[#This Row],[Protein]]</f>
        <v>6549.62</v>
      </c>
      <c r="CO97" s="2">
        <f>Table834[[#This Row],[Waist]]*Table834[[#This Row],[Fiber]]</f>
        <v>580.14</v>
      </c>
      <c r="CP97" s="2">
        <f>Table834[[#This Row],[Waist]]*Table834[[#This Row],[Sugar]]</f>
        <v>1785.85</v>
      </c>
      <c r="CQ97" s="2">
        <f>Table834[[#This Row],[Waist]]*Table834[[#This Row],[Servings]]</f>
        <v>1100</v>
      </c>
      <c r="CR97" s="2">
        <f>Table834[[#This Row],[Waist]]*Table834[[#This Row],[Water]]</f>
        <v>176</v>
      </c>
      <c r="CS97" s="2">
        <f>Table834[[#This Row],[Waist]]*Table834[[#This Row],[Fat Calories]]</f>
        <v>60683.040000000001</v>
      </c>
    </row>
    <row r="98" spans="1:97" x14ac:dyDescent="0.25">
      <c r="A98" s="2">
        <v>253.4</v>
      </c>
      <c r="B98" s="2">
        <f>Table834[[#This Row],[Weight]]^2</f>
        <v>64211.560000000005</v>
      </c>
      <c r="C98" s="2">
        <v>44</v>
      </c>
      <c r="D98" s="2">
        <f>Table834[[#This Row],[Waist]]^2</f>
        <v>1936</v>
      </c>
      <c r="E98" s="2">
        <v>16.5</v>
      </c>
      <c r="F98" s="2">
        <f>Table834[[#This Row],[Neck]]^2</f>
        <v>272.25</v>
      </c>
      <c r="G98" s="2">
        <v>97</v>
      </c>
      <c r="H98" s="2">
        <f>Table834[[#This Row],[Morning Body Temp]]^2</f>
        <v>9409</v>
      </c>
      <c r="I98" s="2">
        <v>128</v>
      </c>
      <c r="J98" s="2">
        <f>Table834[[#This Row],[Morning Systolic Pressure]]^2</f>
        <v>16384</v>
      </c>
      <c r="K98" s="2">
        <v>82</v>
      </c>
      <c r="L98" s="2">
        <f>Table834[[#This Row],[Morning Diastolic Pressure]]^2</f>
        <v>6724</v>
      </c>
      <c r="M98" s="2">
        <v>76</v>
      </c>
      <c r="N98" s="2">
        <f>Table834[[#This Row],[Morning Pulse]]^2</f>
        <v>5776</v>
      </c>
      <c r="O98" s="2">
        <v>96.4</v>
      </c>
      <c r="P98" s="2">
        <f>Table834[[#This Row],[Night Body Temp]]^2</f>
        <v>9292.9600000000009</v>
      </c>
      <c r="Q98" s="2">
        <v>122</v>
      </c>
      <c r="R98" s="2">
        <f>Table834[[#This Row],[Night Systolic Pressure]]^2</f>
        <v>14884</v>
      </c>
      <c r="S98" s="2">
        <v>73</v>
      </c>
      <c r="T98" s="2">
        <f>Table834[[#This Row],[Night Diastolic Pressure]]^2</f>
        <v>5329</v>
      </c>
      <c r="U98" s="2">
        <v>61</v>
      </c>
      <c r="V98" s="2">
        <f>Table834[[#This Row],[Night Pulse]]^2</f>
        <v>3721</v>
      </c>
      <c r="W98" s="2">
        <v>2</v>
      </c>
      <c r="X98" s="2">
        <f>Table834[[#This Row],[Sleep]]^2</f>
        <v>4</v>
      </c>
      <c r="Y98" s="2">
        <f t="shared" si="3"/>
        <v>36.355142857142859</v>
      </c>
      <c r="Z98" s="2">
        <f>Table834[[#This Row],[BMI]]^2</f>
        <v>1321.6964121632654</v>
      </c>
      <c r="AA98" s="2">
        <f t="shared" si="2"/>
        <v>31.324493175702337</v>
      </c>
      <c r="AB98" s="2">
        <f>Table834[[#This Row],[CBF]]^2</f>
        <v>981.2238727146223</v>
      </c>
      <c r="AC98" s="2">
        <v>1</v>
      </c>
      <c r="AD98" s="2">
        <f>Table834[[#This Row],[Gym]]^2</f>
        <v>1</v>
      </c>
      <c r="AE98" s="2">
        <v>1</v>
      </c>
      <c r="AF98" s="2">
        <f>Table834[[#This Row],[Cardio]]^2</f>
        <v>1</v>
      </c>
      <c r="AG98" s="2">
        <v>1731.3566666666666</v>
      </c>
      <c r="AH98" s="2">
        <f>Table834[[#This Row],[Calories]]^2</f>
        <v>2997595.9072111109</v>
      </c>
      <c r="AI98" s="2">
        <v>208.52799999999999</v>
      </c>
      <c r="AJ98" s="2">
        <f>Table834[[#This Row],[Carbs]]^2</f>
        <v>43483.926783999996</v>
      </c>
      <c r="AK98" s="2">
        <v>59.829333333333338</v>
      </c>
      <c r="AL98" s="2">
        <f>Table834[[#This Row],[Fat ]]^2</f>
        <v>3579.5491271111118</v>
      </c>
      <c r="AM98" s="2">
        <v>86.525000000000006</v>
      </c>
      <c r="AN98" s="2">
        <f>Table834[[#This Row],[Protein]]^2</f>
        <v>7486.5756250000013</v>
      </c>
      <c r="AO98" s="2">
        <v>41.031666666666666</v>
      </c>
      <c r="AP98" s="2">
        <f>Table834[[#This Row],[Fiber]]^2</f>
        <v>1683.5976694444444</v>
      </c>
      <c r="AQ98" s="2">
        <v>106.81366666666666</v>
      </c>
      <c r="AR98" s="2">
        <f>Table834[[#This Row],[Sugar]]^2</f>
        <v>11409.159386777777</v>
      </c>
      <c r="AS98" s="2">
        <v>23.54</v>
      </c>
      <c r="AT98" s="2">
        <f>Table834[[#This Row],[Servings]]^2</f>
        <v>554.13159999999993</v>
      </c>
      <c r="AU98" s="2">
        <v>2.5</v>
      </c>
      <c r="AV98" s="2">
        <f>Table834[[#This Row],[Water]]^2</f>
        <v>6.25</v>
      </c>
      <c r="AW98" s="2">
        <v>538.46399999999994</v>
      </c>
      <c r="AX98" s="2">
        <f>Table834[[#This Row],[Fat Calories]]^2</f>
        <v>289943.47929599992</v>
      </c>
      <c r="AY98" s="3">
        <f>Table834[[#This Row],[Weight]]*Table834[[#This Row],[Waist]]</f>
        <v>11149.6</v>
      </c>
      <c r="AZ98" s="4">
        <f>Table834[[#This Row],[Weight]]*Table834[[#This Row],[Neck]]</f>
        <v>4181.1000000000004</v>
      </c>
      <c r="BA98" s="4">
        <f>Table834[[#This Row],[Weight]]*Table834[[#This Row],[Morning Body Temp]]</f>
        <v>24579.8</v>
      </c>
      <c r="BB98" s="4">
        <f>Table834[[#This Row],[Weight]]*Table834[[#This Row],[Morning Systolic Pressure]]</f>
        <v>32435.200000000001</v>
      </c>
      <c r="BC98" s="11">
        <f>Table834[[#This Row],[Weight]]*Table834[[#This Row],[Morning Diastolic Pressure]]</f>
        <v>20778.8</v>
      </c>
      <c r="BD98" s="2">
        <f>Table834[[#This Row],[Weight]]*Table834[[#This Row],[Morning Pulse]]</f>
        <v>19258.400000000001</v>
      </c>
      <c r="BE98" s="2">
        <f>Table834[[#This Row],[Weight]]*Table834[[#This Row],[Night Body Temp]]</f>
        <v>24427.760000000002</v>
      </c>
      <c r="BF98" s="2">
        <f>Table834[[#This Row],[Weight]]*Table834[[#This Row],[Night Systolic Pressure]]</f>
        <v>30914.799999999999</v>
      </c>
      <c r="BG98" s="4">
        <f>Table83[[#This Row],[Weight]]*Table83[[#This Row],[Night Diastolic Pressure]]</f>
        <v>18498.2</v>
      </c>
      <c r="BH98" s="2">
        <f>Table834[[#This Row],[Weight]]*Table834[[#This Row],[Night Pulse]]</f>
        <v>15457.4</v>
      </c>
      <c r="BI98" s="2">
        <f>Table834[[#This Row],[Weight]]*Table834[[#This Row],[Sleep]]</f>
        <v>506.8</v>
      </c>
      <c r="BJ98" s="2">
        <f>Table834[[#This Row],[Weight]]*Table834[[#This Row],[BMI]]</f>
        <v>9212.3932000000004</v>
      </c>
      <c r="BK98" s="2">
        <f>Table834[[#This Row],[Weight]]*Table834[[#This Row],[CBF]]</f>
        <v>7937.6265707229722</v>
      </c>
      <c r="BL98" s="2">
        <f>Table834[[#This Row],[Weight]]*Table834[[#This Row],[Gym]]</f>
        <v>253.4</v>
      </c>
      <c r="BM98" s="2">
        <f>Table834[[#This Row],[Weight]]*Table834[[#This Row],[Cardio]]</f>
        <v>253.4</v>
      </c>
      <c r="BN98" s="2">
        <f>Table834[[#This Row],[Weight]]*Table834[[#This Row],[Calories]]</f>
        <v>438725.77933333331</v>
      </c>
      <c r="BO98" s="2">
        <f>Table834[[#This Row],[Weight]]*Table834[[#This Row],[Carbs]]</f>
        <v>52840.995199999998</v>
      </c>
      <c r="BP98" s="2">
        <f>Table834[[#This Row],[Weight]]*Table834[[#This Row],[Fat ]]</f>
        <v>15160.753066666668</v>
      </c>
      <c r="BQ98" s="2">
        <f>Table834[[#This Row],[Weight]]*Table834[[#This Row],[Protein]]</f>
        <v>21925.435000000001</v>
      </c>
      <c r="BR98" s="2">
        <f>Table834[[#This Row],[Weight]]*Table834[[#This Row],[Fiber]]</f>
        <v>10397.424333333334</v>
      </c>
      <c r="BS98" s="2">
        <f>Table834[[#This Row],[Weight]]*Table834[[#This Row],[Sugar]]</f>
        <v>27066.583133333334</v>
      </c>
      <c r="BT98" s="2">
        <f>Table834[[#This Row],[Weight]]*Table834[[#This Row],[Servings]]</f>
        <v>5965.0360000000001</v>
      </c>
      <c r="BU98" s="2">
        <f>Table834[[#This Row],[Weight]]*Table834[[#This Row],[Water]]</f>
        <v>633.5</v>
      </c>
      <c r="BV98" s="2">
        <f>Table834[[#This Row],[Weight]]*Table834[[#This Row],[Fat Calories]]</f>
        <v>136446.7776</v>
      </c>
      <c r="BW98" s="2">
        <f>Table834[[#This Row],[Waist]]*Table834[[#This Row],[Neck]]</f>
        <v>726</v>
      </c>
      <c r="BX98" s="2">
        <f>Table834[[#This Row],[Waist]]*Table834[[#This Row],[Morning Body Temp]]</f>
        <v>4268</v>
      </c>
      <c r="BY98" s="2">
        <f>Table834[[#This Row],[Waist]]*Table834[[#This Row],[Morning Systolic Pressure]]</f>
        <v>5632</v>
      </c>
      <c r="BZ98" s="2">
        <f>Table834[[#This Row],[Waist]]*Table834[[#This Row],[Morning Diastolic Pressure]]</f>
        <v>3608</v>
      </c>
      <c r="CA98" s="2">
        <f>Table834[[#This Row],[Waist]]*Table834[[#This Row],[Morning Pulse]]</f>
        <v>3344</v>
      </c>
      <c r="CB98" s="2">
        <f>Table834[[#This Row],[Waist]]*Table834[[#This Row],[Night Body Temp]]</f>
        <v>4241.6000000000004</v>
      </c>
      <c r="CC98" s="2">
        <f>Table834[[#This Row],[Waist]]*Table834[[#This Row],[Night Systolic Pressure]]</f>
        <v>5368</v>
      </c>
      <c r="CD98" s="4">
        <f>Table83[[#This Row],[Waist]]*Table83[[#This Row],[Night Diastolic Pressure]]</f>
        <v>3212</v>
      </c>
      <c r="CE98" s="2">
        <f>Table834[[#This Row],[Waist]]*Table834[[#This Row],[Night Pulse]]</f>
        <v>2684</v>
      </c>
      <c r="CF98" s="2">
        <f>Table834[[#This Row],[Waist]]*Table834[[#This Row],[Sleep]]</f>
        <v>88</v>
      </c>
      <c r="CG98" s="2">
        <f>Table834[[#This Row],[Waist]]*Table834[[#This Row],[BMI]]</f>
        <v>1599.6262857142858</v>
      </c>
      <c r="CH98" s="2">
        <f>Table834[[#This Row],[Waist]]*Table834[[#This Row],[CBF]]</f>
        <v>1378.2776997309029</v>
      </c>
      <c r="CI98" s="2">
        <f>Table834[[#This Row],[Waist]]*Table834[[#This Row],[Gym]]</f>
        <v>44</v>
      </c>
      <c r="CJ98" s="2">
        <f>Table834[[#This Row],[Waist]]*Table834[[#This Row],[Cardio]]</f>
        <v>44</v>
      </c>
      <c r="CK98" s="2">
        <f>Table834[[#This Row],[Waist]]*Table834[[#This Row],[Calories]]</f>
        <v>76179.693333333329</v>
      </c>
      <c r="CL98" s="2">
        <f>Table834[[#This Row],[Waist]]*Table834[[#This Row],[Carbs]]</f>
        <v>9175.232</v>
      </c>
      <c r="CM98" s="2">
        <f>Table834[[#This Row],[Waist]]*Table834[[#This Row],[Fat ]]</f>
        <v>2632.490666666667</v>
      </c>
      <c r="CN98" s="2">
        <f>Table834[[#This Row],[Waist]]*Table834[[#This Row],[Protein]]</f>
        <v>3807.1000000000004</v>
      </c>
      <c r="CO98" s="2">
        <f>Table834[[#This Row],[Waist]]*Table834[[#This Row],[Fiber]]</f>
        <v>1805.3933333333334</v>
      </c>
      <c r="CP98" s="2">
        <f>Table834[[#This Row],[Waist]]*Table834[[#This Row],[Sugar]]</f>
        <v>4699.8013333333329</v>
      </c>
      <c r="CQ98" s="2">
        <f>Table834[[#This Row],[Waist]]*Table834[[#This Row],[Servings]]</f>
        <v>1035.76</v>
      </c>
      <c r="CR98" s="2">
        <f>Table834[[#This Row],[Waist]]*Table834[[#This Row],[Water]]</f>
        <v>110</v>
      </c>
      <c r="CS98" s="2">
        <f>Table834[[#This Row],[Waist]]*Table834[[#This Row],[Fat Calories]]</f>
        <v>23692.415999999997</v>
      </c>
    </row>
    <row r="99" spans="1:97" x14ac:dyDescent="0.25">
      <c r="A99" s="2">
        <v>250.4</v>
      </c>
      <c r="B99" s="2">
        <f>Table834[[#This Row],[Weight]]^2</f>
        <v>62700.160000000003</v>
      </c>
      <c r="C99" s="2">
        <v>44</v>
      </c>
      <c r="D99" s="2">
        <f>Table834[[#This Row],[Waist]]^2</f>
        <v>1936</v>
      </c>
      <c r="E99" s="2">
        <v>16.5</v>
      </c>
      <c r="F99" s="2">
        <f>Table834[[#This Row],[Neck]]^2</f>
        <v>272.25</v>
      </c>
      <c r="G99" s="2">
        <v>96.7</v>
      </c>
      <c r="H99" s="2">
        <f>Table834[[#This Row],[Morning Body Temp]]^2</f>
        <v>9350.8900000000012</v>
      </c>
      <c r="I99" s="2">
        <v>127</v>
      </c>
      <c r="J99" s="2">
        <f>Table834[[#This Row],[Morning Systolic Pressure]]^2</f>
        <v>16129</v>
      </c>
      <c r="K99" s="2">
        <v>73</v>
      </c>
      <c r="L99" s="2">
        <f>Table834[[#This Row],[Morning Diastolic Pressure]]^2</f>
        <v>5329</v>
      </c>
      <c r="M99" s="2">
        <v>58</v>
      </c>
      <c r="N99" s="2">
        <f>Table834[[#This Row],[Morning Pulse]]^2</f>
        <v>3364</v>
      </c>
      <c r="O99" s="2">
        <v>96.3</v>
      </c>
      <c r="P99" s="2">
        <f>Table834[[#This Row],[Night Body Temp]]^2</f>
        <v>9273.6899999999987</v>
      </c>
      <c r="Q99" s="2">
        <v>126</v>
      </c>
      <c r="R99" s="2">
        <f>Table834[[#This Row],[Night Systolic Pressure]]^2</f>
        <v>15876</v>
      </c>
      <c r="S99" s="2">
        <v>77</v>
      </c>
      <c r="T99" s="2">
        <f>Table834[[#This Row],[Night Diastolic Pressure]]^2</f>
        <v>5929</v>
      </c>
      <c r="U99" s="2">
        <v>62</v>
      </c>
      <c r="V99" s="2">
        <f>Table834[[#This Row],[Night Pulse]]^2</f>
        <v>3844</v>
      </c>
      <c r="W99" s="2">
        <v>10</v>
      </c>
      <c r="X99" s="2">
        <f>Table834[[#This Row],[Sleep]]^2</f>
        <v>100</v>
      </c>
      <c r="Y99" s="2">
        <f t="shared" si="3"/>
        <v>35.924734693877546</v>
      </c>
      <c r="Z99" s="2">
        <f>Table834[[#This Row],[BMI]]^2</f>
        <v>1290.586562825489</v>
      </c>
      <c r="AA99" s="2">
        <f t="shared" si="2"/>
        <v>31.324493175702337</v>
      </c>
      <c r="AB99" s="2">
        <f>Table834[[#This Row],[CBF]]^2</f>
        <v>981.2238727146223</v>
      </c>
      <c r="AC99" s="2">
        <v>1</v>
      </c>
      <c r="AD99" s="2">
        <f>Table834[[#This Row],[Gym]]^2</f>
        <v>1</v>
      </c>
      <c r="AE99" s="2">
        <v>1</v>
      </c>
      <c r="AF99" s="2">
        <f>Table834[[#This Row],[Cardio]]^2</f>
        <v>1</v>
      </c>
      <c r="AG99" s="2">
        <v>2851.8975</v>
      </c>
      <c r="AH99" s="2">
        <f>Table834[[#This Row],[Calories]]^2</f>
        <v>8133319.3505062498</v>
      </c>
      <c r="AI99" s="2">
        <v>267.30999999999995</v>
      </c>
      <c r="AJ99" s="2">
        <f>Table834[[#This Row],[Carbs]]^2</f>
        <v>71454.636099999974</v>
      </c>
      <c r="AK99" s="2">
        <v>141.79500000000002</v>
      </c>
      <c r="AL99" s="2">
        <f>Table834[[#This Row],[Fat ]]^2</f>
        <v>20105.822025000005</v>
      </c>
      <c r="AM99" s="2">
        <v>125.465</v>
      </c>
      <c r="AN99" s="2">
        <f>Table834[[#This Row],[Protein]]^2</f>
        <v>15741.466225</v>
      </c>
      <c r="AO99" s="2">
        <v>19.27375</v>
      </c>
      <c r="AP99" s="2">
        <f>Table834[[#This Row],[Fiber]]^2</f>
        <v>371.47743906249997</v>
      </c>
      <c r="AQ99" s="2">
        <v>104.0125</v>
      </c>
      <c r="AR99" s="2">
        <f>Table834[[#This Row],[Sugar]]^2</f>
        <v>10818.600156250001</v>
      </c>
      <c r="AS99" s="2">
        <v>21</v>
      </c>
      <c r="AT99" s="2">
        <f>Table834[[#This Row],[Servings]]^2</f>
        <v>441</v>
      </c>
      <c r="AU99" s="2">
        <v>2</v>
      </c>
      <c r="AV99" s="2">
        <f>Table834[[#This Row],[Water]]^2</f>
        <v>4</v>
      </c>
      <c r="AW99" s="2">
        <v>1276.155</v>
      </c>
      <c r="AX99" s="2">
        <f>Table834[[#This Row],[Fat Calories]]^2</f>
        <v>1628571.584025</v>
      </c>
      <c r="AY99" s="5">
        <f>Table834[[#This Row],[Weight]]*Table834[[#This Row],[Waist]]</f>
        <v>11017.6</v>
      </c>
      <c r="AZ99" s="6">
        <f>Table834[[#This Row],[Weight]]*Table834[[#This Row],[Neck]]</f>
        <v>4131.6000000000004</v>
      </c>
      <c r="BA99" s="6">
        <f>Table834[[#This Row],[Weight]]*Table834[[#This Row],[Morning Body Temp]]</f>
        <v>24213.68</v>
      </c>
      <c r="BB99" s="6">
        <f>Table834[[#This Row],[Weight]]*Table834[[#This Row],[Morning Systolic Pressure]]</f>
        <v>31800.799999999999</v>
      </c>
      <c r="BC99" s="12">
        <f>Table834[[#This Row],[Weight]]*Table834[[#This Row],[Morning Diastolic Pressure]]</f>
        <v>18279.2</v>
      </c>
      <c r="BD99" s="2">
        <f>Table834[[#This Row],[Weight]]*Table834[[#This Row],[Morning Pulse]]</f>
        <v>14523.2</v>
      </c>
      <c r="BE99" s="2">
        <f>Table834[[#This Row],[Weight]]*Table834[[#This Row],[Night Body Temp]]</f>
        <v>24113.52</v>
      </c>
      <c r="BF99" s="2">
        <f>Table834[[#This Row],[Weight]]*Table834[[#This Row],[Night Systolic Pressure]]</f>
        <v>31550.400000000001</v>
      </c>
      <c r="BG99" s="4">
        <f>Table83[[#This Row],[Weight]]*Table83[[#This Row],[Night Diastolic Pressure]]</f>
        <v>19280.8</v>
      </c>
      <c r="BH99" s="2">
        <f>Table834[[#This Row],[Weight]]*Table834[[#This Row],[Night Pulse]]</f>
        <v>15524.800000000001</v>
      </c>
      <c r="BI99" s="2">
        <f>Table834[[#This Row],[Weight]]*Table834[[#This Row],[Sleep]]</f>
        <v>2504</v>
      </c>
      <c r="BJ99" s="2">
        <f>Table834[[#This Row],[Weight]]*Table834[[#This Row],[BMI]]</f>
        <v>8995.5535673469385</v>
      </c>
      <c r="BK99" s="2">
        <f>Table834[[#This Row],[Weight]]*Table834[[#This Row],[CBF]]</f>
        <v>7843.6530911958653</v>
      </c>
      <c r="BL99" s="2">
        <f>Table834[[#This Row],[Weight]]*Table834[[#This Row],[Gym]]</f>
        <v>250.4</v>
      </c>
      <c r="BM99" s="2">
        <f>Table834[[#This Row],[Weight]]*Table834[[#This Row],[Cardio]]</f>
        <v>250.4</v>
      </c>
      <c r="BN99" s="2">
        <f>Table834[[#This Row],[Weight]]*Table834[[#This Row],[Calories]]</f>
        <v>714115.13400000008</v>
      </c>
      <c r="BO99" s="2">
        <f>Table834[[#This Row],[Weight]]*Table834[[#This Row],[Carbs]]</f>
        <v>66934.423999999985</v>
      </c>
      <c r="BP99" s="2">
        <f>Table834[[#This Row],[Weight]]*Table834[[#This Row],[Fat ]]</f>
        <v>35505.468000000008</v>
      </c>
      <c r="BQ99" s="2">
        <f>Table834[[#This Row],[Weight]]*Table834[[#This Row],[Protein]]</f>
        <v>31416.436000000002</v>
      </c>
      <c r="BR99" s="2">
        <f>Table834[[#This Row],[Weight]]*Table834[[#This Row],[Fiber]]</f>
        <v>4826.1469999999999</v>
      </c>
      <c r="BS99" s="2">
        <f>Table834[[#This Row],[Weight]]*Table834[[#This Row],[Sugar]]</f>
        <v>26044.73</v>
      </c>
      <c r="BT99" s="2">
        <f>Table834[[#This Row],[Weight]]*Table834[[#This Row],[Servings]]</f>
        <v>5258.4000000000005</v>
      </c>
      <c r="BU99" s="2">
        <f>Table834[[#This Row],[Weight]]*Table834[[#This Row],[Water]]</f>
        <v>500.8</v>
      </c>
      <c r="BV99" s="2">
        <f>Table834[[#This Row],[Weight]]*Table834[[#This Row],[Fat Calories]]</f>
        <v>319549.212</v>
      </c>
      <c r="BW99" s="2">
        <f>Table834[[#This Row],[Waist]]*Table834[[#This Row],[Neck]]</f>
        <v>726</v>
      </c>
      <c r="BX99" s="2">
        <f>Table834[[#This Row],[Waist]]*Table834[[#This Row],[Morning Body Temp]]</f>
        <v>4254.8</v>
      </c>
      <c r="BY99" s="2">
        <f>Table834[[#This Row],[Waist]]*Table834[[#This Row],[Morning Systolic Pressure]]</f>
        <v>5588</v>
      </c>
      <c r="BZ99" s="2">
        <f>Table834[[#This Row],[Waist]]*Table834[[#This Row],[Morning Diastolic Pressure]]</f>
        <v>3212</v>
      </c>
      <c r="CA99" s="2">
        <f>Table834[[#This Row],[Waist]]*Table834[[#This Row],[Morning Pulse]]</f>
        <v>2552</v>
      </c>
      <c r="CB99" s="2">
        <f>Table834[[#This Row],[Waist]]*Table834[[#This Row],[Night Body Temp]]</f>
        <v>4237.2</v>
      </c>
      <c r="CC99" s="2">
        <f>Table834[[#This Row],[Waist]]*Table834[[#This Row],[Night Systolic Pressure]]</f>
        <v>5544</v>
      </c>
      <c r="CD99" s="4">
        <f>Table83[[#This Row],[Waist]]*Table83[[#This Row],[Night Diastolic Pressure]]</f>
        <v>3388</v>
      </c>
      <c r="CE99" s="2">
        <f>Table834[[#This Row],[Waist]]*Table834[[#This Row],[Night Pulse]]</f>
        <v>2728</v>
      </c>
      <c r="CF99" s="2">
        <f>Table834[[#This Row],[Waist]]*Table834[[#This Row],[Sleep]]</f>
        <v>440</v>
      </c>
      <c r="CG99" s="2">
        <f>Table834[[#This Row],[Waist]]*Table834[[#This Row],[BMI]]</f>
        <v>1580.6883265306121</v>
      </c>
      <c r="CH99" s="2">
        <f>Table834[[#This Row],[Waist]]*Table834[[#This Row],[CBF]]</f>
        <v>1378.2776997309029</v>
      </c>
      <c r="CI99" s="2">
        <f>Table834[[#This Row],[Waist]]*Table834[[#This Row],[Gym]]</f>
        <v>44</v>
      </c>
      <c r="CJ99" s="2">
        <f>Table834[[#This Row],[Waist]]*Table834[[#This Row],[Cardio]]</f>
        <v>44</v>
      </c>
      <c r="CK99" s="2">
        <f>Table834[[#This Row],[Waist]]*Table834[[#This Row],[Calories]]</f>
        <v>125483.49</v>
      </c>
      <c r="CL99" s="2">
        <f>Table834[[#This Row],[Waist]]*Table834[[#This Row],[Carbs]]</f>
        <v>11761.639999999998</v>
      </c>
      <c r="CM99" s="2">
        <f>Table834[[#This Row],[Waist]]*Table834[[#This Row],[Fat ]]</f>
        <v>6238.9800000000005</v>
      </c>
      <c r="CN99" s="2">
        <f>Table834[[#This Row],[Waist]]*Table834[[#This Row],[Protein]]</f>
        <v>5520.46</v>
      </c>
      <c r="CO99" s="2">
        <f>Table834[[#This Row],[Waist]]*Table834[[#This Row],[Fiber]]</f>
        <v>848.04499999999996</v>
      </c>
      <c r="CP99" s="2">
        <f>Table834[[#This Row],[Waist]]*Table834[[#This Row],[Sugar]]</f>
        <v>4576.55</v>
      </c>
      <c r="CQ99" s="2">
        <f>Table834[[#This Row],[Waist]]*Table834[[#This Row],[Servings]]</f>
        <v>924</v>
      </c>
      <c r="CR99" s="2">
        <f>Table834[[#This Row],[Waist]]*Table834[[#This Row],[Water]]</f>
        <v>88</v>
      </c>
      <c r="CS99" s="2">
        <f>Table834[[#This Row],[Waist]]*Table834[[#This Row],[Fat Calories]]</f>
        <v>56150.82</v>
      </c>
    </row>
    <row r="100" spans="1:97" x14ac:dyDescent="0.25">
      <c r="A100" s="2">
        <v>250</v>
      </c>
      <c r="B100" s="2">
        <f>Table834[[#This Row],[Weight]]^2</f>
        <v>62500</v>
      </c>
      <c r="C100" s="2">
        <v>43.5</v>
      </c>
      <c r="D100" s="2">
        <f>Table834[[#This Row],[Waist]]^2</f>
        <v>1892.25</v>
      </c>
      <c r="E100" s="2">
        <v>16.5</v>
      </c>
      <c r="F100" s="2">
        <f>Table834[[#This Row],[Neck]]^2</f>
        <v>272.25</v>
      </c>
      <c r="G100" s="2">
        <v>96</v>
      </c>
      <c r="H100" s="2">
        <f>Table834[[#This Row],[Morning Body Temp]]^2</f>
        <v>9216</v>
      </c>
      <c r="I100" s="2">
        <v>141</v>
      </c>
      <c r="J100" s="2">
        <f>Table834[[#This Row],[Morning Systolic Pressure]]^2</f>
        <v>19881</v>
      </c>
      <c r="K100" s="2">
        <v>77</v>
      </c>
      <c r="L100" s="2">
        <f>Table834[[#This Row],[Morning Diastolic Pressure]]^2</f>
        <v>5929</v>
      </c>
      <c r="M100" s="2">
        <v>61</v>
      </c>
      <c r="N100" s="2">
        <f>Table834[[#This Row],[Morning Pulse]]^2</f>
        <v>3721</v>
      </c>
      <c r="O100" s="2">
        <v>96.6</v>
      </c>
      <c r="P100" s="2">
        <f>Table834[[#This Row],[Night Body Temp]]^2</f>
        <v>9331.56</v>
      </c>
      <c r="Q100" s="2">
        <v>123</v>
      </c>
      <c r="R100" s="2">
        <f>Table834[[#This Row],[Night Systolic Pressure]]^2</f>
        <v>15129</v>
      </c>
      <c r="S100" s="2">
        <v>84</v>
      </c>
      <c r="T100" s="2">
        <f>Table834[[#This Row],[Night Diastolic Pressure]]^2</f>
        <v>7056</v>
      </c>
      <c r="U100" s="2">
        <v>66</v>
      </c>
      <c r="V100" s="2">
        <f>Table834[[#This Row],[Night Pulse]]^2</f>
        <v>4356</v>
      </c>
      <c r="W100" s="2">
        <v>8</v>
      </c>
      <c r="X100" s="2">
        <f>Table834[[#This Row],[Sleep]]^2</f>
        <v>64</v>
      </c>
      <c r="Y100" s="2">
        <f t="shared" si="3"/>
        <v>35.867346938775512</v>
      </c>
      <c r="Z100" s="2">
        <f>Table834[[#This Row],[BMI]]^2</f>
        <v>1286.4665764264892</v>
      </c>
      <c r="AA100" s="2">
        <f t="shared" si="2"/>
        <v>30.639085534675949</v>
      </c>
      <c r="AB100" s="2">
        <f>Table834[[#This Row],[CBF]]^2</f>
        <v>938.75356240118901</v>
      </c>
      <c r="AC100" s="2">
        <v>0</v>
      </c>
      <c r="AD100" s="2">
        <f>Table834[[#This Row],[Gym]]^2</f>
        <v>0</v>
      </c>
      <c r="AE100" s="2">
        <v>0</v>
      </c>
      <c r="AF100" s="2">
        <f>Table834[[#This Row],[Cardio]]^2</f>
        <v>0</v>
      </c>
      <c r="AG100" s="2">
        <v>3982.0666666666666</v>
      </c>
      <c r="AH100" s="2">
        <f>Table834[[#This Row],[Calories]]^2</f>
        <v>15856854.937777778</v>
      </c>
      <c r="AI100" s="2">
        <v>648.2940000000001</v>
      </c>
      <c r="AJ100" s="2">
        <f>Table834[[#This Row],[Carbs]]^2</f>
        <v>420285.1104360001</v>
      </c>
      <c r="AK100" s="2">
        <v>113.22833333333335</v>
      </c>
      <c r="AL100" s="2">
        <f>Table834[[#This Row],[Fat ]]^2</f>
        <v>12820.655469444449</v>
      </c>
      <c r="AM100" s="2">
        <v>120.35200000000002</v>
      </c>
      <c r="AN100" s="2">
        <f>Table834[[#This Row],[Protein]]^2</f>
        <v>14484.603904000005</v>
      </c>
      <c r="AO100" s="2">
        <v>48.450166666666668</v>
      </c>
      <c r="AP100" s="2">
        <f>Table834[[#This Row],[Fiber]]^2</f>
        <v>2347.4186500277779</v>
      </c>
      <c r="AQ100" s="2">
        <v>475.33016666666663</v>
      </c>
      <c r="AR100" s="2">
        <f>Table834[[#This Row],[Sugar]]^2</f>
        <v>225938.76734336108</v>
      </c>
      <c r="AS100" s="2">
        <v>124.39</v>
      </c>
      <c r="AT100" s="2">
        <f>Table834[[#This Row],[Servings]]^2</f>
        <v>15472.872100000001</v>
      </c>
      <c r="AU100" s="2">
        <v>1</v>
      </c>
      <c r="AV100" s="2">
        <f>Table834[[#This Row],[Water]]^2</f>
        <v>1</v>
      </c>
      <c r="AW100" s="2">
        <v>1019.0550000000001</v>
      </c>
      <c r="AX100" s="2">
        <f>Table834[[#This Row],[Fat Calories]]^2</f>
        <v>1038473.0930250002</v>
      </c>
      <c r="AY100" s="3">
        <f>Table834[[#This Row],[Weight]]*Table834[[#This Row],[Waist]]</f>
        <v>10875</v>
      </c>
      <c r="AZ100" s="4">
        <f>Table834[[#This Row],[Weight]]*Table834[[#This Row],[Neck]]</f>
        <v>4125</v>
      </c>
      <c r="BA100" s="4">
        <f>Table834[[#This Row],[Weight]]*Table834[[#This Row],[Morning Body Temp]]</f>
        <v>24000</v>
      </c>
      <c r="BB100" s="4">
        <f>Table834[[#This Row],[Weight]]*Table834[[#This Row],[Morning Systolic Pressure]]</f>
        <v>35250</v>
      </c>
      <c r="BC100" s="11">
        <f>Table834[[#This Row],[Weight]]*Table834[[#This Row],[Morning Diastolic Pressure]]</f>
        <v>19250</v>
      </c>
      <c r="BD100" s="2">
        <f>Table834[[#This Row],[Weight]]*Table834[[#This Row],[Morning Pulse]]</f>
        <v>15250</v>
      </c>
      <c r="BE100" s="2">
        <f>Table834[[#This Row],[Weight]]*Table834[[#This Row],[Night Body Temp]]</f>
        <v>24150</v>
      </c>
      <c r="BF100" s="2">
        <f>Table834[[#This Row],[Weight]]*Table834[[#This Row],[Night Systolic Pressure]]</f>
        <v>30750</v>
      </c>
      <c r="BG100" s="4">
        <f>Table83[[#This Row],[Weight]]*Table83[[#This Row],[Night Diastolic Pressure]]</f>
        <v>21000</v>
      </c>
      <c r="BH100" s="2">
        <f>Table834[[#This Row],[Weight]]*Table834[[#This Row],[Night Pulse]]</f>
        <v>16500</v>
      </c>
      <c r="BI100" s="2">
        <f>Table834[[#This Row],[Weight]]*Table834[[#This Row],[Sleep]]</f>
        <v>2000</v>
      </c>
      <c r="BJ100" s="2">
        <f>Table834[[#This Row],[Weight]]*Table834[[#This Row],[BMI]]</f>
        <v>8966.8367346938776</v>
      </c>
      <c r="BK100" s="2">
        <f>Table834[[#This Row],[Weight]]*Table834[[#This Row],[CBF]]</f>
        <v>7659.7713836689873</v>
      </c>
      <c r="BL100" s="2">
        <f>Table834[[#This Row],[Weight]]*Table834[[#This Row],[Gym]]</f>
        <v>0</v>
      </c>
      <c r="BM100" s="2">
        <f>Table834[[#This Row],[Weight]]*Table834[[#This Row],[Cardio]]</f>
        <v>0</v>
      </c>
      <c r="BN100" s="2">
        <f>Table834[[#This Row],[Weight]]*Table834[[#This Row],[Calories]]</f>
        <v>995516.66666666663</v>
      </c>
      <c r="BO100" s="2">
        <f>Table834[[#This Row],[Weight]]*Table834[[#This Row],[Carbs]]</f>
        <v>162073.50000000003</v>
      </c>
      <c r="BP100" s="2">
        <f>Table834[[#This Row],[Weight]]*Table834[[#This Row],[Fat ]]</f>
        <v>28307.083333333339</v>
      </c>
      <c r="BQ100" s="2">
        <f>Table834[[#This Row],[Weight]]*Table834[[#This Row],[Protein]]</f>
        <v>30088.000000000004</v>
      </c>
      <c r="BR100" s="2">
        <f>Table834[[#This Row],[Weight]]*Table834[[#This Row],[Fiber]]</f>
        <v>12112.541666666668</v>
      </c>
      <c r="BS100" s="2">
        <f>Table834[[#This Row],[Weight]]*Table834[[#This Row],[Sugar]]</f>
        <v>118832.54166666666</v>
      </c>
      <c r="BT100" s="2">
        <f>Table834[[#This Row],[Weight]]*Table834[[#This Row],[Servings]]</f>
        <v>31097.5</v>
      </c>
      <c r="BU100" s="2">
        <f>Table834[[#This Row],[Weight]]*Table834[[#This Row],[Water]]</f>
        <v>250</v>
      </c>
      <c r="BV100" s="2">
        <f>Table834[[#This Row],[Weight]]*Table834[[#This Row],[Fat Calories]]</f>
        <v>254763.75000000003</v>
      </c>
      <c r="BW100" s="2">
        <f>Table834[[#This Row],[Waist]]*Table834[[#This Row],[Neck]]</f>
        <v>717.75</v>
      </c>
      <c r="BX100" s="2">
        <f>Table834[[#This Row],[Waist]]*Table834[[#This Row],[Morning Body Temp]]</f>
        <v>4176</v>
      </c>
      <c r="BY100" s="2">
        <f>Table834[[#This Row],[Waist]]*Table834[[#This Row],[Morning Systolic Pressure]]</f>
        <v>6133.5</v>
      </c>
      <c r="BZ100" s="2">
        <f>Table834[[#This Row],[Waist]]*Table834[[#This Row],[Morning Diastolic Pressure]]</f>
        <v>3349.5</v>
      </c>
      <c r="CA100" s="2">
        <f>Table834[[#This Row],[Waist]]*Table834[[#This Row],[Morning Pulse]]</f>
        <v>2653.5</v>
      </c>
      <c r="CB100" s="2">
        <f>Table834[[#This Row],[Waist]]*Table834[[#This Row],[Night Body Temp]]</f>
        <v>4202.0999999999995</v>
      </c>
      <c r="CC100" s="2">
        <f>Table834[[#This Row],[Waist]]*Table834[[#This Row],[Night Systolic Pressure]]</f>
        <v>5350.5</v>
      </c>
      <c r="CD100" s="4">
        <f>Table83[[#This Row],[Waist]]*Table83[[#This Row],[Night Diastolic Pressure]]</f>
        <v>3654</v>
      </c>
      <c r="CE100" s="2">
        <f>Table834[[#This Row],[Waist]]*Table834[[#This Row],[Night Pulse]]</f>
        <v>2871</v>
      </c>
      <c r="CF100" s="2">
        <f>Table834[[#This Row],[Waist]]*Table834[[#This Row],[Sleep]]</f>
        <v>348</v>
      </c>
      <c r="CG100" s="2">
        <f>Table834[[#This Row],[Waist]]*Table834[[#This Row],[BMI]]</f>
        <v>1560.2295918367347</v>
      </c>
      <c r="CH100" s="2">
        <f>Table834[[#This Row],[Waist]]*Table834[[#This Row],[CBF]]</f>
        <v>1332.8002207584038</v>
      </c>
      <c r="CI100" s="2">
        <f>Table834[[#This Row],[Waist]]*Table834[[#This Row],[Gym]]</f>
        <v>0</v>
      </c>
      <c r="CJ100" s="2">
        <f>Table834[[#This Row],[Waist]]*Table834[[#This Row],[Cardio]]</f>
        <v>0</v>
      </c>
      <c r="CK100" s="2">
        <f>Table834[[#This Row],[Waist]]*Table834[[#This Row],[Calories]]</f>
        <v>173219.9</v>
      </c>
      <c r="CL100" s="2">
        <f>Table834[[#This Row],[Waist]]*Table834[[#This Row],[Carbs]]</f>
        <v>28200.789000000004</v>
      </c>
      <c r="CM100" s="2">
        <f>Table834[[#This Row],[Waist]]*Table834[[#This Row],[Fat ]]</f>
        <v>4925.4325000000008</v>
      </c>
      <c r="CN100" s="2">
        <f>Table834[[#This Row],[Waist]]*Table834[[#This Row],[Protein]]</f>
        <v>5235.3120000000008</v>
      </c>
      <c r="CO100" s="2">
        <f>Table834[[#This Row],[Waist]]*Table834[[#This Row],[Fiber]]</f>
        <v>2107.5822499999999</v>
      </c>
      <c r="CP100" s="2">
        <f>Table834[[#This Row],[Waist]]*Table834[[#This Row],[Sugar]]</f>
        <v>20676.862249999998</v>
      </c>
      <c r="CQ100" s="2">
        <f>Table834[[#This Row],[Waist]]*Table834[[#This Row],[Servings]]</f>
        <v>5410.9650000000001</v>
      </c>
      <c r="CR100" s="2">
        <f>Table834[[#This Row],[Waist]]*Table834[[#This Row],[Water]]</f>
        <v>43.5</v>
      </c>
      <c r="CS100" s="2">
        <f>Table834[[#This Row],[Waist]]*Table834[[#This Row],[Fat Calories]]</f>
        <v>44328.892500000002</v>
      </c>
    </row>
    <row r="101" spans="1:97" x14ac:dyDescent="0.25">
      <c r="A101" s="2">
        <v>251.4</v>
      </c>
      <c r="B101" s="2">
        <f>Table834[[#This Row],[Weight]]^2</f>
        <v>63201.960000000006</v>
      </c>
      <c r="C101" s="2">
        <v>43</v>
      </c>
      <c r="D101" s="2">
        <f>Table834[[#This Row],[Waist]]^2</f>
        <v>1849</v>
      </c>
      <c r="E101" s="2">
        <v>16.5</v>
      </c>
      <c r="F101" s="2">
        <f>Table834[[#This Row],[Neck]]^2</f>
        <v>272.25</v>
      </c>
      <c r="G101" s="2">
        <v>96.4</v>
      </c>
      <c r="H101" s="2">
        <f>Table834[[#This Row],[Morning Body Temp]]^2</f>
        <v>9292.9600000000009</v>
      </c>
      <c r="I101" s="2">
        <v>145</v>
      </c>
      <c r="J101" s="2">
        <f>Table834[[#This Row],[Morning Systolic Pressure]]^2</f>
        <v>21025</v>
      </c>
      <c r="K101" s="2">
        <v>77</v>
      </c>
      <c r="L101" s="2">
        <f>Table834[[#This Row],[Morning Diastolic Pressure]]^2</f>
        <v>5929</v>
      </c>
      <c r="M101" s="2">
        <v>72</v>
      </c>
      <c r="N101" s="2">
        <f>Table834[[#This Row],[Morning Pulse]]^2</f>
        <v>5184</v>
      </c>
      <c r="O101" s="2">
        <v>97.6</v>
      </c>
      <c r="P101" s="2">
        <f>Table834[[#This Row],[Night Body Temp]]^2</f>
        <v>9525.7599999999984</v>
      </c>
      <c r="Q101" s="2">
        <v>136</v>
      </c>
      <c r="R101" s="2">
        <f>Table834[[#This Row],[Night Systolic Pressure]]^2</f>
        <v>18496</v>
      </c>
      <c r="S101" s="2">
        <v>72</v>
      </c>
      <c r="T101" s="2">
        <f>Table834[[#This Row],[Night Diastolic Pressure]]^2</f>
        <v>5184</v>
      </c>
      <c r="U101" s="2">
        <v>73</v>
      </c>
      <c r="V101" s="2">
        <f>Table834[[#This Row],[Night Pulse]]^2</f>
        <v>5329</v>
      </c>
      <c r="W101" s="2">
        <v>7.5</v>
      </c>
      <c r="X101" s="2">
        <f>Table834[[#This Row],[Sleep]]^2</f>
        <v>56.25</v>
      </c>
      <c r="Y101" s="2">
        <f t="shared" si="3"/>
        <v>36.068204081632651</v>
      </c>
      <c r="Z101" s="2">
        <f>Table834[[#This Row],[BMI]]^2</f>
        <v>1300.9153456743022</v>
      </c>
      <c r="AA101" s="2">
        <f t="shared" si="2"/>
        <v>29.940865796666294</v>
      </c>
      <c r="AB101" s="2">
        <f>Table834[[#This Row],[CBF]]^2</f>
        <v>896.45544465398154</v>
      </c>
      <c r="AC101" s="2">
        <v>0</v>
      </c>
      <c r="AD101" s="2">
        <f>Table834[[#This Row],[Gym]]^2</f>
        <v>0</v>
      </c>
      <c r="AE101" s="2">
        <v>0</v>
      </c>
      <c r="AF101" s="2">
        <f>Table834[[#This Row],[Cardio]]^2</f>
        <v>0</v>
      </c>
      <c r="AG101" s="2">
        <v>4340.2266666666665</v>
      </c>
      <c r="AH101" s="2">
        <f>Table834[[#This Row],[Calories]]^2</f>
        <v>18837567.518044442</v>
      </c>
      <c r="AI101" s="2">
        <v>671.29300000000012</v>
      </c>
      <c r="AJ101" s="2">
        <f>Table834[[#This Row],[Carbs]]^2</f>
        <v>450634.29184900015</v>
      </c>
      <c r="AK101" s="2">
        <v>139.17233333333334</v>
      </c>
      <c r="AL101" s="2">
        <f>Table834[[#This Row],[Fat ]]^2</f>
        <v>19368.938365444446</v>
      </c>
      <c r="AM101" s="2">
        <v>134.52300000000002</v>
      </c>
      <c r="AN101" s="2">
        <f>Table834[[#This Row],[Protein]]^2</f>
        <v>18096.437529000006</v>
      </c>
      <c r="AO101" s="2">
        <v>60.768166666666666</v>
      </c>
      <c r="AP101" s="2">
        <f>Table834[[#This Row],[Fiber]]^2</f>
        <v>3692.7700800277776</v>
      </c>
      <c r="AQ101" s="2">
        <v>472.61616666666669</v>
      </c>
      <c r="AR101" s="2">
        <f>Table834[[#This Row],[Sugar]]^2</f>
        <v>223366.04099469446</v>
      </c>
      <c r="AS101" s="2">
        <v>128.52000000000001</v>
      </c>
      <c r="AT101" s="2">
        <f>Table834[[#This Row],[Servings]]^2</f>
        <v>16517.390400000004</v>
      </c>
      <c r="AU101" s="2">
        <v>0.5</v>
      </c>
      <c r="AV101" s="2">
        <f>Table834[[#This Row],[Water]]^2</f>
        <v>0.25</v>
      </c>
      <c r="AW101" s="2">
        <v>1252.5509999999999</v>
      </c>
      <c r="AX101" s="2">
        <f>Table834[[#This Row],[Fat Calories]]^2</f>
        <v>1568884.0076009999</v>
      </c>
      <c r="AY101" s="5">
        <f>Table834[[#This Row],[Weight]]*Table834[[#This Row],[Waist]]</f>
        <v>10810.2</v>
      </c>
      <c r="AZ101" s="6">
        <f>Table834[[#This Row],[Weight]]*Table834[[#This Row],[Neck]]</f>
        <v>4148.1000000000004</v>
      </c>
      <c r="BA101" s="6">
        <f>Table834[[#This Row],[Weight]]*Table834[[#This Row],[Morning Body Temp]]</f>
        <v>24234.960000000003</v>
      </c>
      <c r="BB101" s="6">
        <f>Table834[[#This Row],[Weight]]*Table834[[#This Row],[Morning Systolic Pressure]]</f>
        <v>36453</v>
      </c>
      <c r="BC101" s="12">
        <f>Table834[[#This Row],[Weight]]*Table834[[#This Row],[Morning Diastolic Pressure]]</f>
        <v>19357.8</v>
      </c>
      <c r="BD101" s="2">
        <f>Table834[[#This Row],[Weight]]*Table834[[#This Row],[Morning Pulse]]</f>
        <v>18100.8</v>
      </c>
      <c r="BE101" s="2">
        <f>Table834[[#This Row],[Weight]]*Table834[[#This Row],[Night Body Temp]]</f>
        <v>24536.639999999999</v>
      </c>
      <c r="BF101" s="2">
        <f>Table834[[#This Row],[Weight]]*Table834[[#This Row],[Night Systolic Pressure]]</f>
        <v>34190.400000000001</v>
      </c>
      <c r="BG101" s="4">
        <f>Table83[[#This Row],[Weight]]*Table83[[#This Row],[Night Diastolic Pressure]]</f>
        <v>18100.8</v>
      </c>
      <c r="BH101" s="2">
        <f>Table834[[#This Row],[Weight]]*Table834[[#This Row],[Night Pulse]]</f>
        <v>18352.2</v>
      </c>
      <c r="BI101" s="2">
        <f>Table834[[#This Row],[Weight]]*Table834[[#This Row],[Sleep]]</f>
        <v>1885.5</v>
      </c>
      <c r="BJ101" s="2">
        <f>Table834[[#This Row],[Weight]]*Table834[[#This Row],[BMI]]</f>
        <v>9067.5465061224477</v>
      </c>
      <c r="BK101" s="2">
        <f>Table834[[#This Row],[Weight]]*Table834[[#This Row],[CBF]]</f>
        <v>7527.1336612819068</v>
      </c>
      <c r="BL101" s="2">
        <f>Table834[[#This Row],[Weight]]*Table834[[#This Row],[Gym]]</f>
        <v>0</v>
      </c>
      <c r="BM101" s="2">
        <f>Table834[[#This Row],[Weight]]*Table834[[#This Row],[Cardio]]</f>
        <v>0</v>
      </c>
      <c r="BN101" s="2">
        <f>Table834[[#This Row],[Weight]]*Table834[[#This Row],[Calories]]</f>
        <v>1091132.9839999999</v>
      </c>
      <c r="BO101" s="2">
        <f>Table834[[#This Row],[Weight]]*Table834[[#This Row],[Carbs]]</f>
        <v>168763.06020000004</v>
      </c>
      <c r="BP101" s="2">
        <f>Table834[[#This Row],[Weight]]*Table834[[#This Row],[Fat ]]</f>
        <v>34987.924600000006</v>
      </c>
      <c r="BQ101" s="2">
        <f>Table834[[#This Row],[Weight]]*Table834[[#This Row],[Protein]]</f>
        <v>33819.082200000004</v>
      </c>
      <c r="BR101" s="2">
        <f>Table834[[#This Row],[Weight]]*Table834[[#This Row],[Fiber]]</f>
        <v>15277.117099999999</v>
      </c>
      <c r="BS101" s="2">
        <f>Table834[[#This Row],[Weight]]*Table834[[#This Row],[Sugar]]</f>
        <v>118815.70430000001</v>
      </c>
      <c r="BT101" s="2">
        <f>Table834[[#This Row],[Weight]]*Table834[[#This Row],[Servings]]</f>
        <v>32309.928000000004</v>
      </c>
      <c r="BU101" s="2">
        <f>Table834[[#This Row],[Weight]]*Table834[[#This Row],[Water]]</f>
        <v>125.7</v>
      </c>
      <c r="BV101" s="2">
        <f>Table834[[#This Row],[Weight]]*Table834[[#This Row],[Fat Calories]]</f>
        <v>314891.32140000002</v>
      </c>
      <c r="BW101" s="2">
        <f>Table834[[#This Row],[Waist]]*Table834[[#This Row],[Neck]]</f>
        <v>709.5</v>
      </c>
      <c r="BX101" s="2">
        <f>Table834[[#This Row],[Waist]]*Table834[[#This Row],[Morning Body Temp]]</f>
        <v>4145.2</v>
      </c>
      <c r="BY101" s="2">
        <f>Table834[[#This Row],[Waist]]*Table834[[#This Row],[Morning Systolic Pressure]]</f>
        <v>6235</v>
      </c>
      <c r="BZ101" s="2">
        <f>Table834[[#This Row],[Waist]]*Table834[[#This Row],[Morning Diastolic Pressure]]</f>
        <v>3311</v>
      </c>
      <c r="CA101" s="2">
        <f>Table834[[#This Row],[Waist]]*Table834[[#This Row],[Morning Pulse]]</f>
        <v>3096</v>
      </c>
      <c r="CB101" s="2">
        <f>Table834[[#This Row],[Waist]]*Table834[[#This Row],[Night Body Temp]]</f>
        <v>4196.8</v>
      </c>
      <c r="CC101" s="2">
        <f>Table834[[#This Row],[Waist]]*Table834[[#This Row],[Night Systolic Pressure]]</f>
        <v>5848</v>
      </c>
      <c r="CD101" s="4">
        <f>Table83[[#This Row],[Waist]]*Table83[[#This Row],[Night Diastolic Pressure]]</f>
        <v>3096</v>
      </c>
      <c r="CE101" s="2">
        <f>Table834[[#This Row],[Waist]]*Table834[[#This Row],[Night Pulse]]</f>
        <v>3139</v>
      </c>
      <c r="CF101" s="2">
        <f>Table834[[#This Row],[Waist]]*Table834[[#This Row],[Sleep]]</f>
        <v>322.5</v>
      </c>
      <c r="CG101" s="2">
        <f>Table834[[#This Row],[Waist]]*Table834[[#This Row],[BMI]]</f>
        <v>1550.932775510204</v>
      </c>
      <c r="CH101" s="2">
        <f>Table834[[#This Row],[Waist]]*Table834[[#This Row],[CBF]]</f>
        <v>1287.4572292566506</v>
      </c>
      <c r="CI101" s="2">
        <f>Table834[[#This Row],[Waist]]*Table834[[#This Row],[Gym]]</f>
        <v>0</v>
      </c>
      <c r="CJ101" s="2">
        <f>Table834[[#This Row],[Waist]]*Table834[[#This Row],[Cardio]]</f>
        <v>0</v>
      </c>
      <c r="CK101" s="2">
        <f>Table834[[#This Row],[Waist]]*Table834[[#This Row],[Calories]]</f>
        <v>186629.74666666664</v>
      </c>
      <c r="CL101" s="2">
        <f>Table834[[#This Row],[Waist]]*Table834[[#This Row],[Carbs]]</f>
        <v>28865.599000000006</v>
      </c>
      <c r="CM101" s="2">
        <f>Table834[[#This Row],[Waist]]*Table834[[#This Row],[Fat ]]</f>
        <v>5984.4103333333333</v>
      </c>
      <c r="CN101" s="2">
        <f>Table834[[#This Row],[Waist]]*Table834[[#This Row],[Protein]]</f>
        <v>5784.4890000000014</v>
      </c>
      <c r="CO101" s="2">
        <f>Table834[[#This Row],[Waist]]*Table834[[#This Row],[Fiber]]</f>
        <v>2613.0311666666666</v>
      </c>
      <c r="CP101" s="2">
        <f>Table834[[#This Row],[Waist]]*Table834[[#This Row],[Sugar]]</f>
        <v>20322.495166666668</v>
      </c>
      <c r="CQ101" s="2">
        <f>Table834[[#This Row],[Waist]]*Table834[[#This Row],[Servings]]</f>
        <v>5526.3600000000006</v>
      </c>
      <c r="CR101" s="2">
        <f>Table834[[#This Row],[Waist]]*Table834[[#This Row],[Water]]</f>
        <v>21.5</v>
      </c>
      <c r="CS101" s="2">
        <f>Table834[[#This Row],[Waist]]*Table834[[#This Row],[Fat Calories]]</f>
        <v>53859.692999999999</v>
      </c>
    </row>
    <row r="102" spans="1:97" x14ac:dyDescent="0.25">
      <c r="A102" s="2">
        <v>250.8</v>
      </c>
      <c r="B102" s="2">
        <f>Table834[[#This Row],[Weight]]^2</f>
        <v>62900.640000000007</v>
      </c>
      <c r="C102" s="2">
        <v>43.5</v>
      </c>
      <c r="D102" s="2">
        <f>Table834[[#This Row],[Waist]]^2</f>
        <v>1892.25</v>
      </c>
      <c r="E102" s="2">
        <v>16.5</v>
      </c>
      <c r="F102" s="2">
        <f>Table834[[#This Row],[Neck]]^2</f>
        <v>272.25</v>
      </c>
      <c r="G102" s="2">
        <v>96.3</v>
      </c>
      <c r="H102" s="2">
        <f>Table834[[#This Row],[Morning Body Temp]]^2</f>
        <v>9273.6899999999987</v>
      </c>
      <c r="I102" s="2">
        <v>111</v>
      </c>
      <c r="J102" s="2">
        <f>Table834[[#This Row],[Morning Systolic Pressure]]^2</f>
        <v>12321</v>
      </c>
      <c r="K102" s="2">
        <v>80</v>
      </c>
      <c r="L102" s="2">
        <f>Table834[[#This Row],[Morning Diastolic Pressure]]^2</f>
        <v>6400</v>
      </c>
      <c r="M102" s="2">
        <v>65</v>
      </c>
      <c r="N102" s="2">
        <f>Table834[[#This Row],[Morning Pulse]]^2</f>
        <v>4225</v>
      </c>
      <c r="O102" s="2">
        <v>97.1</v>
      </c>
      <c r="P102" s="2">
        <f>Table834[[#This Row],[Night Body Temp]]^2</f>
        <v>9428.409999999998</v>
      </c>
      <c r="Q102" s="2">
        <v>135</v>
      </c>
      <c r="R102" s="2">
        <f>Table834[[#This Row],[Night Systolic Pressure]]^2</f>
        <v>18225</v>
      </c>
      <c r="S102" s="2">
        <v>76</v>
      </c>
      <c r="T102" s="2">
        <f>Table834[[#This Row],[Night Diastolic Pressure]]^2</f>
        <v>5776</v>
      </c>
      <c r="U102" s="2">
        <v>71</v>
      </c>
      <c r="V102" s="2">
        <f>Table834[[#This Row],[Night Pulse]]^2</f>
        <v>5041</v>
      </c>
      <c r="W102" s="2">
        <v>10</v>
      </c>
      <c r="X102" s="2">
        <f>Table834[[#This Row],[Sleep]]^2</f>
        <v>100</v>
      </c>
      <c r="Y102" s="2">
        <f t="shared" si="3"/>
        <v>35.982122448979595</v>
      </c>
      <c r="Z102" s="2">
        <f>Table834[[#This Row],[BMI]]^2</f>
        <v>1294.7131359333614</v>
      </c>
      <c r="AA102" s="2">
        <f t="shared" si="2"/>
        <v>30.639085534675949</v>
      </c>
      <c r="AB102" s="2">
        <f>Table834[[#This Row],[CBF]]^2</f>
        <v>938.75356240118901</v>
      </c>
      <c r="AC102" s="2">
        <v>0</v>
      </c>
      <c r="AD102" s="2">
        <f>Table834[[#This Row],[Gym]]^2</f>
        <v>0</v>
      </c>
      <c r="AE102" s="2">
        <v>0</v>
      </c>
      <c r="AF102" s="2">
        <f>Table834[[#This Row],[Cardio]]^2</f>
        <v>0</v>
      </c>
      <c r="AG102" s="2">
        <v>6197.8975</v>
      </c>
      <c r="AH102" s="2">
        <f>Table834[[#This Row],[Calories]]^2</f>
        <v>38413933.420506254</v>
      </c>
      <c r="AI102" s="2">
        <v>850.51</v>
      </c>
      <c r="AJ102" s="2">
        <f>Table834[[#This Row],[Carbs]]^2</f>
        <v>723367.26009999996</v>
      </c>
      <c r="AK102" s="2">
        <v>259.79499999999996</v>
      </c>
      <c r="AL102" s="2">
        <f>Table834[[#This Row],[Fat ]]^2</f>
        <v>67493.442024999982</v>
      </c>
      <c r="AM102" s="2">
        <v>149.46500000000003</v>
      </c>
      <c r="AN102" s="2">
        <f>Table834[[#This Row],[Protein]]^2</f>
        <v>22339.786225000011</v>
      </c>
      <c r="AO102" s="2">
        <v>26.27375</v>
      </c>
      <c r="AP102" s="2">
        <f>Table834[[#This Row],[Fiber]]^2</f>
        <v>690.30993906250001</v>
      </c>
      <c r="AQ102" s="2">
        <v>620.61249999999995</v>
      </c>
      <c r="AR102" s="2">
        <f>Table834[[#This Row],[Sugar]]^2</f>
        <v>385159.87515624997</v>
      </c>
      <c r="AS102" s="2">
        <v>115</v>
      </c>
      <c r="AT102" s="2">
        <f>Table834[[#This Row],[Servings]]^2</f>
        <v>13225</v>
      </c>
      <c r="AU102" s="2">
        <v>0.5</v>
      </c>
      <c r="AV102" s="2">
        <f>Table834[[#This Row],[Water]]^2</f>
        <v>0.25</v>
      </c>
      <c r="AW102" s="2">
        <v>2338.1550000000002</v>
      </c>
      <c r="AX102" s="2">
        <f>Table834[[#This Row],[Fat Calories]]^2</f>
        <v>5466968.8040250009</v>
      </c>
      <c r="AY102" s="3">
        <f>Table834[[#This Row],[Weight]]*Table834[[#This Row],[Waist]]</f>
        <v>10909.800000000001</v>
      </c>
      <c r="AZ102" s="4">
        <f>Table834[[#This Row],[Weight]]*Table834[[#This Row],[Neck]]</f>
        <v>4138.2</v>
      </c>
      <c r="BA102" s="4">
        <f>Table834[[#This Row],[Weight]]*Table834[[#This Row],[Morning Body Temp]]</f>
        <v>24152.04</v>
      </c>
      <c r="BB102" s="4">
        <f>Table834[[#This Row],[Weight]]*Table834[[#This Row],[Morning Systolic Pressure]]</f>
        <v>27838.800000000003</v>
      </c>
      <c r="BC102" s="11">
        <f>Table834[[#This Row],[Weight]]*Table834[[#This Row],[Morning Diastolic Pressure]]</f>
        <v>20064</v>
      </c>
      <c r="BD102" s="2">
        <f>Table834[[#This Row],[Weight]]*Table834[[#This Row],[Morning Pulse]]</f>
        <v>16302</v>
      </c>
      <c r="BE102" s="2">
        <f>Table834[[#This Row],[Weight]]*Table834[[#This Row],[Night Body Temp]]</f>
        <v>24352.68</v>
      </c>
      <c r="BF102" s="2">
        <f>Table834[[#This Row],[Weight]]*Table834[[#This Row],[Night Systolic Pressure]]</f>
        <v>33858</v>
      </c>
      <c r="BG102" s="4">
        <f>Table83[[#This Row],[Weight]]*Table83[[#This Row],[Night Diastolic Pressure]]</f>
        <v>19060.8</v>
      </c>
      <c r="BH102" s="2">
        <f>Table834[[#This Row],[Weight]]*Table834[[#This Row],[Night Pulse]]</f>
        <v>17806.8</v>
      </c>
      <c r="BI102" s="2">
        <f>Table834[[#This Row],[Weight]]*Table834[[#This Row],[Sleep]]</f>
        <v>2508</v>
      </c>
      <c r="BJ102" s="2">
        <f>Table834[[#This Row],[Weight]]*Table834[[#This Row],[BMI]]</f>
        <v>9024.3163102040835</v>
      </c>
      <c r="BK102" s="2">
        <f>Table834[[#This Row],[Weight]]*Table834[[#This Row],[CBF]]</f>
        <v>7684.2826520967283</v>
      </c>
      <c r="BL102" s="2">
        <f>Table834[[#This Row],[Weight]]*Table834[[#This Row],[Gym]]</f>
        <v>0</v>
      </c>
      <c r="BM102" s="2">
        <f>Table834[[#This Row],[Weight]]*Table834[[#This Row],[Cardio]]</f>
        <v>0</v>
      </c>
      <c r="BN102" s="2">
        <f>Table834[[#This Row],[Weight]]*Table834[[#This Row],[Calories]]</f>
        <v>1554432.693</v>
      </c>
      <c r="BO102" s="2">
        <f>Table834[[#This Row],[Weight]]*Table834[[#This Row],[Carbs]]</f>
        <v>213307.908</v>
      </c>
      <c r="BP102" s="2">
        <f>Table834[[#This Row],[Weight]]*Table834[[#This Row],[Fat ]]</f>
        <v>65156.585999999996</v>
      </c>
      <c r="BQ102" s="2">
        <f>Table834[[#This Row],[Weight]]*Table834[[#This Row],[Protein]]</f>
        <v>37485.822000000007</v>
      </c>
      <c r="BR102" s="2">
        <f>Table834[[#This Row],[Weight]]*Table834[[#This Row],[Fiber]]</f>
        <v>6589.4565000000002</v>
      </c>
      <c r="BS102" s="2">
        <f>Table834[[#This Row],[Weight]]*Table834[[#This Row],[Sugar]]</f>
        <v>155649.61499999999</v>
      </c>
      <c r="BT102" s="2">
        <f>Table834[[#This Row],[Weight]]*Table834[[#This Row],[Servings]]</f>
        <v>28842</v>
      </c>
      <c r="BU102" s="2">
        <f>Table834[[#This Row],[Weight]]*Table834[[#This Row],[Water]]</f>
        <v>125.4</v>
      </c>
      <c r="BV102" s="2">
        <f>Table834[[#This Row],[Weight]]*Table834[[#This Row],[Fat Calories]]</f>
        <v>586409.27400000009</v>
      </c>
      <c r="BW102" s="2">
        <f>Table834[[#This Row],[Waist]]*Table834[[#This Row],[Neck]]</f>
        <v>717.75</v>
      </c>
      <c r="BX102" s="2">
        <f>Table834[[#This Row],[Waist]]*Table834[[#This Row],[Morning Body Temp]]</f>
        <v>4189.05</v>
      </c>
      <c r="BY102" s="2">
        <f>Table834[[#This Row],[Waist]]*Table834[[#This Row],[Morning Systolic Pressure]]</f>
        <v>4828.5</v>
      </c>
      <c r="BZ102" s="2">
        <f>Table834[[#This Row],[Waist]]*Table834[[#This Row],[Morning Diastolic Pressure]]</f>
        <v>3480</v>
      </c>
      <c r="CA102" s="2">
        <f>Table834[[#This Row],[Waist]]*Table834[[#This Row],[Morning Pulse]]</f>
        <v>2827.5</v>
      </c>
      <c r="CB102" s="2">
        <f>Table834[[#This Row],[Waist]]*Table834[[#This Row],[Night Body Temp]]</f>
        <v>4223.8499999999995</v>
      </c>
      <c r="CC102" s="2">
        <f>Table834[[#This Row],[Waist]]*Table834[[#This Row],[Night Systolic Pressure]]</f>
        <v>5872.5</v>
      </c>
      <c r="CD102" s="4">
        <f>Table83[[#This Row],[Waist]]*Table83[[#This Row],[Night Diastolic Pressure]]</f>
        <v>3306</v>
      </c>
      <c r="CE102" s="2">
        <f>Table834[[#This Row],[Waist]]*Table834[[#This Row],[Night Pulse]]</f>
        <v>3088.5</v>
      </c>
      <c r="CF102" s="2">
        <f>Table834[[#This Row],[Waist]]*Table834[[#This Row],[Sleep]]</f>
        <v>435</v>
      </c>
      <c r="CG102" s="2">
        <f>Table834[[#This Row],[Waist]]*Table834[[#This Row],[BMI]]</f>
        <v>1565.2223265306125</v>
      </c>
      <c r="CH102" s="2">
        <f>Table834[[#This Row],[Waist]]*Table834[[#This Row],[CBF]]</f>
        <v>1332.8002207584038</v>
      </c>
      <c r="CI102" s="2">
        <f>Table834[[#This Row],[Waist]]*Table834[[#This Row],[Gym]]</f>
        <v>0</v>
      </c>
      <c r="CJ102" s="2">
        <f>Table834[[#This Row],[Waist]]*Table834[[#This Row],[Cardio]]</f>
        <v>0</v>
      </c>
      <c r="CK102" s="2">
        <f>Table834[[#This Row],[Waist]]*Table834[[#This Row],[Calories]]</f>
        <v>269608.54125000001</v>
      </c>
      <c r="CL102" s="2">
        <f>Table834[[#This Row],[Waist]]*Table834[[#This Row],[Carbs]]</f>
        <v>36997.184999999998</v>
      </c>
      <c r="CM102" s="2">
        <f>Table834[[#This Row],[Waist]]*Table834[[#This Row],[Fat ]]</f>
        <v>11301.082499999999</v>
      </c>
      <c r="CN102" s="2">
        <f>Table834[[#This Row],[Waist]]*Table834[[#This Row],[Protein]]</f>
        <v>6501.7275000000018</v>
      </c>
      <c r="CO102" s="2">
        <f>Table834[[#This Row],[Waist]]*Table834[[#This Row],[Fiber]]</f>
        <v>1142.9081249999999</v>
      </c>
      <c r="CP102" s="2">
        <f>Table834[[#This Row],[Waist]]*Table834[[#This Row],[Sugar]]</f>
        <v>26996.643749999999</v>
      </c>
      <c r="CQ102" s="2">
        <f>Table834[[#This Row],[Waist]]*Table834[[#This Row],[Servings]]</f>
        <v>5002.5</v>
      </c>
      <c r="CR102" s="2">
        <f>Table834[[#This Row],[Waist]]*Table834[[#This Row],[Water]]</f>
        <v>21.75</v>
      </c>
      <c r="CS102" s="2">
        <f>Table834[[#This Row],[Waist]]*Table834[[#This Row],[Fat Calories]]</f>
        <v>101709.74250000001</v>
      </c>
    </row>
    <row r="103" spans="1:97" x14ac:dyDescent="0.25">
      <c r="A103" s="2">
        <v>252.2</v>
      </c>
      <c r="B103" s="2">
        <f>Table834[[#This Row],[Weight]]^2</f>
        <v>63604.84</v>
      </c>
      <c r="C103" s="2">
        <v>43</v>
      </c>
      <c r="D103" s="2">
        <f>Table834[[#This Row],[Waist]]^2</f>
        <v>1849</v>
      </c>
      <c r="E103" s="2">
        <v>16.5</v>
      </c>
      <c r="F103" s="2">
        <f>Table834[[#This Row],[Neck]]^2</f>
        <v>272.25</v>
      </c>
      <c r="G103" s="2">
        <v>96.2</v>
      </c>
      <c r="H103" s="2">
        <f>Table834[[#This Row],[Morning Body Temp]]^2</f>
        <v>9254.44</v>
      </c>
      <c r="I103" s="2">
        <v>128</v>
      </c>
      <c r="J103" s="2">
        <f>Table834[[#This Row],[Morning Systolic Pressure]]^2</f>
        <v>16384</v>
      </c>
      <c r="K103" s="2">
        <v>90</v>
      </c>
      <c r="L103" s="2">
        <f>Table834[[#This Row],[Morning Diastolic Pressure]]^2</f>
        <v>8100</v>
      </c>
      <c r="M103" s="2">
        <v>75</v>
      </c>
      <c r="N103" s="2">
        <f>Table834[[#This Row],[Morning Pulse]]^2</f>
        <v>5625</v>
      </c>
      <c r="O103" s="2">
        <v>97.2</v>
      </c>
      <c r="P103" s="2">
        <f>Table834[[#This Row],[Night Body Temp]]^2</f>
        <v>9447.84</v>
      </c>
      <c r="Q103" s="2">
        <v>134</v>
      </c>
      <c r="R103" s="2">
        <f>Table834[[#This Row],[Night Systolic Pressure]]^2</f>
        <v>17956</v>
      </c>
      <c r="S103" s="2">
        <v>77</v>
      </c>
      <c r="T103" s="2">
        <f>Table834[[#This Row],[Night Diastolic Pressure]]^2</f>
        <v>5929</v>
      </c>
      <c r="U103" s="2">
        <v>72</v>
      </c>
      <c r="V103" s="2">
        <f>Table834[[#This Row],[Night Pulse]]^2</f>
        <v>5184</v>
      </c>
      <c r="W103" s="2">
        <v>12</v>
      </c>
      <c r="X103" s="2">
        <f>Table834[[#This Row],[Sleep]]^2</f>
        <v>144</v>
      </c>
      <c r="Y103" s="2">
        <f t="shared" si="3"/>
        <v>36.182979591836734</v>
      </c>
      <c r="Z103" s="2">
        <f>Table834[[#This Row],[BMI]]^2</f>
        <v>1309.2080121432737</v>
      </c>
      <c r="AA103" s="2">
        <f t="shared" si="2"/>
        <v>29.940865796666294</v>
      </c>
      <c r="AB103" s="2">
        <f>Table834[[#This Row],[CBF]]^2</f>
        <v>896.45544465398154</v>
      </c>
      <c r="AC103" s="2">
        <v>0</v>
      </c>
      <c r="AD103" s="2">
        <f>Table834[[#This Row],[Gym]]^2</f>
        <v>0</v>
      </c>
      <c r="AE103" s="2">
        <v>0</v>
      </c>
      <c r="AF103" s="2">
        <f>Table834[[#This Row],[Cardio]]^2</f>
        <v>0</v>
      </c>
      <c r="AG103" s="2">
        <v>7687</v>
      </c>
      <c r="AH103" s="2">
        <f>Table834[[#This Row],[Calories]]^2</f>
        <v>59089969</v>
      </c>
      <c r="AI103" s="2">
        <v>1192.5999999999999</v>
      </c>
      <c r="AJ103" s="2">
        <f>Table834[[#This Row],[Carbs]]^2</f>
        <v>1422294.7599999998</v>
      </c>
      <c r="AK103" s="2">
        <v>255.2</v>
      </c>
      <c r="AL103" s="2">
        <f>Table834[[#This Row],[Fat ]]^2</f>
        <v>65127.039999999994</v>
      </c>
      <c r="AM103" s="2">
        <v>206.4</v>
      </c>
      <c r="AN103" s="2">
        <f>Table834[[#This Row],[Protein]]^2</f>
        <v>42600.959999999999</v>
      </c>
      <c r="AO103" s="2">
        <v>44.2</v>
      </c>
      <c r="AP103" s="2">
        <f>Table834[[#This Row],[Fiber]]^2</f>
        <v>1953.6400000000003</v>
      </c>
      <c r="AQ103" s="2">
        <v>808</v>
      </c>
      <c r="AR103" s="2">
        <f>Table834[[#This Row],[Sugar]]^2</f>
        <v>652864</v>
      </c>
      <c r="AS103" s="2">
        <v>155</v>
      </c>
      <c r="AT103" s="2">
        <f>Table834[[#This Row],[Servings]]^2</f>
        <v>24025</v>
      </c>
      <c r="AU103" s="2">
        <v>0.5</v>
      </c>
      <c r="AV103" s="2">
        <f>Table834[[#This Row],[Water]]^2</f>
        <v>0.25</v>
      </c>
      <c r="AW103" s="2">
        <v>2296.8000000000002</v>
      </c>
      <c r="AX103" s="2">
        <f>Table834[[#This Row],[Fat Calories]]^2</f>
        <v>5275290.2400000012</v>
      </c>
      <c r="AY103" s="5">
        <f>Table834[[#This Row],[Weight]]*Table834[[#This Row],[Waist]]</f>
        <v>10844.6</v>
      </c>
      <c r="AZ103" s="6">
        <f>Table834[[#This Row],[Weight]]*Table834[[#This Row],[Neck]]</f>
        <v>4161.3</v>
      </c>
      <c r="BA103" s="6">
        <f>Table834[[#This Row],[Weight]]*Table834[[#This Row],[Morning Body Temp]]</f>
        <v>24261.64</v>
      </c>
      <c r="BB103" s="6">
        <f>Table834[[#This Row],[Weight]]*Table834[[#This Row],[Morning Systolic Pressure]]</f>
        <v>32281.599999999999</v>
      </c>
      <c r="BC103" s="12">
        <f>Table834[[#This Row],[Weight]]*Table834[[#This Row],[Morning Diastolic Pressure]]</f>
        <v>22698</v>
      </c>
      <c r="BD103" s="2">
        <f>Table834[[#This Row],[Weight]]*Table834[[#This Row],[Morning Pulse]]</f>
        <v>18915</v>
      </c>
      <c r="BE103" s="2">
        <f>Table834[[#This Row],[Weight]]*Table834[[#This Row],[Night Body Temp]]</f>
        <v>24513.84</v>
      </c>
      <c r="BF103" s="2">
        <f>Table834[[#This Row],[Weight]]*Table834[[#This Row],[Night Systolic Pressure]]</f>
        <v>33794.799999999996</v>
      </c>
      <c r="BG103" s="4">
        <f>Table83[[#This Row],[Weight]]*Table83[[#This Row],[Night Diastolic Pressure]]</f>
        <v>19419.399999999998</v>
      </c>
      <c r="BH103" s="2">
        <f>Table834[[#This Row],[Weight]]*Table834[[#This Row],[Night Pulse]]</f>
        <v>18158.399999999998</v>
      </c>
      <c r="BI103" s="2">
        <f>Table834[[#This Row],[Weight]]*Table834[[#This Row],[Sleep]]</f>
        <v>3026.3999999999996</v>
      </c>
      <c r="BJ103" s="2">
        <f>Table834[[#This Row],[Weight]]*Table834[[#This Row],[BMI]]</f>
        <v>9125.3474530612239</v>
      </c>
      <c r="BK103" s="2">
        <f>Table834[[#This Row],[Weight]]*Table834[[#This Row],[CBF]]</f>
        <v>7551.0863539192387</v>
      </c>
      <c r="BL103" s="2">
        <f>Table834[[#This Row],[Weight]]*Table834[[#This Row],[Gym]]</f>
        <v>0</v>
      </c>
      <c r="BM103" s="2">
        <f>Table834[[#This Row],[Weight]]*Table834[[#This Row],[Cardio]]</f>
        <v>0</v>
      </c>
      <c r="BN103" s="2">
        <f>Table834[[#This Row],[Weight]]*Table834[[#This Row],[Calories]]</f>
        <v>1938661.4</v>
      </c>
      <c r="BO103" s="2">
        <f>Table834[[#This Row],[Weight]]*Table834[[#This Row],[Carbs]]</f>
        <v>300773.71999999997</v>
      </c>
      <c r="BP103" s="2">
        <f>Table834[[#This Row],[Weight]]*Table834[[#This Row],[Fat ]]</f>
        <v>64361.439999999995</v>
      </c>
      <c r="BQ103" s="2">
        <f>Table834[[#This Row],[Weight]]*Table834[[#This Row],[Protein]]</f>
        <v>52054.080000000002</v>
      </c>
      <c r="BR103" s="2">
        <f>Table834[[#This Row],[Weight]]*Table834[[#This Row],[Fiber]]</f>
        <v>11147.24</v>
      </c>
      <c r="BS103" s="2">
        <f>Table834[[#This Row],[Weight]]*Table834[[#This Row],[Sugar]]</f>
        <v>203777.59999999998</v>
      </c>
      <c r="BT103" s="2">
        <f>Table834[[#This Row],[Weight]]*Table834[[#This Row],[Servings]]</f>
        <v>39091</v>
      </c>
      <c r="BU103" s="2">
        <f>Table834[[#This Row],[Weight]]*Table834[[#This Row],[Water]]</f>
        <v>126.1</v>
      </c>
      <c r="BV103" s="2">
        <f>Table834[[#This Row],[Weight]]*Table834[[#This Row],[Fat Calories]]</f>
        <v>579252.96</v>
      </c>
      <c r="BW103" s="2">
        <f>Table834[[#This Row],[Waist]]*Table834[[#This Row],[Neck]]</f>
        <v>709.5</v>
      </c>
      <c r="BX103" s="2">
        <f>Table834[[#This Row],[Waist]]*Table834[[#This Row],[Morning Body Temp]]</f>
        <v>4136.6000000000004</v>
      </c>
      <c r="BY103" s="2">
        <f>Table834[[#This Row],[Waist]]*Table834[[#This Row],[Morning Systolic Pressure]]</f>
        <v>5504</v>
      </c>
      <c r="BZ103" s="2">
        <f>Table834[[#This Row],[Waist]]*Table834[[#This Row],[Morning Diastolic Pressure]]</f>
        <v>3870</v>
      </c>
      <c r="CA103" s="2">
        <f>Table834[[#This Row],[Waist]]*Table834[[#This Row],[Morning Pulse]]</f>
        <v>3225</v>
      </c>
      <c r="CB103" s="2">
        <f>Table834[[#This Row],[Waist]]*Table834[[#This Row],[Night Body Temp]]</f>
        <v>4179.6000000000004</v>
      </c>
      <c r="CC103" s="2">
        <f>Table834[[#This Row],[Waist]]*Table834[[#This Row],[Night Systolic Pressure]]</f>
        <v>5762</v>
      </c>
      <c r="CD103" s="4">
        <f>Table83[[#This Row],[Waist]]*Table83[[#This Row],[Night Diastolic Pressure]]</f>
        <v>3311</v>
      </c>
      <c r="CE103" s="2">
        <f>Table834[[#This Row],[Waist]]*Table834[[#This Row],[Night Pulse]]</f>
        <v>3096</v>
      </c>
      <c r="CF103" s="2">
        <f>Table834[[#This Row],[Waist]]*Table834[[#This Row],[Sleep]]</f>
        <v>516</v>
      </c>
      <c r="CG103" s="2">
        <f>Table834[[#This Row],[Waist]]*Table834[[#This Row],[BMI]]</f>
        <v>1555.8681224489796</v>
      </c>
      <c r="CH103" s="2">
        <f>Table834[[#This Row],[Waist]]*Table834[[#This Row],[CBF]]</f>
        <v>1287.4572292566506</v>
      </c>
      <c r="CI103" s="2">
        <f>Table834[[#This Row],[Waist]]*Table834[[#This Row],[Gym]]</f>
        <v>0</v>
      </c>
      <c r="CJ103" s="2">
        <f>Table834[[#This Row],[Waist]]*Table834[[#This Row],[Cardio]]</f>
        <v>0</v>
      </c>
      <c r="CK103" s="2">
        <f>Table834[[#This Row],[Waist]]*Table834[[#This Row],[Calories]]</f>
        <v>330541</v>
      </c>
      <c r="CL103" s="2">
        <f>Table834[[#This Row],[Waist]]*Table834[[#This Row],[Carbs]]</f>
        <v>51281.799999999996</v>
      </c>
      <c r="CM103" s="2">
        <f>Table834[[#This Row],[Waist]]*Table834[[#This Row],[Fat ]]</f>
        <v>10973.6</v>
      </c>
      <c r="CN103" s="2">
        <f>Table834[[#This Row],[Waist]]*Table834[[#This Row],[Protein]]</f>
        <v>8875.2000000000007</v>
      </c>
      <c r="CO103" s="2">
        <f>Table834[[#This Row],[Waist]]*Table834[[#This Row],[Fiber]]</f>
        <v>1900.6000000000001</v>
      </c>
      <c r="CP103" s="2">
        <f>Table834[[#This Row],[Waist]]*Table834[[#This Row],[Sugar]]</f>
        <v>34744</v>
      </c>
      <c r="CQ103" s="2">
        <f>Table834[[#This Row],[Waist]]*Table834[[#This Row],[Servings]]</f>
        <v>6665</v>
      </c>
      <c r="CR103" s="2">
        <f>Table834[[#This Row],[Waist]]*Table834[[#This Row],[Water]]</f>
        <v>21.5</v>
      </c>
      <c r="CS103" s="2">
        <f>Table834[[#This Row],[Waist]]*Table834[[#This Row],[Fat Calories]]</f>
        <v>98762.400000000009</v>
      </c>
    </row>
    <row r="104" spans="1:97" x14ac:dyDescent="0.25">
      <c r="A104" s="2">
        <v>257.8</v>
      </c>
      <c r="B104" s="2">
        <f>Table834[[#This Row],[Weight]]^2</f>
        <v>66460.840000000011</v>
      </c>
      <c r="C104" s="2">
        <v>44</v>
      </c>
      <c r="D104" s="2">
        <f>Table834[[#This Row],[Waist]]^2</f>
        <v>1936</v>
      </c>
      <c r="E104" s="2">
        <v>16.5</v>
      </c>
      <c r="F104" s="2">
        <f>Table834[[#This Row],[Neck]]^2</f>
        <v>272.25</v>
      </c>
      <c r="G104" s="2">
        <v>96.5</v>
      </c>
      <c r="H104" s="2">
        <f>Table834[[#This Row],[Morning Body Temp]]^2</f>
        <v>9312.25</v>
      </c>
      <c r="I104" s="2">
        <v>132</v>
      </c>
      <c r="J104" s="2">
        <f>Table834[[#This Row],[Morning Systolic Pressure]]^2</f>
        <v>17424</v>
      </c>
      <c r="K104" s="2">
        <v>76</v>
      </c>
      <c r="L104" s="2">
        <f>Table834[[#This Row],[Morning Diastolic Pressure]]^2</f>
        <v>5776</v>
      </c>
      <c r="M104" s="2">
        <v>68</v>
      </c>
      <c r="N104" s="2">
        <f>Table834[[#This Row],[Morning Pulse]]^2</f>
        <v>4624</v>
      </c>
      <c r="O104" s="2">
        <v>97.9</v>
      </c>
      <c r="P104" s="2">
        <f>Table834[[#This Row],[Night Body Temp]]^2</f>
        <v>9584.4100000000017</v>
      </c>
      <c r="Q104" s="2">
        <v>145</v>
      </c>
      <c r="R104" s="2">
        <f>Table834[[#This Row],[Night Systolic Pressure]]^2</f>
        <v>21025</v>
      </c>
      <c r="S104" s="2">
        <v>109</v>
      </c>
      <c r="T104" s="2">
        <f>Table834[[#This Row],[Night Diastolic Pressure]]^2</f>
        <v>11881</v>
      </c>
      <c r="U104" s="2">
        <v>76</v>
      </c>
      <c r="V104" s="2">
        <f>Table834[[#This Row],[Night Pulse]]^2</f>
        <v>5776</v>
      </c>
      <c r="W104" s="2">
        <v>9</v>
      </c>
      <c r="X104" s="2">
        <f>Table834[[#This Row],[Sleep]]^2</f>
        <v>81</v>
      </c>
      <c r="Y104" s="2">
        <f t="shared" si="3"/>
        <v>36.98640816326531</v>
      </c>
      <c r="Z104" s="2">
        <f>Table834[[#This Row],[BMI]]^2</f>
        <v>1367.9943888196588</v>
      </c>
      <c r="AA104" s="2">
        <f t="shared" si="2"/>
        <v>31.324493175702337</v>
      </c>
      <c r="AB104" s="2">
        <f>Table834[[#This Row],[CBF]]^2</f>
        <v>981.2238727146223</v>
      </c>
      <c r="AC104" s="2">
        <v>1</v>
      </c>
      <c r="AD104" s="2">
        <f>Table834[[#This Row],[Gym]]^2</f>
        <v>1</v>
      </c>
      <c r="AE104" s="2">
        <v>1</v>
      </c>
      <c r="AF104" s="2">
        <f>Table834[[#This Row],[Cardio]]^2</f>
        <v>1</v>
      </c>
      <c r="AG104" s="2">
        <v>1855.9666666666667</v>
      </c>
      <c r="AH104" s="2">
        <f>Table834[[#This Row],[Calories]]^2</f>
        <v>3444612.2677777777</v>
      </c>
      <c r="AI104" s="2">
        <v>290.07400000000001</v>
      </c>
      <c r="AJ104" s="2">
        <f>Table834[[#This Row],[Carbs]]^2</f>
        <v>84142.925476000004</v>
      </c>
      <c r="AK104" s="2">
        <v>42.768333333333331</v>
      </c>
      <c r="AL104" s="2">
        <f>Table834[[#This Row],[Fat ]]^2</f>
        <v>1829.1303361111109</v>
      </c>
      <c r="AM104" s="2">
        <v>64.282000000000011</v>
      </c>
      <c r="AN104" s="2">
        <f>Table834[[#This Row],[Protein]]^2</f>
        <v>4132.1755240000011</v>
      </c>
      <c r="AO104" s="2">
        <v>16.602666666666664</v>
      </c>
      <c r="AP104" s="2">
        <f>Table834[[#This Row],[Fiber]]^2</f>
        <v>275.64854044444434</v>
      </c>
      <c r="AQ104" s="2">
        <v>192.78766666666667</v>
      </c>
      <c r="AR104" s="2">
        <f>Table834[[#This Row],[Sugar]]^2</f>
        <v>37167.084418777777</v>
      </c>
      <c r="AS104" s="2">
        <v>63.34</v>
      </c>
      <c r="AT104" s="2">
        <f>Table834[[#This Row],[Servings]]^2</f>
        <v>4011.9556000000002</v>
      </c>
      <c r="AU104" s="2">
        <v>0.5</v>
      </c>
      <c r="AV104" s="2">
        <f>Table834[[#This Row],[Water]]^2</f>
        <v>0.25</v>
      </c>
      <c r="AW104" s="2">
        <v>384.91500000000002</v>
      </c>
      <c r="AX104" s="2">
        <f>Table834[[#This Row],[Fat Calories]]^2</f>
        <v>148159.55722500003</v>
      </c>
      <c r="AY104" s="3">
        <f>Table834[[#This Row],[Weight]]*Table834[[#This Row],[Waist]]</f>
        <v>11343.2</v>
      </c>
      <c r="AZ104" s="4">
        <f>Table834[[#This Row],[Weight]]*Table834[[#This Row],[Neck]]</f>
        <v>4253.7</v>
      </c>
      <c r="BA104" s="4">
        <f>Table834[[#This Row],[Weight]]*Table834[[#This Row],[Morning Body Temp]]</f>
        <v>24877.7</v>
      </c>
      <c r="BB104" s="4">
        <f>Table834[[#This Row],[Weight]]*Table834[[#This Row],[Morning Systolic Pressure]]</f>
        <v>34029.599999999999</v>
      </c>
      <c r="BC104" s="11">
        <f>Table834[[#This Row],[Weight]]*Table834[[#This Row],[Morning Diastolic Pressure]]</f>
        <v>19592.8</v>
      </c>
      <c r="BD104" s="2">
        <f>Table834[[#This Row],[Weight]]*Table834[[#This Row],[Morning Pulse]]</f>
        <v>17530.400000000001</v>
      </c>
      <c r="BE104" s="2">
        <f>Table834[[#This Row],[Weight]]*Table834[[#This Row],[Night Body Temp]]</f>
        <v>25238.620000000003</v>
      </c>
      <c r="BF104" s="2">
        <f>Table834[[#This Row],[Weight]]*Table834[[#This Row],[Night Systolic Pressure]]</f>
        <v>37381</v>
      </c>
      <c r="BG104" s="4">
        <f>Table83[[#This Row],[Weight]]*Table83[[#This Row],[Night Diastolic Pressure]]</f>
        <v>28100.2</v>
      </c>
      <c r="BH104" s="2">
        <f>Table834[[#This Row],[Weight]]*Table834[[#This Row],[Night Pulse]]</f>
        <v>19592.8</v>
      </c>
      <c r="BI104" s="2">
        <f>Table834[[#This Row],[Weight]]*Table834[[#This Row],[Sleep]]</f>
        <v>2320.2000000000003</v>
      </c>
      <c r="BJ104" s="2">
        <f>Table834[[#This Row],[Weight]]*Table834[[#This Row],[BMI]]</f>
        <v>9535.0960244897979</v>
      </c>
      <c r="BK104" s="2">
        <f>Table834[[#This Row],[Weight]]*Table834[[#This Row],[CBF]]</f>
        <v>8075.4543406960629</v>
      </c>
      <c r="BL104" s="2">
        <f>Table834[[#This Row],[Weight]]*Table834[[#This Row],[Gym]]</f>
        <v>257.8</v>
      </c>
      <c r="BM104" s="2">
        <f>Table834[[#This Row],[Weight]]*Table834[[#This Row],[Cardio]]</f>
        <v>257.8</v>
      </c>
      <c r="BN104" s="2">
        <f>Table834[[#This Row],[Weight]]*Table834[[#This Row],[Calories]]</f>
        <v>478468.20666666672</v>
      </c>
      <c r="BO104" s="2">
        <f>Table834[[#This Row],[Weight]]*Table834[[#This Row],[Carbs]]</f>
        <v>74781.0772</v>
      </c>
      <c r="BP104" s="2">
        <f>Table834[[#This Row],[Weight]]*Table834[[#This Row],[Fat ]]</f>
        <v>11025.676333333333</v>
      </c>
      <c r="BQ104" s="2">
        <f>Table834[[#This Row],[Weight]]*Table834[[#This Row],[Protein]]</f>
        <v>16571.899600000004</v>
      </c>
      <c r="BR104" s="2">
        <f>Table834[[#This Row],[Weight]]*Table834[[#This Row],[Fiber]]</f>
        <v>4280.1674666666659</v>
      </c>
      <c r="BS104" s="2">
        <f>Table834[[#This Row],[Weight]]*Table834[[#This Row],[Sugar]]</f>
        <v>49700.660466666668</v>
      </c>
      <c r="BT104" s="2">
        <f>Table834[[#This Row],[Weight]]*Table834[[#This Row],[Servings]]</f>
        <v>16329.052000000001</v>
      </c>
      <c r="BU104" s="2">
        <f>Table834[[#This Row],[Weight]]*Table834[[#This Row],[Water]]</f>
        <v>128.9</v>
      </c>
      <c r="BV104" s="2">
        <f>Table834[[#This Row],[Weight]]*Table834[[#This Row],[Fat Calories]]</f>
        <v>99231.087000000014</v>
      </c>
      <c r="BW104" s="2">
        <f>Table834[[#This Row],[Waist]]*Table834[[#This Row],[Neck]]</f>
        <v>726</v>
      </c>
      <c r="BX104" s="2">
        <f>Table834[[#This Row],[Waist]]*Table834[[#This Row],[Morning Body Temp]]</f>
        <v>4246</v>
      </c>
      <c r="BY104" s="2">
        <f>Table834[[#This Row],[Waist]]*Table834[[#This Row],[Morning Systolic Pressure]]</f>
        <v>5808</v>
      </c>
      <c r="BZ104" s="2">
        <f>Table834[[#This Row],[Waist]]*Table834[[#This Row],[Morning Diastolic Pressure]]</f>
        <v>3344</v>
      </c>
      <c r="CA104" s="2">
        <f>Table834[[#This Row],[Waist]]*Table834[[#This Row],[Morning Pulse]]</f>
        <v>2992</v>
      </c>
      <c r="CB104" s="2">
        <f>Table834[[#This Row],[Waist]]*Table834[[#This Row],[Night Body Temp]]</f>
        <v>4307.6000000000004</v>
      </c>
      <c r="CC104" s="2">
        <f>Table834[[#This Row],[Waist]]*Table834[[#This Row],[Night Systolic Pressure]]</f>
        <v>6380</v>
      </c>
      <c r="CD104" s="4">
        <f>Table83[[#This Row],[Waist]]*Table83[[#This Row],[Night Diastolic Pressure]]</f>
        <v>4796</v>
      </c>
      <c r="CE104" s="2">
        <f>Table834[[#This Row],[Waist]]*Table834[[#This Row],[Night Pulse]]</f>
        <v>3344</v>
      </c>
      <c r="CF104" s="2">
        <f>Table834[[#This Row],[Waist]]*Table834[[#This Row],[Sleep]]</f>
        <v>396</v>
      </c>
      <c r="CG104" s="2">
        <f>Table834[[#This Row],[Waist]]*Table834[[#This Row],[BMI]]</f>
        <v>1627.4019591836736</v>
      </c>
      <c r="CH104" s="2">
        <f>Table834[[#This Row],[Waist]]*Table834[[#This Row],[CBF]]</f>
        <v>1378.2776997309029</v>
      </c>
      <c r="CI104" s="2">
        <f>Table834[[#This Row],[Waist]]*Table834[[#This Row],[Gym]]</f>
        <v>44</v>
      </c>
      <c r="CJ104" s="2">
        <f>Table834[[#This Row],[Waist]]*Table834[[#This Row],[Cardio]]</f>
        <v>44</v>
      </c>
      <c r="CK104" s="2">
        <f>Table834[[#This Row],[Waist]]*Table834[[#This Row],[Calories]]</f>
        <v>81662.53333333334</v>
      </c>
      <c r="CL104" s="2">
        <f>Table834[[#This Row],[Waist]]*Table834[[#This Row],[Carbs]]</f>
        <v>12763.256000000001</v>
      </c>
      <c r="CM104" s="2">
        <f>Table834[[#This Row],[Waist]]*Table834[[#This Row],[Fat ]]</f>
        <v>1881.8066666666666</v>
      </c>
      <c r="CN104" s="2">
        <f>Table834[[#This Row],[Waist]]*Table834[[#This Row],[Protein]]</f>
        <v>2828.4080000000004</v>
      </c>
      <c r="CO104" s="2">
        <f>Table834[[#This Row],[Waist]]*Table834[[#This Row],[Fiber]]</f>
        <v>730.51733333333323</v>
      </c>
      <c r="CP104" s="2">
        <f>Table834[[#This Row],[Waist]]*Table834[[#This Row],[Sugar]]</f>
        <v>8482.6573333333326</v>
      </c>
      <c r="CQ104" s="2">
        <f>Table834[[#This Row],[Waist]]*Table834[[#This Row],[Servings]]</f>
        <v>2786.96</v>
      </c>
      <c r="CR104" s="2">
        <f>Table834[[#This Row],[Waist]]*Table834[[#This Row],[Water]]</f>
        <v>22</v>
      </c>
      <c r="CS104" s="2">
        <f>Table834[[#This Row],[Waist]]*Table834[[#This Row],[Fat Calories]]</f>
        <v>16936.260000000002</v>
      </c>
    </row>
    <row r="105" spans="1:97" x14ac:dyDescent="0.25">
      <c r="A105" s="2">
        <v>258.2</v>
      </c>
      <c r="B105" s="2">
        <f>Table834[[#This Row],[Weight]]^2</f>
        <v>66667.239999999991</v>
      </c>
      <c r="C105" s="2">
        <v>44.5</v>
      </c>
      <c r="D105" s="2">
        <f>Table834[[#This Row],[Waist]]^2</f>
        <v>1980.25</v>
      </c>
      <c r="E105" s="2">
        <v>16.5</v>
      </c>
      <c r="F105" s="2">
        <f>Table834[[#This Row],[Neck]]^2</f>
        <v>272.25</v>
      </c>
      <c r="G105" s="2">
        <v>97.8</v>
      </c>
      <c r="H105" s="2">
        <f>Table834[[#This Row],[Morning Body Temp]]^2</f>
        <v>9564.84</v>
      </c>
      <c r="I105" s="2">
        <v>140</v>
      </c>
      <c r="J105" s="2">
        <f>Table834[[#This Row],[Morning Systolic Pressure]]^2</f>
        <v>19600</v>
      </c>
      <c r="K105" s="2">
        <v>75</v>
      </c>
      <c r="L105" s="2">
        <f>Table834[[#This Row],[Morning Diastolic Pressure]]^2</f>
        <v>5625</v>
      </c>
      <c r="M105" s="2">
        <v>76</v>
      </c>
      <c r="N105" s="2">
        <f>Table834[[#This Row],[Morning Pulse]]^2</f>
        <v>5776</v>
      </c>
      <c r="O105" s="2">
        <v>97.8</v>
      </c>
      <c r="P105" s="2">
        <f>Table834[[#This Row],[Night Body Temp]]^2</f>
        <v>9564.84</v>
      </c>
      <c r="Q105" s="2">
        <v>111</v>
      </c>
      <c r="R105" s="2">
        <f>Table834[[#This Row],[Night Systolic Pressure]]^2</f>
        <v>12321</v>
      </c>
      <c r="S105" s="2">
        <v>73</v>
      </c>
      <c r="T105" s="2">
        <f>Table834[[#This Row],[Night Diastolic Pressure]]^2</f>
        <v>5329</v>
      </c>
      <c r="U105" s="2">
        <v>79</v>
      </c>
      <c r="V105" s="2">
        <f>Table834[[#This Row],[Night Pulse]]^2</f>
        <v>6241</v>
      </c>
      <c r="W105" s="2">
        <v>8</v>
      </c>
      <c r="X105" s="2">
        <f>Table834[[#This Row],[Sleep]]^2</f>
        <v>64</v>
      </c>
      <c r="Y105" s="2">
        <f t="shared" si="3"/>
        <v>37.043795918367344</v>
      </c>
      <c r="Z105" s="2">
        <f>Table834[[#This Row],[BMI]]^2</f>
        <v>1372.2428160416491</v>
      </c>
      <c r="AA105" s="2">
        <f t="shared" si="2"/>
        <v>31.997550455105717</v>
      </c>
      <c r="AB105" s="2">
        <f>Table834[[#This Row],[CBF]]^2</f>
        <v>1023.8432351270361</v>
      </c>
      <c r="AC105" s="2">
        <v>0</v>
      </c>
      <c r="AD105" s="2">
        <f>Table834[[#This Row],[Gym]]^2</f>
        <v>0</v>
      </c>
      <c r="AE105" s="2">
        <v>0</v>
      </c>
      <c r="AF105" s="2">
        <f>Table834[[#This Row],[Cardio]]^2</f>
        <v>0</v>
      </c>
      <c r="AG105" s="2">
        <v>1957.58</v>
      </c>
      <c r="AH105" s="2">
        <f>Table834[[#This Row],[Calories]]^2</f>
        <v>3832119.4563999996</v>
      </c>
      <c r="AI105" s="2">
        <v>233.24</v>
      </c>
      <c r="AJ105" s="2">
        <f>Table834[[#This Row],[Carbs]]^2</f>
        <v>54400.897600000004</v>
      </c>
      <c r="AK105" s="2">
        <v>77.650000000000006</v>
      </c>
      <c r="AL105" s="2">
        <f>Table834[[#This Row],[Fat ]]^2</f>
        <v>6029.5225000000009</v>
      </c>
      <c r="AM105" s="2">
        <v>78.52</v>
      </c>
      <c r="AN105" s="2">
        <f>Table834[[#This Row],[Protein]]^2</f>
        <v>6165.3903999999993</v>
      </c>
      <c r="AO105" s="2">
        <v>18.47</v>
      </c>
      <c r="AP105" s="2">
        <f>Table834[[#This Row],[Fiber]]^2</f>
        <v>341.14089999999993</v>
      </c>
      <c r="AQ105" s="2">
        <v>126.67</v>
      </c>
      <c r="AR105" s="2">
        <f>Table834[[#This Row],[Sugar]]^2</f>
        <v>16045.2889</v>
      </c>
      <c r="AS105" s="2">
        <v>31.23</v>
      </c>
      <c r="AT105" s="2">
        <f>Table834[[#This Row],[Servings]]^2</f>
        <v>975.31290000000001</v>
      </c>
      <c r="AU105" s="2">
        <v>0.5</v>
      </c>
      <c r="AV105" s="2">
        <f>Table834[[#This Row],[Water]]^2</f>
        <v>0.25</v>
      </c>
      <c r="AW105" s="2">
        <v>687.54</v>
      </c>
      <c r="AX105" s="2">
        <f>Table834[[#This Row],[Fat Calories]]^2</f>
        <v>472711.25159999996</v>
      </c>
      <c r="AY105" s="5">
        <f>Table834[[#This Row],[Weight]]*Table834[[#This Row],[Waist]]</f>
        <v>11489.9</v>
      </c>
      <c r="AZ105" s="6">
        <f>Table834[[#This Row],[Weight]]*Table834[[#This Row],[Neck]]</f>
        <v>4260.3</v>
      </c>
      <c r="BA105" s="6">
        <f>Table834[[#This Row],[Weight]]*Table834[[#This Row],[Morning Body Temp]]</f>
        <v>25251.96</v>
      </c>
      <c r="BB105" s="6">
        <f>Table834[[#This Row],[Weight]]*Table834[[#This Row],[Morning Systolic Pressure]]</f>
        <v>36148</v>
      </c>
      <c r="BC105" s="12">
        <f>Table834[[#This Row],[Weight]]*Table834[[#This Row],[Morning Diastolic Pressure]]</f>
        <v>19365</v>
      </c>
      <c r="BD105" s="2">
        <f>Table834[[#This Row],[Weight]]*Table834[[#This Row],[Morning Pulse]]</f>
        <v>19623.2</v>
      </c>
      <c r="BE105" s="2">
        <f>Table834[[#This Row],[Weight]]*Table834[[#This Row],[Night Body Temp]]</f>
        <v>25251.96</v>
      </c>
      <c r="BF105" s="2">
        <f>Table834[[#This Row],[Weight]]*Table834[[#This Row],[Night Systolic Pressure]]</f>
        <v>28660.199999999997</v>
      </c>
      <c r="BG105" s="4">
        <f>Table83[[#This Row],[Weight]]*Table83[[#This Row],[Night Diastolic Pressure]]</f>
        <v>18848.599999999999</v>
      </c>
      <c r="BH105" s="2">
        <f>Table834[[#This Row],[Weight]]*Table834[[#This Row],[Night Pulse]]</f>
        <v>20397.8</v>
      </c>
      <c r="BI105" s="2">
        <f>Table834[[#This Row],[Weight]]*Table834[[#This Row],[Sleep]]</f>
        <v>2065.6</v>
      </c>
      <c r="BJ105" s="2">
        <f>Table834[[#This Row],[Weight]]*Table834[[#This Row],[BMI]]</f>
        <v>9564.7081061224471</v>
      </c>
      <c r="BK105" s="2">
        <f>Table834[[#This Row],[Weight]]*Table834[[#This Row],[CBF]]</f>
        <v>8261.7675275082966</v>
      </c>
      <c r="BL105" s="2">
        <f>Table834[[#This Row],[Weight]]*Table834[[#This Row],[Gym]]</f>
        <v>0</v>
      </c>
      <c r="BM105" s="2">
        <f>Table834[[#This Row],[Weight]]*Table834[[#This Row],[Cardio]]</f>
        <v>0</v>
      </c>
      <c r="BN105" s="2">
        <f>Table834[[#This Row],[Weight]]*Table834[[#This Row],[Calories]]</f>
        <v>505447.15599999996</v>
      </c>
      <c r="BO105" s="2">
        <f>Table834[[#This Row],[Weight]]*Table834[[#This Row],[Carbs]]</f>
        <v>60222.567999999999</v>
      </c>
      <c r="BP105" s="2">
        <f>Table834[[#This Row],[Weight]]*Table834[[#This Row],[Fat ]]</f>
        <v>20049.23</v>
      </c>
      <c r="BQ105" s="2">
        <f>Table834[[#This Row],[Weight]]*Table834[[#This Row],[Protein]]</f>
        <v>20273.863999999998</v>
      </c>
      <c r="BR105" s="2">
        <f>Table834[[#This Row],[Weight]]*Table834[[#This Row],[Fiber]]</f>
        <v>4768.9539999999997</v>
      </c>
      <c r="BS105" s="2">
        <f>Table834[[#This Row],[Weight]]*Table834[[#This Row],[Sugar]]</f>
        <v>32706.194</v>
      </c>
      <c r="BT105" s="2">
        <f>Table834[[#This Row],[Weight]]*Table834[[#This Row],[Servings]]</f>
        <v>8063.5859999999993</v>
      </c>
      <c r="BU105" s="2">
        <f>Table834[[#This Row],[Weight]]*Table834[[#This Row],[Water]]</f>
        <v>129.1</v>
      </c>
      <c r="BV105" s="2">
        <f>Table834[[#This Row],[Weight]]*Table834[[#This Row],[Fat Calories]]</f>
        <v>177522.82799999998</v>
      </c>
      <c r="BW105" s="2">
        <f>Table834[[#This Row],[Waist]]*Table834[[#This Row],[Neck]]</f>
        <v>734.25</v>
      </c>
      <c r="BX105" s="2">
        <f>Table834[[#This Row],[Waist]]*Table834[[#This Row],[Morning Body Temp]]</f>
        <v>4352.0999999999995</v>
      </c>
      <c r="BY105" s="2">
        <f>Table834[[#This Row],[Waist]]*Table834[[#This Row],[Morning Systolic Pressure]]</f>
        <v>6230</v>
      </c>
      <c r="BZ105" s="2">
        <f>Table834[[#This Row],[Waist]]*Table834[[#This Row],[Morning Diastolic Pressure]]</f>
        <v>3337.5</v>
      </c>
      <c r="CA105" s="2">
        <f>Table834[[#This Row],[Waist]]*Table834[[#This Row],[Morning Pulse]]</f>
        <v>3382</v>
      </c>
      <c r="CB105" s="2">
        <f>Table834[[#This Row],[Waist]]*Table834[[#This Row],[Night Body Temp]]</f>
        <v>4352.0999999999995</v>
      </c>
      <c r="CC105" s="2">
        <f>Table834[[#This Row],[Waist]]*Table834[[#This Row],[Night Systolic Pressure]]</f>
        <v>4939.5</v>
      </c>
      <c r="CD105" s="4">
        <f>Table83[[#This Row],[Waist]]*Table83[[#This Row],[Night Diastolic Pressure]]</f>
        <v>3248.5</v>
      </c>
      <c r="CE105" s="2">
        <f>Table834[[#This Row],[Waist]]*Table834[[#This Row],[Night Pulse]]</f>
        <v>3515.5</v>
      </c>
      <c r="CF105" s="2">
        <f>Table834[[#This Row],[Waist]]*Table834[[#This Row],[Sleep]]</f>
        <v>356</v>
      </c>
      <c r="CG105" s="2">
        <f>Table834[[#This Row],[Waist]]*Table834[[#This Row],[BMI]]</f>
        <v>1648.4489183673468</v>
      </c>
      <c r="CH105" s="2">
        <f>Table834[[#This Row],[Waist]]*Table834[[#This Row],[CBF]]</f>
        <v>1423.8909952522044</v>
      </c>
      <c r="CI105" s="2">
        <f>Table834[[#This Row],[Waist]]*Table834[[#This Row],[Gym]]</f>
        <v>0</v>
      </c>
      <c r="CJ105" s="2">
        <f>Table834[[#This Row],[Waist]]*Table834[[#This Row],[Cardio]]</f>
        <v>0</v>
      </c>
      <c r="CK105" s="2">
        <f>Table834[[#This Row],[Waist]]*Table834[[#This Row],[Calories]]</f>
        <v>87112.31</v>
      </c>
      <c r="CL105" s="2">
        <f>Table834[[#This Row],[Waist]]*Table834[[#This Row],[Carbs]]</f>
        <v>10379.18</v>
      </c>
      <c r="CM105" s="2">
        <f>Table834[[#This Row],[Waist]]*Table834[[#This Row],[Fat ]]</f>
        <v>3455.4250000000002</v>
      </c>
      <c r="CN105" s="2">
        <f>Table834[[#This Row],[Waist]]*Table834[[#This Row],[Protein]]</f>
        <v>3494.14</v>
      </c>
      <c r="CO105" s="2">
        <f>Table834[[#This Row],[Waist]]*Table834[[#This Row],[Fiber]]</f>
        <v>821.91499999999996</v>
      </c>
      <c r="CP105" s="2">
        <f>Table834[[#This Row],[Waist]]*Table834[[#This Row],[Sugar]]</f>
        <v>5636.8150000000005</v>
      </c>
      <c r="CQ105" s="2">
        <f>Table834[[#This Row],[Waist]]*Table834[[#This Row],[Servings]]</f>
        <v>1389.7350000000001</v>
      </c>
      <c r="CR105" s="2">
        <f>Table834[[#This Row],[Waist]]*Table834[[#This Row],[Water]]</f>
        <v>22.25</v>
      </c>
      <c r="CS105" s="2">
        <f>Table834[[#This Row],[Waist]]*Table834[[#This Row],[Fat Calories]]</f>
        <v>30595.53</v>
      </c>
    </row>
    <row r="106" spans="1:97" x14ac:dyDescent="0.25">
      <c r="A106" s="2">
        <v>256.60000000000002</v>
      </c>
      <c r="B106" s="2">
        <f>Table834[[#This Row],[Weight]]^2</f>
        <v>65843.560000000012</v>
      </c>
      <c r="C106" s="2">
        <v>44.5</v>
      </c>
      <c r="D106" s="2">
        <f>Table834[[#This Row],[Waist]]^2</f>
        <v>1980.25</v>
      </c>
      <c r="E106" s="2">
        <v>16.5</v>
      </c>
      <c r="F106" s="2">
        <f>Table834[[#This Row],[Neck]]^2</f>
        <v>272.25</v>
      </c>
      <c r="G106" s="2">
        <v>96.5</v>
      </c>
      <c r="H106" s="2">
        <f>Table834[[#This Row],[Morning Body Temp]]^2</f>
        <v>9312.25</v>
      </c>
      <c r="I106" s="2">
        <v>132</v>
      </c>
      <c r="J106" s="2">
        <f>Table834[[#This Row],[Morning Systolic Pressure]]^2</f>
        <v>17424</v>
      </c>
      <c r="K106" s="2">
        <v>76</v>
      </c>
      <c r="L106" s="2">
        <f>Table834[[#This Row],[Morning Diastolic Pressure]]^2</f>
        <v>5776</v>
      </c>
      <c r="M106" s="2">
        <v>68</v>
      </c>
      <c r="N106" s="2">
        <f>Table834[[#This Row],[Morning Pulse]]^2</f>
        <v>4624</v>
      </c>
      <c r="O106" s="2">
        <v>97.1</v>
      </c>
      <c r="P106" s="2">
        <f>Table834[[#This Row],[Night Body Temp]]^2</f>
        <v>9428.409999999998</v>
      </c>
      <c r="Q106" s="2">
        <v>134</v>
      </c>
      <c r="R106" s="2">
        <f>Table834[[#This Row],[Night Systolic Pressure]]^2</f>
        <v>17956</v>
      </c>
      <c r="S106" s="2">
        <v>76</v>
      </c>
      <c r="T106" s="2">
        <f>Table834[[#This Row],[Night Diastolic Pressure]]^2</f>
        <v>5776</v>
      </c>
      <c r="U106" s="2">
        <v>72</v>
      </c>
      <c r="V106" s="2">
        <f>Table834[[#This Row],[Night Pulse]]^2</f>
        <v>5184</v>
      </c>
      <c r="W106" s="2">
        <v>8</v>
      </c>
      <c r="X106" s="2">
        <f>Table834[[#This Row],[Sleep]]^2</f>
        <v>64</v>
      </c>
      <c r="Y106" s="2">
        <f t="shared" si="3"/>
        <v>36.814244897959192</v>
      </c>
      <c r="Z106" s="2">
        <f>Table834[[#This Row],[BMI]]^2</f>
        <v>1355.2886274069144</v>
      </c>
      <c r="AA106" s="2">
        <f t="shared" si="2"/>
        <v>31.997550455105717</v>
      </c>
      <c r="AB106" s="2">
        <f>Table834[[#This Row],[CBF]]^2</f>
        <v>1023.8432351270361</v>
      </c>
      <c r="AC106" s="2">
        <v>1</v>
      </c>
      <c r="AD106" s="2">
        <f>Table834[[#This Row],[Gym]]^2</f>
        <v>1</v>
      </c>
      <c r="AE106" s="2">
        <v>1</v>
      </c>
      <c r="AF106" s="2">
        <f>Table834[[#This Row],[Cardio]]^2</f>
        <v>1</v>
      </c>
      <c r="AG106" s="2">
        <v>1957.58</v>
      </c>
      <c r="AH106" s="2">
        <f>Table834[[#This Row],[Calories]]^2</f>
        <v>3832119.4563999996</v>
      </c>
      <c r="AI106" s="2">
        <v>233.24</v>
      </c>
      <c r="AJ106" s="2">
        <f>Table834[[#This Row],[Carbs]]^2</f>
        <v>54400.897600000004</v>
      </c>
      <c r="AK106" s="2">
        <v>77.650000000000006</v>
      </c>
      <c r="AL106" s="2">
        <f>Table834[[#This Row],[Fat ]]^2</f>
        <v>6029.5225000000009</v>
      </c>
      <c r="AM106" s="2">
        <v>78.52</v>
      </c>
      <c r="AN106" s="2">
        <f>Table834[[#This Row],[Protein]]^2</f>
        <v>6165.3903999999993</v>
      </c>
      <c r="AO106" s="2">
        <v>18.47</v>
      </c>
      <c r="AP106" s="2">
        <f>Table834[[#This Row],[Fiber]]^2</f>
        <v>341.14089999999993</v>
      </c>
      <c r="AQ106" s="2">
        <v>126.67</v>
      </c>
      <c r="AR106" s="2">
        <f>Table834[[#This Row],[Sugar]]^2</f>
        <v>16045.2889</v>
      </c>
      <c r="AS106" s="2">
        <v>31.23</v>
      </c>
      <c r="AT106" s="2">
        <f>Table834[[#This Row],[Servings]]^2</f>
        <v>975.31290000000001</v>
      </c>
      <c r="AU106" s="2">
        <v>0.5</v>
      </c>
      <c r="AV106" s="2">
        <f>Table834[[#This Row],[Water]]^2</f>
        <v>0.25</v>
      </c>
      <c r="AW106" s="2">
        <v>687.54</v>
      </c>
      <c r="AX106" s="2">
        <f>Table834[[#This Row],[Fat Calories]]^2</f>
        <v>472711.25159999996</v>
      </c>
      <c r="AY106" s="3">
        <f>Table834[[#This Row],[Weight]]*Table834[[#This Row],[Waist]]</f>
        <v>11418.7</v>
      </c>
      <c r="AZ106" s="4">
        <f>Table834[[#This Row],[Weight]]*Table834[[#This Row],[Neck]]</f>
        <v>4233.9000000000005</v>
      </c>
      <c r="BA106" s="4">
        <f>Table834[[#This Row],[Weight]]*Table834[[#This Row],[Morning Body Temp]]</f>
        <v>24761.9</v>
      </c>
      <c r="BB106" s="4">
        <f>Table834[[#This Row],[Weight]]*Table834[[#This Row],[Morning Systolic Pressure]]</f>
        <v>33871.200000000004</v>
      </c>
      <c r="BC106" s="11">
        <f>Table834[[#This Row],[Weight]]*Table834[[#This Row],[Morning Diastolic Pressure]]</f>
        <v>19501.600000000002</v>
      </c>
      <c r="BD106" s="2">
        <f>Table834[[#This Row],[Weight]]*Table834[[#This Row],[Morning Pulse]]</f>
        <v>17448.800000000003</v>
      </c>
      <c r="BE106" s="2">
        <f>Table834[[#This Row],[Weight]]*Table834[[#This Row],[Night Body Temp]]</f>
        <v>24915.86</v>
      </c>
      <c r="BF106" s="2">
        <f>Table834[[#This Row],[Weight]]*Table834[[#This Row],[Night Systolic Pressure]]</f>
        <v>34384.400000000001</v>
      </c>
      <c r="BG106" s="4">
        <f>Table83[[#This Row],[Weight]]*Table83[[#This Row],[Night Diastolic Pressure]]</f>
        <v>19501.600000000002</v>
      </c>
      <c r="BH106" s="2">
        <f>Table834[[#This Row],[Weight]]*Table834[[#This Row],[Night Pulse]]</f>
        <v>18475.2</v>
      </c>
      <c r="BI106" s="2">
        <f>Table834[[#This Row],[Weight]]*Table834[[#This Row],[Sleep]]</f>
        <v>2052.8000000000002</v>
      </c>
      <c r="BJ106" s="2">
        <f>Table834[[#This Row],[Weight]]*Table834[[#This Row],[BMI]]</f>
        <v>9446.535240816329</v>
      </c>
      <c r="BK106" s="2">
        <f>Table834[[#This Row],[Weight]]*Table834[[#This Row],[CBF]]</f>
        <v>8210.5714467801281</v>
      </c>
      <c r="BL106" s="2">
        <f>Table834[[#This Row],[Weight]]*Table834[[#This Row],[Gym]]</f>
        <v>256.60000000000002</v>
      </c>
      <c r="BM106" s="2">
        <f>Table834[[#This Row],[Weight]]*Table834[[#This Row],[Cardio]]</f>
        <v>256.60000000000002</v>
      </c>
      <c r="BN106" s="2">
        <f>Table834[[#This Row],[Weight]]*Table834[[#This Row],[Calories]]</f>
        <v>502315.02800000005</v>
      </c>
      <c r="BO106" s="2">
        <f>Table834[[#This Row],[Weight]]*Table834[[#This Row],[Carbs]]</f>
        <v>59849.384000000005</v>
      </c>
      <c r="BP106" s="2">
        <f>Table834[[#This Row],[Weight]]*Table834[[#This Row],[Fat ]]</f>
        <v>19924.990000000002</v>
      </c>
      <c r="BQ106" s="2">
        <f>Table834[[#This Row],[Weight]]*Table834[[#This Row],[Protein]]</f>
        <v>20148.232</v>
      </c>
      <c r="BR106" s="2">
        <f>Table834[[#This Row],[Weight]]*Table834[[#This Row],[Fiber]]</f>
        <v>4739.402</v>
      </c>
      <c r="BS106" s="2">
        <f>Table834[[#This Row],[Weight]]*Table834[[#This Row],[Sugar]]</f>
        <v>32503.522000000004</v>
      </c>
      <c r="BT106" s="2">
        <f>Table834[[#This Row],[Weight]]*Table834[[#This Row],[Servings]]</f>
        <v>8013.6180000000004</v>
      </c>
      <c r="BU106" s="2">
        <f>Table834[[#This Row],[Weight]]*Table834[[#This Row],[Water]]</f>
        <v>128.30000000000001</v>
      </c>
      <c r="BV106" s="2">
        <f>Table834[[#This Row],[Weight]]*Table834[[#This Row],[Fat Calories]]</f>
        <v>176422.764</v>
      </c>
      <c r="BW106" s="2">
        <f>Table834[[#This Row],[Waist]]*Table834[[#This Row],[Neck]]</f>
        <v>734.25</v>
      </c>
      <c r="BX106" s="2">
        <f>Table834[[#This Row],[Waist]]*Table834[[#This Row],[Morning Body Temp]]</f>
        <v>4294.25</v>
      </c>
      <c r="BY106" s="2">
        <f>Table834[[#This Row],[Waist]]*Table834[[#This Row],[Morning Systolic Pressure]]</f>
        <v>5874</v>
      </c>
      <c r="BZ106" s="2">
        <f>Table834[[#This Row],[Waist]]*Table834[[#This Row],[Morning Diastolic Pressure]]</f>
        <v>3382</v>
      </c>
      <c r="CA106" s="2">
        <f>Table834[[#This Row],[Waist]]*Table834[[#This Row],[Morning Pulse]]</f>
        <v>3026</v>
      </c>
      <c r="CB106" s="2">
        <f>Table834[[#This Row],[Waist]]*Table834[[#This Row],[Night Body Temp]]</f>
        <v>4320.95</v>
      </c>
      <c r="CC106" s="2">
        <f>Table834[[#This Row],[Waist]]*Table834[[#This Row],[Night Systolic Pressure]]</f>
        <v>5963</v>
      </c>
      <c r="CD106" s="4">
        <f>Table83[[#This Row],[Waist]]*Table83[[#This Row],[Night Diastolic Pressure]]</f>
        <v>3382</v>
      </c>
      <c r="CE106" s="2">
        <f>Table834[[#This Row],[Waist]]*Table834[[#This Row],[Night Pulse]]</f>
        <v>3204</v>
      </c>
      <c r="CF106" s="2">
        <f>Table834[[#This Row],[Waist]]*Table834[[#This Row],[Sleep]]</f>
        <v>356</v>
      </c>
      <c r="CG106" s="2">
        <f>Table834[[#This Row],[Waist]]*Table834[[#This Row],[BMI]]</f>
        <v>1638.2338979591841</v>
      </c>
      <c r="CH106" s="2">
        <f>Table834[[#This Row],[Waist]]*Table834[[#This Row],[CBF]]</f>
        <v>1423.8909952522044</v>
      </c>
      <c r="CI106" s="2">
        <f>Table834[[#This Row],[Waist]]*Table834[[#This Row],[Gym]]</f>
        <v>44.5</v>
      </c>
      <c r="CJ106" s="2">
        <f>Table834[[#This Row],[Waist]]*Table834[[#This Row],[Cardio]]</f>
        <v>44.5</v>
      </c>
      <c r="CK106" s="2">
        <f>Table834[[#This Row],[Waist]]*Table834[[#This Row],[Calories]]</f>
        <v>87112.31</v>
      </c>
      <c r="CL106" s="2">
        <f>Table834[[#This Row],[Waist]]*Table834[[#This Row],[Carbs]]</f>
        <v>10379.18</v>
      </c>
      <c r="CM106" s="2">
        <f>Table834[[#This Row],[Waist]]*Table834[[#This Row],[Fat ]]</f>
        <v>3455.4250000000002</v>
      </c>
      <c r="CN106" s="2">
        <f>Table834[[#This Row],[Waist]]*Table834[[#This Row],[Protein]]</f>
        <v>3494.14</v>
      </c>
      <c r="CO106" s="2">
        <f>Table834[[#This Row],[Waist]]*Table834[[#This Row],[Fiber]]</f>
        <v>821.91499999999996</v>
      </c>
      <c r="CP106" s="2">
        <f>Table834[[#This Row],[Waist]]*Table834[[#This Row],[Sugar]]</f>
        <v>5636.8150000000005</v>
      </c>
      <c r="CQ106" s="2">
        <f>Table834[[#This Row],[Waist]]*Table834[[#This Row],[Servings]]</f>
        <v>1389.7350000000001</v>
      </c>
      <c r="CR106" s="2">
        <f>Table834[[#This Row],[Waist]]*Table834[[#This Row],[Water]]</f>
        <v>22.25</v>
      </c>
      <c r="CS106" s="2">
        <f>Table834[[#This Row],[Waist]]*Table834[[#This Row],[Fat Calories]]</f>
        <v>30595.53</v>
      </c>
    </row>
    <row r="107" spans="1:97" x14ac:dyDescent="0.25">
      <c r="A107" s="2">
        <v>255.6</v>
      </c>
      <c r="B107" s="2">
        <f>Table834[[#This Row],[Weight]]^2</f>
        <v>65331.360000000001</v>
      </c>
      <c r="C107" s="2">
        <v>44.5</v>
      </c>
      <c r="D107" s="2">
        <f>Table834[[#This Row],[Waist]]^2</f>
        <v>1980.25</v>
      </c>
      <c r="E107" s="2">
        <v>16.5</v>
      </c>
      <c r="F107" s="2">
        <f>Table834[[#This Row],[Neck]]^2</f>
        <v>272.25</v>
      </c>
      <c r="G107" s="2">
        <v>96.9</v>
      </c>
      <c r="H107" s="2">
        <f>Table834[[#This Row],[Morning Body Temp]]^2</f>
        <v>9389.61</v>
      </c>
      <c r="I107" s="2">
        <v>136</v>
      </c>
      <c r="J107" s="2">
        <f>Table834[[#This Row],[Morning Systolic Pressure]]^2</f>
        <v>18496</v>
      </c>
      <c r="K107" s="2">
        <v>84</v>
      </c>
      <c r="L107" s="2">
        <f>Table834[[#This Row],[Morning Diastolic Pressure]]^2</f>
        <v>7056</v>
      </c>
      <c r="M107" s="2">
        <v>77</v>
      </c>
      <c r="N107" s="2">
        <f>Table834[[#This Row],[Morning Pulse]]^2</f>
        <v>5929</v>
      </c>
      <c r="O107" s="2">
        <v>96.1</v>
      </c>
      <c r="P107" s="2">
        <f>Table834[[#This Row],[Night Body Temp]]^2</f>
        <v>9235.2099999999991</v>
      </c>
      <c r="Q107" s="2">
        <v>127</v>
      </c>
      <c r="R107" s="2">
        <f>Table834[[#This Row],[Night Systolic Pressure]]^2</f>
        <v>16129</v>
      </c>
      <c r="S107" s="2">
        <v>78</v>
      </c>
      <c r="T107" s="2">
        <f>Table834[[#This Row],[Night Diastolic Pressure]]^2</f>
        <v>6084</v>
      </c>
      <c r="U107" s="2">
        <v>74</v>
      </c>
      <c r="V107" s="2">
        <f>Table834[[#This Row],[Night Pulse]]^2</f>
        <v>5476</v>
      </c>
      <c r="W107" s="2">
        <v>4.5</v>
      </c>
      <c r="X107" s="2">
        <f>Table834[[#This Row],[Sleep]]^2</f>
        <v>20.25</v>
      </c>
      <c r="Y107" s="2">
        <f t="shared" si="3"/>
        <v>36.670775510204081</v>
      </c>
      <c r="Z107" s="2">
        <f>Table834[[#This Row],[BMI]]^2</f>
        <v>1344.7457765197832</v>
      </c>
      <c r="AA107" s="2">
        <f t="shared" si="2"/>
        <v>31.997550455105717</v>
      </c>
      <c r="AB107" s="2">
        <f>Table834[[#This Row],[CBF]]^2</f>
        <v>1023.8432351270361</v>
      </c>
      <c r="AC107" s="2">
        <v>0</v>
      </c>
      <c r="AD107" s="2">
        <f>Table834[[#This Row],[Gym]]^2</f>
        <v>0</v>
      </c>
      <c r="AE107" s="2">
        <v>1</v>
      </c>
      <c r="AF107" s="2">
        <f>Table834[[#This Row],[Cardio]]^2</f>
        <v>1</v>
      </c>
      <c r="AG107" s="2">
        <v>2466.2033333333334</v>
      </c>
      <c r="AH107" s="2">
        <f>Table834[[#This Row],[Calories]]^2</f>
        <v>6082158.881344445</v>
      </c>
      <c r="AI107" s="2">
        <v>299.18766666666664</v>
      </c>
      <c r="AJ107" s="2">
        <f>Table834[[#This Row],[Carbs]]^2</f>
        <v>89513.259885444437</v>
      </c>
      <c r="AK107" s="2">
        <v>90.930500000000009</v>
      </c>
      <c r="AL107" s="2">
        <f>Table834[[#This Row],[Fat ]]^2</f>
        <v>8268.3558302500023</v>
      </c>
      <c r="AM107" s="2">
        <v>123.55766666666668</v>
      </c>
      <c r="AN107" s="2">
        <f>Table834[[#This Row],[Protein]]^2</f>
        <v>15266.496992111113</v>
      </c>
      <c r="AO107" s="2">
        <v>52.454666666666661</v>
      </c>
      <c r="AP107" s="2">
        <f>Table834[[#This Row],[Fiber]]^2</f>
        <v>2751.4920551111104</v>
      </c>
      <c r="AQ107" s="2">
        <v>138.76400000000001</v>
      </c>
      <c r="AR107" s="2">
        <f>Table834[[#This Row],[Sugar]]^2</f>
        <v>19255.447696000003</v>
      </c>
      <c r="AS107" s="2">
        <v>25.540000000000003</v>
      </c>
      <c r="AT107" s="2">
        <f>Table834[[#This Row],[Servings]]^2</f>
        <v>652.29160000000013</v>
      </c>
      <c r="AU107" s="2">
        <v>1</v>
      </c>
      <c r="AV107" s="2">
        <f>Table834[[#This Row],[Water]]^2</f>
        <v>1</v>
      </c>
      <c r="AW107" s="2">
        <v>818.37450000000013</v>
      </c>
      <c r="AX107" s="2">
        <f>Table834[[#This Row],[Fat Calories]]^2</f>
        <v>669736.82225025026</v>
      </c>
      <c r="AY107" s="5">
        <f>Table834[[#This Row],[Weight]]*Table834[[#This Row],[Waist]]</f>
        <v>11374.199999999999</v>
      </c>
      <c r="AZ107" s="6">
        <f>Table834[[#This Row],[Weight]]*Table834[[#This Row],[Neck]]</f>
        <v>4217.3999999999996</v>
      </c>
      <c r="BA107" s="6">
        <f>Table834[[#This Row],[Weight]]*Table834[[#This Row],[Morning Body Temp]]</f>
        <v>24767.64</v>
      </c>
      <c r="BB107" s="6">
        <f>Table834[[#This Row],[Weight]]*Table834[[#This Row],[Morning Systolic Pressure]]</f>
        <v>34761.599999999999</v>
      </c>
      <c r="BC107" s="12">
        <f>Table834[[#This Row],[Weight]]*Table834[[#This Row],[Morning Diastolic Pressure]]</f>
        <v>21470.399999999998</v>
      </c>
      <c r="BD107" s="2">
        <f>Table834[[#This Row],[Weight]]*Table834[[#This Row],[Morning Pulse]]</f>
        <v>19681.2</v>
      </c>
      <c r="BE107" s="2">
        <f>Table834[[#This Row],[Weight]]*Table834[[#This Row],[Night Body Temp]]</f>
        <v>24563.159999999996</v>
      </c>
      <c r="BF107" s="2">
        <f>Table834[[#This Row],[Weight]]*Table834[[#This Row],[Night Systolic Pressure]]</f>
        <v>32461.200000000001</v>
      </c>
      <c r="BG107" s="4">
        <f>Table83[[#This Row],[Weight]]*Table83[[#This Row],[Night Diastolic Pressure]]</f>
        <v>19936.8</v>
      </c>
      <c r="BH107" s="2">
        <f>Table834[[#This Row],[Weight]]*Table834[[#This Row],[Night Pulse]]</f>
        <v>18914.399999999998</v>
      </c>
      <c r="BI107" s="2">
        <f>Table834[[#This Row],[Weight]]*Table834[[#This Row],[Sleep]]</f>
        <v>1150.2</v>
      </c>
      <c r="BJ107" s="2">
        <f>Table834[[#This Row],[Weight]]*Table834[[#This Row],[BMI]]</f>
        <v>9373.0502204081622</v>
      </c>
      <c r="BK107" s="2">
        <f>Table834[[#This Row],[Weight]]*Table834[[#This Row],[CBF]]</f>
        <v>8178.5738963250215</v>
      </c>
      <c r="BL107" s="2">
        <f>Table834[[#This Row],[Weight]]*Table834[[#This Row],[Gym]]</f>
        <v>0</v>
      </c>
      <c r="BM107" s="2">
        <f>Table834[[#This Row],[Weight]]*Table834[[#This Row],[Cardio]]</f>
        <v>255.6</v>
      </c>
      <c r="BN107" s="2">
        <f>Table834[[#This Row],[Weight]]*Table834[[#This Row],[Calories]]</f>
        <v>630361.57200000004</v>
      </c>
      <c r="BO107" s="2">
        <f>Table834[[#This Row],[Weight]]*Table834[[#This Row],[Carbs]]</f>
        <v>76472.367599999998</v>
      </c>
      <c r="BP107" s="2">
        <f>Table834[[#This Row],[Weight]]*Table834[[#This Row],[Fat ]]</f>
        <v>23241.835800000001</v>
      </c>
      <c r="BQ107" s="2">
        <f>Table834[[#This Row],[Weight]]*Table834[[#This Row],[Protein]]</f>
        <v>31581.339600000003</v>
      </c>
      <c r="BR107" s="2">
        <f>Table834[[#This Row],[Weight]]*Table834[[#This Row],[Fiber]]</f>
        <v>13407.412799999998</v>
      </c>
      <c r="BS107" s="2">
        <f>Table834[[#This Row],[Weight]]*Table834[[#This Row],[Sugar]]</f>
        <v>35468.078399999999</v>
      </c>
      <c r="BT107" s="2">
        <f>Table834[[#This Row],[Weight]]*Table834[[#This Row],[Servings]]</f>
        <v>6528.0240000000003</v>
      </c>
      <c r="BU107" s="2">
        <f>Table834[[#This Row],[Weight]]*Table834[[#This Row],[Water]]</f>
        <v>255.6</v>
      </c>
      <c r="BV107" s="2">
        <f>Table834[[#This Row],[Weight]]*Table834[[#This Row],[Fat Calories]]</f>
        <v>209176.52220000004</v>
      </c>
      <c r="BW107" s="2">
        <f>Table834[[#This Row],[Waist]]*Table834[[#This Row],[Neck]]</f>
        <v>734.25</v>
      </c>
      <c r="BX107" s="2">
        <f>Table834[[#This Row],[Waist]]*Table834[[#This Row],[Morning Body Temp]]</f>
        <v>4312.05</v>
      </c>
      <c r="BY107" s="2">
        <f>Table834[[#This Row],[Waist]]*Table834[[#This Row],[Morning Systolic Pressure]]</f>
        <v>6052</v>
      </c>
      <c r="BZ107" s="2">
        <f>Table834[[#This Row],[Waist]]*Table834[[#This Row],[Morning Diastolic Pressure]]</f>
        <v>3738</v>
      </c>
      <c r="CA107" s="2">
        <f>Table834[[#This Row],[Waist]]*Table834[[#This Row],[Morning Pulse]]</f>
        <v>3426.5</v>
      </c>
      <c r="CB107" s="2">
        <f>Table834[[#This Row],[Waist]]*Table834[[#This Row],[Night Body Temp]]</f>
        <v>4276.45</v>
      </c>
      <c r="CC107" s="2">
        <f>Table834[[#This Row],[Waist]]*Table834[[#This Row],[Night Systolic Pressure]]</f>
        <v>5651.5</v>
      </c>
      <c r="CD107" s="4">
        <f>Table83[[#This Row],[Waist]]*Table83[[#This Row],[Night Diastolic Pressure]]</f>
        <v>3471</v>
      </c>
      <c r="CE107" s="2">
        <f>Table834[[#This Row],[Waist]]*Table834[[#This Row],[Night Pulse]]</f>
        <v>3293</v>
      </c>
      <c r="CF107" s="2">
        <f>Table834[[#This Row],[Waist]]*Table834[[#This Row],[Sleep]]</f>
        <v>200.25</v>
      </c>
      <c r="CG107" s="2">
        <f>Table834[[#This Row],[Waist]]*Table834[[#This Row],[BMI]]</f>
        <v>1631.8495102040815</v>
      </c>
      <c r="CH107" s="2">
        <f>Table834[[#This Row],[Waist]]*Table834[[#This Row],[CBF]]</f>
        <v>1423.8909952522044</v>
      </c>
      <c r="CI107" s="2">
        <f>Table834[[#This Row],[Waist]]*Table834[[#This Row],[Gym]]</f>
        <v>0</v>
      </c>
      <c r="CJ107" s="2">
        <f>Table834[[#This Row],[Waist]]*Table834[[#This Row],[Cardio]]</f>
        <v>44.5</v>
      </c>
      <c r="CK107" s="2">
        <f>Table834[[#This Row],[Waist]]*Table834[[#This Row],[Calories]]</f>
        <v>109746.04833333334</v>
      </c>
      <c r="CL107" s="2">
        <f>Table834[[#This Row],[Waist]]*Table834[[#This Row],[Carbs]]</f>
        <v>13313.851166666665</v>
      </c>
      <c r="CM107" s="2">
        <f>Table834[[#This Row],[Waist]]*Table834[[#This Row],[Fat ]]</f>
        <v>4046.4072500000002</v>
      </c>
      <c r="CN107" s="2">
        <f>Table834[[#This Row],[Waist]]*Table834[[#This Row],[Protein]]</f>
        <v>5498.3161666666674</v>
      </c>
      <c r="CO107" s="2">
        <f>Table834[[#This Row],[Waist]]*Table834[[#This Row],[Fiber]]</f>
        <v>2334.2326666666663</v>
      </c>
      <c r="CP107" s="2">
        <f>Table834[[#This Row],[Waist]]*Table834[[#This Row],[Sugar]]</f>
        <v>6174.9980000000005</v>
      </c>
      <c r="CQ107" s="2">
        <f>Table834[[#This Row],[Waist]]*Table834[[#This Row],[Servings]]</f>
        <v>1136.5300000000002</v>
      </c>
      <c r="CR107" s="2">
        <f>Table834[[#This Row],[Waist]]*Table834[[#This Row],[Water]]</f>
        <v>44.5</v>
      </c>
      <c r="CS107" s="2">
        <f>Table834[[#This Row],[Waist]]*Table834[[#This Row],[Fat Calories]]</f>
        <v>36417.665250000005</v>
      </c>
    </row>
    <row r="108" spans="1:97" x14ac:dyDescent="0.25">
      <c r="A108" s="2">
        <v>255.4</v>
      </c>
      <c r="B108" s="2">
        <f>Table834[[#This Row],[Weight]]^2</f>
        <v>65229.16</v>
      </c>
      <c r="C108" s="2">
        <v>44</v>
      </c>
      <c r="D108" s="2">
        <f>Table834[[#This Row],[Waist]]^2</f>
        <v>1936</v>
      </c>
      <c r="E108" s="2">
        <v>16.5</v>
      </c>
      <c r="F108" s="2">
        <f>Table834[[#This Row],[Neck]]^2</f>
        <v>272.25</v>
      </c>
      <c r="G108" s="2">
        <v>96</v>
      </c>
      <c r="H108" s="2">
        <f>Table834[[#This Row],[Morning Body Temp]]^2</f>
        <v>9216</v>
      </c>
      <c r="I108" s="2">
        <v>121</v>
      </c>
      <c r="J108" s="2">
        <f>Table834[[#This Row],[Morning Systolic Pressure]]^2</f>
        <v>14641</v>
      </c>
      <c r="K108" s="2">
        <v>91</v>
      </c>
      <c r="L108" s="2">
        <f>Table834[[#This Row],[Morning Diastolic Pressure]]^2</f>
        <v>8281</v>
      </c>
      <c r="M108" s="2">
        <v>69</v>
      </c>
      <c r="N108" s="2">
        <f>Table834[[#This Row],[Morning Pulse]]^2</f>
        <v>4761</v>
      </c>
      <c r="O108" s="2">
        <v>95.7</v>
      </c>
      <c r="P108" s="2">
        <f>Table834[[#This Row],[Night Body Temp]]^2</f>
        <v>9158.49</v>
      </c>
      <c r="Q108" s="2">
        <v>130</v>
      </c>
      <c r="R108" s="2">
        <f>Table834[[#This Row],[Night Systolic Pressure]]^2</f>
        <v>16900</v>
      </c>
      <c r="S108" s="2">
        <v>74</v>
      </c>
      <c r="T108" s="2">
        <f>Table834[[#This Row],[Night Diastolic Pressure]]^2</f>
        <v>5476</v>
      </c>
      <c r="U108" s="2">
        <v>59</v>
      </c>
      <c r="V108" s="2">
        <f>Table834[[#This Row],[Night Pulse]]^2</f>
        <v>3481</v>
      </c>
      <c r="W108" s="2">
        <v>6</v>
      </c>
      <c r="X108" s="2">
        <f>Table834[[#This Row],[Sleep]]^2</f>
        <v>36</v>
      </c>
      <c r="Y108" s="2">
        <f t="shared" si="3"/>
        <v>36.642081632653067</v>
      </c>
      <c r="Z108" s="2">
        <f>Table834[[#This Row],[BMI]]^2</f>
        <v>1342.6421463740112</v>
      </c>
      <c r="AA108" s="2">
        <f t="shared" si="2"/>
        <v>31.324493175702337</v>
      </c>
      <c r="AB108" s="2">
        <f>Table834[[#This Row],[CBF]]^2</f>
        <v>981.2238727146223</v>
      </c>
      <c r="AC108" s="2">
        <v>1</v>
      </c>
      <c r="AD108" s="2">
        <f>Table834[[#This Row],[Gym]]^2</f>
        <v>1</v>
      </c>
      <c r="AE108" s="2">
        <v>1</v>
      </c>
      <c r="AF108" s="2">
        <f>Table834[[#This Row],[Cardio]]^2</f>
        <v>1</v>
      </c>
      <c r="AG108" s="2">
        <v>2987.55</v>
      </c>
      <c r="AH108" s="2">
        <f>Table834[[#This Row],[Calories]]^2</f>
        <v>8925455.0025000013</v>
      </c>
      <c r="AI108" s="2">
        <v>461.82499999999999</v>
      </c>
      <c r="AJ108" s="2">
        <f>Table834[[#This Row],[Carbs]]^2</f>
        <v>213282.330625</v>
      </c>
      <c r="AK108" s="2">
        <v>98.037500000000009</v>
      </c>
      <c r="AL108" s="2">
        <f>Table834[[#This Row],[Fat ]]^2</f>
        <v>9611.3514062500017</v>
      </c>
      <c r="AM108" s="2">
        <v>81.975000000000009</v>
      </c>
      <c r="AN108" s="2">
        <f>Table834[[#This Row],[Protein]]^2</f>
        <v>6719.9006250000011</v>
      </c>
      <c r="AO108" s="2">
        <v>16.8</v>
      </c>
      <c r="AP108" s="2">
        <f>Table834[[#This Row],[Fiber]]^2</f>
        <v>282.24</v>
      </c>
      <c r="AQ108" s="2">
        <v>325.47500000000002</v>
      </c>
      <c r="AR108" s="2">
        <f>Table834[[#This Row],[Sugar]]^2</f>
        <v>105933.97562500002</v>
      </c>
      <c r="AS108" s="2">
        <v>19</v>
      </c>
      <c r="AT108" s="2">
        <f>Table834[[#This Row],[Servings]]^2</f>
        <v>361</v>
      </c>
      <c r="AU108" s="2">
        <v>1</v>
      </c>
      <c r="AV108" s="2">
        <f>Table834[[#This Row],[Water]]^2</f>
        <v>1</v>
      </c>
      <c r="AW108" s="2">
        <v>882.33749999999998</v>
      </c>
      <c r="AX108" s="2">
        <f>Table834[[#This Row],[Fat Calories]]^2</f>
        <v>778519.46390624996</v>
      </c>
      <c r="AY108" s="3">
        <f>Table834[[#This Row],[Weight]]*Table834[[#This Row],[Waist]]</f>
        <v>11237.6</v>
      </c>
      <c r="AZ108" s="4">
        <f>Table834[[#This Row],[Weight]]*Table834[[#This Row],[Neck]]</f>
        <v>4214.1000000000004</v>
      </c>
      <c r="BA108" s="4">
        <f>Table834[[#This Row],[Weight]]*Table834[[#This Row],[Morning Body Temp]]</f>
        <v>24518.400000000001</v>
      </c>
      <c r="BB108" s="4">
        <f>Table834[[#This Row],[Weight]]*Table834[[#This Row],[Morning Systolic Pressure]]</f>
        <v>30903.4</v>
      </c>
      <c r="BC108" s="11">
        <f>Table834[[#This Row],[Weight]]*Table834[[#This Row],[Morning Diastolic Pressure]]</f>
        <v>23241.4</v>
      </c>
      <c r="BD108" s="2">
        <f>Table834[[#This Row],[Weight]]*Table834[[#This Row],[Morning Pulse]]</f>
        <v>17622.600000000002</v>
      </c>
      <c r="BE108" s="2">
        <f>Table834[[#This Row],[Weight]]*Table834[[#This Row],[Night Body Temp]]</f>
        <v>24441.780000000002</v>
      </c>
      <c r="BF108" s="2">
        <f>Table834[[#This Row],[Weight]]*Table834[[#This Row],[Night Systolic Pressure]]</f>
        <v>33202</v>
      </c>
      <c r="BG108" s="4">
        <f>Table83[[#This Row],[Weight]]*Table83[[#This Row],[Night Diastolic Pressure]]</f>
        <v>18899.600000000002</v>
      </c>
      <c r="BH108" s="2">
        <f>Table834[[#This Row],[Weight]]*Table834[[#This Row],[Night Pulse]]</f>
        <v>15068.6</v>
      </c>
      <c r="BI108" s="2">
        <f>Table834[[#This Row],[Weight]]*Table834[[#This Row],[Sleep]]</f>
        <v>1532.4</v>
      </c>
      <c r="BJ108" s="2">
        <f>Table834[[#This Row],[Weight]]*Table834[[#This Row],[BMI]]</f>
        <v>9358.387648979593</v>
      </c>
      <c r="BK108" s="2">
        <f>Table834[[#This Row],[Weight]]*Table834[[#This Row],[CBF]]</f>
        <v>8000.2755570743766</v>
      </c>
      <c r="BL108" s="2">
        <f>Table834[[#This Row],[Weight]]*Table834[[#This Row],[Gym]]</f>
        <v>255.4</v>
      </c>
      <c r="BM108" s="2">
        <f>Table834[[#This Row],[Weight]]*Table834[[#This Row],[Cardio]]</f>
        <v>255.4</v>
      </c>
      <c r="BN108" s="2">
        <f>Table834[[#This Row],[Weight]]*Table834[[#This Row],[Calories]]</f>
        <v>763020.27</v>
      </c>
      <c r="BO108" s="2">
        <f>Table834[[#This Row],[Weight]]*Table834[[#This Row],[Carbs]]</f>
        <v>117950.105</v>
      </c>
      <c r="BP108" s="2">
        <f>Table834[[#This Row],[Weight]]*Table834[[#This Row],[Fat ]]</f>
        <v>25038.777500000004</v>
      </c>
      <c r="BQ108" s="2">
        <f>Table834[[#This Row],[Weight]]*Table834[[#This Row],[Protein]]</f>
        <v>20936.415000000001</v>
      </c>
      <c r="BR108" s="2">
        <f>Table834[[#This Row],[Weight]]*Table834[[#This Row],[Fiber]]</f>
        <v>4290.72</v>
      </c>
      <c r="BS108" s="2">
        <f>Table834[[#This Row],[Weight]]*Table834[[#This Row],[Sugar]]</f>
        <v>83126.315000000002</v>
      </c>
      <c r="BT108" s="2">
        <f>Table834[[#This Row],[Weight]]*Table834[[#This Row],[Servings]]</f>
        <v>4852.6000000000004</v>
      </c>
      <c r="BU108" s="2">
        <f>Table834[[#This Row],[Weight]]*Table834[[#This Row],[Water]]</f>
        <v>255.4</v>
      </c>
      <c r="BV108" s="2">
        <f>Table834[[#This Row],[Weight]]*Table834[[#This Row],[Fat Calories]]</f>
        <v>225348.9975</v>
      </c>
      <c r="BW108" s="2">
        <f>Table834[[#This Row],[Waist]]*Table834[[#This Row],[Neck]]</f>
        <v>726</v>
      </c>
      <c r="BX108" s="2">
        <f>Table834[[#This Row],[Waist]]*Table834[[#This Row],[Morning Body Temp]]</f>
        <v>4224</v>
      </c>
      <c r="BY108" s="2">
        <f>Table834[[#This Row],[Waist]]*Table834[[#This Row],[Morning Systolic Pressure]]</f>
        <v>5324</v>
      </c>
      <c r="BZ108" s="2">
        <f>Table834[[#This Row],[Waist]]*Table834[[#This Row],[Morning Diastolic Pressure]]</f>
        <v>4004</v>
      </c>
      <c r="CA108" s="2">
        <f>Table834[[#This Row],[Waist]]*Table834[[#This Row],[Morning Pulse]]</f>
        <v>3036</v>
      </c>
      <c r="CB108" s="2">
        <f>Table834[[#This Row],[Waist]]*Table834[[#This Row],[Night Body Temp]]</f>
        <v>4210.8</v>
      </c>
      <c r="CC108" s="2">
        <f>Table834[[#This Row],[Waist]]*Table834[[#This Row],[Night Systolic Pressure]]</f>
        <v>5720</v>
      </c>
      <c r="CD108" s="4">
        <f>Table83[[#This Row],[Waist]]*Table83[[#This Row],[Night Diastolic Pressure]]</f>
        <v>3256</v>
      </c>
      <c r="CE108" s="2">
        <f>Table834[[#This Row],[Waist]]*Table834[[#This Row],[Night Pulse]]</f>
        <v>2596</v>
      </c>
      <c r="CF108" s="2">
        <f>Table834[[#This Row],[Waist]]*Table834[[#This Row],[Sleep]]</f>
        <v>264</v>
      </c>
      <c r="CG108" s="2">
        <f>Table834[[#This Row],[Waist]]*Table834[[#This Row],[BMI]]</f>
        <v>1612.2515918367349</v>
      </c>
      <c r="CH108" s="2">
        <f>Table834[[#This Row],[Waist]]*Table834[[#This Row],[CBF]]</f>
        <v>1378.2776997309029</v>
      </c>
      <c r="CI108" s="2">
        <f>Table834[[#This Row],[Waist]]*Table834[[#This Row],[Gym]]</f>
        <v>44</v>
      </c>
      <c r="CJ108" s="2">
        <f>Table834[[#This Row],[Waist]]*Table834[[#This Row],[Cardio]]</f>
        <v>44</v>
      </c>
      <c r="CK108" s="2">
        <f>Table834[[#This Row],[Waist]]*Table834[[#This Row],[Calories]]</f>
        <v>131452.20000000001</v>
      </c>
      <c r="CL108" s="2">
        <f>Table834[[#This Row],[Waist]]*Table834[[#This Row],[Carbs]]</f>
        <v>20320.3</v>
      </c>
      <c r="CM108" s="2">
        <f>Table834[[#This Row],[Waist]]*Table834[[#This Row],[Fat ]]</f>
        <v>4313.6500000000005</v>
      </c>
      <c r="CN108" s="2">
        <f>Table834[[#This Row],[Waist]]*Table834[[#This Row],[Protein]]</f>
        <v>3606.9000000000005</v>
      </c>
      <c r="CO108" s="2">
        <f>Table834[[#This Row],[Waist]]*Table834[[#This Row],[Fiber]]</f>
        <v>739.2</v>
      </c>
      <c r="CP108" s="2">
        <f>Table834[[#This Row],[Waist]]*Table834[[#This Row],[Sugar]]</f>
        <v>14320.900000000001</v>
      </c>
      <c r="CQ108" s="2">
        <f>Table834[[#This Row],[Waist]]*Table834[[#This Row],[Servings]]</f>
        <v>836</v>
      </c>
      <c r="CR108" s="2">
        <f>Table834[[#This Row],[Waist]]*Table834[[#This Row],[Water]]</f>
        <v>44</v>
      </c>
      <c r="CS108" s="2">
        <f>Table834[[#This Row],[Waist]]*Table834[[#This Row],[Fat Calories]]</f>
        <v>38822.85</v>
      </c>
    </row>
    <row r="109" spans="1:97" x14ac:dyDescent="0.25">
      <c r="A109" s="2">
        <v>251.4</v>
      </c>
      <c r="B109" s="2">
        <f>Table834[[#This Row],[Weight]]^2</f>
        <v>63201.960000000006</v>
      </c>
      <c r="C109" s="2">
        <v>44</v>
      </c>
      <c r="D109" s="2">
        <f>Table834[[#This Row],[Waist]]^2</f>
        <v>1936</v>
      </c>
      <c r="E109" s="2">
        <v>16.5</v>
      </c>
      <c r="F109" s="2">
        <f>Table834[[#This Row],[Neck]]^2</f>
        <v>272.25</v>
      </c>
      <c r="G109" s="2">
        <v>97.8</v>
      </c>
      <c r="H109" s="2">
        <f>Table834[[#This Row],[Morning Body Temp]]^2</f>
        <v>9564.84</v>
      </c>
      <c r="I109" s="2">
        <v>135</v>
      </c>
      <c r="J109" s="2">
        <f>Table834[[#This Row],[Morning Systolic Pressure]]^2</f>
        <v>18225</v>
      </c>
      <c r="K109" s="2">
        <v>74</v>
      </c>
      <c r="L109" s="2">
        <f>Table834[[#This Row],[Morning Diastolic Pressure]]^2</f>
        <v>5476</v>
      </c>
      <c r="M109" s="2">
        <v>68</v>
      </c>
      <c r="N109" s="2">
        <f>Table834[[#This Row],[Morning Pulse]]^2</f>
        <v>4624</v>
      </c>
      <c r="O109" s="2">
        <v>96.9</v>
      </c>
      <c r="P109" s="2">
        <f>Table834[[#This Row],[Night Body Temp]]^2</f>
        <v>9389.61</v>
      </c>
      <c r="Q109" s="2">
        <v>141</v>
      </c>
      <c r="R109" s="2">
        <f>Table834[[#This Row],[Night Systolic Pressure]]^2</f>
        <v>19881</v>
      </c>
      <c r="S109" s="2">
        <v>82</v>
      </c>
      <c r="T109" s="2">
        <f>Table834[[#This Row],[Night Diastolic Pressure]]^2</f>
        <v>6724</v>
      </c>
      <c r="U109" s="2">
        <v>67</v>
      </c>
      <c r="V109" s="2">
        <f>Table834[[#This Row],[Night Pulse]]^2</f>
        <v>4489</v>
      </c>
      <c r="W109" s="2">
        <v>12</v>
      </c>
      <c r="X109" s="2">
        <f>Table834[[#This Row],[Sleep]]^2</f>
        <v>144</v>
      </c>
      <c r="Y109" s="2">
        <f t="shared" si="3"/>
        <v>36.068204081632651</v>
      </c>
      <c r="Z109" s="2">
        <f>Table834[[#This Row],[BMI]]^2</f>
        <v>1300.9153456743022</v>
      </c>
      <c r="AA109" s="2">
        <f t="shared" si="2"/>
        <v>31.324493175702337</v>
      </c>
      <c r="AB109" s="2">
        <f>Table834[[#This Row],[CBF]]^2</f>
        <v>981.2238727146223</v>
      </c>
      <c r="AC109" s="2">
        <v>1</v>
      </c>
      <c r="AD109" s="2">
        <f>Table834[[#This Row],[Gym]]^2</f>
        <v>1</v>
      </c>
      <c r="AE109" s="2">
        <v>0</v>
      </c>
      <c r="AF109" s="2">
        <f>Table834[[#This Row],[Cardio]]^2</f>
        <v>0</v>
      </c>
      <c r="AG109" s="2">
        <v>1735.0233333333333</v>
      </c>
      <c r="AH109" s="2">
        <f>Table834[[#This Row],[Calories]]^2</f>
        <v>3010305.967211111</v>
      </c>
      <c r="AI109" s="2">
        <v>171.67666666666665</v>
      </c>
      <c r="AJ109" s="2">
        <f>Table834[[#This Row],[Carbs]]^2</f>
        <v>29472.87787777777</v>
      </c>
      <c r="AK109" s="2">
        <v>65.988500000000002</v>
      </c>
      <c r="AL109" s="2">
        <f>Table834[[#This Row],[Fat ]]^2</f>
        <v>4354.4821322500002</v>
      </c>
      <c r="AM109" s="2">
        <v>118.19266666666668</v>
      </c>
      <c r="AN109" s="2">
        <f>Table834[[#This Row],[Protein]]^2</f>
        <v>13969.506453777782</v>
      </c>
      <c r="AO109" s="2">
        <v>51.05466666666667</v>
      </c>
      <c r="AP109" s="2">
        <f>Table834[[#This Row],[Fiber]]^2</f>
        <v>2606.5789884444448</v>
      </c>
      <c r="AQ109" s="2">
        <v>39.65</v>
      </c>
      <c r="AR109" s="2">
        <f>Table834[[#This Row],[Sugar]]^2</f>
        <v>1572.1224999999999</v>
      </c>
      <c r="AS109" s="2">
        <v>26.41</v>
      </c>
      <c r="AT109" s="2">
        <f>Table834[[#This Row],[Servings]]^2</f>
        <v>697.48810000000003</v>
      </c>
      <c r="AU109" s="2">
        <v>3</v>
      </c>
      <c r="AV109" s="2">
        <f>Table834[[#This Row],[Water]]^2</f>
        <v>9</v>
      </c>
      <c r="AW109" s="2">
        <v>593.89650000000006</v>
      </c>
      <c r="AX109" s="2">
        <f>Table834[[#This Row],[Fat Calories]]^2</f>
        <v>352713.05271225009</v>
      </c>
      <c r="AY109" s="5">
        <f>Table834[[#This Row],[Weight]]*Table834[[#This Row],[Waist]]</f>
        <v>11061.6</v>
      </c>
      <c r="AZ109" s="6">
        <f>Table834[[#This Row],[Weight]]*Table834[[#This Row],[Neck]]</f>
        <v>4148.1000000000004</v>
      </c>
      <c r="BA109" s="6">
        <f>Table834[[#This Row],[Weight]]*Table834[[#This Row],[Morning Body Temp]]</f>
        <v>24586.92</v>
      </c>
      <c r="BB109" s="6">
        <f>Table834[[#This Row],[Weight]]*Table834[[#This Row],[Morning Systolic Pressure]]</f>
        <v>33939</v>
      </c>
      <c r="BC109" s="12">
        <f>Table834[[#This Row],[Weight]]*Table834[[#This Row],[Morning Diastolic Pressure]]</f>
        <v>18603.600000000002</v>
      </c>
      <c r="BD109" s="2">
        <f>Table834[[#This Row],[Weight]]*Table834[[#This Row],[Morning Pulse]]</f>
        <v>17095.2</v>
      </c>
      <c r="BE109" s="2">
        <f>Table834[[#This Row],[Weight]]*Table834[[#This Row],[Night Body Temp]]</f>
        <v>24360.660000000003</v>
      </c>
      <c r="BF109" s="2">
        <f>Table834[[#This Row],[Weight]]*Table834[[#This Row],[Night Systolic Pressure]]</f>
        <v>35447.4</v>
      </c>
      <c r="BG109" s="4">
        <f>Table83[[#This Row],[Weight]]*Table83[[#This Row],[Night Diastolic Pressure]]</f>
        <v>20614.8</v>
      </c>
      <c r="BH109" s="2">
        <f>Table834[[#This Row],[Weight]]*Table834[[#This Row],[Night Pulse]]</f>
        <v>16843.8</v>
      </c>
      <c r="BI109" s="2">
        <f>Table834[[#This Row],[Weight]]*Table834[[#This Row],[Sleep]]</f>
        <v>3016.8</v>
      </c>
      <c r="BJ109" s="2">
        <f>Table834[[#This Row],[Weight]]*Table834[[#This Row],[BMI]]</f>
        <v>9067.5465061224477</v>
      </c>
      <c r="BK109" s="2">
        <f>Table834[[#This Row],[Weight]]*Table834[[#This Row],[CBF]]</f>
        <v>7874.9775843715679</v>
      </c>
      <c r="BL109" s="2">
        <f>Table834[[#This Row],[Weight]]*Table834[[#This Row],[Gym]]</f>
        <v>251.4</v>
      </c>
      <c r="BM109" s="2">
        <f>Table834[[#This Row],[Weight]]*Table834[[#This Row],[Cardio]]</f>
        <v>0</v>
      </c>
      <c r="BN109" s="2">
        <f>Table834[[#This Row],[Weight]]*Table834[[#This Row],[Calories]]</f>
        <v>436184.86599999998</v>
      </c>
      <c r="BO109" s="2">
        <f>Table834[[#This Row],[Weight]]*Table834[[#This Row],[Carbs]]</f>
        <v>43159.513999999996</v>
      </c>
      <c r="BP109" s="2">
        <f>Table834[[#This Row],[Weight]]*Table834[[#This Row],[Fat ]]</f>
        <v>16589.508900000001</v>
      </c>
      <c r="BQ109" s="2">
        <f>Table834[[#This Row],[Weight]]*Table834[[#This Row],[Protein]]</f>
        <v>29713.636400000003</v>
      </c>
      <c r="BR109" s="2">
        <f>Table834[[#This Row],[Weight]]*Table834[[#This Row],[Fiber]]</f>
        <v>12835.1432</v>
      </c>
      <c r="BS109" s="2">
        <f>Table834[[#This Row],[Weight]]*Table834[[#This Row],[Sugar]]</f>
        <v>9968.01</v>
      </c>
      <c r="BT109" s="2">
        <f>Table834[[#This Row],[Weight]]*Table834[[#This Row],[Servings]]</f>
        <v>6639.4740000000002</v>
      </c>
      <c r="BU109" s="2">
        <f>Table834[[#This Row],[Weight]]*Table834[[#This Row],[Water]]</f>
        <v>754.2</v>
      </c>
      <c r="BV109" s="2">
        <f>Table834[[#This Row],[Weight]]*Table834[[#This Row],[Fat Calories]]</f>
        <v>149305.58010000002</v>
      </c>
      <c r="BW109" s="2">
        <f>Table834[[#This Row],[Waist]]*Table834[[#This Row],[Neck]]</f>
        <v>726</v>
      </c>
      <c r="BX109" s="2">
        <f>Table834[[#This Row],[Waist]]*Table834[[#This Row],[Morning Body Temp]]</f>
        <v>4303.2</v>
      </c>
      <c r="BY109" s="2">
        <f>Table834[[#This Row],[Waist]]*Table834[[#This Row],[Morning Systolic Pressure]]</f>
        <v>5940</v>
      </c>
      <c r="BZ109" s="2">
        <f>Table834[[#This Row],[Waist]]*Table834[[#This Row],[Morning Diastolic Pressure]]</f>
        <v>3256</v>
      </c>
      <c r="CA109" s="2">
        <f>Table834[[#This Row],[Waist]]*Table834[[#This Row],[Morning Pulse]]</f>
        <v>2992</v>
      </c>
      <c r="CB109" s="2">
        <f>Table834[[#This Row],[Waist]]*Table834[[#This Row],[Night Body Temp]]</f>
        <v>4263.6000000000004</v>
      </c>
      <c r="CC109" s="2">
        <f>Table834[[#This Row],[Waist]]*Table834[[#This Row],[Night Systolic Pressure]]</f>
        <v>6204</v>
      </c>
      <c r="CD109" s="4">
        <f>Table83[[#This Row],[Waist]]*Table83[[#This Row],[Night Diastolic Pressure]]</f>
        <v>3608</v>
      </c>
      <c r="CE109" s="2">
        <f>Table834[[#This Row],[Waist]]*Table834[[#This Row],[Night Pulse]]</f>
        <v>2948</v>
      </c>
      <c r="CF109" s="2">
        <f>Table834[[#This Row],[Waist]]*Table834[[#This Row],[Sleep]]</f>
        <v>528</v>
      </c>
      <c r="CG109" s="2">
        <f>Table834[[#This Row],[Waist]]*Table834[[#This Row],[BMI]]</f>
        <v>1587.0009795918365</v>
      </c>
      <c r="CH109" s="2">
        <f>Table834[[#This Row],[Waist]]*Table834[[#This Row],[CBF]]</f>
        <v>1378.2776997309029</v>
      </c>
      <c r="CI109" s="2">
        <f>Table834[[#This Row],[Waist]]*Table834[[#This Row],[Gym]]</f>
        <v>44</v>
      </c>
      <c r="CJ109" s="2">
        <f>Table834[[#This Row],[Waist]]*Table834[[#This Row],[Cardio]]</f>
        <v>0</v>
      </c>
      <c r="CK109" s="2">
        <f>Table834[[#This Row],[Waist]]*Table834[[#This Row],[Calories]]</f>
        <v>76341.026666666672</v>
      </c>
      <c r="CL109" s="2">
        <f>Table834[[#This Row],[Waist]]*Table834[[#This Row],[Carbs]]</f>
        <v>7553.7733333333326</v>
      </c>
      <c r="CM109" s="2">
        <f>Table834[[#This Row],[Waist]]*Table834[[#This Row],[Fat ]]</f>
        <v>2903.4940000000001</v>
      </c>
      <c r="CN109" s="2">
        <f>Table834[[#This Row],[Waist]]*Table834[[#This Row],[Protein]]</f>
        <v>5200.4773333333342</v>
      </c>
      <c r="CO109" s="2">
        <f>Table834[[#This Row],[Waist]]*Table834[[#This Row],[Fiber]]</f>
        <v>2246.4053333333336</v>
      </c>
      <c r="CP109" s="2">
        <f>Table834[[#This Row],[Waist]]*Table834[[#This Row],[Sugar]]</f>
        <v>1744.6</v>
      </c>
      <c r="CQ109" s="2">
        <f>Table834[[#This Row],[Waist]]*Table834[[#This Row],[Servings]]</f>
        <v>1162.04</v>
      </c>
      <c r="CR109" s="2">
        <f>Table834[[#This Row],[Waist]]*Table834[[#This Row],[Water]]</f>
        <v>132</v>
      </c>
      <c r="CS109" s="2">
        <f>Table834[[#This Row],[Waist]]*Table834[[#This Row],[Fat Calories]]</f>
        <v>26131.446000000004</v>
      </c>
    </row>
    <row r="110" spans="1:97" x14ac:dyDescent="0.25">
      <c r="A110" s="2">
        <v>250.4</v>
      </c>
      <c r="B110" s="2">
        <f>Table834[[#This Row],[Weight]]^2</f>
        <v>62700.160000000003</v>
      </c>
      <c r="C110" s="2">
        <v>43.5</v>
      </c>
      <c r="D110" s="2">
        <f>Table834[[#This Row],[Waist]]^2</f>
        <v>1892.25</v>
      </c>
      <c r="E110" s="2">
        <v>16.5</v>
      </c>
      <c r="F110" s="2">
        <f>Table834[[#This Row],[Neck]]^2</f>
        <v>272.25</v>
      </c>
      <c r="G110" s="2">
        <v>96.7</v>
      </c>
      <c r="H110" s="2">
        <f>Table834[[#This Row],[Morning Body Temp]]^2</f>
        <v>9350.8900000000012</v>
      </c>
      <c r="I110" s="2">
        <v>135</v>
      </c>
      <c r="J110" s="2">
        <f>Table834[[#This Row],[Morning Systolic Pressure]]^2</f>
        <v>18225</v>
      </c>
      <c r="K110" s="2">
        <v>76</v>
      </c>
      <c r="L110" s="2">
        <f>Table834[[#This Row],[Morning Diastolic Pressure]]^2</f>
        <v>5776</v>
      </c>
      <c r="M110" s="2">
        <v>67</v>
      </c>
      <c r="N110" s="2">
        <f>Table834[[#This Row],[Morning Pulse]]^2</f>
        <v>4489</v>
      </c>
      <c r="O110" s="2">
        <v>96.6</v>
      </c>
      <c r="P110" s="2">
        <f>Table834[[#This Row],[Night Body Temp]]^2</f>
        <v>9331.56</v>
      </c>
      <c r="Q110" s="2">
        <v>145</v>
      </c>
      <c r="R110" s="2">
        <f>Table834[[#This Row],[Night Systolic Pressure]]^2</f>
        <v>21025</v>
      </c>
      <c r="S110" s="2">
        <v>77</v>
      </c>
      <c r="T110" s="2">
        <f>Table834[[#This Row],[Night Diastolic Pressure]]^2</f>
        <v>5929</v>
      </c>
      <c r="U110" s="2">
        <v>68</v>
      </c>
      <c r="V110" s="2">
        <f>Table834[[#This Row],[Night Pulse]]^2</f>
        <v>4624</v>
      </c>
      <c r="W110" s="2">
        <v>6</v>
      </c>
      <c r="X110" s="2">
        <f>Table834[[#This Row],[Sleep]]^2</f>
        <v>36</v>
      </c>
      <c r="Y110" s="2">
        <f t="shared" si="3"/>
        <v>35.924734693877546</v>
      </c>
      <c r="Z110" s="2">
        <f>Table834[[#This Row],[BMI]]^2</f>
        <v>1290.586562825489</v>
      </c>
      <c r="AA110" s="2">
        <f t="shared" si="2"/>
        <v>30.639085534675949</v>
      </c>
      <c r="AB110" s="2">
        <f>Table834[[#This Row],[CBF]]^2</f>
        <v>938.75356240118901</v>
      </c>
      <c r="AC110" s="2">
        <v>1</v>
      </c>
      <c r="AD110" s="2">
        <f>Table834[[#This Row],[Gym]]^2</f>
        <v>1</v>
      </c>
      <c r="AE110" s="2">
        <v>0</v>
      </c>
      <c r="AF110" s="2">
        <f>Table834[[#This Row],[Cardio]]^2</f>
        <v>0</v>
      </c>
      <c r="AG110" s="2">
        <v>1204.9933333333333</v>
      </c>
      <c r="AH110" s="2">
        <f>Table834[[#This Row],[Calories]]^2</f>
        <v>1452008.9333777777</v>
      </c>
      <c r="AI110" s="2">
        <v>131.89766666666668</v>
      </c>
      <c r="AJ110" s="2">
        <f>Table834[[#This Row],[Carbs]]^2</f>
        <v>17396.994472111113</v>
      </c>
      <c r="AK110" s="2">
        <v>41.879000000000005</v>
      </c>
      <c r="AL110" s="2">
        <f>Table834[[#This Row],[Fat ]]^2</f>
        <v>1753.8506410000005</v>
      </c>
      <c r="AM110" s="2">
        <v>71.543666666666681</v>
      </c>
      <c r="AN110" s="2">
        <f>Table834[[#This Row],[Protein]]^2</f>
        <v>5118.4962401111134</v>
      </c>
      <c r="AO110" s="2">
        <v>38.522666666666666</v>
      </c>
      <c r="AP110" s="2">
        <f>Table834[[#This Row],[Fiber]]^2</f>
        <v>1483.9958471111111</v>
      </c>
      <c r="AQ110" s="2">
        <v>28.138999999999999</v>
      </c>
      <c r="AR110" s="2">
        <f>Table834[[#This Row],[Sugar]]^2</f>
        <v>791.80332099999998</v>
      </c>
      <c r="AS110" s="2">
        <v>21.549999999999997</v>
      </c>
      <c r="AT110" s="2">
        <f>Table834[[#This Row],[Servings]]^2</f>
        <v>464.40249999999986</v>
      </c>
      <c r="AU110" s="2">
        <v>2</v>
      </c>
      <c r="AV110" s="2">
        <f>Table834[[#This Row],[Water]]^2</f>
        <v>4</v>
      </c>
      <c r="AW110" s="2">
        <v>376.911</v>
      </c>
      <c r="AX110" s="2">
        <f>Table834[[#This Row],[Fat Calories]]^2</f>
        <v>142061.90192100001</v>
      </c>
      <c r="AY110" s="3">
        <f>Table834[[#This Row],[Weight]]*Table834[[#This Row],[Waist]]</f>
        <v>10892.4</v>
      </c>
      <c r="AZ110" s="4">
        <f>Table834[[#This Row],[Weight]]*Table834[[#This Row],[Neck]]</f>
        <v>4131.6000000000004</v>
      </c>
      <c r="BA110" s="4">
        <f>Table834[[#This Row],[Weight]]*Table834[[#This Row],[Morning Body Temp]]</f>
        <v>24213.68</v>
      </c>
      <c r="BB110" s="4">
        <f>Table834[[#This Row],[Weight]]*Table834[[#This Row],[Morning Systolic Pressure]]</f>
        <v>33804</v>
      </c>
      <c r="BC110" s="11">
        <f>Table834[[#This Row],[Weight]]*Table834[[#This Row],[Morning Diastolic Pressure]]</f>
        <v>19030.400000000001</v>
      </c>
      <c r="BD110" s="2">
        <f>Table834[[#This Row],[Weight]]*Table834[[#This Row],[Morning Pulse]]</f>
        <v>16776.8</v>
      </c>
      <c r="BE110" s="2">
        <f>Table834[[#This Row],[Weight]]*Table834[[#This Row],[Night Body Temp]]</f>
        <v>24188.639999999999</v>
      </c>
      <c r="BF110" s="2">
        <f>Table834[[#This Row],[Weight]]*Table834[[#This Row],[Night Systolic Pressure]]</f>
        <v>36308</v>
      </c>
      <c r="BG110" s="4">
        <f>Table83[[#This Row],[Weight]]*Table83[[#This Row],[Night Diastolic Pressure]]</f>
        <v>19280.8</v>
      </c>
      <c r="BH110" s="2">
        <f>Table834[[#This Row],[Weight]]*Table834[[#This Row],[Night Pulse]]</f>
        <v>17027.2</v>
      </c>
      <c r="BI110" s="2">
        <f>Table834[[#This Row],[Weight]]*Table834[[#This Row],[Sleep]]</f>
        <v>1502.4</v>
      </c>
      <c r="BJ110" s="2">
        <f>Table834[[#This Row],[Weight]]*Table834[[#This Row],[BMI]]</f>
        <v>8995.5535673469385</v>
      </c>
      <c r="BK110" s="2">
        <f>Table834[[#This Row],[Weight]]*Table834[[#This Row],[CBF]]</f>
        <v>7672.0270178828578</v>
      </c>
      <c r="BL110" s="2">
        <f>Table834[[#This Row],[Weight]]*Table834[[#This Row],[Gym]]</f>
        <v>250.4</v>
      </c>
      <c r="BM110" s="2">
        <f>Table834[[#This Row],[Weight]]*Table834[[#This Row],[Cardio]]</f>
        <v>0</v>
      </c>
      <c r="BN110" s="2">
        <f>Table834[[#This Row],[Weight]]*Table834[[#This Row],[Calories]]</f>
        <v>301730.33066666668</v>
      </c>
      <c r="BO110" s="2">
        <f>Table834[[#This Row],[Weight]]*Table834[[#This Row],[Carbs]]</f>
        <v>33027.175733333337</v>
      </c>
      <c r="BP110" s="2">
        <f>Table834[[#This Row],[Weight]]*Table834[[#This Row],[Fat ]]</f>
        <v>10486.501600000001</v>
      </c>
      <c r="BQ110" s="2">
        <f>Table834[[#This Row],[Weight]]*Table834[[#This Row],[Protein]]</f>
        <v>17914.534133333338</v>
      </c>
      <c r="BR110" s="2">
        <f>Table834[[#This Row],[Weight]]*Table834[[#This Row],[Fiber]]</f>
        <v>9646.0757333333331</v>
      </c>
      <c r="BS110" s="2">
        <f>Table834[[#This Row],[Weight]]*Table834[[#This Row],[Sugar]]</f>
        <v>7046.0056000000004</v>
      </c>
      <c r="BT110" s="2">
        <f>Table834[[#This Row],[Weight]]*Table834[[#This Row],[Servings]]</f>
        <v>5396.119999999999</v>
      </c>
      <c r="BU110" s="2">
        <f>Table834[[#This Row],[Weight]]*Table834[[#This Row],[Water]]</f>
        <v>500.8</v>
      </c>
      <c r="BV110" s="2">
        <f>Table834[[#This Row],[Weight]]*Table834[[#This Row],[Fat Calories]]</f>
        <v>94378.5144</v>
      </c>
      <c r="BW110" s="2">
        <f>Table834[[#This Row],[Waist]]*Table834[[#This Row],[Neck]]</f>
        <v>717.75</v>
      </c>
      <c r="BX110" s="2">
        <f>Table834[[#This Row],[Waist]]*Table834[[#This Row],[Morning Body Temp]]</f>
        <v>4206.45</v>
      </c>
      <c r="BY110" s="2">
        <f>Table834[[#This Row],[Waist]]*Table834[[#This Row],[Morning Systolic Pressure]]</f>
        <v>5872.5</v>
      </c>
      <c r="BZ110" s="2">
        <f>Table834[[#This Row],[Waist]]*Table834[[#This Row],[Morning Diastolic Pressure]]</f>
        <v>3306</v>
      </c>
      <c r="CA110" s="2">
        <f>Table834[[#This Row],[Waist]]*Table834[[#This Row],[Morning Pulse]]</f>
        <v>2914.5</v>
      </c>
      <c r="CB110" s="2">
        <f>Table834[[#This Row],[Waist]]*Table834[[#This Row],[Night Body Temp]]</f>
        <v>4202.0999999999995</v>
      </c>
      <c r="CC110" s="2">
        <f>Table834[[#This Row],[Waist]]*Table834[[#This Row],[Night Systolic Pressure]]</f>
        <v>6307.5</v>
      </c>
      <c r="CD110" s="4">
        <f>Table83[[#This Row],[Waist]]*Table83[[#This Row],[Night Diastolic Pressure]]</f>
        <v>3349.5</v>
      </c>
      <c r="CE110" s="2">
        <f>Table834[[#This Row],[Waist]]*Table834[[#This Row],[Night Pulse]]</f>
        <v>2958</v>
      </c>
      <c r="CF110" s="2">
        <f>Table834[[#This Row],[Waist]]*Table834[[#This Row],[Sleep]]</f>
        <v>261</v>
      </c>
      <c r="CG110" s="2">
        <f>Table834[[#This Row],[Waist]]*Table834[[#This Row],[BMI]]</f>
        <v>1562.7259591836732</v>
      </c>
      <c r="CH110" s="2">
        <f>Table834[[#This Row],[Waist]]*Table834[[#This Row],[CBF]]</f>
        <v>1332.8002207584038</v>
      </c>
      <c r="CI110" s="2">
        <f>Table834[[#This Row],[Waist]]*Table834[[#This Row],[Gym]]</f>
        <v>43.5</v>
      </c>
      <c r="CJ110" s="2">
        <f>Table834[[#This Row],[Waist]]*Table834[[#This Row],[Cardio]]</f>
        <v>0</v>
      </c>
      <c r="CK110" s="2">
        <f>Table834[[#This Row],[Waist]]*Table834[[#This Row],[Calories]]</f>
        <v>52417.21</v>
      </c>
      <c r="CL110" s="2">
        <f>Table834[[#This Row],[Waist]]*Table834[[#This Row],[Carbs]]</f>
        <v>5737.5485000000008</v>
      </c>
      <c r="CM110" s="2">
        <f>Table834[[#This Row],[Waist]]*Table834[[#This Row],[Fat ]]</f>
        <v>1821.7365000000002</v>
      </c>
      <c r="CN110" s="2">
        <f>Table834[[#This Row],[Waist]]*Table834[[#This Row],[Protein]]</f>
        <v>3112.1495000000004</v>
      </c>
      <c r="CO110" s="2">
        <f>Table834[[#This Row],[Waist]]*Table834[[#This Row],[Fiber]]</f>
        <v>1675.7359999999999</v>
      </c>
      <c r="CP110" s="2">
        <f>Table834[[#This Row],[Waist]]*Table834[[#This Row],[Sugar]]</f>
        <v>1224.0464999999999</v>
      </c>
      <c r="CQ110" s="2">
        <f>Table834[[#This Row],[Waist]]*Table834[[#This Row],[Servings]]</f>
        <v>937.42499999999984</v>
      </c>
      <c r="CR110" s="2">
        <f>Table834[[#This Row],[Waist]]*Table834[[#This Row],[Water]]</f>
        <v>87</v>
      </c>
      <c r="CS110" s="2">
        <f>Table834[[#This Row],[Waist]]*Table834[[#This Row],[Fat Calories]]</f>
        <v>16395.628499999999</v>
      </c>
    </row>
    <row r="111" spans="1:97" x14ac:dyDescent="0.25">
      <c r="A111" s="2">
        <v>250.8</v>
      </c>
      <c r="B111" s="2">
        <f>Table834[[#This Row],[Weight]]^2</f>
        <v>62900.640000000007</v>
      </c>
      <c r="C111" s="2">
        <v>43.5</v>
      </c>
      <c r="D111" s="2">
        <f>Table834[[#This Row],[Waist]]^2</f>
        <v>1892.25</v>
      </c>
      <c r="E111" s="2">
        <v>16.5</v>
      </c>
      <c r="F111" s="2">
        <f>Table834[[#This Row],[Neck]]^2</f>
        <v>272.25</v>
      </c>
      <c r="G111" s="2">
        <v>95.7</v>
      </c>
      <c r="H111" s="2">
        <f>Table834[[#This Row],[Morning Body Temp]]^2</f>
        <v>9158.49</v>
      </c>
      <c r="I111" s="2">
        <v>138</v>
      </c>
      <c r="J111" s="2">
        <f>Table834[[#This Row],[Morning Systolic Pressure]]^2</f>
        <v>19044</v>
      </c>
      <c r="K111" s="2">
        <v>88</v>
      </c>
      <c r="L111" s="2">
        <f>Table834[[#This Row],[Morning Diastolic Pressure]]^2</f>
        <v>7744</v>
      </c>
      <c r="M111" s="2">
        <v>72</v>
      </c>
      <c r="N111" s="2">
        <f>Table834[[#This Row],[Morning Pulse]]^2</f>
        <v>5184</v>
      </c>
      <c r="O111" s="2">
        <v>96.4</v>
      </c>
      <c r="P111" s="2">
        <f>Table834[[#This Row],[Night Body Temp]]^2</f>
        <v>9292.9600000000009</v>
      </c>
      <c r="Q111" s="2">
        <v>133</v>
      </c>
      <c r="R111" s="2">
        <f>Table834[[#This Row],[Night Systolic Pressure]]^2</f>
        <v>17689</v>
      </c>
      <c r="S111" s="2">
        <v>87</v>
      </c>
      <c r="T111" s="2">
        <f>Table834[[#This Row],[Night Diastolic Pressure]]^2</f>
        <v>7569</v>
      </c>
      <c r="U111" s="2">
        <v>88</v>
      </c>
      <c r="V111" s="2">
        <f>Table834[[#This Row],[Night Pulse]]^2</f>
        <v>7744</v>
      </c>
      <c r="W111" s="2">
        <v>4</v>
      </c>
      <c r="X111" s="2">
        <f>Table834[[#This Row],[Sleep]]^2</f>
        <v>16</v>
      </c>
      <c r="Y111" s="2">
        <f t="shared" si="3"/>
        <v>35.982122448979595</v>
      </c>
      <c r="Z111" s="2">
        <f>Table834[[#This Row],[BMI]]^2</f>
        <v>1294.7131359333614</v>
      </c>
      <c r="AA111" s="2">
        <f t="shared" si="2"/>
        <v>30.639085534675949</v>
      </c>
      <c r="AB111" s="2">
        <f>Table834[[#This Row],[CBF]]^2</f>
        <v>938.75356240118901</v>
      </c>
      <c r="AC111" s="2">
        <v>0</v>
      </c>
      <c r="AD111" s="2">
        <f>Table834[[#This Row],[Gym]]^2</f>
        <v>0</v>
      </c>
      <c r="AE111" s="2">
        <v>1</v>
      </c>
      <c r="AF111" s="2">
        <f>Table834[[#This Row],[Cardio]]^2</f>
        <v>1</v>
      </c>
      <c r="AG111" s="2">
        <v>2981.1</v>
      </c>
      <c r="AH111" s="2">
        <f>Table834[[#This Row],[Calories]]^2</f>
        <v>8886957.209999999</v>
      </c>
      <c r="AI111" s="2">
        <v>485.65000000000003</v>
      </c>
      <c r="AJ111" s="2">
        <f>Table834[[#This Row],[Carbs]]^2</f>
        <v>235855.92250000004</v>
      </c>
      <c r="AK111" s="2">
        <v>76.875000000000014</v>
      </c>
      <c r="AL111" s="2">
        <f>Table834[[#This Row],[Fat ]]^2</f>
        <v>5909.7656250000018</v>
      </c>
      <c r="AM111" s="2">
        <v>104.85000000000001</v>
      </c>
      <c r="AN111" s="2">
        <f>Table834[[#This Row],[Protein]]^2</f>
        <v>10993.522500000001</v>
      </c>
      <c r="AO111" s="2">
        <v>29.4</v>
      </c>
      <c r="AP111" s="2">
        <f>Table834[[#This Row],[Fiber]]^2</f>
        <v>864.3599999999999</v>
      </c>
      <c r="AQ111" s="2">
        <v>317.35000000000002</v>
      </c>
      <c r="AR111" s="2">
        <f>Table834[[#This Row],[Sugar]]^2</f>
        <v>100711.02250000002</v>
      </c>
      <c r="AS111" s="2">
        <v>54</v>
      </c>
      <c r="AT111" s="2">
        <f>Table834[[#This Row],[Servings]]^2</f>
        <v>2916</v>
      </c>
      <c r="AU111" s="2">
        <v>1</v>
      </c>
      <c r="AV111" s="2">
        <f>Table834[[#This Row],[Water]]^2</f>
        <v>1</v>
      </c>
      <c r="AW111" s="2">
        <v>691.875</v>
      </c>
      <c r="AX111" s="2">
        <f>Table834[[#This Row],[Fat Calories]]^2</f>
        <v>478691.015625</v>
      </c>
      <c r="AY111" s="5">
        <f>Table834[[#This Row],[Weight]]*Table834[[#This Row],[Waist]]</f>
        <v>10909.800000000001</v>
      </c>
      <c r="AZ111" s="6">
        <f>Table834[[#This Row],[Weight]]*Table834[[#This Row],[Neck]]</f>
        <v>4138.2</v>
      </c>
      <c r="BA111" s="6">
        <f>Table834[[#This Row],[Weight]]*Table834[[#This Row],[Morning Body Temp]]</f>
        <v>24001.56</v>
      </c>
      <c r="BB111" s="6">
        <f>Table834[[#This Row],[Weight]]*Table834[[#This Row],[Morning Systolic Pressure]]</f>
        <v>34610.400000000001</v>
      </c>
      <c r="BC111" s="12">
        <f>Table834[[#This Row],[Weight]]*Table834[[#This Row],[Morning Diastolic Pressure]]</f>
        <v>22070.400000000001</v>
      </c>
      <c r="BD111" s="2">
        <f>Table834[[#This Row],[Weight]]*Table834[[#This Row],[Morning Pulse]]</f>
        <v>18057.600000000002</v>
      </c>
      <c r="BE111" s="2">
        <f>Table834[[#This Row],[Weight]]*Table834[[#This Row],[Night Body Temp]]</f>
        <v>24177.120000000003</v>
      </c>
      <c r="BF111" s="2">
        <f>Table834[[#This Row],[Weight]]*Table834[[#This Row],[Night Systolic Pressure]]</f>
        <v>33356.400000000001</v>
      </c>
      <c r="BG111" s="4">
        <f>Table83[[#This Row],[Weight]]*Table83[[#This Row],[Night Diastolic Pressure]]</f>
        <v>21819.600000000002</v>
      </c>
      <c r="BH111" s="2">
        <f>Table834[[#This Row],[Weight]]*Table834[[#This Row],[Night Pulse]]</f>
        <v>22070.400000000001</v>
      </c>
      <c r="BI111" s="2">
        <f>Table834[[#This Row],[Weight]]*Table834[[#This Row],[Sleep]]</f>
        <v>1003.2</v>
      </c>
      <c r="BJ111" s="2">
        <f>Table834[[#This Row],[Weight]]*Table834[[#This Row],[BMI]]</f>
        <v>9024.3163102040835</v>
      </c>
      <c r="BK111" s="2">
        <f>Table834[[#This Row],[Weight]]*Table834[[#This Row],[CBF]]</f>
        <v>7684.2826520967283</v>
      </c>
      <c r="BL111" s="2">
        <f>Table834[[#This Row],[Weight]]*Table834[[#This Row],[Gym]]</f>
        <v>0</v>
      </c>
      <c r="BM111" s="2">
        <f>Table834[[#This Row],[Weight]]*Table834[[#This Row],[Cardio]]</f>
        <v>250.8</v>
      </c>
      <c r="BN111" s="2">
        <f>Table834[[#This Row],[Weight]]*Table834[[#This Row],[Calories]]</f>
        <v>747659.88</v>
      </c>
      <c r="BO111" s="2">
        <f>Table834[[#This Row],[Weight]]*Table834[[#This Row],[Carbs]]</f>
        <v>121801.02000000002</v>
      </c>
      <c r="BP111" s="2">
        <f>Table834[[#This Row],[Weight]]*Table834[[#This Row],[Fat ]]</f>
        <v>19280.250000000004</v>
      </c>
      <c r="BQ111" s="2">
        <f>Table834[[#This Row],[Weight]]*Table834[[#This Row],[Protein]]</f>
        <v>26296.380000000005</v>
      </c>
      <c r="BR111" s="2">
        <f>Table834[[#This Row],[Weight]]*Table834[[#This Row],[Fiber]]</f>
        <v>7373.5199999999995</v>
      </c>
      <c r="BS111" s="2">
        <f>Table834[[#This Row],[Weight]]*Table834[[#This Row],[Sugar]]</f>
        <v>79591.38</v>
      </c>
      <c r="BT111" s="2">
        <f>Table834[[#This Row],[Weight]]*Table834[[#This Row],[Servings]]</f>
        <v>13543.2</v>
      </c>
      <c r="BU111" s="2">
        <f>Table834[[#This Row],[Weight]]*Table834[[#This Row],[Water]]</f>
        <v>250.8</v>
      </c>
      <c r="BV111" s="2">
        <f>Table834[[#This Row],[Weight]]*Table834[[#This Row],[Fat Calories]]</f>
        <v>173522.25</v>
      </c>
      <c r="BW111" s="2">
        <f>Table834[[#This Row],[Waist]]*Table834[[#This Row],[Neck]]</f>
        <v>717.75</v>
      </c>
      <c r="BX111" s="2">
        <f>Table834[[#This Row],[Waist]]*Table834[[#This Row],[Morning Body Temp]]</f>
        <v>4162.95</v>
      </c>
      <c r="BY111" s="2">
        <f>Table834[[#This Row],[Waist]]*Table834[[#This Row],[Morning Systolic Pressure]]</f>
        <v>6003</v>
      </c>
      <c r="BZ111" s="2">
        <f>Table834[[#This Row],[Waist]]*Table834[[#This Row],[Morning Diastolic Pressure]]</f>
        <v>3828</v>
      </c>
      <c r="CA111" s="2">
        <f>Table834[[#This Row],[Waist]]*Table834[[#This Row],[Morning Pulse]]</f>
        <v>3132</v>
      </c>
      <c r="CB111" s="2">
        <f>Table834[[#This Row],[Waist]]*Table834[[#This Row],[Night Body Temp]]</f>
        <v>4193.4000000000005</v>
      </c>
      <c r="CC111" s="2">
        <f>Table834[[#This Row],[Waist]]*Table834[[#This Row],[Night Systolic Pressure]]</f>
        <v>5785.5</v>
      </c>
      <c r="CD111" s="4">
        <f>Table83[[#This Row],[Waist]]*Table83[[#This Row],[Night Diastolic Pressure]]</f>
        <v>3784.5</v>
      </c>
      <c r="CE111" s="2">
        <f>Table834[[#This Row],[Waist]]*Table834[[#This Row],[Night Pulse]]</f>
        <v>3828</v>
      </c>
      <c r="CF111" s="2">
        <f>Table834[[#This Row],[Waist]]*Table834[[#This Row],[Sleep]]</f>
        <v>174</v>
      </c>
      <c r="CG111" s="2">
        <f>Table834[[#This Row],[Waist]]*Table834[[#This Row],[BMI]]</f>
        <v>1565.2223265306125</v>
      </c>
      <c r="CH111" s="2">
        <f>Table834[[#This Row],[Waist]]*Table834[[#This Row],[CBF]]</f>
        <v>1332.8002207584038</v>
      </c>
      <c r="CI111" s="2">
        <f>Table834[[#This Row],[Waist]]*Table834[[#This Row],[Gym]]</f>
        <v>0</v>
      </c>
      <c r="CJ111" s="2">
        <f>Table834[[#This Row],[Waist]]*Table834[[#This Row],[Cardio]]</f>
        <v>43.5</v>
      </c>
      <c r="CK111" s="2">
        <f>Table834[[#This Row],[Waist]]*Table834[[#This Row],[Calories]]</f>
        <v>129677.84999999999</v>
      </c>
      <c r="CL111" s="2">
        <f>Table834[[#This Row],[Waist]]*Table834[[#This Row],[Carbs]]</f>
        <v>21125.775000000001</v>
      </c>
      <c r="CM111" s="2">
        <f>Table834[[#This Row],[Waist]]*Table834[[#This Row],[Fat ]]</f>
        <v>3344.0625000000005</v>
      </c>
      <c r="CN111" s="2">
        <f>Table834[[#This Row],[Waist]]*Table834[[#This Row],[Protein]]</f>
        <v>4560.9750000000004</v>
      </c>
      <c r="CO111" s="2">
        <f>Table834[[#This Row],[Waist]]*Table834[[#This Row],[Fiber]]</f>
        <v>1278.8999999999999</v>
      </c>
      <c r="CP111" s="2">
        <f>Table834[[#This Row],[Waist]]*Table834[[#This Row],[Sugar]]</f>
        <v>13804.725</v>
      </c>
      <c r="CQ111" s="2">
        <f>Table834[[#This Row],[Waist]]*Table834[[#This Row],[Servings]]</f>
        <v>2349</v>
      </c>
      <c r="CR111" s="2">
        <f>Table834[[#This Row],[Waist]]*Table834[[#This Row],[Water]]</f>
        <v>43.5</v>
      </c>
      <c r="CS111" s="2">
        <f>Table834[[#This Row],[Waist]]*Table834[[#This Row],[Fat Calories]]</f>
        <v>30096.5625</v>
      </c>
    </row>
    <row r="112" spans="1:97" x14ac:dyDescent="0.25">
      <c r="A112" s="2">
        <v>249.2</v>
      </c>
      <c r="B112" s="2">
        <f>Table834[[#This Row],[Weight]]^2</f>
        <v>62100.639999999992</v>
      </c>
      <c r="C112" s="2">
        <v>43.5</v>
      </c>
      <c r="D112" s="2">
        <f>Table834[[#This Row],[Waist]]^2</f>
        <v>1892.25</v>
      </c>
      <c r="E112" s="2">
        <v>16.5</v>
      </c>
      <c r="F112" s="2">
        <f>Table834[[#This Row],[Neck]]^2</f>
        <v>272.25</v>
      </c>
      <c r="G112" s="2">
        <v>96.4</v>
      </c>
      <c r="H112" s="2">
        <f>Table834[[#This Row],[Morning Body Temp]]^2</f>
        <v>9292.9600000000009</v>
      </c>
      <c r="I112" s="2">
        <v>142</v>
      </c>
      <c r="J112" s="2">
        <f>Table834[[#This Row],[Morning Systolic Pressure]]^2</f>
        <v>20164</v>
      </c>
      <c r="K112" s="2">
        <v>85</v>
      </c>
      <c r="L112" s="2">
        <f>Table834[[#This Row],[Morning Diastolic Pressure]]^2</f>
        <v>7225</v>
      </c>
      <c r="M112" s="2">
        <v>78</v>
      </c>
      <c r="N112" s="2">
        <f>Table834[[#This Row],[Morning Pulse]]^2</f>
        <v>6084</v>
      </c>
      <c r="O112" s="2">
        <v>97</v>
      </c>
      <c r="P112" s="2">
        <f>Table834[[#This Row],[Night Body Temp]]^2</f>
        <v>9409</v>
      </c>
      <c r="Q112" s="2">
        <v>139</v>
      </c>
      <c r="R112" s="2">
        <f>Table834[[#This Row],[Night Systolic Pressure]]^2</f>
        <v>19321</v>
      </c>
      <c r="S112" s="2">
        <v>68</v>
      </c>
      <c r="T112" s="2">
        <f>Table834[[#This Row],[Night Diastolic Pressure]]^2</f>
        <v>4624</v>
      </c>
      <c r="U112" s="2">
        <v>74</v>
      </c>
      <c r="V112" s="2">
        <f>Table834[[#This Row],[Night Pulse]]^2</f>
        <v>5476</v>
      </c>
      <c r="W112" s="2">
        <v>12</v>
      </c>
      <c r="X112" s="2">
        <f>Table834[[#This Row],[Sleep]]^2</f>
        <v>144</v>
      </c>
      <c r="Y112" s="2">
        <f t="shared" si="3"/>
        <v>35.752571428571429</v>
      </c>
      <c r="Z112" s="2">
        <f>Table834[[#This Row],[BMI]]^2</f>
        <v>1278.246363755102</v>
      </c>
      <c r="AA112" s="2">
        <f t="shared" si="2"/>
        <v>30.639085534675949</v>
      </c>
      <c r="AB112" s="2">
        <f>Table834[[#This Row],[CBF]]^2</f>
        <v>938.75356240118901</v>
      </c>
      <c r="AC112" s="2">
        <v>1</v>
      </c>
      <c r="AD112" s="2">
        <f>Table834[[#This Row],[Gym]]^2</f>
        <v>1</v>
      </c>
      <c r="AE112" s="2">
        <v>0</v>
      </c>
      <c r="AF112" s="2">
        <f>Table834[[#This Row],[Cardio]]^2</f>
        <v>0</v>
      </c>
      <c r="AG112" s="2">
        <v>2506.7633333333333</v>
      </c>
      <c r="AH112" s="2">
        <f>Table834[[#This Row],[Calories]]^2</f>
        <v>6283862.4093444441</v>
      </c>
      <c r="AI112" s="2">
        <v>408.57266666666663</v>
      </c>
      <c r="AJ112" s="2">
        <f>Table834[[#This Row],[Carbs]]^2</f>
        <v>166931.62394711107</v>
      </c>
      <c r="AK112" s="2">
        <v>65.162000000000006</v>
      </c>
      <c r="AL112" s="2">
        <f>Table834[[#This Row],[Fat ]]^2</f>
        <v>4246.086244000001</v>
      </c>
      <c r="AM112" s="2">
        <v>88.26166666666667</v>
      </c>
      <c r="AN112" s="2">
        <f>Table834[[#This Row],[Protein]]^2</f>
        <v>7790.1218027777786</v>
      </c>
      <c r="AO112" s="2">
        <v>39.831666666666663</v>
      </c>
      <c r="AP112" s="2">
        <f>Table834[[#This Row],[Fiber]]^2</f>
        <v>1586.5616694444441</v>
      </c>
      <c r="AQ112" s="2">
        <v>307.71899999999999</v>
      </c>
      <c r="AR112" s="2">
        <f>Table834[[#This Row],[Sugar]]^2</f>
        <v>94690.982961000002</v>
      </c>
      <c r="AS112" s="2">
        <v>72.78</v>
      </c>
      <c r="AT112" s="2">
        <f>Table834[[#This Row],[Servings]]^2</f>
        <v>5296.9283999999998</v>
      </c>
      <c r="AU112" s="2">
        <v>0.5</v>
      </c>
      <c r="AV112" s="2">
        <f>Table834[[#This Row],[Water]]^2</f>
        <v>0.25</v>
      </c>
      <c r="AW112" s="2">
        <v>586.45799999999997</v>
      </c>
      <c r="AX112" s="2">
        <f>Table834[[#This Row],[Fat Calories]]^2</f>
        <v>343932.98576399998</v>
      </c>
      <c r="AY112" s="3">
        <f>Table834[[#This Row],[Weight]]*Table834[[#This Row],[Waist]]</f>
        <v>10840.199999999999</v>
      </c>
      <c r="AZ112" s="4">
        <f>Table834[[#This Row],[Weight]]*Table834[[#This Row],[Neck]]</f>
        <v>4111.8</v>
      </c>
      <c r="BA112" s="4">
        <f>Table834[[#This Row],[Weight]]*Table834[[#This Row],[Morning Body Temp]]</f>
        <v>24022.880000000001</v>
      </c>
      <c r="BB112" s="4">
        <f>Table834[[#This Row],[Weight]]*Table834[[#This Row],[Morning Systolic Pressure]]</f>
        <v>35386.400000000001</v>
      </c>
      <c r="BC112" s="11">
        <f>Table834[[#This Row],[Weight]]*Table834[[#This Row],[Morning Diastolic Pressure]]</f>
        <v>21182</v>
      </c>
      <c r="BD112" s="2">
        <f>Table834[[#This Row],[Weight]]*Table834[[#This Row],[Morning Pulse]]</f>
        <v>19437.599999999999</v>
      </c>
      <c r="BE112" s="2">
        <f>Table834[[#This Row],[Weight]]*Table834[[#This Row],[Night Body Temp]]</f>
        <v>24172.399999999998</v>
      </c>
      <c r="BF112" s="2">
        <f>Table834[[#This Row],[Weight]]*Table834[[#This Row],[Night Systolic Pressure]]</f>
        <v>34638.799999999996</v>
      </c>
      <c r="BG112" s="4">
        <f>Table83[[#This Row],[Weight]]*Table83[[#This Row],[Night Diastolic Pressure]]</f>
        <v>16945.599999999999</v>
      </c>
      <c r="BH112" s="2">
        <f>Table834[[#This Row],[Weight]]*Table834[[#This Row],[Night Pulse]]</f>
        <v>18440.8</v>
      </c>
      <c r="BI112" s="2">
        <f>Table834[[#This Row],[Weight]]*Table834[[#This Row],[Sleep]]</f>
        <v>2990.3999999999996</v>
      </c>
      <c r="BJ112" s="2">
        <f>Table834[[#This Row],[Weight]]*Table834[[#This Row],[BMI]]</f>
        <v>8909.5407999999989</v>
      </c>
      <c r="BK112" s="2">
        <f>Table834[[#This Row],[Weight]]*Table834[[#This Row],[CBF]]</f>
        <v>7635.2601152412462</v>
      </c>
      <c r="BL112" s="2">
        <f>Table834[[#This Row],[Weight]]*Table834[[#This Row],[Gym]]</f>
        <v>249.2</v>
      </c>
      <c r="BM112" s="2">
        <f>Table834[[#This Row],[Weight]]*Table834[[#This Row],[Cardio]]</f>
        <v>0</v>
      </c>
      <c r="BN112" s="2">
        <f>Table834[[#This Row],[Weight]]*Table834[[#This Row],[Calories]]</f>
        <v>624685.42266666668</v>
      </c>
      <c r="BO112" s="2">
        <f>Table834[[#This Row],[Weight]]*Table834[[#This Row],[Carbs]]</f>
        <v>101816.30853333331</v>
      </c>
      <c r="BP112" s="2">
        <f>Table834[[#This Row],[Weight]]*Table834[[#This Row],[Fat ]]</f>
        <v>16238.370400000002</v>
      </c>
      <c r="BQ112" s="2">
        <f>Table834[[#This Row],[Weight]]*Table834[[#This Row],[Protein]]</f>
        <v>21994.807333333334</v>
      </c>
      <c r="BR112" s="2">
        <f>Table834[[#This Row],[Weight]]*Table834[[#This Row],[Fiber]]</f>
        <v>9926.0513333333329</v>
      </c>
      <c r="BS112" s="2">
        <f>Table834[[#This Row],[Weight]]*Table834[[#This Row],[Sugar]]</f>
        <v>76683.574800000002</v>
      </c>
      <c r="BT112" s="2">
        <f>Table834[[#This Row],[Weight]]*Table834[[#This Row],[Servings]]</f>
        <v>18136.775999999998</v>
      </c>
      <c r="BU112" s="2">
        <f>Table834[[#This Row],[Weight]]*Table834[[#This Row],[Water]]</f>
        <v>124.6</v>
      </c>
      <c r="BV112" s="2">
        <f>Table834[[#This Row],[Weight]]*Table834[[#This Row],[Fat Calories]]</f>
        <v>146145.33359999998</v>
      </c>
      <c r="BW112" s="2">
        <f>Table834[[#This Row],[Waist]]*Table834[[#This Row],[Neck]]</f>
        <v>717.75</v>
      </c>
      <c r="BX112" s="2">
        <f>Table834[[#This Row],[Waist]]*Table834[[#This Row],[Morning Body Temp]]</f>
        <v>4193.4000000000005</v>
      </c>
      <c r="BY112" s="2">
        <f>Table834[[#This Row],[Waist]]*Table834[[#This Row],[Morning Systolic Pressure]]</f>
        <v>6177</v>
      </c>
      <c r="BZ112" s="2">
        <f>Table834[[#This Row],[Waist]]*Table834[[#This Row],[Morning Diastolic Pressure]]</f>
        <v>3697.5</v>
      </c>
      <c r="CA112" s="2">
        <f>Table834[[#This Row],[Waist]]*Table834[[#This Row],[Morning Pulse]]</f>
        <v>3393</v>
      </c>
      <c r="CB112" s="2">
        <f>Table834[[#This Row],[Waist]]*Table834[[#This Row],[Night Body Temp]]</f>
        <v>4219.5</v>
      </c>
      <c r="CC112" s="2">
        <f>Table834[[#This Row],[Waist]]*Table834[[#This Row],[Night Systolic Pressure]]</f>
        <v>6046.5</v>
      </c>
      <c r="CD112" s="4">
        <f>Table83[[#This Row],[Waist]]*Table83[[#This Row],[Night Diastolic Pressure]]</f>
        <v>2958</v>
      </c>
      <c r="CE112" s="2">
        <f>Table834[[#This Row],[Waist]]*Table834[[#This Row],[Night Pulse]]</f>
        <v>3219</v>
      </c>
      <c r="CF112" s="2">
        <f>Table834[[#This Row],[Waist]]*Table834[[#This Row],[Sleep]]</f>
        <v>522</v>
      </c>
      <c r="CG112" s="2">
        <f>Table834[[#This Row],[Waist]]*Table834[[#This Row],[BMI]]</f>
        <v>1555.2368571428572</v>
      </c>
      <c r="CH112" s="2">
        <f>Table834[[#This Row],[Waist]]*Table834[[#This Row],[CBF]]</f>
        <v>1332.8002207584038</v>
      </c>
      <c r="CI112" s="2">
        <f>Table834[[#This Row],[Waist]]*Table834[[#This Row],[Gym]]</f>
        <v>43.5</v>
      </c>
      <c r="CJ112" s="2">
        <f>Table834[[#This Row],[Waist]]*Table834[[#This Row],[Cardio]]</f>
        <v>0</v>
      </c>
      <c r="CK112" s="2">
        <f>Table834[[#This Row],[Waist]]*Table834[[#This Row],[Calories]]</f>
        <v>109044.205</v>
      </c>
      <c r="CL112" s="2">
        <f>Table834[[#This Row],[Waist]]*Table834[[#This Row],[Carbs]]</f>
        <v>17772.911</v>
      </c>
      <c r="CM112" s="2">
        <f>Table834[[#This Row],[Waist]]*Table834[[#This Row],[Fat ]]</f>
        <v>2834.5470000000005</v>
      </c>
      <c r="CN112" s="2">
        <f>Table834[[#This Row],[Waist]]*Table834[[#This Row],[Protein]]</f>
        <v>3839.3825000000002</v>
      </c>
      <c r="CO112" s="2">
        <f>Table834[[#This Row],[Waist]]*Table834[[#This Row],[Fiber]]</f>
        <v>1732.6774999999998</v>
      </c>
      <c r="CP112" s="2">
        <f>Table834[[#This Row],[Waist]]*Table834[[#This Row],[Sugar]]</f>
        <v>13385.7765</v>
      </c>
      <c r="CQ112" s="2">
        <f>Table834[[#This Row],[Waist]]*Table834[[#This Row],[Servings]]</f>
        <v>3165.93</v>
      </c>
      <c r="CR112" s="2">
        <f>Table834[[#This Row],[Waist]]*Table834[[#This Row],[Water]]</f>
        <v>21.75</v>
      </c>
      <c r="CS112" s="2">
        <f>Table834[[#This Row],[Waist]]*Table834[[#This Row],[Fat Calories]]</f>
        <v>25510.922999999999</v>
      </c>
    </row>
    <row r="113" spans="1:97" x14ac:dyDescent="0.25">
      <c r="A113" s="2">
        <v>250.4</v>
      </c>
      <c r="B113" s="2">
        <f>Table834[[#This Row],[Weight]]^2</f>
        <v>62700.160000000003</v>
      </c>
      <c r="C113" s="2">
        <v>44</v>
      </c>
      <c r="D113" s="2">
        <f>Table834[[#This Row],[Waist]]^2</f>
        <v>1936</v>
      </c>
      <c r="E113" s="2">
        <v>16.5</v>
      </c>
      <c r="F113" s="2">
        <f>Table834[[#This Row],[Neck]]^2</f>
        <v>272.25</v>
      </c>
      <c r="G113" s="2">
        <v>96.4</v>
      </c>
      <c r="H113" s="2">
        <f>Table834[[#This Row],[Morning Body Temp]]^2</f>
        <v>9292.9600000000009</v>
      </c>
      <c r="I113" s="2">
        <v>116</v>
      </c>
      <c r="J113" s="2">
        <f>Table834[[#This Row],[Morning Systolic Pressure]]^2</f>
        <v>13456</v>
      </c>
      <c r="K113" s="2">
        <v>71</v>
      </c>
      <c r="L113" s="2">
        <f>Table834[[#This Row],[Morning Diastolic Pressure]]^2</f>
        <v>5041</v>
      </c>
      <c r="M113" s="2">
        <v>66</v>
      </c>
      <c r="N113" s="2">
        <f>Table834[[#This Row],[Morning Pulse]]^2</f>
        <v>4356</v>
      </c>
      <c r="O113" s="2">
        <v>97.1</v>
      </c>
      <c r="P113" s="2">
        <f>Table834[[#This Row],[Night Body Temp]]^2</f>
        <v>9428.409999999998</v>
      </c>
      <c r="Q113" s="2">
        <v>143</v>
      </c>
      <c r="R113" s="2">
        <f>Table834[[#This Row],[Night Systolic Pressure]]^2</f>
        <v>20449</v>
      </c>
      <c r="S113" s="2">
        <v>105</v>
      </c>
      <c r="T113" s="2">
        <f>Table834[[#This Row],[Night Diastolic Pressure]]^2</f>
        <v>11025</v>
      </c>
      <c r="U113" s="2">
        <v>70</v>
      </c>
      <c r="V113" s="2">
        <f>Table834[[#This Row],[Night Pulse]]^2</f>
        <v>4900</v>
      </c>
      <c r="W113" s="2">
        <v>4</v>
      </c>
      <c r="X113" s="2">
        <f>Table834[[#This Row],[Sleep]]^2</f>
        <v>16</v>
      </c>
      <c r="Y113" s="2">
        <f t="shared" si="3"/>
        <v>35.924734693877546</v>
      </c>
      <c r="Z113" s="2">
        <f>Table834[[#This Row],[BMI]]^2</f>
        <v>1290.586562825489</v>
      </c>
      <c r="AA113" s="2">
        <f t="shared" si="2"/>
        <v>31.324493175702337</v>
      </c>
      <c r="AB113" s="2">
        <f>Table834[[#This Row],[CBF]]^2</f>
        <v>981.2238727146223</v>
      </c>
      <c r="AC113" s="2">
        <v>0</v>
      </c>
      <c r="AD113" s="2">
        <f>Table834[[#This Row],[Gym]]^2</f>
        <v>0</v>
      </c>
      <c r="AE113" s="2">
        <v>0</v>
      </c>
      <c r="AF113" s="2">
        <f>Table834[[#This Row],[Cardio]]^2</f>
        <v>0</v>
      </c>
      <c r="AG113" s="2">
        <v>3673.7</v>
      </c>
      <c r="AH113" s="2">
        <f>Table834[[#This Row],[Calories]]^2</f>
        <v>13496071.689999999</v>
      </c>
      <c r="AI113" s="2">
        <v>676.7</v>
      </c>
      <c r="AJ113" s="2">
        <f>Table834[[#This Row],[Carbs]]^2</f>
        <v>457922.89000000007</v>
      </c>
      <c r="AK113" s="2">
        <v>87.5</v>
      </c>
      <c r="AL113" s="2">
        <f>Table834[[#This Row],[Fat ]]^2</f>
        <v>7656.25</v>
      </c>
      <c r="AM113" s="2">
        <v>81</v>
      </c>
      <c r="AN113" s="2">
        <f>Table834[[#This Row],[Protein]]^2</f>
        <v>6561</v>
      </c>
      <c r="AO113" s="2">
        <v>21.7</v>
      </c>
      <c r="AP113" s="2">
        <f>Table834[[#This Row],[Fiber]]^2</f>
        <v>470.89</v>
      </c>
      <c r="AQ113" s="2">
        <v>475.8</v>
      </c>
      <c r="AR113" s="2">
        <f>Table834[[#This Row],[Sugar]]^2</f>
        <v>226385.64</v>
      </c>
      <c r="AS113" s="2">
        <v>69</v>
      </c>
      <c r="AT113" s="2">
        <f>Table834[[#This Row],[Servings]]^2</f>
        <v>4761</v>
      </c>
      <c r="AU113" s="2">
        <v>0</v>
      </c>
      <c r="AV113" s="2">
        <f>Table834[[#This Row],[Water]]^2</f>
        <v>0</v>
      </c>
      <c r="AW113" s="2">
        <v>787.5</v>
      </c>
      <c r="AX113" s="2">
        <f>Table834[[#This Row],[Fat Calories]]^2</f>
        <v>620156.25</v>
      </c>
      <c r="AY113" s="5">
        <f>Table834[[#This Row],[Weight]]*Table834[[#This Row],[Waist]]</f>
        <v>11017.6</v>
      </c>
      <c r="AZ113" s="6">
        <f>Table834[[#This Row],[Weight]]*Table834[[#This Row],[Neck]]</f>
        <v>4131.6000000000004</v>
      </c>
      <c r="BA113" s="6">
        <f>Table834[[#This Row],[Weight]]*Table834[[#This Row],[Morning Body Temp]]</f>
        <v>24138.560000000001</v>
      </c>
      <c r="BB113" s="6">
        <f>Table834[[#This Row],[Weight]]*Table834[[#This Row],[Morning Systolic Pressure]]</f>
        <v>29046.400000000001</v>
      </c>
      <c r="BC113" s="12">
        <f>Table834[[#This Row],[Weight]]*Table834[[#This Row],[Morning Diastolic Pressure]]</f>
        <v>17778.400000000001</v>
      </c>
      <c r="BD113" s="2">
        <f>Table834[[#This Row],[Weight]]*Table834[[#This Row],[Morning Pulse]]</f>
        <v>16526.400000000001</v>
      </c>
      <c r="BE113" s="2">
        <f>Table834[[#This Row],[Weight]]*Table834[[#This Row],[Night Body Temp]]</f>
        <v>24313.84</v>
      </c>
      <c r="BF113" s="2">
        <f>Table834[[#This Row],[Weight]]*Table834[[#This Row],[Night Systolic Pressure]]</f>
        <v>35807.200000000004</v>
      </c>
      <c r="BG113" s="4">
        <f>Table83[[#This Row],[Weight]]*Table83[[#This Row],[Night Diastolic Pressure]]</f>
        <v>26292</v>
      </c>
      <c r="BH113" s="2">
        <f>Table834[[#This Row],[Weight]]*Table834[[#This Row],[Night Pulse]]</f>
        <v>17528</v>
      </c>
      <c r="BI113" s="2">
        <f>Table834[[#This Row],[Weight]]*Table834[[#This Row],[Sleep]]</f>
        <v>1001.6</v>
      </c>
      <c r="BJ113" s="2">
        <f>Table834[[#This Row],[Weight]]*Table834[[#This Row],[BMI]]</f>
        <v>8995.5535673469385</v>
      </c>
      <c r="BK113" s="2">
        <f>Table834[[#This Row],[Weight]]*Table834[[#This Row],[CBF]]</f>
        <v>7843.6530911958653</v>
      </c>
      <c r="BL113" s="2">
        <f>Table834[[#This Row],[Weight]]*Table834[[#This Row],[Gym]]</f>
        <v>0</v>
      </c>
      <c r="BM113" s="2">
        <f>Table834[[#This Row],[Weight]]*Table834[[#This Row],[Cardio]]</f>
        <v>0</v>
      </c>
      <c r="BN113" s="2">
        <f>Table834[[#This Row],[Weight]]*Table834[[#This Row],[Calories]]</f>
        <v>919894.48</v>
      </c>
      <c r="BO113" s="2">
        <f>Table834[[#This Row],[Weight]]*Table834[[#This Row],[Carbs]]</f>
        <v>169445.68000000002</v>
      </c>
      <c r="BP113" s="2">
        <f>Table834[[#This Row],[Weight]]*Table834[[#This Row],[Fat ]]</f>
        <v>21910</v>
      </c>
      <c r="BQ113" s="2">
        <f>Table834[[#This Row],[Weight]]*Table834[[#This Row],[Protein]]</f>
        <v>20282.400000000001</v>
      </c>
      <c r="BR113" s="2">
        <f>Table834[[#This Row],[Weight]]*Table834[[#This Row],[Fiber]]</f>
        <v>5433.68</v>
      </c>
      <c r="BS113" s="2">
        <f>Table834[[#This Row],[Weight]]*Table834[[#This Row],[Sugar]]</f>
        <v>119140.32</v>
      </c>
      <c r="BT113" s="2">
        <f>Table834[[#This Row],[Weight]]*Table834[[#This Row],[Servings]]</f>
        <v>17277.600000000002</v>
      </c>
      <c r="BU113" s="2">
        <f>Table834[[#This Row],[Weight]]*Table834[[#This Row],[Water]]</f>
        <v>0</v>
      </c>
      <c r="BV113" s="2">
        <f>Table834[[#This Row],[Weight]]*Table834[[#This Row],[Fat Calories]]</f>
        <v>197190</v>
      </c>
      <c r="BW113" s="2">
        <f>Table834[[#This Row],[Waist]]*Table834[[#This Row],[Neck]]</f>
        <v>726</v>
      </c>
      <c r="BX113" s="2">
        <f>Table834[[#This Row],[Waist]]*Table834[[#This Row],[Morning Body Temp]]</f>
        <v>4241.6000000000004</v>
      </c>
      <c r="BY113" s="2">
        <f>Table834[[#This Row],[Waist]]*Table834[[#This Row],[Morning Systolic Pressure]]</f>
        <v>5104</v>
      </c>
      <c r="BZ113" s="2">
        <f>Table834[[#This Row],[Waist]]*Table834[[#This Row],[Morning Diastolic Pressure]]</f>
        <v>3124</v>
      </c>
      <c r="CA113" s="2">
        <f>Table834[[#This Row],[Waist]]*Table834[[#This Row],[Morning Pulse]]</f>
        <v>2904</v>
      </c>
      <c r="CB113" s="2">
        <f>Table834[[#This Row],[Waist]]*Table834[[#This Row],[Night Body Temp]]</f>
        <v>4272.3999999999996</v>
      </c>
      <c r="CC113" s="2">
        <f>Table834[[#This Row],[Waist]]*Table834[[#This Row],[Night Systolic Pressure]]</f>
        <v>6292</v>
      </c>
      <c r="CD113" s="4">
        <f>Table83[[#This Row],[Waist]]*Table83[[#This Row],[Night Diastolic Pressure]]</f>
        <v>4620</v>
      </c>
      <c r="CE113" s="2">
        <f>Table834[[#This Row],[Waist]]*Table834[[#This Row],[Night Pulse]]</f>
        <v>3080</v>
      </c>
      <c r="CF113" s="2">
        <f>Table834[[#This Row],[Waist]]*Table834[[#This Row],[Sleep]]</f>
        <v>176</v>
      </c>
      <c r="CG113" s="2">
        <f>Table834[[#This Row],[Waist]]*Table834[[#This Row],[BMI]]</f>
        <v>1580.6883265306121</v>
      </c>
      <c r="CH113" s="2">
        <f>Table834[[#This Row],[Waist]]*Table834[[#This Row],[CBF]]</f>
        <v>1378.2776997309029</v>
      </c>
      <c r="CI113" s="2">
        <f>Table834[[#This Row],[Waist]]*Table834[[#This Row],[Gym]]</f>
        <v>0</v>
      </c>
      <c r="CJ113" s="2">
        <f>Table834[[#This Row],[Waist]]*Table834[[#This Row],[Cardio]]</f>
        <v>0</v>
      </c>
      <c r="CK113" s="2">
        <f>Table834[[#This Row],[Waist]]*Table834[[#This Row],[Calories]]</f>
        <v>161642.79999999999</v>
      </c>
      <c r="CL113" s="2">
        <f>Table834[[#This Row],[Waist]]*Table834[[#This Row],[Carbs]]</f>
        <v>29774.800000000003</v>
      </c>
      <c r="CM113" s="2">
        <f>Table834[[#This Row],[Waist]]*Table834[[#This Row],[Fat ]]</f>
        <v>3850</v>
      </c>
      <c r="CN113" s="2">
        <f>Table834[[#This Row],[Waist]]*Table834[[#This Row],[Protein]]</f>
        <v>3564</v>
      </c>
      <c r="CO113" s="2">
        <f>Table834[[#This Row],[Waist]]*Table834[[#This Row],[Fiber]]</f>
        <v>954.8</v>
      </c>
      <c r="CP113" s="2">
        <f>Table834[[#This Row],[Waist]]*Table834[[#This Row],[Sugar]]</f>
        <v>20935.2</v>
      </c>
      <c r="CQ113" s="2">
        <f>Table834[[#This Row],[Waist]]*Table834[[#This Row],[Servings]]</f>
        <v>3036</v>
      </c>
      <c r="CR113" s="2">
        <f>Table834[[#This Row],[Waist]]*Table834[[#This Row],[Water]]</f>
        <v>0</v>
      </c>
      <c r="CS113" s="2">
        <f>Table834[[#This Row],[Waist]]*Table834[[#This Row],[Fat Calories]]</f>
        <v>34650</v>
      </c>
    </row>
    <row r="114" spans="1:97" x14ac:dyDescent="0.25">
      <c r="A114" s="2">
        <v>251.8</v>
      </c>
      <c r="B114" s="2">
        <f>Table834[[#This Row],[Weight]]^2</f>
        <v>63403.240000000005</v>
      </c>
      <c r="C114" s="2">
        <v>43.5</v>
      </c>
      <c r="D114" s="2">
        <f>Table834[[#This Row],[Waist]]^2</f>
        <v>1892.25</v>
      </c>
      <c r="E114" s="2">
        <v>16.5</v>
      </c>
      <c r="F114" s="2">
        <f>Table834[[#This Row],[Neck]]^2</f>
        <v>272.25</v>
      </c>
      <c r="G114" s="2">
        <v>96.1</v>
      </c>
      <c r="H114" s="2">
        <f>Table834[[#This Row],[Morning Body Temp]]^2</f>
        <v>9235.2099999999991</v>
      </c>
      <c r="I114" s="2">
        <v>128</v>
      </c>
      <c r="J114" s="2">
        <f>Table834[[#This Row],[Morning Systolic Pressure]]^2</f>
        <v>16384</v>
      </c>
      <c r="K114" s="2">
        <v>74</v>
      </c>
      <c r="L114" s="2">
        <f>Table834[[#This Row],[Morning Diastolic Pressure]]^2</f>
        <v>5476</v>
      </c>
      <c r="M114" s="2">
        <v>76</v>
      </c>
      <c r="N114" s="2">
        <f>Table834[[#This Row],[Morning Pulse]]^2</f>
        <v>5776</v>
      </c>
      <c r="O114" s="2">
        <v>96.7</v>
      </c>
      <c r="P114" s="2">
        <f>Table834[[#This Row],[Night Body Temp]]^2</f>
        <v>9350.8900000000012</v>
      </c>
      <c r="Q114" s="2">
        <v>123</v>
      </c>
      <c r="R114" s="2">
        <f>Table834[[#This Row],[Night Systolic Pressure]]^2</f>
        <v>15129</v>
      </c>
      <c r="S114" s="2">
        <v>74</v>
      </c>
      <c r="T114" s="2">
        <f>Table834[[#This Row],[Night Diastolic Pressure]]^2</f>
        <v>5476</v>
      </c>
      <c r="U114" s="2">
        <v>59</v>
      </c>
      <c r="V114" s="2">
        <f>Table834[[#This Row],[Night Pulse]]^2</f>
        <v>3481</v>
      </c>
      <c r="W114" s="2">
        <v>4</v>
      </c>
      <c r="X114" s="2">
        <f>Table834[[#This Row],[Sleep]]^2</f>
        <v>16</v>
      </c>
      <c r="Y114" s="2">
        <f t="shared" si="3"/>
        <v>36.125591836734699</v>
      </c>
      <c r="Z114" s="2">
        <f>Table834[[#This Row],[BMI]]^2</f>
        <v>1305.0583855543528</v>
      </c>
      <c r="AA114" s="2">
        <f t="shared" si="2"/>
        <v>30.639085534675949</v>
      </c>
      <c r="AB114" s="2">
        <f>Table834[[#This Row],[CBF]]^2</f>
        <v>938.75356240118901</v>
      </c>
      <c r="AC114" s="2">
        <v>1</v>
      </c>
      <c r="AD114" s="2">
        <f>Table834[[#This Row],[Gym]]^2</f>
        <v>1</v>
      </c>
      <c r="AE114" s="2">
        <v>1</v>
      </c>
      <c r="AF114" s="2">
        <f>Table834[[#This Row],[Cardio]]^2</f>
        <v>1</v>
      </c>
      <c r="AG114" s="2">
        <v>2366.0533333333333</v>
      </c>
      <c r="AH114" s="2">
        <f>Table834[[#This Row],[Calories]]^2</f>
        <v>5598208.3761777775</v>
      </c>
      <c r="AI114" s="2">
        <v>410.00766666666669</v>
      </c>
      <c r="AJ114" s="2">
        <f>Table834[[#This Row],[Carbs]]^2</f>
        <v>168106.28672544446</v>
      </c>
      <c r="AK114" s="2">
        <v>58.052999999999997</v>
      </c>
      <c r="AL114" s="2">
        <f>Table834[[#This Row],[Fat ]]^2</f>
        <v>3370.1508089999998</v>
      </c>
      <c r="AM114" s="2">
        <v>67.227666666666678</v>
      </c>
      <c r="AN114" s="2">
        <f>Table834[[#This Row],[Protein]]^2</f>
        <v>4519.5591654444461</v>
      </c>
      <c r="AO114" s="2">
        <v>39.26466666666667</v>
      </c>
      <c r="AP114" s="2">
        <f>Table834[[#This Row],[Fiber]]^2</f>
        <v>1541.7140484444446</v>
      </c>
      <c r="AQ114" s="2">
        <v>306.01900000000001</v>
      </c>
      <c r="AR114" s="2">
        <f>Table834[[#This Row],[Sugar]]^2</f>
        <v>93647.62836100001</v>
      </c>
      <c r="AS114" s="2">
        <v>62.09</v>
      </c>
      <c r="AT114" s="2">
        <f>Table834[[#This Row],[Servings]]^2</f>
        <v>3855.1681000000003</v>
      </c>
      <c r="AU114" s="2">
        <v>0.25</v>
      </c>
      <c r="AV114" s="2">
        <f>Table834[[#This Row],[Water]]^2</f>
        <v>6.25E-2</v>
      </c>
      <c r="AW114" s="2">
        <v>522.47699999999998</v>
      </c>
      <c r="AX114" s="2">
        <f>Table834[[#This Row],[Fat Calories]]^2</f>
        <v>272982.21552899998</v>
      </c>
      <c r="AY114" s="3">
        <f>Table834[[#This Row],[Weight]]*Table834[[#This Row],[Waist]]</f>
        <v>10953.300000000001</v>
      </c>
      <c r="AZ114" s="4">
        <f>Table834[[#This Row],[Weight]]*Table834[[#This Row],[Neck]]</f>
        <v>4154.7</v>
      </c>
      <c r="BA114" s="4">
        <f>Table834[[#This Row],[Weight]]*Table834[[#This Row],[Morning Body Temp]]</f>
        <v>24197.98</v>
      </c>
      <c r="BB114" s="4">
        <f>Table834[[#This Row],[Weight]]*Table834[[#This Row],[Morning Systolic Pressure]]</f>
        <v>32230.400000000001</v>
      </c>
      <c r="BC114" s="11">
        <f>Table834[[#This Row],[Weight]]*Table834[[#This Row],[Morning Diastolic Pressure]]</f>
        <v>18633.2</v>
      </c>
      <c r="BD114" s="2">
        <f>Table834[[#This Row],[Weight]]*Table834[[#This Row],[Morning Pulse]]</f>
        <v>19136.8</v>
      </c>
      <c r="BE114" s="2">
        <f>Table834[[#This Row],[Weight]]*Table834[[#This Row],[Night Body Temp]]</f>
        <v>24349.06</v>
      </c>
      <c r="BF114" s="2">
        <f>Table834[[#This Row],[Weight]]*Table834[[#This Row],[Night Systolic Pressure]]</f>
        <v>30971.4</v>
      </c>
      <c r="BG114" s="4">
        <f>Table83[[#This Row],[Weight]]*Table83[[#This Row],[Night Diastolic Pressure]]</f>
        <v>18633.2</v>
      </c>
      <c r="BH114" s="2">
        <f>Table834[[#This Row],[Weight]]*Table834[[#This Row],[Night Pulse]]</f>
        <v>14856.2</v>
      </c>
      <c r="BI114" s="2">
        <f>Table834[[#This Row],[Weight]]*Table834[[#This Row],[Sleep]]</f>
        <v>1007.2</v>
      </c>
      <c r="BJ114" s="2">
        <f>Table834[[#This Row],[Weight]]*Table834[[#This Row],[BMI]]</f>
        <v>9096.4240244897974</v>
      </c>
      <c r="BK114" s="2">
        <f>Table834[[#This Row],[Weight]]*Table834[[#This Row],[CBF]]</f>
        <v>7714.9217376314045</v>
      </c>
      <c r="BL114" s="2">
        <f>Table834[[#This Row],[Weight]]*Table834[[#This Row],[Gym]]</f>
        <v>251.8</v>
      </c>
      <c r="BM114" s="2">
        <f>Table834[[#This Row],[Weight]]*Table834[[#This Row],[Cardio]]</f>
        <v>251.8</v>
      </c>
      <c r="BN114" s="2">
        <f>Table834[[#This Row],[Weight]]*Table834[[#This Row],[Calories]]</f>
        <v>595772.22933333332</v>
      </c>
      <c r="BO114" s="2">
        <f>Table834[[#This Row],[Weight]]*Table834[[#This Row],[Carbs]]</f>
        <v>103239.93046666667</v>
      </c>
      <c r="BP114" s="2">
        <f>Table834[[#This Row],[Weight]]*Table834[[#This Row],[Fat ]]</f>
        <v>14617.7454</v>
      </c>
      <c r="BQ114" s="2">
        <f>Table834[[#This Row],[Weight]]*Table834[[#This Row],[Protein]]</f>
        <v>16927.926466666671</v>
      </c>
      <c r="BR114" s="2">
        <f>Table834[[#This Row],[Weight]]*Table834[[#This Row],[Fiber]]</f>
        <v>9886.8430666666682</v>
      </c>
      <c r="BS114" s="2">
        <f>Table834[[#This Row],[Weight]]*Table834[[#This Row],[Sugar]]</f>
        <v>77055.584200000012</v>
      </c>
      <c r="BT114" s="2">
        <f>Table834[[#This Row],[Weight]]*Table834[[#This Row],[Servings]]</f>
        <v>15634.262000000002</v>
      </c>
      <c r="BU114" s="2">
        <f>Table834[[#This Row],[Weight]]*Table834[[#This Row],[Water]]</f>
        <v>62.95</v>
      </c>
      <c r="BV114" s="2">
        <f>Table834[[#This Row],[Weight]]*Table834[[#This Row],[Fat Calories]]</f>
        <v>131559.70860000001</v>
      </c>
      <c r="BW114" s="2">
        <f>Table834[[#This Row],[Waist]]*Table834[[#This Row],[Neck]]</f>
        <v>717.75</v>
      </c>
      <c r="BX114" s="2">
        <f>Table834[[#This Row],[Waist]]*Table834[[#This Row],[Morning Body Temp]]</f>
        <v>4180.3499999999995</v>
      </c>
      <c r="BY114" s="2">
        <f>Table834[[#This Row],[Waist]]*Table834[[#This Row],[Morning Systolic Pressure]]</f>
        <v>5568</v>
      </c>
      <c r="BZ114" s="2">
        <f>Table834[[#This Row],[Waist]]*Table834[[#This Row],[Morning Diastolic Pressure]]</f>
        <v>3219</v>
      </c>
      <c r="CA114" s="2">
        <f>Table834[[#This Row],[Waist]]*Table834[[#This Row],[Morning Pulse]]</f>
        <v>3306</v>
      </c>
      <c r="CB114" s="2">
        <f>Table834[[#This Row],[Waist]]*Table834[[#This Row],[Night Body Temp]]</f>
        <v>4206.45</v>
      </c>
      <c r="CC114" s="2">
        <f>Table834[[#This Row],[Waist]]*Table834[[#This Row],[Night Systolic Pressure]]</f>
        <v>5350.5</v>
      </c>
      <c r="CD114" s="4">
        <f>Table83[[#This Row],[Waist]]*Table83[[#This Row],[Night Diastolic Pressure]]</f>
        <v>3219</v>
      </c>
      <c r="CE114" s="2">
        <f>Table834[[#This Row],[Waist]]*Table834[[#This Row],[Night Pulse]]</f>
        <v>2566.5</v>
      </c>
      <c r="CF114" s="2">
        <f>Table834[[#This Row],[Waist]]*Table834[[#This Row],[Sleep]]</f>
        <v>174</v>
      </c>
      <c r="CG114" s="2">
        <f>Table834[[#This Row],[Waist]]*Table834[[#This Row],[BMI]]</f>
        <v>1571.4632448979594</v>
      </c>
      <c r="CH114" s="2">
        <f>Table834[[#This Row],[Waist]]*Table834[[#This Row],[CBF]]</f>
        <v>1332.8002207584038</v>
      </c>
      <c r="CI114" s="2">
        <f>Table834[[#This Row],[Waist]]*Table834[[#This Row],[Gym]]</f>
        <v>43.5</v>
      </c>
      <c r="CJ114" s="2">
        <f>Table834[[#This Row],[Waist]]*Table834[[#This Row],[Cardio]]</f>
        <v>43.5</v>
      </c>
      <c r="CK114" s="2">
        <f>Table834[[#This Row],[Waist]]*Table834[[#This Row],[Calories]]</f>
        <v>102923.31999999999</v>
      </c>
      <c r="CL114" s="2">
        <f>Table834[[#This Row],[Waist]]*Table834[[#This Row],[Carbs]]</f>
        <v>17835.333500000001</v>
      </c>
      <c r="CM114" s="2">
        <f>Table834[[#This Row],[Waist]]*Table834[[#This Row],[Fat ]]</f>
        <v>2525.3054999999999</v>
      </c>
      <c r="CN114" s="2">
        <f>Table834[[#This Row],[Waist]]*Table834[[#This Row],[Protein]]</f>
        <v>2924.4035000000003</v>
      </c>
      <c r="CO114" s="2">
        <f>Table834[[#This Row],[Waist]]*Table834[[#This Row],[Fiber]]</f>
        <v>1708.0130000000001</v>
      </c>
      <c r="CP114" s="2">
        <f>Table834[[#This Row],[Waist]]*Table834[[#This Row],[Sugar]]</f>
        <v>13311.826500000001</v>
      </c>
      <c r="CQ114" s="2">
        <f>Table834[[#This Row],[Waist]]*Table834[[#This Row],[Servings]]</f>
        <v>2700.915</v>
      </c>
      <c r="CR114" s="2">
        <f>Table834[[#This Row],[Waist]]*Table834[[#This Row],[Water]]</f>
        <v>10.875</v>
      </c>
      <c r="CS114" s="2">
        <f>Table834[[#This Row],[Waist]]*Table834[[#This Row],[Fat Calories]]</f>
        <v>22727.749499999998</v>
      </c>
    </row>
    <row r="115" spans="1:97" x14ac:dyDescent="0.25">
      <c r="A115" s="2">
        <v>248</v>
      </c>
      <c r="B115" s="2">
        <f>Table834[[#This Row],[Weight]]^2</f>
        <v>61504</v>
      </c>
      <c r="C115" s="2">
        <v>43.5</v>
      </c>
      <c r="D115" s="2">
        <f>Table834[[#This Row],[Waist]]^2</f>
        <v>1892.25</v>
      </c>
      <c r="E115" s="2">
        <v>16.5</v>
      </c>
      <c r="F115" s="2">
        <f>Table834[[#This Row],[Neck]]^2</f>
        <v>272.25</v>
      </c>
      <c r="G115" s="2">
        <v>96.6</v>
      </c>
      <c r="H115" s="2">
        <f>Table834[[#This Row],[Morning Body Temp]]^2</f>
        <v>9331.56</v>
      </c>
      <c r="I115" s="2">
        <v>140</v>
      </c>
      <c r="J115" s="2">
        <f>Table834[[#This Row],[Morning Systolic Pressure]]^2</f>
        <v>19600</v>
      </c>
      <c r="K115" s="2">
        <v>74</v>
      </c>
      <c r="L115" s="2">
        <f>Table834[[#This Row],[Morning Diastolic Pressure]]^2</f>
        <v>5476</v>
      </c>
      <c r="M115" s="2">
        <v>71</v>
      </c>
      <c r="N115" s="2">
        <f>Table834[[#This Row],[Morning Pulse]]^2</f>
        <v>5041</v>
      </c>
      <c r="O115" s="2">
        <v>96.5</v>
      </c>
      <c r="P115" s="2">
        <f>Table834[[#This Row],[Night Body Temp]]^2</f>
        <v>9312.25</v>
      </c>
      <c r="Q115" s="2">
        <v>132</v>
      </c>
      <c r="R115" s="2">
        <f>Table834[[#This Row],[Night Systolic Pressure]]^2</f>
        <v>17424</v>
      </c>
      <c r="S115" s="2">
        <v>76</v>
      </c>
      <c r="T115" s="2">
        <f>Table834[[#This Row],[Night Diastolic Pressure]]^2</f>
        <v>5776</v>
      </c>
      <c r="U115" s="2">
        <v>55</v>
      </c>
      <c r="V115" s="2">
        <f>Table834[[#This Row],[Night Pulse]]^2</f>
        <v>3025</v>
      </c>
      <c r="W115" s="2">
        <v>13.5</v>
      </c>
      <c r="X115" s="2">
        <f>Table834[[#This Row],[Sleep]]^2</f>
        <v>182.25</v>
      </c>
      <c r="Y115" s="2">
        <f t="shared" si="3"/>
        <v>35.580408163265311</v>
      </c>
      <c r="Z115" s="2">
        <f>Table834[[#This Row],[BMI]]^2</f>
        <v>1265.9654450645567</v>
      </c>
      <c r="AA115" s="2">
        <f t="shared" si="2"/>
        <v>30.639085534675949</v>
      </c>
      <c r="AB115" s="2">
        <f>Table834[[#This Row],[CBF]]^2</f>
        <v>938.75356240118901</v>
      </c>
      <c r="AC115" s="2">
        <v>1</v>
      </c>
      <c r="AD115" s="2">
        <f>Table834[[#This Row],[Gym]]^2</f>
        <v>1</v>
      </c>
      <c r="AE115" s="2">
        <v>0</v>
      </c>
      <c r="AF115" s="2">
        <f>Table834[[#This Row],[Cardio]]^2</f>
        <v>0</v>
      </c>
      <c r="AG115" s="2">
        <v>1635.9233333333332</v>
      </c>
      <c r="AH115" s="2">
        <f>Table834[[#This Row],[Calories]]^2</f>
        <v>2676245.152544444</v>
      </c>
      <c r="AI115" s="2">
        <v>268.26966666666664</v>
      </c>
      <c r="AJ115" s="2">
        <f>Table834[[#This Row],[Carbs]]^2</f>
        <v>71968.614053444428</v>
      </c>
      <c r="AK115" s="2">
        <v>37.066000000000003</v>
      </c>
      <c r="AL115" s="2">
        <f>Table834[[#This Row],[Fat ]]^2</f>
        <v>1373.8883560000002</v>
      </c>
      <c r="AM115" s="2">
        <v>70.88666666666667</v>
      </c>
      <c r="AN115" s="2">
        <f>Table834[[#This Row],[Protein]]^2</f>
        <v>5024.9195111111112</v>
      </c>
      <c r="AO115" s="2">
        <v>39.141666666666666</v>
      </c>
      <c r="AP115" s="2">
        <f>Table834[[#This Row],[Fiber]]^2</f>
        <v>1532.0700694444445</v>
      </c>
      <c r="AQ115" s="2">
        <v>188.39699999999999</v>
      </c>
      <c r="AR115" s="2">
        <f>Table834[[#This Row],[Sugar]]^2</f>
        <v>35493.429608999999</v>
      </c>
      <c r="AS115" s="2">
        <v>65.490000000000009</v>
      </c>
      <c r="AT115" s="2">
        <f>Table834[[#This Row],[Servings]]^2</f>
        <v>4288.9401000000016</v>
      </c>
      <c r="AU115" s="2">
        <v>3</v>
      </c>
      <c r="AV115" s="2">
        <f>Table834[[#This Row],[Water]]^2</f>
        <v>9</v>
      </c>
      <c r="AW115" s="2">
        <v>333.59400000000005</v>
      </c>
      <c r="AX115" s="2">
        <f>Table834[[#This Row],[Fat Calories]]^2</f>
        <v>111284.95683600004</v>
      </c>
      <c r="AY115" s="5">
        <f>Table834[[#This Row],[Weight]]*Table834[[#This Row],[Waist]]</f>
        <v>10788</v>
      </c>
      <c r="AZ115" s="6">
        <f>Table834[[#This Row],[Weight]]*Table834[[#This Row],[Neck]]</f>
        <v>4092</v>
      </c>
      <c r="BA115" s="6">
        <f>Table834[[#This Row],[Weight]]*Table834[[#This Row],[Morning Body Temp]]</f>
        <v>23956.799999999999</v>
      </c>
      <c r="BB115" s="6">
        <f>Table834[[#This Row],[Weight]]*Table834[[#This Row],[Morning Systolic Pressure]]</f>
        <v>34720</v>
      </c>
      <c r="BC115" s="12">
        <f>Table834[[#This Row],[Weight]]*Table834[[#This Row],[Morning Diastolic Pressure]]</f>
        <v>18352</v>
      </c>
      <c r="BD115" s="2">
        <f>Table834[[#This Row],[Weight]]*Table834[[#This Row],[Morning Pulse]]</f>
        <v>17608</v>
      </c>
      <c r="BE115" s="2">
        <f>Table834[[#This Row],[Weight]]*Table834[[#This Row],[Night Body Temp]]</f>
        <v>23932</v>
      </c>
      <c r="BF115" s="2">
        <f>Table834[[#This Row],[Weight]]*Table834[[#This Row],[Night Systolic Pressure]]</f>
        <v>32736</v>
      </c>
      <c r="BG115" s="4">
        <f>Table83[[#This Row],[Weight]]*Table83[[#This Row],[Night Diastolic Pressure]]</f>
        <v>18848</v>
      </c>
      <c r="BH115" s="2">
        <f>Table834[[#This Row],[Weight]]*Table834[[#This Row],[Night Pulse]]</f>
        <v>13640</v>
      </c>
      <c r="BI115" s="2">
        <f>Table834[[#This Row],[Weight]]*Table834[[#This Row],[Sleep]]</f>
        <v>3348</v>
      </c>
      <c r="BJ115" s="2">
        <f>Table834[[#This Row],[Weight]]*Table834[[#This Row],[BMI]]</f>
        <v>8823.9412244897976</v>
      </c>
      <c r="BK115" s="2">
        <f>Table834[[#This Row],[Weight]]*Table834[[#This Row],[CBF]]</f>
        <v>7598.4932125996356</v>
      </c>
      <c r="BL115" s="2">
        <f>Table834[[#This Row],[Weight]]*Table834[[#This Row],[Gym]]</f>
        <v>248</v>
      </c>
      <c r="BM115" s="2">
        <f>Table834[[#This Row],[Weight]]*Table834[[#This Row],[Cardio]]</f>
        <v>0</v>
      </c>
      <c r="BN115" s="2">
        <f>Table834[[#This Row],[Weight]]*Table834[[#This Row],[Calories]]</f>
        <v>405708.98666666663</v>
      </c>
      <c r="BO115" s="2">
        <f>Table834[[#This Row],[Weight]]*Table834[[#This Row],[Carbs]]</f>
        <v>66530.877333333323</v>
      </c>
      <c r="BP115" s="2">
        <f>Table834[[#This Row],[Weight]]*Table834[[#This Row],[Fat ]]</f>
        <v>9192.3680000000004</v>
      </c>
      <c r="BQ115" s="2">
        <f>Table834[[#This Row],[Weight]]*Table834[[#This Row],[Protein]]</f>
        <v>17579.893333333333</v>
      </c>
      <c r="BR115" s="2">
        <f>Table834[[#This Row],[Weight]]*Table834[[#This Row],[Fiber]]</f>
        <v>9707.1333333333332</v>
      </c>
      <c r="BS115" s="2">
        <f>Table834[[#This Row],[Weight]]*Table834[[#This Row],[Sugar]]</f>
        <v>46722.455999999998</v>
      </c>
      <c r="BT115" s="2">
        <f>Table834[[#This Row],[Weight]]*Table834[[#This Row],[Servings]]</f>
        <v>16241.520000000002</v>
      </c>
      <c r="BU115" s="2">
        <f>Table834[[#This Row],[Weight]]*Table834[[#This Row],[Water]]</f>
        <v>744</v>
      </c>
      <c r="BV115" s="2">
        <f>Table834[[#This Row],[Weight]]*Table834[[#This Row],[Fat Calories]]</f>
        <v>82731.312000000005</v>
      </c>
      <c r="BW115" s="2">
        <f>Table834[[#This Row],[Waist]]*Table834[[#This Row],[Neck]]</f>
        <v>717.75</v>
      </c>
      <c r="BX115" s="2">
        <f>Table834[[#This Row],[Waist]]*Table834[[#This Row],[Morning Body Temp]]</f>
        <v>4202.0999999999995</v>
      </c>
      <c r="BY115" s="2">
        <f>Table834[[#This Row],[Waist]]*Table834[[#This Row],[Morning Systolic Pressure]]</f>
        <v>6090</v>
      </c>
      <c r="BZ115" s="2">
        <f>Table834[[#This Row],[Waist]]*Table834[[#This Row],[Morning Diastolic Pressure]]</f>
        <v>3219</v>
      </c>
      <c r="CA115" s="2">
        <f>Table834[[#This Row],[Waist]]*Table834[[#This Row],[Morning Pulse]]</f>
        <v>3088.5</v>
      </c>
      <c r="CB115" s="2">
        <f>Table834[[#This Row],[Waist]]*Table834[[#This Row],[Night Body Temp]]</f>
        <v>4197.75</v>
      </c>
      <c r="CC115" s="2">
        <f>Table834[[#This Row],[Waist]]*Table834[[#This Row],[Night Systolic Pressure]]</f>
        <v>5742</v>
      </c>
      <c r="CD115" s="4">
        <f>Table83[[#This Row],[Waist]]*Table83[[#This Row],[Night Diastolic Pressure]]</f>
        <v>3306</v>
      </c>
      <c r="CE115" s="2">
        <f>Table834[[#This Row],[Waist]]*Table834[[#This Row],[Night Pulse]]</f>
        <v>2392.5</v>
      </c>
      <c r="CF115" s="2">
        <f>Table834[[#This Row],[Waist]]*Table834[[#This Row],[Sleep]]</f>
        <v>587.25</v>
      </c>
      <c r="CG115" s="2">
        <f>Table834[[#This Row],[Waist]]*Table834[[#This Row],[BMI]]</f>
        <v>1547.7477551020411</v>
      </c>
      <c r="CH115" s="2">
        <f>Table834[[#This Row],[Waist]]*Table834[[#This Row],[CBF]]</f>
        <v>1332.8002207584038</v>
      </c>
      <c r="CI115" s="2">
        <f>Table834[[#This Row],[Waist]]*Table834[[#This Row],[Gym]]</f>
        <v>43.5</v>
      </c>
      <c r="CJ115" s="2">
        <f>Table834[[#This Row],[Waist]]*Table834[[#This Row],[Cardio]]</f>
        <v>0</v>
      </c>
      <c r="CK115" s="2">
        <f>Table834[[#This Row],[Waist]]*Table834[[#This Row],[Calories]]</f>
        <v>71162.664999999994</v>
      </c>
      <c r="CL115" s="2">
        <f>Table834[[#This Row],[Waist]]*Table834[[#This Row],[Carbs]]</f>
        <v>11669.730499999998</v>
      </c>
      <c r="CM115" s="2">
        <f>Table834[[#This Row],[Waist]]*Table834[[#This Row],[Fat ]]</f>
        <v>1612.3710000000001</v>
      </c>
      <c r="CN115" s="2">
        <f>Table834[[#This Row],[Waist]]*Table834[[#This Row],[Protein]]</f>
        <v>3083.57</v>
      </c>
      <c r="CO115" s="2">
        <f>Table834[[#This Row],[Waist]]*Table834[[#This Row],[Fiber]]</f>
        <v>1702.6624999999999</v>
      </c>
      <c r="CP115" s="2">
        <f>Table834[[#This Row],[Waist]]*Table834[[#This Row],[Sugar]]</f>
        <v>8195.2695000000003</v>
      </c>
      <c r="CQ115" s="2">
        <f>Table834[[#This Row],[Waist]]*Table834[[#This Row],[Servings]]</f>
        <v>2848.8150000000005</v>
      </c>
      <c r="CR115" s="2">
        <f>Table834[[#This Row],[Waist]]*Table834[[#This Row],[Water]]</f>
        <v>130.5</v>
      </c>
      <c r="CS115" s="2">
        <f>Table834[[#This Row],[Waist]]*Table834[[#This Row],[Fat Calories]]</f>
        <v>14511.339000000002</v>
      </c>
    </row>
    <row r="116" spans="1:97" x14ac:dyDescent="0.25">
      <c r="A116" s="2">
        <v>248.4</v>
      </c>
      <c r="B116" s="2">
        <f>Table834[[#This Row],[Weight]]^2</f>
        <v>61702.560000000005</v>
      </c>
      <c r="C116" s="2">
        <v>43.5</v>
      </c>
      <c r="D116" s="2">
        <f>Table834[[#This Row],[Waist]]^2</f>
        <v>1892.25</v>
      </c>
      <c r="E116" s="2">
        <v>16.5</v>
      </c>
      <c r="F116" s="2">
        <f>Table834[[#This Row],[Neck]]^2</f>
        <v>272.25</v>
      </c>
      <c r="G116" s="2">
        <v>96.4</v>
      </c>
      <c r="H116" s="2">
        <f>Table834[[#This Row],[Morning Body Temp]]^2</f>
        <v>9292.9600000000009</v>
      </c>
      <c r="I116" s="2">
        <v>133</v>
      </c>
      <c r="J116" s="2">
        <f>Table834[[#This Row],[Morning Systolic Pressure]]^2</f>
        <v>17689</v>
      </c>
      <c r="K116" s="2">
        <v>74</v>
      </c>
      <c r="L116" s="2">
        <f>Table834[[#This Row],[Morning Diastolic Pressure]]^2</f>
        <v>5476</v>
      </c>
      <c r="M116" s="2">
        <v>66</v>
      </c>
      <c r="N116" s="2">
        <f>Table834[[#This Row],[Morning Pulse]]^2</f>
        <v>4356</v>
      </c>
      <c r="O116" s="2">
        <v>96.1</v>
      </c>
      <c r="P116" s="2">
        <f>Table834[[#This Row],[Night Body Temp]]^2</f>
        <v>9235.2099999999991</v>
      </c>
      <c r="Q116" s="2">
        <v>145</v>
      </c>
      <c r="R116" s="2">
        <f>Table834[[#This Row],[Night Systolic Pressure]]^2</f>
        <v>21025</v>
      </c>
      <c r="S116" s="2">
        <v>75</v>
      </c>
      <c r="T116" s="2">
        <f>Table834[[#This Row],[Night Diastolic Pressure]]^2</f>
        <v>5625</v>
      </c>
      <c r="U116" s="2">
        <v>58</v>
      </c>
      <c r="V116" s="2">
        <f>Table834[[#This Row],[Night Pulse]]^2</f>
        <v>3364</v>
      </c>
      <c r="W116" s="2">
        <v>7.5</v>
      </c>
      <c r="X116" s="2">
        <f>Table834[[#This Row],[Sleep]]^2</f>
        <v>56.25</v>
      </c>
      <c r="Y116" s="2">
        <f t="shared" si="3"/>
        <v>35.637795918367345</v>
      </c>
      <c r="Z116" s="2">
        <f>Table834[[#This Row],[BMI]]^2</f>
        <v>1270.0524979192003</v>
      </c>
      <c r="AA116" s="2">
        <f t="shared" si="2"/>
        <v>30.639085534675949</v>
      </c>
      <c r="AB116" s="2">
        <f>Table834[[#This Row],[CBF]]^2</f>
        <v>938.75356240118901</v>
      </c>
      <c r="AC116" s="2">
        <v>1</v>
      </c>
      <c r="AD116" s="2">
        <f>Table834[[#This Row],[Gym]]^2</f>
        <v>1</v>
      </c>
      <c r="AE116" s="2">
        <v>0</v>
      </c>
      <c r="AF116" s="2">
        <f>Table834[[#This Row],[Cardio]]^2</f>
        <v>0</v>
      </c>
      <c r="AG116" s="2">
        <v>1498.1</v>
      </c>
      <c r="AH116" s="2">
        <f>Table834[[#This Row],[Calories]]^2</f>
        <v>2244303.61</v>
      </c>
      <c r="AI116" s="2">
        <v>139.85</v>
      </c>
      <c r="AJ116" s="2">
        <f>Table834[[#This Row],[Carbs]]^2</f>
        <v>19558.022499999999</v>
      </c>
      <c r="AK116" s="2">
        <v>64.875000000000014</v>
      </c>
      <c r="AL116" s="2">
        <f>Table834[[#This Row],[Fat ]]^2</f>
        <v>4208.7656250000018</v>
      </c>
      <c r="AM116" s="2">
        <v>99.550000000000011</v>
      </c>
      <c r="AN116" s="2">
        <f>Table834[[#This Row],[Protein]]^2</f>
        <v>9910.2025000000031</v>
      </c>
      <c r="AO116" s="2">
        <v>23.4</v>
      </c>
      <c r="AP116" s="2">
        <f>Table834[[#This Row],[Fiber]]^2</f>
        <v>547.55999999999995</v>
      </c>
      <c r="AQ116" s="2">
        <v>30.150000000000002</v>
      </c>
      <c r="AR116" s="2">
        <f>Table834[[#This Row],[Sugar]]^2</f>
        <v>909.02250000000015</v>
      </c>
      <c r="AS116" s="2">
        <v>15</v>
      </c>
      <c r="AT116" s="2">
        <f>Table834[[#This Row],[Servings]]^2</f>
        <v>225</v>
      </c>
      <c r="AU116" s="2">
        <v>2.5</v>
      </c>
      <c r="AV116" s="2">
        <f>Table834[[#This Row],[Water]]^2</f>
        <v>6.25</v>
      </c>
      <c r="AW116" s="2">
        <v>583.875</v>
      </c>
      <c r="AX116" s="2">
        <f>Table834[[#This Row],[Fat Calories]]^2</f>
        <v>340910.015625</v>
      </c>
      <c r="AY116" s="3">
        <f>Table834[[#This Row],[Weight]]*Table834[[#This Row],[Waist]]</f>
        <v>10805.4</v>
      </c>
      <c r="AZ116" s="4">
        <f>Table834[[#This Row],[Weight]]*Table834[[#This Row],[Neck]]</f>
        <v>4098.6000000000004</v>
      </c>
      <c r="BA116" s="4">
        <f>Table834[[#This Row],[Weight]]*Table834[[#This Row],[Morning Body Temp]]</f>
        <v>23945.760000000002</v>
      </c>
      <c r="BB116" s="4">
        <f>Table834[[#This Row],[Weight]]*Table834[[#This Row],[Morning Systolic Pressure]]</f>
        <v>33037.200000000004</v>
      </c>
      <c r="BC116" s="11">
        <f>Table834[[#This Row],[Weight]]*Table834[[#This Row],[Morning Diastolic Pressure]]</f>
        <v>18381.600000000002</v>
      </c>
      <c r="BD116" s="2">
        <f>Table834[[#This Row],[Weight]]*Table834[[#This Row],[Morning Pulse]]</f>
        <v>16394.400000000001</v>
      </c>
      <c r="BE116" s="2">
        <f>Table834[[#This Row],[Weight]]*Table834[[#This Row],[Night Body Temp]]</f>
        <v>23871.239999999998</v>
      </c>
      <c r="BF116" s="2">
        <f>Table834[[#This Row],[Weight]]*Table834[[#This Row],[Night Systolic Pressure]]</f>
        <v>36018</v>
      </c>
      <c r="BG116" s="4">
        <f>Table83[[#This Row],[Weight]]*Table83[[#This Row],[Night Diastolic Pressure]]</f>
        <v>18630</v>
      </c>
      <c r="BH116" s="2">
        <f>Table834[[#This Row],[Weight]]*Table834[[#This Row],[Night Pulse]]</f>
        <v>14407.2</v>
      </c>
      <c r="BI116" s="2">
        <f>Table834[[#This Row],[Weight]]*Table834[[#This Row],[Sleep]]</f>
        <v>1863</v>
      </c>
      <c r="BJ116" s="2">
        <f>Table834[[#This Row],[Weight]]*Table834[[#This Row],[BMI]]</f>
        <v>8852.4285061224491</v>
      </c>
      <c r="BK116" s="2">
        <f>Table834[[#This Row],[Weight]]*Table834[[#This Row],[CBF]]</f>
        <v>7610.7488468135061</v>
      </c>
      <c r="BL116" s="2">
        <f>Table834[[#This Row],[Weight]]*Table834[[#This Row],[Gym]]</f>
        <v>248.4</v>
      </c>
      <c r="BM116" s="2">
        <f>Table834[[#This Row],[Weight]]*Table834[[#This Row],[Cardio]]</f>
        <v>0</v>
      </c>
      <c r="BN116" s="2">
        <f>Table834[[#This Row],[Weight]]*Table834[[#This Row],[Calories]]</f>
        <v>372128.04</v>
      </c>
      <c r="BO116" s="2">
        <f>Table834[[#This Row],[Weight]]*Table834[[#This Row],[Carbs]]</f>
        <v>34738.74</v>
      </c>
      <c r="BP116" s="2">
        <f>Table834[[#This Row],[Weight]]*Table834[[#This Row],[Fat ]]</f>
        <v>16114.950000000004</v>
      </c>
      <c r="BQ116" s="2">
        <f>Table834[[#This Row],[Weight]]*Table834[[#This Row],[Protein]]</f>
        <v>24728.220000000005</v>
      </c>
      <c r="BR116" s="2">
        <f>Table834[[#This Row],[Weight]]*Table834[[#This Row],[Fiber]]</f>
        <v>5812.5599999999995</v>
      </c>
      <c r="BS116" s="2">
        <f>Table834[[#This Row],[Weight]]*Table834[[#This Row],[Sugar]]</f>
        <v>7489.2600000000011</v>
      </c>
      <c r="BT116" s="2">
        <f>Table834[[#This Row],[Weight]]*Table834[[#This Row],[Servings]]</f>
        <v>3726</v>
      </c>
      <c r="BU116" s="2">
        <f>Table834[[#This Row],[Weight]]*Table834[[#This Row],[Water]]</f>
        <v>621</v>
      </c>
      <c r="BV116" s="2">
        <f>Table834[[#This Row],[Weight]]*Table834[[#This Row],[Fat Calories]]</f>
        <v>145034.55000000002</v>
      </c>
      <c r="BW116" s="2">
        <f>Table834[[#This Row],[Waist]]*Table834[[#This Row],[Neck]]</f>
        <v>717.75</v>
      </c>
      <c r="BX116" s="2">
        <f>Table834[[#This Row],[Waist]]*Table834[[#This Row],[Morning Body Temp]]</f>
        <v>4193.4000000000005</v>
      </c>
      <c r="BY116" s="2">
        <f>Table834[[#This Row],[Waist]]*Table834[[#This Row],[Morning Systolic Pressure]]</f>
        <v>5785.5</v>
      </c>
      <c r="BZ116" s="2">
        <f>Table834[[#This Row],[Waist]]*Table834[[#This Row],[Morning Diastolic Pressure]]</f>
        <v>3219</v>
      </c>
      <c r="CA116" s="2">
        <f>Table834[[#This Row],[Waist]]*Table834[[#This Row],[Morning Pulse]]</f>
        <v>2871</v>
      </c>
      <c r="CB116" s="2">
        <f>Table834[[#This Row],[Waist]]*Table834[[#This Row],[Night Body Temp]]</f>
        <v>4180.3499999999995</v>
      </c>
      <c r="CC116" s="2">
        <f>Table834[[#This Row],[Waist]]*Table834[[#This Row],[Night Systolic Pressure]]</f>
        <v>6307.5</v>
      </c>
      <c r="CD116" s="4">
        <f>Table83[[#This Row],[Waist]]*Table83[[#This Row],[Night Diastolic Pressure]]</f>
        <v>3262.5</v>
      </c>
      <c r="CE116" s="2">
        <f>Table834[[#This Row],[Waist]]*Table834[[#This Row],[Night Pulse]]</f>
        <v>2523</v>
      </c>
      <c r="CF116" s="2">
        <f>Table834[[#This Row],[Waist]]*Table834[[#This Row],[Sleep]]</f>
        <v>326.25</v>
      </c>
      <c r="CG116" s="2">
        <f>Table834[[#This Row],[Waist]]*Table834[[#This Row],[BMI]]</f>
        <v>1550.2441224489796</v>
      </c>
      <c r="CH116" s="2">
        <f>Table834[[#This Row],[Waist]]*Table834[[#This Row],[CBF]]</f>
        <v>1332.8002207584038</v>
      </c>
      <c r="CI116" s="2">
        <f>Table834[[#This Row],[Waist]]*Table834[[#This Row],[Gym]]</f>
        <v>43.5</v>
      </c>
      <c r="CJ116" s="2">
        <f>Table834[[#This Row],[Waist]]*Table834[[#This Row],[Cardio]]</f>
        <v>0</v>
      </c>
      <c r="CK116" s="2">
        <f>Table834[[#This Row],[Waist]]*Table834[[#This Row],[Calories]]</f>
        <v>65167.35</v>
      </c>
      <c r="CL116" s="2">
        <f>Table834[[#This Row],[Waist]]*Table834[[#This Row],[Carbs]]</f>
        <v>6083.4749999999995</v>
      </c>
      <c r="CM116" s="2">
        <f>Table834[[#This Row],[Waist]]*Table834[[#This Row],[Fat ]]</f>
        <v>2822.0625000000005</v>
      </c>
      <c r="CN116" s="2">
        <f>Table834[[#This Row],[Waist]]*Table834[[#This Row],[Protein]]</f>
        <v>4330.4250000000002</v>
      </c>
      <c r="CO116" s="2">
        <f>Table834[[#This Row],[Waist]]*Table834[[#This Row],[Fiber]]</f>
        <v>1017.9</v>
      </c>
      <c r="CP116" s="2">
        <f>Table834[[#This Row],[Waist]]*Table834[[#This Row],[Sugar]]</f>
        <v>1311.5250000000001</v>
      </c>
      <c r="CQ116" s="2">
        <f>Table834[[#This Row],[Waist]]*Table834[[#This Row],[Servings]]</f>
        <v>652.5</v>
      </c>
      <c r="CR116" s="2">
        <f>Table834[[#This Row],[Waist]]*Table834[[#This Row],[Water]]</f>
        <v>108.75</v>
      </c>
      <c r="CS116" s="2">
        <f>Table834[[#This Row],[Waist]]*Table834[[#This Row],[Fat Calories]]</f>
        <v>25398.5625</v>
      </c>
    </row>
    <row r="117" spans="1:97" x14ac:dyDescent="0.25">
      <c r="A117" s="2">
        <v>247</v>
      </c>
      <c r="B117" s="2">
        <f>Table834[[#This Row],[Weight]]^2</f>
        <v>61009</v>
      </c>
      <c r="C117" s="2">
        <v>43.5</v>
      </c>
      <c r="D117" s="2">
        <f>Table834[[#This Row],[Waist]]^2</f>
        <v>1892.25</v>
      </c>
      <c r="E117" s="2">
        <v>16.5</v>
      </c>
      <c r="F117" s="2">
        <f>Table834[[#This Row],[Neck]]^2</f>
        <v>272.25</v>
      </c>
      <c r="G117" s="2">
        <v>96.8</v>
      </c>
      <c r="H117" s="2">
        <f>Table834[[#This Row],[Morning Body Temp]]^2</f>
        <v>9370.24</v>
      </c>
      <c r="I117" s="2">
        <v>116</v>
      </c>
      <c r="J117" s="2">
        <f>Table834[[#This Row],[Morning Systolic Pressure]]^2</f>
        <v>13456</v>
      </c>
      <c r="K117" s="2">
        <v>68</v>
      </c>
      <c r="L117" s="2">
        <f>Table834[[#This Row],[Morning Diastolic Pressure]]^2</f>
        <v>4624</v>
      </c>
      <c r="M117" s="2">
        <v>63</v>
      </c>
      <c r="N117" s="2">
        <f>Table834[[#This Row],[Morning Pulse]]^2</f>
        <v>3969</v>
      </c>
      <c r="O117" s="2">
        <v>96.3</v>
      </c>
      <c r="P117" s="2">
        <f>Table834[[#This Row],[Night Body Temp]]^2</f>
        <v>9273.6899999999987</v>
      </c>
      <c r="Q117" s="2">
        <v>129</v>
      </c>
      <c r="R117" s="2">
        <f>Table834[[#This Row],[Night Systolic Pressure]]^2</f>
        <v>16641</v>
      </c>
      <c r="S117" s="2">
        <v>72</v>
      </c>
      <c r="T117" s="2">
        <f>Table834[[#This Row],[Night Diastolic Pressure]]^2</f>
        <v>5184</v>
      </c>
      <c r="U117" s="2">
        <v>53</v>
      </c>
      <c r="V117" s="2">
        <f>Table834[[#This Row],[Night Pulse]]^2</f>
        <v>2809</v>
      </c>
      <c r="W117" s="2">
        <v>10</v>
      </c>
      <c r="X117" s="2">
        <f>Table834[[#This Row],[Sleep]]^2</f>
        <v>100</v>
      </c>
      <c r="Y117" s="2">
        <f t="shared" si="3"/>
        <v>35.436938775510207</v>
      </c>
      <c r="Z117" s="2">
        <f>Table834[[#This Row],[BMI]]^2</f>
        <v>1255.7766297792589</v>
      </c>
      <c r="AA117" s="2">
        <f t="shared" si="2"/>
        <v>30.639085534675949</v>
      </c>
      <c r="AB117" s="2">
        <f>Table834[[#This Row],[CBF]]^2</f>
        <v>938.75356240118901</v>
      </c>
      <c r="AC117" s="2">
        <v>1</v>
      </c>
      <c r="AD117" s="2">
        <f>Table834[[#This Row],[Gym]]^2</f>
        <v>1</v>
      </c>
      <c r="AE117" s="2">
        <v>0</v>
      </c>
      <c r="AF117" s="2">
        <f>Table834[[#This Row],[Cardio]]^2</f>
        <v>0</v>
      </c>
      <c r="AG117" s="2">
        <v>1605.0633333333333</v>
      </c>
      <c r="AH117" s="2">
        <f>Table834[[#This Row],[Calories]]^2</f>
        <v>2576228.3040111111</v>
      </c>
      <c r="AI117" s="2">
        <v>267.9496666666667</v>
      </c>
      <c r="AJ117" s="2">
        <f>Table834[[#This Row],[Carbs]]^2</f>
        <v>71797.023866777803</v>
      </c>
      <c r="AK117" s="2">
        <v>36.171999999999997</v>
      </c>
      <c r="AL117" s="2">
        <f>Table834[[#This Row],[Fat ]]^2</f>
        <v>1308.4135839999997</v>
      </c>
      <c r="AM117" s="2">
        <v>67.75266666666667</v>
      </c>
      <c r="AN117" s="2">
        <f>Table834[[#This Row],[Protein]]^2</f>
        <v>4590.423840444445</v>
      </c>
      <c r="AO117" s="2">
        <v>39.99966666666667</v>
      </c>
      <c r="AP117" s="2">
        <f>Table834[[#This Row],[Fiber]]^2</f>
        <v>1599.9733334444447</v>
      </c>
      <c r="AQ117" s="2">
        <v>191.17699999999999</v>
      </c>
      <c r="AR117" s="2">
        <f>Table834[[#This Row],[Sugar]]^2</f>
        <v>36548.645328999999</v>
      </c>
      <c r="AS117" s="2">
        <v>63.65</v>
      </c>
      <c r="AT117" s="2">
        <f>Table834[[#This Row],[Servings]]^2</f>
        <v>4051.3224999999998</v>
      </c>
      <c r="AU117" s="2">
        <v>2</v>
      </c>
      <c r="AV117" s="2">
        <f>Table834[[#This Row],[Water]]^2</f>
        <v>4</v>
      </c>
      <c r="AW117" s="2">
        <v>325.548</v>
      </c>
      <c r="AX117" s="2">
        <f>Table834[[#This Row],[Fat Calories]]^2</f>
        <v>105981.500304</v>
      </c>
      <c r="AY117" s="5">
        <f>Table834[[#This Row],[Weight]]*Table834[[#This Row],[Waist]]</f>
        <v>10744.5</v>
      </c>
      <c r="AZ117" s="6">
        <f>Table834[[#This Row],[Weight]]*Table834[[#This Row],[Neck]]</f>
        <v>4075.5</v>
      </c>
      <c r="BA117" s="6">
        <f>Table834[[#This Row],[Weight]]*Table834[[#This Row],[Morning Body Temp]]</f>
        <v>23909.599999999999</v>
      </c>
      <c r="BB117" s="6">
        <f>Table834[[#This Row],[Weight]]*Table834[[#This Row],[Morning Systolic Pressure]]</f>
        <v>28652</v>
      </c>
      <c r="BC117" s="12">
        <f>Table834[[#This Row],[Weight]]*Table834[[#This Row],[Morning Diastolic Pressure]]</f>
        <v>16796</v>
      </c>
      <c r="BD117" s="2">
        <f>Table834[[#This Row],[Weight]]*Table834[[#This Row],[Morning Pulse]]</f>
        <v>15561</v>
      </c>
      <c r="BE117" s="2">
        <f>Table834[[#This Row],[Weight]]*Table834[[#This Row],[Night Body Temp]]</f>
        <v>23786.1</v>
      </c>
      <c r="BF117" s="2">
        <f>Table834[[#This Row],[Weight]]*Table834[[#This Row],[Night Systolic Pressure]]</f>
        <v>31863</v>
      </c>
      <c r="BG117" s="4">
        <f>Table83[[#This Row],[Weight]]*Table83[[#This Row],[Night Diastolic Pressure]]</f>
        <v>17784</v>
      </c>
      <c r="BH117" s="2">
        <f>Table834[[#This Row],[Weight]]*Table834[[#This Row],[Night Pulse]]</f>
        <v>13091</v>
      </c>
      <c r="BI117" s="2">
        <f>Table834[[#This Row],[Weight]]*Table834[[#This Row],[Sleep]]</f>
        <v>2470</v>
      </c>
      <c r="BJ117" s="2">
        <f>Table834[[#This Row],[Weight]]*Table834[[#This Row],[BMI]]</f>
        <v>8752.9238775510203</v>
      </c>
      <c r="BK117" s="2">
        <f>Table834[[#This Row],[Weight]]*Table834[[#This Row],[CBF]]</f>
        <v>7567.8541270649594</v>
      </c>
      <c r="BL117" s="2">
        <f>Table834[[#This Row],[Weight]]*Table834[[#This Row],[Gym]]</f>
        <v>247</v>
      </c>
      <c r="BM117" s="2">
        <f>Table834[[#This Row],[Weight]]*Table834[[#This Row],[Cardio]]</f>
        <v>0</v>
      </c>
      <c r="BN117" s="2">
        <f>Table834[[#This Row],[Weight]]*Table834[[#This Row],[Calories]]</f>
        <v>396450.64333333331</v>
      </c>
      <c r="BO117" s="2">
        <f>Table834[[#This Row],[Weight]]*Table834[[#This Row],[Carbs]]</f>
        <v>66183.56766666667</v>
      </c>
      <c r="BP117" s="2">
        <f>Table834[[#This Row],[Weight]]*Table834[[#This Row],[Fat ]]</f>
        <v>8934.4839999999986</v>
      </c>
      <c r="BQ117" s="2">
        <f>Table834[[#This Row],[Weight]]*Table834[[#This Row],[Protein]]</f>
        <v>16734.908666666666</v>
      </c>
      <c r="BR117" s="2">
        <f>Table834[[#This Row],[Weight]]*Table834[[#This Row],[Fiber]]</f>
        <v>9879.9176666666681</v>
      </c>
      <c r="BS117" s="2">
        <f>Table834[[#This Row],[Weight]]*Table834[[#This Row],[Sugar]]</f>
        <v>47220.718999999997</v>
      </c>
      <c r="BT117" s="2">
        <f>Table834[[#This Row],[Weight]]*Table834[[#This Row],[Servings]]</f>
        <v>15721.55</v>
      </c>
      <c r="BU117" s="2">
        <f>Table834[[#This Row],[Weight]]*Table834[[#This Row],[Water]]</f>
        <v>494</v>
      </c>
      <c r="BV117" s="2">
        <f>Table834[[#This Row],[Weight]]*Table834[[#This Row],[Fat Calories]]</f>
        <v>80410.356</v>
      </c>
      <c r="BW117" s="2">
        <f>Table834[[#This Row],[Waist]]*Table834[[#This Row],[Neck]]</f>
        <v>717.75</v>
      </c>
      <c r="BX117" s="2">
        <f>Table834[[#This Row],[Waist]]*Table834[[#This Row],[Morning Body Temp]]</f>
        <v>4210.8</v>
      </c>
      <c r="BY117" s="2">
        <f>Table834[[#This Row],[Waist]]*Table834[[#This Row],[Morning Systolic Pressure]]</f>
        <v>5046</v>
      </c>
      <c r="BZ117" s="2">
        <f>Table834[[#This Row],[Waist]]*Table834[[#This Row],[Morning Diastolic Pressure]]</f>
        <v>2958</v>
      </c>
      <c r="CA117" s="2">
        <f>Table834[[#This Row],[Waist]]*Table834[[#This Row],[Morning Pulse]]</f>
        <v>2740.5</v>
      </c>
      <c r="CB117" s="2">
        <f>Table834[[#This Row],[Waist]]*Table834[[#This Row],[Night Body Temp]]</f>
        <v>4189.05</v>
      </c>
      <c r="CC117" s="2">
        <f>Table834[[#This Row],[Waist]]*Table834[[#This Row],[Night Systolic Pressure]]</f>
        <v>5611.5</v>
      </c>
      <c r="CD117" s="4">
        <f>Table83[[#This Row],[Waist]]*Table83[[#This Row],[Night Diastolic Pressure]]</f>
        <v>3132</v>
      </c>
      <c r="CE117" s="2">
        <f>Table834[[#This Row],[Waist]]*Table834[[#This Row],[Night Pulse]]</f>
        <v>2305.5</v>
      </c>
      <c r="CF117" s="2">
        <f>Table834[[#This Row],[Waist]]*Table834[[#This Row],[Sleep]]</f>
        <v>435</v>
      </c>
      <c r="CG117" s="2">
        <f>Table834[[#This Row],[Waist]]*Table834[[#This Row],[BMI]]</f>
        <v>1541.5068367346939</v>
      </c>
      <c r="CH117" s="2">
        <f>Table834[[#This Row],[Waist]]*Table834[[#This Row],[CBF]]</f>
        <v>1332.8002207584038</v>
      </c>
      <c r="CI117" s="2">
        <f>Table834[[#This Row],[Waist]]*Table834[[#This Row],[Gym]]</f>
        <v>43.5</v>
      </c>
      <c r="CJ117" s="2">
        <f>Table834[[#This Row],[Waist]]*Table834[[#This Row],[Cardio]]</f>
        <v>0</v>
      </c>
      <c r="CK117" s="2">
        <f>Table834[[#This Row],[Waist]]*Table834[[#This Row],[Calories]]</f>
        <v>69820.255000000005</v>
      </c>
      <c r="CL117" s="2">
        <f>Table834[[#This Row],[Waist]]*Table834[[#This Row],[Carbs]]</f>
        <v>11655.810500000001</v>
      </c>
      <c r="CM117" s="2">
        <f>Table834[[#This Row],[Waist]]*Table834[[#This Row],[Fat ]]</f>
        <v>1573.482</v>
      </c>
      <c r="CN117" s="2">
        <f>Table834[[#This Row],[Waist]]*Table834[[#This Row],[Protein]]</f>
        <v>2947.241</v>
      </c>
      <c r="CO117" s="2">
        <f>Table834[[#This Row],[Waist]]*Table834[[#This Row],[Fiber]]</f>
        <v>1739.9855000000002</v>
      </c>
      <c r="CP117" s="2">
        <f>Table834[[#This Row],[Waist]]*Table834[[#This Row],[Sugar]]</f>
        <v>8316.1994999999988</v>
      </c>
      <c r="CQ117" s="2">
        <f>Table834[[#This Row],[Waist]]*Table834[[#This Row],[Servings]]</f>
        <v>2768.7750000000001</v>
      </c>
      <c r="CR117" s="2">
        <f>Table834[[#This Row],[Waist]]*Table834[[#This Row],[Water]]</f>
        <v>87</v>
      </c>
      <c r="CS117" s="2">
        <f>Table834[[#This Row],[Waist]]*Table834[[#This Row],[Fat Calories]]</f>
        <v>14161.338</v>
      </c>
    </row>
    <row r="118" spans="1:97" x14ac:dyDescent="0.25">
      <c r="A118" s="2">
        <v>246.8</v>
      </c>
      <c r="B118" s="2">
        <f>Table834[[#This Row],[Weight]]^2</f>
        <v>60910.240000000005</v>
      </c>
      <c r="C118" s="2">
        <v>43.5</v>
      </c>
      <c r="D118" s="2">
        <f>Table834[[#This Row],[Waist]]^2</f>
        <v>1892.25</v>
      </c>
      <c r="E118" s="2">
        <v>16.5</v>
      </c>
      <c r="F118" s="2">
        <f>Table834[[#This Row],[Neck]]^2</f>
        <v>272.25</v>
      </c>
      <c r="G118" s="2">
        <v>95.7</v>
      </c>
      <c r="H118" s="2">
        <f>Table834[[#This Row],[Morning Body Temp]]^2</f>
        <v>9158.49</v>
      </c>
      <c r="I118" s="2">
        <v>128</v>
      </c>
      <c r="J118" s="2">
        <f>Table834[[#This Row],[Morning Systolic Pressure]]^2</f>
        <v>16384</v>
      </c>
      <c r="K118" s="2">
        <v>85</v>
      </c>
      <c r="L118" s="2">
        <f>Table834[[#This Row],[Morning Diastolic Pressure]]^2</f>
        <v>7225</v>
      </c>
      <c r="M118" s="2">
        <v>68</v>
      </c>
      <c r="N118" s="2">
        <f>Table834[[#This Row],[Morning Pulse]]^2</f>
        <v>4624</v>
      </c>
      <c r="O118" s="2">
        <v>95.4</v>
      </c>
      <c r="P118" s="2">
        <f>Table834[[#This Row],[Night Body Temp]]^2</f>
        <v>9101.1600000000017</v>
      </c>
      <c r="Q118" s="2">
        <v>132</v>
      </c>
      <c r="R118" s="2">
        <f>Table834[[#This Row],[Night Systolic Pressure]]^2</f>
        <v>17424</v>
      </c>
      <c r="S118" s="2">
        <v>80</v>
      </c>
      <c r="T118" s="2">
        <f>Table834[[#This Row],[Night Diastolic Pressure]]^2</f>
        <v>6400</v>
      </c>
      <c r="U118" s="2">
        <v>64</v>
      </c>
      <c r="V118" s="2">
        <f>Table834[[#This Row],[Night Pulse]]^2</f>
        <v>4096</v>
      </c>
      <c r="W118" s="2">
        <v>8</v>
      </c>
      <c r="X118" s="2">
        <f>Table834[[#This Row],[Sleep]]^2</f>
        <v>64</v>
      </c>
      <c r="Y118" s="2">
        <f t="shared" si="3"/>
        <v>35.408244897959186</v>
      </c>
      <c r="Z118" s="2">
        <f>Table834[[#This Row],[BMI]]^2</f>
        <v>1253.7438067538528</v>
      </c>
      <c r="AA118" s="2">
        <f t="shared" si="2"/>
        <v>30.639085534675949</v>
      </c>
      <c r="AB118" s="2">
        <f>Table834[[#This Row],[CBF]]^2</f>
        <v>938.75356240118901</v>
      </c>
      <c r="AC118" s="2">
        <v>1</v>
      </c>
      <c r="AD118" s="2">
        <f>Table834[[#This Row],[Gym]]^2</f>
        <v>1</v>
      </c>
      <c r="AE118" s="2">
        <v>1</v>
      </c>
      <c r="AF118" s="2">
        <f>Table834[[#This Row],[Cardio]]^2</f>
        <v>1</v>
      </c>
      <c r="AG118" s="2">
        <v>1748.55</v>
      </c>
      <c r="AH118" s="2">
        <f>Table834[[#This Row],[Calories]]^2</f>
        <v>3057427.1025</v>
      </c>
      <c r="AI118" s="2">
        <v>287.77500000000003</v>
      </c>
      <c r="AJ118" s="2">
        <f>Table834[[#This Row],[Carbs]]^2</f>
        <v>82814.450625000027</v>
      </c>
      <c r="AK118" s="2">
        <v>52.537500000000009</v>
      </c>
      <c r="AL118" s="2">
        <f>Table834[[#This Row],[Fat ]]^2</f>
        <v>2760.1889062500009</v>
      </c>
      <c r="AM118" s="2">
        <v>54.975000000000001</v>
      </c>
      <c r="AN118" s="2">
        <f>Table834[[#This Row],[Protein]]^2</f>
        <v>3022.2506250000001</v>
      </c>
      <c r="AO118" s="2">
        <v>12.299999999999999</v>
      </c>
      <c r="AP118" s="2">
        <f>Table834[[#This Row],[Fiber]]^2</f>
        <v>151.28999999999996</v>
      </c>
      <c r="AQ118" s="2">
        <v>214.67500000000001</v>
      </c>
      <c r="AR118" s="2">
        <f>Table834[[#This Row],[Sugar]]^2</f>
        <v>46085.355625000004</v>
      </c>
      <c r="AS118" s="2">
        <v>55.5</v>
      </c>
      <c r="AT118" s="2">
        <f>Table834[[#This Row],[Servings]]^2</f>
        <v>3080.25</v>
      </c>
      <c r="AU118" s="2">
        <v>3.2</v>
      </c>
      <c r="AV118" s="2">
        <f>Table834[[#This Row],[Water]]^2</f>
        <v>10.240000000000002</v>
      </c>
      <c r="AW118" s="2">
        <v>472.83750000000003</v>
      </c>
      <c r="AX118" s="2">
        <f>Table834[[#This Row],[Fat Calories]]^2</f>
        <v>223575.30140625004</v>
      </c>
      <c r="AY118" s="3">
        <f>Table834[[#This Row],[Weight]]*Table834[[#This Row],[Waist]]</f>
        <v>10735.800000000001</v>
      </c>
      <c r="AZ118" s="4">
        <f>Table834[[#This Row],[Weight]]*Table834[[#This Row],[Neck]]</f>
        <v>4072.2000000000003</v>
      </c>
      <c r="BA118" s="4">
        <f>Table834[[#This Row],[Weight]]*Table834[[#This Row],[Morning Body Temp]]</f>
        <v>23618.760000000002</v>
      </c>
      <c r="BB118" s="4">
        <f>Table834[[#This Row],[Weight]]*Table834[[#This Row],[Morning Systolic Pressure]]</f>
        <v>31590.400000000001</v>
      </c>
      <c r="BC118" s="11">
        <f>Table834[[#This Row],[Weight]]*Table834[[#This Row],[Morning Diastolic Pressure]]</f>
        <v>20978</v>
      </c>
      <c r="BD118" s="2">
        <f>Table834[[#This Row],[Weight]]*Table834[[#This Row],[Morning Pulse]]</f>
        <v>16782.400000000001</v>
      </c>
      <c r="BE118" s="2">
        <f>Table834[[#This Row],[Weight]]*Table834[[#This Row],[Night Body Temp]]</f>
        <v>23544.720000000001</v>
      </c>
      <c r="BF118" s="2">
        <f>Table834[[#This Row],[Weight]]*Table834[[#This Row],[Night Systolic Pressure]]</f>
        <v>32577.600000000002</v>
      </c>
      <c r="BG118" s="4">
        <f>Table83[[#This Row],[Weight]]*Table83[[#This Row],[Night Diastolic Pressure]]</f>
        <v>19744</v>
      </c>
      <c r="BH118" s="2">
        <f>Table834[[#This Row],[Weight]]*Table834[[#This Row],[Night Pulse]]</f>
        <v>15795.2</v>
      </c>
      <c r="BI118" s="2">
        <f>Table834[[#This Row],[Weight]]*Table834[[#This Row],[Sleep]]</f>
        <v>1974.4</v>
      </c>
      <c r="BJ118" s="2">
        <f>Table834[[#This Row],[Weight]]*Table834[[#This Row],[BMI]]</f>
        <v>8738.7548408163275</v>
      </c>
      <c r="BK118" s="2">
        <f>Table834[[#This Row],[Weight]]*Table834[[#This Row],[CBF]]</f>
        <v>7561.726309958025</v>
      </c>
      <c r="BL118" s="2">
        <f>Table834[[#This Row],[Weight]]*Table834[[#This Row],[Gym]]</f>
        <v>246.8</v>
      </c>
      <c r="BM118" s="2">
        <f>Table834[[#This Row],[Weight]]*Table834[[#This Row],[Cardio]]</f>
        <v>246.8</v>
      </c>
      <c r="BN118" s="2">
        <f>Table834[[#This Row],[Weight]]*Table834[[#This Row],[Calories]]</f>
        <v>431542.14</v>
      </c>
      <c r="BO118" s="2">
        <f>Table834[[#This Row],[Weight]]*Table834[[#This Row],[Carbs]]</f>
        <v>71022.87000000001</v>
      </c>
      <c r="BP118" s="2">
        <f>Table834[[#This Row],[Weight]]*Table834[[#This Row],[Fat ]]</f>
        <v>12966.255000000003</v>
      </c>
      <c r="BQ118" s="2">
        <f>Table834[[#This Row],[Weight]]*Table834[[#This Row],[Protein]]</f>
        <v>13567.830000000002</v>
      </c>
      <c r="BR118" s="2">
        <f>Table834[[#This Row],[Weight]]*Table834[[#This Row],[Fiber]]</f>
        <v>3035.64</v>
      </c>
      <c r="BS118" s="2">
        <f>Table834[[#This Row],[Weight]]*Table834[[#This Row],[Sugar]]</f>
        <v>52981.790000000008</v>
      </c>
      <c r="BT118" s="2">
        <f>Table834[[#This Row],[Weight]]*Table834[[#This Row],[Servings]]</f>
        <v>13697.400000000001</v>
      </c>
      <c r="BU118" s="2">
        <f>Table834[[#This Row],[Weight]]*Table834[[#This Row],[Water]]</f>
        <v>789.7600000000001</v>
      </c>
      <c r="BV118" s="2">
        <f>Table834[[#This Row],[Weight]]*Table834[[#This Row],[Fat Calories]]</f>
        <v>116696.29500000001</v>
      </c>
      <c r="BW118" s="2">
        <f>Table834[[#This Row],[Waist]]*Table834[[#This Row],[Neck]]</f>
        <v>717.75</v>
      </c>
      <c r="BX118" s="2">
        <f>Table834[[#This Row],[Waist]]*Table834[[#This Row],[Morning Body Temp]]</f>
        <v>4162.95</v>
      </c>
      <c r="BY118" s="2">
        <f>Table834[[#This Row],[Waist]]*Table834[[#This Row],[Morning Systolic Pressure]]</f>
        <v>5568</v>
      </c>
      <c r="BZ118" s="2">
        <f>Table834[[#This Row],[Waist]]*Table834[[#This Row],[Morning Diastolic Pressure]]</f>
        <v>3697.5</v>
      </c>
      <c r="CA118" s="2">
        <f>Table834[[#This Row],[Waist]]*Table834[[#This Row],[Morning Pulse]]</f>
        <v>2958</v>
      </c>
      <c r="CB118" s="2">
        <f>Table834[[#This Row],[Waist]]*Table834[[#This Row],[Night Body Temp]]</f>
        <v>4149.9000000000005</v>
      </c>
      <c r="CC118" s="2">
        <f>Table834[[#This Row],[Waist]]*Table834[[#This Row],[Night Systolic Pressure]]</f>
        <v>5742</v>
      </c>
      <c r="CD118" s="4">
        <f>Table83[[#This Row],[Waist]]*Table83[[#This Row],[Night Diastolic Pressure]]</f>
        <v>3480</v>
      </c>
      <c r="CE118" s="2">
        <f>Table834[[#This Row],[Waist]]*Table834[[#This Row],[Night Pulse]]</f>
        <v>2784</v>
      </c>
      <c r="CF118" s="2">
        <f>Table834[[#This Row],[Waist]]*Table834[[#This Row],[Sleep]]</f>
        <v>348</v>
      </c>
      <c r="CG118" s="2">
        <f>Table834[[#This Row],[Waist]]*Table834[[#This Row],[BMI]]</f>
        <v>1540.2586530612245</v>
      </c>
      <c r="CH118" s="2">
        <f>Table834[[#This Row],[Waist]]*Table834[[#This Row],[CBF]]</f>
        <v>1332.8002207584038</v>
      </c>
      <c r="CI118" s="2">
        <f>Table834[[#This Row],[Waist]]*Table834[[#This Row],[Gym]]</f>
        <v>43.5</v>
      </c>
      <c r="CJ118" s="2">
        <f>Table834[[#This Row],[Waist]]*Table834[[#This Row],[Cardio]]</f>
        <v>43.5</v>
      </c>
      <c r="CK118" s="2">
        <f>Table834[[#This Row],[Waist]]*Table834[[#This Row],[Calories]]</f>
        <v>76061.925000000003</v>
      </c>
      <c r="CL118" s="2">
        <f>Table834[[#This Row],[Waist]]*Table834[[#This Row],[Carbs]]</f>
        <v>12518.212500000001</v>
      </c>
      <c r="CM118" s="2">
        <f>Table834[[#This Row],[Waist]]*Table834[[#This Row],[Fat ]]</f>
        <v>2285.3812500000004</v>
      </c>
      <c r="CN118" s="2">
        <f>Table834[[#This Row],[Waist]]*Table834[[#This Row],[Protein]]</f>
        <v>2391.4124999999999</v>
      </c>
      <c r="CO118" s="2">
        <f>Table834[[#This Row],[Waist]]*Table834[[#This Row],[Fiber]]</f>
        <v>535.04999999999995</v>
      </c>
      <c r="CP118" s="2">
        <f>Table834[[#This Row],[Waist]]*Table834[[#This Row],[Sugar]]</f>
        <v>9338.3625000000011</v>
      </c>
      <c r="CQ118" s="2">
        <f>Table834[[#This Row],[Waist]]*Table834[[#This Row],[Servings]]</f>
        <v>2414.25</v>
      </c>
      <c r="CR118" s="2">
        <f>Table834[[#This Row],[Waist]]*Table834[[#This Row],[Water]]</f>
        <v>139.20000000000002</v>
      </c>
      <c r="CS118" s="2">
        <f>Table834[[#This Row],[Waist]]*Table834[[#This Row],[Fat Calories]]</f>
        <v>20568.431250000001</v>
      </c>
    </row>
    <row r="119" spans="1:97" x14ac:dyDescent="0.25">
      <c r="A119" s="2">
        <v>244.8</v>
      </c>
      <c r="B119" s="2">
        <f>Table834[[#This Row],[Weight]]^2</f>
        <v>59927.040000000008</v>
      </c>
      <c r="C119" s="2">
        <v>43</v>
      </c>
      <c r="D119" s="2">
        <f>Table834[[#This Row],[Waist]]^2</f>
        <v>1849</v>
      </c>
      <c r="E119" s="2">
        <v>16.5</v>
      </c>
      <c r="F119" s="2">
        <f>Table834[[#This Row],[Neck]]^2</f>
        <v>272.25</v>
      </c>
      <c r="G119" s="2">
        <v>96.1</v>
      </c>
      <c r="H119" s="2">
        <f>Table834[[#This Row],[Morning Body Temp]]^2</f>
        <v>9235.2099999999991</v>
      </c>
      <c r="I119" s="2">
        <v>128</v>
      </c>
      <c r="J119" s="2">
        <f>Table834[[#This Row],[Morning Systolic Pressure]]^2</f>
        <v>16384</v>
      </c>
      <c r="K119" s="2">
        <v>75</v>
      </c>
      <c r="L119" s="2">
        <f>Table834[[#This Row],[Morning Diastolic Pressure]]^2</f>
        <v>5625</v>
      </c>
      <c r="M119" s="2">
        <v>66</v>
      </c>
      <c r="N119" s="2">
        <f>Table834[[#This Row],[Morning Pulse]]^2</f>
        <v>4356</v>
      </c>
      <c r="O119" s="2">
        <v>96.7</v>
      </c>
      <c r="P119" s="2">
        <f>Table834[[#This Row],[Night Body Temp]]^2</f>
        <v>9350.8900000000012</v>
      </c>
      <c r="Q119" s="2">
        <v>137</v>
      </c>
      <c r="R119" s="2">
        <f>Table834[[#This Row],[Night Systolic Pressure]]^2</f>
        <v>18769</v>
      </c>
      <c r="S119" s="2">
        <v>73</v>
      </c>
      <c r="T119" s="2">
        <f>Table834[[#This Row],[Night Diastolic Pressure]]^2</f>
        <v>5329</v>
      </c>
      <c r="U119" s="2">
        <v>65</v>
      </c>
      <c r="V119" s="2">
        <f>Table834[[#This Row],[Night Pulse]]^2</f>
        <v>4225</v>
      </c>
      <c r="W119" s="2">
        <v>6</v>
      </c>
      <c r="X119" s="2">
        <f>Table834[[#This Row],[Sleep]]^2</f>
        <v>36</v>
      </c>
      <c r="Y119" s="2">
        <f t="shared" si="3"/>
        <v>35.121306122448978</v>
      </c>
      <c r="Z119" s="2">
        <f>Table834[[#This Row],[BMI]]^2</f>
        <v>1233.5061437467721</v>
      </c>
      <c r="AA119" s="2">
        <f t="shared" si="2"/>
        <v>29.940865796666294</v>
      </c>
      <c r="AB119" s="2">
        <f>Table834[[#This Row],[CBF]]^2</f>
        <v>896.45544465398154</v>
      </c>
      <c r="AC119" s="2">
        <v>1</v>
      </c>
      <c r="AD119" s="2">
        <f>Table834[[#This Row],[Gym]]^2</f>
        <v>1</v>
      </c>
      <c r="AE119" s="2">
        <v>1</v>
      </c>
      <c r="AF119" s="2">
        <f>Table834[[#This Row],[Cardio]]^2</f>
        <v>1</v>
      </c>
      <c r="AG119" s="2">
        <v>1548.4</v>
      </c>
      <c r="AH119" s="2">
        <f>Table834[[#This Row],[Calories]]^2</f>
        <v>2397542.56</v>
      </c>
      <c r="AI119" s="2">
        <v>284.02999999999997</v>
      </c>
      <c r="AJ119" s="2">
        <f>Table834[[#This Row],[Carbs]]^2</f>
        <v>80673.040899999978</v>
      </c>
      <c r="AK119" s="2">
        <v>25.599999999999998</v>
      </c>
      <c r="AL119" s="2">
        <f>Table834[[#This Row],[Fat ]]^2</f>
        <v>655.3599999999999</v>
      </c>
      <c r="AM119" s="2">
        <v>73.13</v>
      </c>
      <c r="AN119" s="2">
        <f>Table834[[#This Row],[Protein]]^2</f>
        <v>5347.9968999999992</v>
      </c>
      <c r="AO119" s="2">
        <v>9.92</v>
      </c>
      <c r="AP119" s="2">
        <f>Table834[[#This Row],[Fiber]]^2</f>
        <v>98.406400000000005</v>
      </c>
      <c r="AQ119" s="2">
        <v>215.36</v>
      </c>
      <c r="AR119" s="2">
        <f>Table834[[#This Row],[Sugar]]^2</f>
        <v>46379.929600000003</v>
      </c>
      <c r="AS119" s="2">
        <v>57.2</v>
      </c>
      <c r="AT119" s="2">
        <f>Table834[[#This Row],[Servings]]^2</f>
        <v>3271.84</v>
      </c>
      <c r="AU119" s="2">
        <v>1.5</v>
      </c>
      <c r="AV119" s="2">
        <f>Table834[[#This Row],[Water]]^2</f>
        <v>2.25</v>
      </c>
      <c r="AW119" s="2">
        <v>230.4</v>
      </c>
      <c r="AX119" s="2">
        <f>Table834[[#This Row],[Fat Calories]]^2</f>
        <v>53084.160000000003</v>
      </c>
      <c r="AY119" s="5">
        <f>Table834[[#This Row],[Weight]]*Table834[[#This Row],[Waist]]</f>
        <v>10526.4</v>
      </c>
      <c r="AZ119" s="6">
        <f>Table834[[#This Row],[Weight]]*Table834[[#This Row],[Neck]]</f>
        <v>4039.2000000000003</v>
      </c>
      <c r="BA119" s="6">
        <f>Table834[[#This Row],[Weight]]*Table834[[#This Row],[Morning Body Temp]]</f>
        <v>23525.279999999999</v>
      </c>
      <c r="BB119" s="6">
        <f>Table834[[#This Row],[Weight]]*Table834[[#This Row],[Morning Systolic Pressure]]</f>
        <v>31334.400000000001</v>
      </c>
      <c r="BC119" s="12">
        <f>Table834[[#This Row],[Weight]]*Table834[[#This Row],[Morning Diastolic Pressure]]</f>
        <v>18360</v>
      </c>
      <c r="BD119" s="2">
        <f>Table834[[#This Row],[Weight]]*Table834[[#This Row],[Morning Pulse]]</f>
        <v>16156.800000000001</v>
      </c>
      <c r="BE119" s="2">
        <f>Table834[[#This Row],[Weight]]*Table834[[#This Row],[Night Body Temp]]</f>
        <v>23672.160000000003</v>
      </c>
      <c r="BF119" s="2">
        <f>Table834[[#This Row],[Weight]]*Table834[[#This Row],[Night Systolic Pressure]]</f>
        <v>33537.599999999999</v>
      </c>
      <c r="BG119" s="4">
        <f>Table83[[#This Row],[Weight]]*Table83[[#This Row],[Night Diastolic Pressure]]</f>
        <v>17870.400000000001</v>
      </c>
      <c r="BH119" s="2">
        <f>Table834[[#This Row],[Weight]]*Table834[[#This Row],[Night Pulse]]</f>
        <v>15912</v>
      </c>
      <c r="BI119" s="2">
        <f>Table834[[#This Row],[Weight]]*Table834[[#This Row],[Sleep]]</f>
        <v>1468.8000000000002</v>
      </c>
      <c r="BJ119" s="2">
        <f>Table834[[#This Row],[Weight]]*Table834[[#This Row],[BMI]]</f>
        <v>8597.6957387755101</v>
      </c>
      <c r="BK119" s="2">
        <f>Table834[[#This Row],[Weight]]*Table834[[#This Row],[CBF]]</f>
        <v>7329.5239470239094</v>
      </c>
      <c r="BL119" s="2">
        <f>Table834[[#This Row],[Weight]]*Table834[[#This Row],[Gym]]</f>
        <v>244.8</v>
      </c>
      <c r="BM119" s="2">
        <f>Table834[[#This Row],[Weight]]*Table834[[#This Row],[Cardio]]</f>
        <v>244.8</v>
      </c>
      <c r="BN119" s="2">
        <f>Table834[[#This Row],[Weight]]*Table834[[#This Row],[Calories]]</f>
        <v>379048.32000000007</v>
      </c>
      <c r="BO119" s="2">
        <f>Table834[[#This Row],[Weight]]*Table834[[#This Row],[Carbs]]</f>
        <v>69530.543999999994</v>
      </c>
      <c r="BP119" s="2">
        <f>Table834[[#This Row],[Weight]]*Table834[[#This Row],[Fat ]]</f>
        <v>6266.88</v>
      </c>
      <c r="BQ119" s="2">
        <f>Table834[[#This Row],[Weight]]*Table834[[#This Row],[Protein]]</f>
        <v>17902.223999999998</v>
      </c>
      <c r="BR119" s="2">
        <f>Table834[[#This Row],[Weight]]*Table834[[#This Row],[Fiber]]</f>
        <v>2428.4160000000002</v>
      </c>
      <c r="BS119" s="2">
        <f>Table834[[#This Row],[Weight]]*Table834[[#This Row],[Sugar]]</f>
        <v>52720.128000000004</v>
      </c>
      <c r="BT119" s="2">
        <f>Table834[[#This Row],[Weight]]*Table834[[#This Row],[Servings]]</f>
        <v>14002.560000000001</v>
      </c>
      <c r="BU119" s="2">
        <f>Table834[[#This Row],[Weight]]*Table834[[#This Row],[Water]]</f>
        <v>367.20000000000005</v>
      </c>
      <c r="BV119" s="2">
        <f>Table834[[#This Row],[Weight]]*Table834[[#This Row],[Fat Calories]]</f>
        <v>56401.920000000006</v>
      </c>
      <c r="BW119" s="2">
        <f>Table834[[#This Row],[Waist]]*Table834[[#This Row],[Neck]]</f>
        <v>709.5</v>
      </c>
      <c r="BX119" s="2">
        <f>Table834[[#This Row],[Waist]]*Table834[[#This Row],[Morning Body Temp]]</f>
        <v>4132.3</v>
      </c>
      <c r="BY119" s="2">
        <f>Table834[[#This Row],[Waist]]*Table834[[#This Row],[Morning Systolic Pressure]]</f>
        <v>5504</v>
      </c>
      <c r="BZ119" s="2">
        <f>Table834[[#This Row],[Waist]]*Table834[[#This Row],[Morning Diastolic Pressure]]</f>
        <v>3225</v>
      </c>
      <c r="CA119" s="2">
        <f>Table834[[#This Row],[Waist]]*Table834[[#This Row],[Morning Pulse]]</f>
        <v>2838</v>
      </c>
      <c r="CB119" s="2">
        <f>Table834[[#This Row],[Waist]]*Table834[[#This Row],[Night Body Temp]]</f>
        <v>4158.1000000000004</v>
      </c>
      <c r="CC119" s="2">
        <f>Table834[[#This Row],[Waist]]*Table834[[#This Row],[Night Systolic Pressure]]</f>
        <v>5891</v>
      </c>
      <c r="CD119" s="4">
        <f>Table83[[#This Row],[Waist]]*Table83[[#This Row],[Night Diastolic Pressure]]</f>
        <v>3139</v>
      </c>
      <c r="CE119" s="2">
        <f>Table834[[#This Row],[Waist]]*Table834[[#This Row],[Night Pulse]]</f>
        <v>2795</v>
      </c>
      <c r="CF119" s="2">
        <f>Table834[[#This Row],[Waist]]*Table834[[#This Row],[Sleep]]</f>
        <v>258</v>
      </c>
      <c r="CG119" s="2">
        <f>Table834[[#This Row],[Waist]]*Table834[[#This Row],[BMI]]</f>
        <v>1510.216163265306</v>
      </c>
      <c r="CH119" s="2">
        <f>Table834[[#This Row],[Waist]]*Table834[[#This Row],[CBF]]</f>
        <v>1287.4572292566506</v>
      </c>
      <c r="CI119" s="2">
        <f>Table834[[#This Row],[Waist]]*Table834[[#This Row],[Gym]]</f>
        <v>43</v>
      </c>
      <c r="CJ119" s="2">
        <f>Table834[[#This Row],[Waist]]*Table834[[#This Row],[Cardio]]</f>
        <v>43</v>
      </c>
      <c r="CK119" s="2">
        <f>Table834[[#This Row],[Waist]]*Table834[[#This Row],[Calories]]</f>
        <v>66581.2</v>
      </c>
      <c r="CL119" s="2">
        <f>Table834[[#This Row],[Waist]]*Table834[[#This Row],[Carbs]]</f>
        <v>12213.289999999999</v>
      </c>
      <c r="CM119" s="2">
        <f>Table834[[#This Row],[Waist]]*Table834[[#This Row],[Fat ]]</f>
        <v>1100.8</v>
      </c>
      <c r="CN119" s="2">
        <f>Table834[[#This Row],[Waist]]*Table834[[#This Row],[Protein]]</f>
        <v>3144.5899999999997</v>
      </c>
      <c r="CO119" s="2">
        <f>Table834[[#This Row],[Waist]]*Table834[[#This Row],[Fiber]]</f>
        <v>426.56</v>
      </c>
      <c r="CP119" s="2">
        <f>Table834[[#This Row],[Waist]]*Table834[[#This Row],[Sugar]]</f>
        <v>9260.4800000000014</v>
      </c>
      <c r="CQ119" s="2">
        <f>Table834[[#This Row],[Waist]]*Table834[[#This Row],[Servings]]</f>
        <v>2459.6</v>
      </c>
      <c r="CR119" s="2">
        <f>Table834[[#This Row],[Waist]]*Table834[[#This Row],[Water]]</f>
        <v>64.5</v>
      </c>
      <c r="CS119" s="2">
        <f>Table834[[#This Row],[Waist]]*Table834[[#This Row],[Fat Calories]]</f>
        <v>9907.2000000000007</v>
      </c>
    </row>
    <row r="120" spans="1:97" x14ac:dyDescent="0.25">
      <c r="A120" s="2">
        <v>244.4</v>
      </c>
      <c r="B120" s="2">
        <f>Table834[[#This Row],[Weight]]^2</f>
        <v>59731.360000000001</v>
      </c>
      <c r="C120" s="2">
        <v>43</v>
      </c>
      <c r="D120" s="2">
        <f>Table834[[#This Row],[Waist]]^2</f>
        <v>1849</v>
      </c>
      <c r="E120" s="2">
        <v>16.5</v>
      </c>
      <c r="F120" s="2">
        <f>Table834[[#This Row],[Neck]]^2</f>
        <v>272.25</v>
      </c>
      <c r="G120" s="2">
        <v>95.7</v>
      </c>
      <c r="H120" s="2">
        <f>Table834[[#This Row],[Morning Body Temp]]^2</f>
        <v>9158.49</v>
      </c>
      <c r="I120" s="2">
        <v>121</v>
      </c>
      <c r="J120" s="2">
        <f>Table834[[#This Row],[Morning Systolic Pressure]]^2</f>
        <v>14641</v>
      </c>
      <c r="K120" s="2">
        <v>75</v>
      </c>
      <c r="L120" s="2">
        <f>Table834[[#This Row],[Morning Diastolic Pressure]]^2</f>
        <v>5625</v>
      </c>
      <c r="M120" s="2">
        <v>65</v>
      </c>
      <c r="N120" s="2">
        <f>Table834[[#This Row],[Morning Pulse]]^2</f>
        <v>4225</v>
      </c>
      <c r="O120" s="2">
        <v>95.9</v>
      </c>
      <c r="P120" s="2">
        <f>Table834[[#This Row],[Night Body Temp]]^2</f>
        <v>9196.8100000000013</v>
      </c>
      <c r="Q120" s="2">
        <v>127</v>
      </c>
      <c r="R120" s="2">
        <f>Table834[[#This Row],[Night Systolic Pressure]]^2</f>
        <v>16129</v>
      </c>
      <c r="S120" s="2">
        <v>89</v>
      </c>
      <c r="T120" s="2">
        <f>Table834[[#This Row],[Night Diastolic Pressure]]^2</f>
        <v>7921</v>
      </c>
      <c r="U120" s="2">
        <v>89</v>
      </c>
      <c r="V120" s="2">
        <f>Table834[[#This Row],[Night Pulse]]^2</f>
        <v>7921</v>
      </c>
      <c r="W120" s="2">
        <v>8</v>
      </c>
      <c r="X120" s="2">
        <f>Table834[[#This Row],[Sleep]]^2</f>
        <v>64</v>
      </c>
      <c r="Y120" s="2">
        <f t="shared" si="3"/>
        <v>35.063918367346943</v>
      </c>
      <c r="Z120" s="2">
        <f>Table834[[#This Row],[BMI]]^2</f>
        <v>1229.4783712719702</v>
      </c>
      <c r="AA120" s="2">
        <f t="shared" si="2"/>
        <v>29.940865796666294</v>
      </c>
      <c r="AB120" s="2">
        <f>Table834[[#This Row],[CBF]]^2</f>
        <v>896.45544465398154</v>
      </c>
      <c r="AC120" s="2">
        <v>1</v>
      </c>
      <c r="AD120" s="2">
        <f>Table834[[#This Row],[Gym]]^2</f>
        <v>1</v>
      </c>
      <c r="AE120" s="2">
        <v>0</v>
      </c>
      <c r="AF120" s="2">
        <f>Table834[[#This Row],[Cardio]]^2</f>
        <v>0</v>
      </c>
      <c r="AG120" s="2">
        <v>1562</v>
      </c>
      <c r="AH120" s="2">
        <f>Table834[[#This Row],[Calories]]^2</f>
        <v>2439844</v>
      </c>
      <c r="AI120" s="2">
        <v>304.09999999999997</v>
      </c>
      <c r="AJ120" s="2">
        <f>Table834[[#This Row],[Carbs]]^2</f>
        <v>92476.809999999983</v>
      </c>
      <c r="AK120" s="2">
        <v>20.8</v>
      </c>
      <c r="AL120" s="2">
        <f>Table834[[#This Row],[Fat ]]^2</f>
        <v>432.64000000000004</v>
      </c>
      <c r="AM120" s="2">
        <v>59.1</v>
      </c>
      <c r="AN120" s="2">
        <f>Table834[[#This Row],[Protein]]^2</f>
        <v>3492.81</v>
      </c>
      <c r="AO120" s="2">
        <v>3.8</v>
      </c>
      <c r="AP120" s="2">
        <f>Table834[[#This Row],[Fiber]]^2</f>
        <v>14.44</v>
      </c>
      <c r="AQ120" s="2">
        <v>225.1</v>
      </c>
      <c r="AR120" s="2">
        <f>Table834[[#This Row],[Sugar]]^2</f>
        <v>50670.009999999995</v>
      </c>
      <c r="AS120" s="2">
        <v>58.25</v>
      </c>
      <c r="AT120" s="2">
        <f>Table834[[#This Row],[Servings]]^2</f>
        <v>3393.0625</v>
      </c>
      <c r="AU120" s="2">
        <v>0.5</v>
      </c>
      <c r="AV120" s="2">
        <f>Table834[[#This Row],[Water]]^2</f>
        <v>0.25</v>
      </c>
      <c r="AW120" s="2">
        <v>187.2</v>
      </c>
      <c r="AX120" s="2">
        <f>Table834[[#This Row],[Fat Calories]]^2</f>
        <v>35043.839999999997</v>
      </c>
      <c r="AY120" s="3">
        <f>Table834[[#This Row],[Weight]]*Table834[[#This Row],[Waist]]</f>
        <v>10509.2</v>
      </c>
      <c r="AZ120" s="4">
        <f>Table834[[#This Row],[Weight]]*Table834[[#This Row],[Neck]]</f>
        <v>4032.6</v>
      </c>
      <c r="BA120" s="4">
        <f>Table834[[#This Row],[Weight]]*Table834[[#This Row],[Morning Body Temp]]</f>
        <v>23389.08</v>
      </c>
      <c r="BB120" s="4">
        <f>Table834[[#This Row],[Weight]]*Table834[[#This Row],[Morning Systolic Pressure]]</f>
        <v>29572.400000000001</v>
      </c>
      <c r="BC120" s="11">
        <f>Table834[[#This Row],[Weight]]*Table834[[#This Row],[Morning Diastolic Pressure]]</f>
        <v>18330</v>
      </c>
      <c r="BD120" s="2">
        <f>Table834[[#This Row],[Weight]]*Table834[[#This Row],[Morning Pulse]]</f>
        <v>15886</v>
      </c>
      <c r="BE120" s="2">
        <f>Table834[[#This Row],[Weight]]*Table834[[#This Row],[Night Body Temp]]</f>
        <v>23437.960000000003</v>
      </c>
      <c r="BF120" s="2">
        <f>Table834[[#This Row],[Weight]]*Table834[[#This Row],[Night Systolic Pressure]]</f>
        <v>31038.799999999999</v>
      </c>
      <c r="BG120" s="4">
        <f>Table83[[#This Row],[Weight]]*Table83[[#This Row],[Night Diastolic Pressure]]</f>
        <v>21751.600000000002</v>
      </c>
      <c r="BH120" s="2">
        <f>Table834[[#This Row],[Weight]]*Table834[[#This Row],[Night Pulse]]</f>
        <v>21751.600000000002</v>
      </c>
      <c r="BI120" s="2">
        <f>Table834[[#This Row],[Weight]]*Table834[[#This Row],[Sleep]]</f>
        <v>1955.2</v>
      </c>
      <c r="BJ120" s="2">
        <f>Table834[[#This Row],[Weight]]*Table834[[#This Row],[BMI]]</f>
        <v>8569.6216489795934</v>
      </c>
      <c r="BK120" s="2">
        <f>Table834[[#This Row],[Weight]]*Table834[[#This Row],[CBF]]</f>
        <v>7317.5476007052421</v>
      </c>
      <c r="BL120" s="2">
        <f>Table834[[#This Row],[Weight]]*Table834[[#This Row],[Gym]]</f>
        <v>244.4</v>
      </c>
      <c r="BM120" s="2">
        <f>Table834[[#This Row],[Weight]]*Table834[[#This Row],[Cardio]]</f>
        <v>0</v>
      </c>
      <c r="BN120" s="2">
        <f>Table834[[#This Row],[Weight]]*Table834[[#This Row],[Calories]]</f>
        <v>381752.8</v>
      </c>
      <c r="BO120" s="2">
        <f>Table834[[#This Row],[Weight]]*Table834[[#This Row],[Carbs]]</f>
        <v>74322.039999999994</v>
      </c>
      <c r="BP120" s="2">
        <f>Table834[[#This Row],[Weight]]*Table834[[#This Row],[Fat ]]</f>
        <v>5083.5200000000004</v>
      </c>
      <c r="BQ120" s="2">
        <f>Table834[[#This Row],[Weight]]*Table834[[#This Row],[Protein]]</f>
        <v>14444.04</v>
      </c>
      <c r="BR120" s="2">
        <f>Table834[[#This Row],[Weight]]*Table834[[#This Row],[Fiber]]</f>
        <v>928.72</v>
      </c>
      <c r="BS120" s="2">
        <f>Table834[[#This Row],[Weight]]*Table834[[#This Row],[Sugar]]</f>
        <v>55014.44</v>
      </c>
      <c r="BT120" s="2">
        <f>Table834[[#This Row],[Weight]]*Table834[[#This Row],[Servings]]</f>
        <v>14236.300000000001</v>
      </c>
      <c r="BU120" s="2">
        <f>Table834[[#This Row],[Weight]]*Table834[[#This Row],[Water]]</f>
        <v>122.2</v>
      </c>
      <c r="BV120" s="2">
        <f>Table834[[#This Row],[Weight]]*Table834[[#This Row],[Fat Calories]]</f>
        <v>45751.68</v>
      </c>
      <c r="BW120" s="2">
        <f>Table834[[#This Row],[Waist]]*Table834[[#This Row],[Neck]]</f>
        <v>709.5</v>
      </c>
      <c r="BX120" s="2">
        <f>Table834[[#This Row],[Waist]]*Table834[[#This Row],[Morning Body Temp]]</f>
        <v>4115.1000000000004</v>
      </c>
      <c r="BY120" s="2">
        <f>Table834[[#This Row],[Waist]]*Table834[[#This Row],[Morning Systolic Pressure]]</f>
        <v>5203</v>
      </c>
      <c r="BZ120" s="2">
        <f>Table834[[#This Row],[Waist]]*Table834[[#This Row],[Morning Diastolic Pressure]]</f>
        <v>3225</v>
      </c>
      <c r="CA120" s="2">
        <f>Table834[[#This Row],[Waist]]*Table834[[#This Row],[Morning Pulse]]</f>
        <v>2795</v>
      </c>
      <c r="CB120" s="2">
        <f>Table834[[#This Row],[Waist]]*Table834[[#This Row],[Night Body Temp]]</f>
        <v>4123.7</v>
      </c>
      <c r="CC120" s="2">
        <f>Table834[[#This Row],[Waist]]*Table834[[#This Row],[Night Systolic Pressure]]</f>
        <v>5461</v>
      </c>
      <c r="CD120" s="4">
        <f>Table83[[#This Row],[Waist]]*Table83[[#This Row],[Night Diastolic Pressure]]</f>
        <v>3827</v>
      </c>
      <c r="CE120" s="2">
        <f>Table834[[#This Row],[Waist]]*Table834[[#This Row],[Night Pulse]]</f>
        <v>3827</v>
      </c>
      <c r="CF120" s="2">
        <f>Table834[[#This Row],[Waist]]*Table834[[#This Row],[Sleep]]</f>
        <v>344</v>
      </c>
      <c r="CG120" s="2">
        <f>Table834[[#This Row],[Waist]]*Table834[[#This Row],[BMI]]</f>
        <v>1507.7484897959187</v>
      </c>
      <c r="CH120" s="2">
        <f>Table834[[#This Row],[Waist]]*Table834[[#This Row],[CBF]]</f>
        <v>1287.4572292566506</v>
      </c>
      <c r="CI120" s="2">
        <f>Table834[[#This Row],[Waist]]*Table834[[#This Row],[Gym]]</f>
        <v>43</v>
      </c>
      <c r="CJ120" s="2">
        <f>Table834[[#This Row],[Waist]]*Table834[[#This Row],[Cardio]]</f>
        <v>0</v>
      </c>
      <c r="CK120" s="2">
        <f>Table834[[#This Row],[Waist]]*Table834[[#This Row],[Calories]]</f>
        <v>67166</v>
      </c>
      <c r="CL120" s="2">
        <f>Table834[[#This Row],[Waist]]*Table834[[#This Row],[Carbs]]</f>
        <v>13076.3</v>
      </c>
      <c r="CM120" s="2">
        <f>Table834[[#This Row],[Waist]]*Table834[[#This Row],[Fat ]]</f>
        <v>894.4</v>
      </c>
      <c r="CN120" s="2">
        <f>Table834[[#This Row],[Waist]]*Table834[[#This Row],[Protein]]</f>
        <v>2541.3000000000002</v>
      </c>
      <c r="CO120" s="2">
        <f>Table834[[#This Row],[Waist]]*Table834[[#This Row],[Fiber]]</f>
        <v>163.4</v>
      </c>
      <c r="CP120" s="2">
        <f>Table834[[#This Row],[Waist]]*Table834[[#This Row],[Sugar]]</f>
        <v>9679.2999999999993</v>
      </c>
      <c r="CQ120" s="2">
        <f>Table834[[#This Row],[Waist]]*Table834[[#This Row],[Servings]]</f>
        <v>2504.75</v>
      </c>
      <c r="CR120" s="2">
        <f>Table834[[#This Row],[Waist]]*Table834[[#This Row],[Water]]</f>
        <v>21.5</v>
      </c>
      <c r="CS120" s="2">
        <f>Table834[[#This Row],[Waist]]*Table834[[#This Row],[Fat Calories]]</f>
        <v>8049.5999999999995</v>
      </c>
    </row>
    <row r="121" spans="1:97" x14ac:dyDescent="0.25">
      <c r="A121" s="2">
        <v>244.2</v>
      </c>
      <c r="B121" s="2">
        <f>Table834[[#This Row],[Weight]]^2</f>
        <v>59633.639999999992</v>
      </c>
      <c r="C121" s="2">
        <v>43</v>
      </c>
      <c r="D121" s="2">
        <f>Table834[[#This Row],[Waist]]^2</f>
        <v>1849</v>
      </c>
      <c r="E121" s="2">
        <v>16.5</v>
      </c>
      <c r="F121" s="2">
        <f>Table834[[#This Row],[Neck]]^2</f>
        <v>272.25</v>
      </c>
      <c r="G121" s="2">
        <v>96.6</v>
      </c>
      <c r="H121" s="2">
        <f>Table834[[#This Row],[Morning Body Temp]]^2</f>
        <v>9331.56</v>
      </c>
      <c r="I121" s="2">
        <v>131</v>
      </c>
      <c r="J121" s="2">
        <f>Table834[[#This Row],[Morning Systolic Pressure]]^2</f>
        <v>17161</v>
      </c>
      <c r="K121" s="2">
        <v>79</v>
      </c>
      <c r="L121" s="2">
        <f>Table834[[#This Row],[Morning Diastolic Pressure]]^2</f>
        <v>6241</v>
      </c>
      <c r="M121" s="2">
        <v>73</v>
      </c>
      <c r="N121" s="2">
        <f>Table834[[#This Row],[Morning Pulse]]^2</f>
        <v>5329</v>
      </c>
      <c r="O121" s="2">
        <v>97</v>
      </c>
      <c r="P121" s="2">
        <f>Table834[[#This Row],[Night Body Temp]]^2</f>
        <v>9409</v>
      </c>
      <c r="Q121" s="2">
        <v>140</v>
      </c>
      <c r="R121" s="2">
        <f>Table834[[#This Row],[Night Systolic Pressure]]^2</f>
        <v>19600</v>
      </c>
      <c r="S121" s="2">
        <v>65</v>
      </c>
      <c r="T121" s="2">
        <f>Table834[[#This Row],[Night Diastolic Pressure]]^2</f>
        <v>4225</v>
      </c>
      <c r="U121" s="2">
        <v>64</v>
      </c>
      <c r="V121" s="2">
        <f>Table834[[#This Row],[Night Pulse]]^2</f>
        <v>4096</v>
      </c>
      <c r="W121" s="2">
        <v>9</v>
      </c>
      <c r="X121" s="2">
        <f>Table834[[#This Row],[Sleep]]^2</f>
        <v>81</v>
      </c>
      <c r="Y121" s="2">
        <f t="shared" si="3"/>
        <v>35.035224489795915</v>
      </c>
      <c r="Z121" s="2">
        <f>Table834[[#This Row],[BMI]]^2</f>
        <v>1227.4669550503954</v>
      </c>
      <c r="AA121" s="2">
        <f t="shared" si="2"/>
        <v>29.940865796666294</v>
      </c>
      <c r="AB121" s="2">
        <f>Table834[[#This Row],[CBF]]^2</f>
        <v>896.45544465398154</v>
      </c>
      <c r="AC121" s="2">
        <v>1</v>
      </c>
      <c r="AD121" s="2">
        <f>Table834[[#This Row],[Gym]]^2</f>
        <v>1</v>
      </c>
      <c r="AE121" s="2">
        <v>0</v>
      </c>
      <c r="AF121" s="2">
        <f>Table834[[#This Row],[Cardio]]^2</f>
        <v>0</v>
      </c>
      <c r="AG121" s="2">
        <v>1366</v>
      </c>
      <c r="AH121" s="2">
        <f>Table834[[#This Row],[Calories]]^2</f>
        <v>1865956</v>
      </c>
      <c r="AI121" s="2">
        <v>278.7</v>
      </c>
      <c r="AJ121" s="2">
        <f>Table834[[#This Row],[Carbs]]^2</f>
        <v>77673.689999999988</v>
      </c>
      <c r="AK121" s="2">
        <v>9.5</v>
      </c>
      <c r="AL121" s="2">
        <f>Table834[[#This Row],[Fat ]]^2</f>
        <v>90.25</v>
      </c>
      <c r="AM121" s="2">
        <v>61.5</v>
      </c>
      <c r="AN121" s="2">
        <f>Table834[[#This Row],[Protein]]^2</f>
        <v>3782.25</v>
      </c>
      <c r="AO121" s="2">
        <v>5</v>
      </c>
      <c r="AP121" s="2">
        <f>Table834[[#This Row],[Fiber]]^2</f>
        <v>25</v>
      </c>
      <c r="AQ121" s="2">
        <v>206.1</v>
      </c>
      <c r="AR121" s="2">
        <f>Table834[[#This Row],[Sugar]]^2</f>
        <v>42477.21</v>
      </c>
      <c r="AS121" s="2">
        <v>59.25</v>
      </c>
      <c r="AT121" s="2">
        <f>Table834[[#This Row],[Servings]]^2</f>
        <v>3510.5625</v>
      </c>
      <c r="AU121" s="2">
        <v>2</v>
      </c>
      <c r="AV121" s="2">
        <f>Table834[[#This Row],[Water]]^2</f>
        <v>4</v>
      </c>
      <c r="AW121" s="2">
        <v>85.5</v>
      </c>
      <c r="AX121" s="2">
        <f>Table834[[#This Row],[Fat Calories]]^2</f>
        <v>7310.25</v>
      </c>
      <c r="AY121" s="5">
        <f>Table834[[#This Row],[Weight]]*Table834[[#This Row],[Waist]]</f>
        <v>10500.6</v>
      </c>
      <c r="AZ121" s="6">
        <f>Table834[[#This Row],[Weight]]*Table834[[#This Row],[Neck]]</f>
        <v>4029.2999999999997</v>
      </c>
      <c r="BA121" s="6">
        <f>Table834[[#This Row],[Weight]]*Table834[[#This Row],[Morning Body Temp]]</f>
        <v>23589.719999999998</v>
      </c>
      <c r="BB121" s="6">
        <f>Table834[[#This Row],[Weight]]*Table834[[#This Row],[Morning Systolic Pressure]]</f>
        <v>31990.199999999997</v>
      </c>
      <c r="BC121" s="12">
        <f>Table834[[#This Row],[Weight]]*Table834[[#This Row],[Morning Diastolic Pressure]]</f>
        <v>19291.8</v>
      </c>
      <c r="BD121" s="2">
        <f>Table834[[#This Row],[Weight]]*Table834[[#This Row],[Morning Pulse]]</f>
        <v>17826.599999999999</v>
      </c>
      <c r="BE121" s="2">
        <f>Table834[[#This Row],[Weight]]*Table834[[#This Row],[Night Body Temp]]</f>
        <v>23687.399999999998</v>
      </c>
      <c r="BF121" s="2">
        <f>Table834[[#This Row],[Weight]]*Table834[[#This Row],[Night Systolic Pressure]]</f>
        <v>34188</v>
      </c>
      <c r="BG121" s="4">
        <f>Table83[[#This Row],[Weight]]*Table83[[#This Row],[Night Diastolic Pressure]]</f>
        <v>15873</v>
      </c>
      <c r="BH121" s="2">
        <f>Table834[[#This Row],[Weight]]*Table834[[#This Row],[Night Pulse]]</f>
        <v>15628.8</v>
      </c>
      <c r="BI121" s="2">
        <f>Table834[[#This Row],[Weight]]*Table834[[#This Row],[Sleep]]</f>
        <v>2197.7999999999997</v>
      </c>
      <c r="BJ121" s="2">
        <f>Table834[[#This Row],[Weight]]*Table834[[#This Row],[BMI]]</f>
        <v>8555.6018204081629</v>
      </c>
      <c r="BK121" s="2">
        <f>Table834[[#This Row],[Weight]]*Table834[[#This Row],[CBF]]</f>
        <v>7311.5594275459089</v>
      </c>
      <c r="BL121" s="2">
        <f>Table834[[#This Row],[Weight]]*Table834[[#This Row],[Gym]]</f>
        <v>244.2</v>
      </c>
      <c r="BM121" s="2">
        <f>Table834[[#This Row],[Weight]]*Table834[[#This Row],[Cardio]]</f>
        <v>0</v>
      </c>
      <c r="BN121" s="2">
        <f>Table834[[#This Row],[Weight]]*Table834[[#This Row],[Calories]]</f>
        <v>333577.2</v>
      </c>
      <c r="BO121" s="2">
        <f>Table834[[#This Row],[Weight]]*Table834[[#This Row],[Carbs]]</f>
        <v>68058.539999999994</v>
      </c>
      <c r="BP121" s="2">
        <f>Table834[[#This Row],[Weight]]*Table834[[#This Row],[Fat ]]</f>
        <v>2319.9</v>
      </c>
      <c r="BQ121" s="2">
        <f>Table834[[#This Row],[Weight]]*Table834[[#This Row],[Protein]]</f>
        <v>15018.3</v>
      </c>
      <c r="BR121" s="2">
        <f>Table834[[#This Row],[Weight]]*Table834[[#This Row],[Fiber]]</f>
        <v>1221</v>
      </c>
      <c r="BS121" s="2">
        <f>Table834[[#This Row],[Weight]]*Table834[[#This Row],[Sugar]]</f>
        <v>50329.619999999995</v>
      </c>
      <c r="BT121" s="2">
        <f>Table834[[#This Row],[Weight]]*Table834[[#This Row],[Servings]]</f>
        <v>14468.849999999999</v>
      </c>
      <c r="BU121" s="2">
        <f>Table834[[#This Row],[Weight]]*Table834[[#This Row],[Water]]</f>
        <v>488.4</v>
      </c>
      <c r="BV121" s="2">
        <f>Table834[[#This Row],[Weight]]*Table834[[#This Row],[Fat Calories]]</f>
        <v>20879.099999999999</v>
      </c>
      <c r="BW121" s="2">
        <f>Table834[[#This Row],[Waist]]*Table834[[#This Row],[Neck]]</f>
        <v>709.5</v>
      </c>
      <c r="BX121" s="2">
        <f>Table834[[#This Row],[Waist]]*Table834[[#This Row],[Morning Body Temp]]</f>
        <v>4153.8</v>
      </c>
      <c r="BY121" s="2">
        <f>Table834[[#This Row],[Waist]]*Table834[[#This Row],[Morning Systolic Pressure]]</f>
        <v>5633</v>
      </c>
      <c r="BZ121" s="2">
        <f>Table834[[#This Row],[Waist]]*Table834[[#This Row],[Morning Diastolic Pressure]]</f>
        <v>3397</v>
      </c>
      <c r="CA121" s="2">
        <f>Table834[[#This Row],[Waist]]*Table834[[#This Row],[Morning Pulse]]</f>
        <v>3139</v>
      </c>
      <c r="CB121" s="2">
        <f>Table834[[#This Row],[Waist]]*Table834[[#This Row],[Night Body Temp]]</f>
        <v>4171</v>
      </c>
      <c r="CC121" s="2">
        <f>Table834[[#This Row],[Waist]]*Table834[[#This Row],[Night Systolic Pressure]]</f>
        <v>6020</v>
      </c>
      <c r="CD121" s="4">
        <f>Table83[[#This Row],[Waist]]*Table83[[#This Row],[Night Diastolic Pressure]]</f>
        <v>2795</v>
      </c>
      <c r="CE121" s="2">
        <f>Table834[[#This Row],[Waist]]*Table834[[#This Row],[Night Pulse]]</f>
        <v>2752</v>
      </c>
      <c r="CF121" s="2">
        <f>Table834[[#This Row],[Waist]]*Table834[[#This Row],[Sleep]]</f>
        <v>387</v>
      </c>
      <c r="CG121" s="2">
        <f>Table834[[#This Row],[Waist]]*Table834[[#This Row],[BMI]]</f>
        <v>1506.5146530612244</v>
      </c>
      <c r="CH121" s="2">
        <f>Table834[[#This Row],[Waist]]*Table834[[#This Row],[CBF]]</f>
        <v>1287.4572292566506</v>
      </c>
      <c r="CI121" s="2">
        <f>Table834[[#This Row],[Waist]]*Table834[[#This Row],[Gym]]</f>
        <v>43</v>
      </c>
      <c r="CJ121" s="2">
        <f>Table834[[#This Row],[Waist]]*Table834[[#This Row],[Cardio]]</f>
        <v>0</v>
      </c>
      <c r="CK121" s="2">
        <f>Table834[[#This Row],[Waist]]*Table834[[#This Row],[Calories]]</f>
        <v>58738</v>
      </c>
      <c r="CL121" s="2">
        <f>Table834[[#This Row],[Waist]]*Table834[[#This Row],[Carbs]]</f>
        <v>11984.1</v>
      </c>
      <c r="CM121" s="2">
        <f>Table834[[#This Row],[Waist]]*Table834[[#This Row],[Fat ]]</f>
        <v>408.5</v>
      </c>
      <c r="CN121" s="2">
        <f>Table834[[#This Row],[Waist]]*Table834[[#This Row],[Protein]]</f>
        <v>2644.5</v>
      </c>
      <c r="CO121" s="2">
        <f>Table834[[#This Row],[Waist]]*Table834[[#This Row],[Fiber]]</f>
        <v>215</v>
      </c>
      <c r="CP121" s="2">
        <f>Table834[[#This Row],[Waist]]*Table834[[#This Row],[Sugar]]</f>
        <v>8862.2999999999993</v>
      </c>
      <c r="CQ121" s="2">
        <f>Table834[[#This Row],[Waist]]*Table834[[#This Row],[Servings]]</f>
        <v>2547.75</v>
      </c>
      <c r="CR121" s="2">
        <f>Table834[[#This Row],[Waist]]*Table834[[#This Row],[Water]]</f>
        <v>86</v>
      </c>
      <c r="CS121" s="2">
        <f>Table834[[#This Row],[Waist]]*Table834[[#This Row],[Fat Calories]]</f>
        <v>3676.5</v>
      </c>
    </row>
    <row r="122" spans="1:97" x14ac:dyDescent="0.25">
      <c r="A122" s="2">
        <v>245</v>
      </c>
      <c r="B122" s="2">
        <f>Table834[[#This Row],[Weight]]^2</f>
        <v>60025</v>
      </c>
      <c r="C122" s="2">
        <v>43</v>
      </c>
      <c r="D122" s="2">
        <f>Table834[[#This Row],[Waist]]^2</f>
        <v>1849</v>
      </c>
      <c r="E122" s="2">
        <v>16.5</v>
      </c>
      <c r="F122" s="2">
        <f>Table834[[#This Row],[Neck]]^2</f>
        <v>272.25</v>
      </c>
      <c r="G122" s="2">
        <v>95.8</v>
      </c>
      <c r="H122" s="2">
        <f>Table834[[#This Row],[Morning Body Temp]]^2</f>
        <v>9177.64</v>
      </c>
      <c r="I122" s="2">
        <v>116</v>
      </c>
      <c r="J122" s="2">
        <f>Table834[[#This Row],[Morning Systolic Pressure]]^2</f>
        <v>13456</v>
      </c>
      <c r="K122" s="2">
        <v>71</v>
      </c>
      <c r="L122" s="2">
        <f>Table834[[#This Row],[Morning Diastolic Pressure]]^2</f>
        <v>5041</v>
      </c>
      <c r="M122" s="2">
        <v>71</v>
      </c>
      <c r="N122" s="2">
        <f>Table834[[#This Row],[Morning Pulse]]^2</f>
        <v>5041</v>
      </c>
      <c r="O122" s="2">
        <v>95.7</v>
      </c>
      <c r="P122" s="2">
        <f>Table834[[#This Row],[Night Body Temp]]^2</f>
        <v>9158.49</v>
      </c>
      <c r="Q122" s="2">
        <v>123</v>
      </c>
      <c r="R122" s="2">
        <f>Table834[[#This Row],[Night Systolic Pressure]]^2</f>
        <v>15129</v>
      </c>
      <c r="S122" s="2">
        <v>71</v>
      </c>
      <c r="T122" s="2">
        <f>Table834[[#This Row],[Night Diastolic Pressure]]^2</f>
        <v>5041</v>
      </c>
      <c r="U122" s="2">
        <v>88</v>
      </c>
      <c r="V122" s="2">
        <f>Table834[[#This Row],[Night Pulse]]^2</f>
        <v>7744</v>
      </c>
      <c r="W122" s="2">
        <v>7</v>
      </c>
      <c r="X122" s="2">
        <f>Table834[[#This Row],[Sleep]]^2</f>
        <v>49</v>
      </c>
      <c r="Y122" s="2">
        <f t="shared" si="3"/>
        <v>35.15</v>
      </c>
      <c r="Z122" s="2">
        <f>Table834[[#This Row],[BMI]]^2</f>
        <v>1235.5224999999998</v>
      </c>
      <c r="AA122" s="2">
        <f t="shared" si="2"/>
        <v>29.940865796666294</v>
      </c>
      <c r="AB122" s="2">
        <f>Table834[[#This Row],[CBF]]^2</f>
        <v>896.45544465398154</v>
      </c>
      <c r="AC122" s="2">
        <v>0</v>
      </c>
      <c r="AD122" s="2">
        <f>Table834[[#This Row],[Gym]]^2</f>
        <v>0</v>
      </c>
      <c r="AE122" s="2">
        <v>0</v>
      </c>
      <c r="AF122" s="2">
        <f>Table834[[#This Row],[Cardio]]^2</f>
        <v>0</v>
      </c>
      <c r="AG122" s="2">
        <v>1257.0999999999999</v>
      </c>
      <c r="AH122" s="2">
        <f>Table834[[#This Row],[Calories]]^2</f>
        <v>1580300.4099999997</v>
      </c>
      <c r="AI122" s="2">
        <v>281.8</v>
      </c>
      <c r="AJ122" s="2">
        <f>Table834[[#This Row],[Carbs]]^2</f>
        <v>79411.240000000005</v>
      </c>
      <c r="AK122" s="2">
        <v>11</v>
      </c>
      <c r="AL122" s="2">
        <f>Table834[[#This Row],[Fat ]]^2</f>
        <v>121</v>
      </c>
      <c r="AM122" s="2">
        <v>17.174999999999997</v>
      </c>
      <c r="AN122" s="2">
        <f>Table834[[#This Row],[Protein]]^2</f>
        <v>294.98062499999992</v>
      </c>
      <c r="AO122" s="2">
        <v>6.0000000000000009</v>
      </c>
      <c r="AP122" s="2">
        <f>Table834[[#This Row],[Fiber]]^2</f>
        <v>36.000000000000014</v>
      </c>
      <c r="AQ122" s="2">
        <v>196.04999999999998</v>
      </c>
      <c r="AR122" s="2">
        <f>Table834[[#This Row],[Sugar]]^2</f>
        <v>38435.602499999994</v>
      </c>
      <c r="AS122" s="2">
        <v>46.75</v>
      </c>
      <c r="AT122" s="2">
        <f>Table834[[#This Row],[Servings]]^2</f>
        <v>2185.5625</v>
      </c>
      <c r="AU122" s="2">
        <v>0</v>
      </c>
      <c r="AV122" s="2">
        <f>Table834[[#This Row],[Water]]^2</f>
        <v>0</v>
      </c>
      <c r="AW122" s="2">
        <v>99</v>
      </c>
      <c r="AX122" s="2">
        <f>Table834[[#This Row],[Fat Calories]]^2</f>
        <v>9801</v>
      </c>
      <c r="AY122" s="3">
        <f>Table834[[#This Row],[Weight]]*Table834[[#This Row],[Waist]]</f>
        <v>10535</v>
      </c>
      <c r="AZ122" s="4">
        <f>Table834[[#This Row],[Weight]]*Table834[[#This Row],[Neck]]</f>
        <v>4042.5</v>
      </c>
      <c r="BA122" s="4">
        <f>Table834[[#This Row],[Weight]]*Table834[[#This Row],[Morning Body Temp]]</f>
        <v>23471</v>
      </c>
      <c r="BB122" s="4">
        <f>Table834[[#This Row],[Weight]]*Table834[[#This Row],[Morning Systolic Pressure]]</f>
        <v>28420</v>
      </c>
      <c r="BC122" s="11">
        <f>Table834[[#This Row],[Weight]]*Table834[[#This Row],[Morning Diastolic Pressure]]</f>
        <v>17395</v>
      </c>
      <c r="BD122" s="2">
        <f>Table834[[#This Row],[Weight]]*Table834[[#This Row],[Morning Pulse]]</f>
        <v>17395</v>
      </c>
      <c r="BE122" s="2">
        <f>Table834[[#This Row],[Weight]]*Table834[[#This Row],[Night Body Temp]]</f>
        <v>23446.5</v>
      </c>
      <c r="BF122" s="2">
        <f>Table834[[#This Row],[Weight]]*Table834[[#This Row],[Night Systolic Pressure]]</f>
        <v>30135</v>
      </c>
      <c r="BG122" s="4">
        <f>Table83[[#This Row],[Weight]]*Table83[[#This Row],[Night Diastolic Pressure]]</f>
        <v>17395</v>
      </c>
      <c r="BH122" s="2">
        <f>Table834[[#This Row],[Weight]]*Table834[[#This Row],[Night Pulse]]</f>
        <v>21560</v>
      </c>
      <c r="BI122" s="2">
        <f>Table834[[#This Row],[Weight]]*Table834[[#This Row],[Sleep]]</f>
        <v>1715</v>
      </c>
      <c r="BJ122" s="2">
        <f>Table834[[#This Row],[Weight]]*Table834[[#This Row],[BMI]]</f>
        <v>8611.75</v>
      </c>
      <c r="BK122" s="2">
        <f>Table834[[#This Row],[Weight]]*Table834[[#This Row],[CBF]]</f>
        <v>7335.5121201832417</v>
      </c>
      <c r="BL122" s="2">
        <f>Table834[[#This Row],[Weight]]*Table834[[#This Row],[Gym]]</f>
        <v>0</v>
      </c>
      <c r="BM122" s="2">
        <f>Table834[[#This Row],[Weight]]*Table834[[#This Row],[Cardio]]</f>
        <v>0</v>
      </c>
      <c r="BN122" s="2">
        <f>Table834[[#This Row],[Weight]]*Table834[[#This Row],[Calories]]</f>
        <v>307989.5</v>
      </c>
      <c r="BO122" s="2">
        <f>Table834[[#This Row],[Weight]]*Table834[[#This Row],[Carbs]]</f>
        <v>69041</v>
      </c>
      <c r="BP122" s="2">
        <f>Table834[[#This Row],[Weight]]*Table834[[#This Row],[Fat ]]</f>
        <v>2695</v>
      </c>
      <c r="BQ122" s="2">
        <f>Table834[[#This Row],[Weight]]*Table834[[#This Row],[Protein]]</f>
        <v>4207.8749999999991</v>
      </c>
      <c r="BR122" s="2">
        <f>Table834[[#This Row],[Weight]]*Table834[[#This Row],[Fiber]]</f>
        <v>1470.0000000000002</v>
      </c>
      <c r="BS122" s="2">
        <f>Table834[[#This Row],[Weight]]*Table834[[#This Row],[Sugar]]</f>
        <v>48032.249999999993</v>
      </c>
      <c r="BT122" s="2">
        <f>Table834[[#This Row],[Weight]]*Table834[[#This Row],[Servings]]</f>
        <v>11453.75</v>
      </c>
      <c r="BU122" s="2">
        <f>Table834[[#This Row],[Weight]]*Table834[[#This Row],[Water]]</f>
        <v>0</v>
      </c>
      <c r="BV122" s="2">
        <f>Table834[[#This Row],[Weight]]*Table834[[#This Row],[Fat Calories]]</f>
        <v>24255</v>
      </c>
      <c r="BW122" s="2">
        <f>Table834[[#This Row],[Waist]]*Table834[[#This Row],[Neck]]</f>
        <v>709.5</v>
      </c>
      <c r="BX122" s="2">
        <f>Table834[[#This Row],[Waist]]*Table834[[#This Row],[Morning Body Temp]]</f>
        <v>4119.3999999999996</v>
      </c>
      <c r="BY122" s="2">
        <f>Table834[[#This Row],[Waist]]*Table834[[#This Row],[Morning Systolic Pressure]]</f>
        <v>4988</v>
      </c>
      <c r="BZ122" s="2">
        <f>Table834[[#This Row],[Waist]]*Table834[[#This Row],[Morning Diastolic Pressure]]</f>
        <v>3053</v>
      </c>
      <c r="CA122" s="2">
        <f>Table834[[#This Row],[Waist]]*Table834[[#This Row],[Morning Pulse]]</f>
        <v>3053</v>
      </c>
      <c r="CB122" s="2">
        <f>Table834[[#This Row],[Waist]]*Table834[[#This Row],[Night Body Temp]]</f>
        <v>4115.1000000000004</v>
      </c>
      <c r="CC122" s="2">
        <f>Table834[[#This Row],[Waist]]*Table834[[#This Row],[Night Systolic Pressure]]</f>
        <v>5289</v>
      </c>
      <c r="CD122" s="4">
        <f>Table83[[#This Row],[Waist]]*Table83[[#This Row],[Night Diastolic Pressure]]</f>
        <v>3053</v>
      </c>
      <c r="CE122" s="2">
        <f>Table834[[#This Row],[Waist]]*Table834[[#This Row],[Night Pulse]]</f>
        <v>3784</v>
      </c>
      <c r="CF122" s="2">
        <f>Table834[[#This Row],[Waist]]*Table834[[#This Row],[Sleep]]</f>
        <v>301</v>
      </c>
      <c r="CG122" s="2">
        <f>Table834[[#This Row],[Waist]]*Table834[[#This Row],[BMI]]</f>
        <v>1511.45</v>
      </c>
      <c r="CH122" s="2">
        <f>Table834[[#This Row],[Waist]]*Table834[[#This Row],[CBF]]</f>
        <v>1287.4572292566506</v>
      </c>
      <c r="CI122" s="2">
        <f>Table834[[#This Row],[Waist]]*Table834[[#This Row],[Gym]]</f>
        <v>0</v>
      </c>
      <c r="CJ122" s="2">
        <f>Table834[[#This Row],[Waist]]*Table834[[#This Row],[Cardio]]</f>
        <v>0</v>
      </c>
      <c r="CK122" s="2">
        <f>Table834[[#This Row],[Waist]]*Table834[[#This Row],[Calories]]</f>
        <v>54055.299999999996</v>
      </c>
      <c r="CL122" s="2">
        <f>Table834[[#This Row],[Waist]]*Table834[[#This Row],[Carbs]]</f>
        <v>12117.4</v>
      </c>
      <c r="CM122" s="2">
        <f>Table834[[#This Row],[Waist]]*Table834[[#This Row],[Fat ]]</f>
        <v>473</v>
      </c>
      <c r="CN122" s="2">
        <f>Table834[[#This Row],[Waist]]*Table834[[#This Row],[Protein]]</f>
        <v>738.52499999999986</v>
      </c>
      <c r="CO122" s="2">
        <f>Table834[[#This Row],[Waist]]*Table834[[#This Row],[Fiber]]</f>
        <v>258.00000000000006</v>
      </c>
      <c r="CP122" s="2">
        <f>Table834[[#This Row],[Waist]]*Table834[[#This Row],[Sugar]]</f>
        <v>8430.15</v>
      </c>
      <c r="CQ122" s="2">
        <f>Table834[[#This Row],[Waist]]*Table834[[#This Row],[Servings]]</f>
        <v>2010.25</v>
      </c>
      <c r="CR122" s="2">
        <f>Table834[[#This Row],[Waist]]*Table834[[#This Row],[Water]]</f>
        <v>0</v>
      </c>
      <c r="CS122" s="2">
        <f>Table834[[#This Row],[Waist]]*Table834[[#This Row],[Fat Calories]]</f>
        <v>4257</v>
      </c>
    </row>
    <row r="123" spans="1:97" x14ac:dyDescent="0.25">
      <c r="A123" s="2">
        <v>247</v>
      </c>
      <c r="B123" s="2">
        <f>Table834[[#This Row],[Weight]]^2</f>
        <v>61009</v>
      </c>
      <c r="C123" s="2">
        <v>43.5</v>
      </c>
      <c r="D123" s="2">
        <f>Table834[[#This Row],[Waist]]^2</f>
        <v>1892.25</v>
      </c>
      <c r="E123" s="2">
        <v>16.5</v>
      </c>
      <c r="F123" s="2">
        <f>Table834[[#This Row],[Neck]]^2</f>
        <v>272.25</v>
      </c>
      <c r="G123" s="2">
        <v>97</v>
      </c>
      <c r="H123" s="2">
        <f>Table834[[#This Row],[Morning Body Temp]]^2</f>
        <v>9409</v>
      </c>
      <c r="I123" s="2">
        <v>136</v>
      </c>
      <c r="J123" s="2">
        <f>Table834[[#This Row],[Morning Systolic Pressure]]^2</f>
        <v>18496</v>
      </c>
      <c r="K123" s="2">
        <v>73</v>
      </c>
      <c r="L123" s="2">
        <f>Table834[[#This Row],[Morning Diastolic Pressure]]^2</f>
        <v>5329</v>
      </c>
      <c r="M123" s="2">
        <v>64</v>
      </c>
      <c r="N123" s="2">
        <f>Table834[[#This Row],[Morning Pulse]]^2</f>
        <v>4096</v>
      </c>
      <c r="O123" s="2">
        <v>97</v>
      </c>
      <c r="P123" s="2">
        <f>Table834[[#This Row],[Night Body Temp]]^2</f>
        <v>9409</v>
      </c>
      <c r="Q123" s="2">
        <v>134</v>
      </c>
      <c r="R123" s="2">
        <f>Table834[[#This Row],[Night Systolic Pressure]]^2</f>
        <v>17956</v>
      </c>
      <c r="S123" s="2">
        <v>77</v>
      </c>
      <c r="T123" s="2">
        <f>Table834[[#This Row],[Night Diastolic Pressure]]^2</f>
        <v>5929</v>
      </c>
      <c r="U123" s="2">
        <v>71</v>
      </c>
      <c r="V123" s="2">
        <f>Table834[[#This Row],[Night Pulse]]^2</f>
        <v>5041</v>
      </c>
      <c r="W123" s="2">
        <v>2</v>
      </c>
      <c r="X123" s="2">
        <f>Table834[[#This Row],[Sleep]]^2</f>
        <v>4</v>
      </c>
      <c r="Y123" s="2">
        <f t="shared" si="3"/>
        <v>35.436938775510207</v>
      </c>
      <c r="Z123" s="2">
        <f>Table834[[#This Row],[BMI]]^2</f>
        <v>1255.7766297792589</v>
      </c>
      <c r="AA123" s="2">
        <f t="shared" si="2"/>
        <v>30.639085534675949</v>
      </c>
      <c r="AB123" s="2">
        <f>Table834[[#This Row],[CBF]]^2</f>
        <v>938.75356240118901</v>
      </c>
      <c r="AC123" s="2">
        <v>0</v>
      </c>
      <c r="AD123" s="2">
        <f>Table834[[#This Row],[Gym]]^2</f>
        <v>0</v>
      </c>
      <c r="AE123" s="2">
        <v>1</v>
      </c>
      <c r="AF123" s="2">
        <f>Table834[[#This Row],[Cardio]]^2</f>
        <v>1</v>
      </c>
      <c r="AG123" s="2">
        <v>8222</v>
      </c>
      <c r="AH123" s="2">
        <f>Table834[[#This Row],[Calories]]^2</f>
        <v>67601284</v>
      </c>
      <c r="AI123" s="2">
        <v>1273.9000000000001</v>
      </c>
      <c r="AJ123" s="2">
        <f>Table834[[#This Row],[Carbs]]^2</f>
        <v>1622821.2100000002</v>
      </c>
      <c r="AK123" s="2">
        <v>288</v>
      </c>
      <c r="AL123" s="2">
        <f>Table834[[#This Row],[Fat ]]^2</f>
        <v>82944</v>
      </c>
      <c r="AM123" s="2">
        <v>172</v>
      </c>
      <c r="AN123" s="2">
        <f>Table834[[#This Row],[Protein]]^2</f>
        <v>29584</v>
      </c>
      <c r="AO123" s="2">
        <v>35.5</v>
      </c>
      <c r="AP123" s="2">
        <f>Table834[[#This Row],[Fiber]]^2</f>
        <v>1260.25</v>
      </c>
      <c r="AQ123" s="2">
        <v>821.9</v>
      </c>
      <c r="AR123" s="2">
        <f>Table834[[#This Row],[Sugar]]^2</f>
        <v>675519.61</v>
      </c>
      <c r="AS123" s="2">
        <v>168.5</v>
      </c>
      <c r="AT123" s="2">
        <f>Table834[[#This Row],[Servings]]^2</f>
        <v>28392.25</v>
      </c>
      <c r="AU123" s="2">
        <v>0</v>
      </c>
      <c r="AV123" s="2">
        <f>Table834[[#This Row],[Water]]^2</f>
        <v>0</v>
      </c>
      <c r="AW123" s="2">
        <v>2592</v>
      </c>
      <c r="AX123" s="2">
        <f>Table834[[#This Row],[Fat Calories]]^2</f>
        <v>6718464</v>
      </c>
      <c r="AY123" s="5">
        <f>Table834[[#This Row],[Weight]]*Table834[[#This Row],[Waist]]</f>
        <v>10744.5</v>
      </c>
      <c r="AZ123" s="6">
        <f>Table834[[#This Row],[Weight]]*Table834[[#This Row],[Neck]]</f>
        <v>4075.5</v>
      </c>
      <c r="BA123" s="6">
        <f>Table834[[#This Row],[Weight]]*Table834[[#This Row],[Morning Body Temp]]</f>
        <v>23959</v>
      </c>
      <c r="BB123" s="6">
        <f>Table834[[#This Row],[Weight]]*Table834[[#This Row],[Morning Systolic Pressure]]</f>
        <v>33592</v>
      </c>
      <c r="BC123" s="12">
        <f>Table834[[#This Row],[Weight]]*Table834[[#This Row],[Morning Diastolic Pressure]]</f>
        <v>18031</v>
      </c>
      <c r="BD123" s="2">
        <f>Table834[[#This Row],[Weight]]*Table834[[#This Row],[Morning Pulse]]</f>
        <v>15808</v>
      </c>
      <c r="BE123" s="2">
        <f>Table834[[#This Row],[Weight]]*Table834[[#This Row],[Night Body Temp]]</f>
        <v>23959</v>
      </c>
      <c r="BF123" s="2">
        <f>Table834[[#This Row],[Weight]]*Table834[[#This Row],[Night Systolic Pressure]]</f>
        <v>33098</v>
      </c>
      <c r="BG123" s="4">
        <f>Table83[[#This Row],[Weight]]*Table83[[#This Row],[Night Diastolic Pressure]]</f>
        <v>19019</v>
      </c>
      <c r="BH123" s="2">
        <f>Table834[[#This Row],[Weight]]*Table834[[#This Row],[Night Pulse]]</f>
        <v>17537</v>
      </c>
      <c r="BI123" s="2">
        <f>Table834[[#This Row],[Weight]]*Table834[[#This Row],[Sleep]]</f>
        <v>494</v>
      </c>
      <c r="BJ123" s="2">
        <f>Table834[[#This Row],[Weight]]*Table834[[#This Row],[BMI]]</f>
        <v>8752.9238775510203</v>
      </c>
      <c r="BK123" s="2">
        <f>Table834[[#This Row],[Weight]]*Table834[[#This Row],[CBF]]</f>
        <v>7567.8541270649594</v>
      </c>
      <c r="BL123" s="2">
        <f>Table834[[#This Row],[Weight]]*Table834[[#This Row],[Gym]]</f>
        <v>0</v>
      </c>
      <c r="BM123" s="2">
        <f>Table834[[#This Row],[Weight]]*Table834[[#This Row],[Cardio]]</f>
        <v>247</v>
      </c>
      <c r="BN123" s="2">
        <f>Table834[[#This Row],[Weight]]*Table834[[#This Row],[Calories]]</f>
        <v>2030834</v>
      </c>
      <c r="BO123" s="2">
        <f>Table834[[#This Row],[Weight]]*Table834[[#This Row],[Carbs]]</f>
        <v>314653.30000000005</v>
      </c>
      <c r="BP123" s="2">
        <f>Table834[[#This Row],[Weight]]*Table834[[#This Row],[Fat ]]</f>
        <v>71136</v>
      </c>
      <c r="BQ123" s="2">
        <f>Table834[[#This Row],[Weight]]*Table834[[#This Row],[Protein]]</f>
        <v>42484</v>
      </c>
      <c r="BR123" s="2">
        <f>Table834[[#This Row],[Weight]]*Table834[[#This Row],[Fiber]]</f>
        <v>8768.5</v>
      </c>
      <c r="BS123" s="2">
        <f>Table834[[#This Row],[Weight]]*Table834[[#This Row],[Sugar]]</f>
        <v>203009.3</v>
      </c>
      <c r="BT123" s="2">
        <f>Table834[[#This Row],[Weight]]*Table834[[#This Row],[Servings]]</f>
        <v>41619.5</v>
      </c>
      <c r="BU123" s="2">
        <f>Table834[[#This Row],[Weight]]*Table834[[#This Row],[Water]]</f>
        <v>0</v>
      </c>
      <c r="BV123" s="2">
        <f>Table834[[#This Row],[Weight]]*Table834[[#This Row],[Fat Calories]]</f>
        <v>640224</v>
      </c>
      <c r="BW123" s="2">
        <f>Table834[[#This Row],[Waist]]*Table834[[#This Row],[Neck]]</f>
        <v>717.75</v>
      </c>
      <c r="BX123" s="2">
        <f>Table834[[#This Row],[Waist]]*Table834[[#This Row],[Morning Body Temp]]</f>
        <v>4219.5</v>
      </c>
      <c r="BY123" s="2">
        <f>Table834[[#This Row],[Waist]]*Table834[[#This Row],[Morning Systolic Pressure]]</f>
        <v>5916</v>
      </c>
      <c r="BZ123" s="2">
        <f>Table834[[#This Row],[Waist]]*Table834[[#This Row],[Morning Diastolic Pressure]]</f>
        <v>3175.5</v>
      </c>
      <c r="CA123" s="2">
        <f>Table834[[#This Row],[Waist]]*Table834[[#This Row],[Morning Pulse]]</f>
        <v>2784</v>
      </c>
      <c r="CB123" s="2">
        <f>Table834[[#This Row],[Waist]]*Table834[[#This Row],[Night Body Temp]]</f>
        <v>4219.5</v>
      </c>
      <c r="CC123" s="2">
        <f>Table834[[#This Row],[Waist]]*Table834[[#This Row],[Night Systolic Pressure]]</f>
        <v>5829</v>
      </c>
      <c r="CD123" s="4">
        <f>Table83[[#This Row],[Waist]]*Table83[[#This Row],[Night Diastolic Pressure]]</f>
        <v>3349.5</v>
      </c>
      <c r="CE123" s="2">
        <f>Table834[[#This Row],[Waist]]*Table834[[#This Row],[Night Pulse]]</f>
        <v>3088.5</v>
      </c>
      <c r="CF123" s="2">
        <f>Table834[[#This Row],[Waist]]*Table834[[#This Row],[Sleep]]</f>
        <v>87</v>
      </c>
      <c r="CG123" s="2">
        <f>Table834[[#This Row],[Waist]]*Table834[[#This Row],[BMI]]</f>
        <v>1541.5068367346939</v>
      </c>
      <c r="CH123" s="2">
        <f>Table834[[#This Row],[Waist]]*Table834[[#This Row],[CBF]]</f>
        <v>1332.8002207584038</v>
      </c>
      <c r="CI123" s="2">
        <f>Table834[[#This Row],[Waist]]*Table834[[#This Row],[Gym]]</f>
        <v>0</v>
      </c>
      <c r="CJ123" s="2">
        <f>Table834[[#This Row],[Waist]]*Table834[[#This Row],[Cardio]]</f>
        <v>43.5</v>
      </c>
      <c r="CK123" s="2">
        <f>Table834[[#This Row],[Waist]]*Table834[[#This Row],[Calories]]</f>
        <v>357657</v>
      </c>
      <c r="CL123" s="2">
        <f>Table834[[#This Row],[Waist]]*Table834[[#This Row],[Carbs]]</f>
        <v>55414.65</v>
      </c>
      <c r="CM123" s="2">
        <f>Table834[[#This Row],[Waist]]*Table834[[#This Row],[Fat ]]</f>
        <v>12528</v>
      </c>
      <c r="CN123" s="2">
        <f>Table834[[#This Row],[Waist]]*Table834[[#This Row],[Protein]]</f>
        <v>7482</v>
      </c>
      <c r="CO123" s="2">
        <f>Table834[[#This Row],[Waist]]*Table834[[#This Row],[Fiber]]</f>
        <v>1544.25</v>
      </c>
      <c r="CP123" s="2">
        <f>Table834[[#This Row],[Waist]]*Table834[[#This Row],[Sugar]]</f>
        <v>35752.65</v>
      </c>
      <c r="CQ123" s="2">
        <f>Table834[[#This Row],[Waist]]*Table834[[#This Row],[Servings]]</f>
        <v>7329.75</v>
      </c>
      <c r="CR123" s="2">
        <f>Table834[[#This Row],[Waist]]*Table834[[#This Row],[Water]]</f>
        <v>0</v>
      </c>
      <c r="CS123" s="2">
        <f>Table834[[#This Row],[Waist]]*Table834[[#This Row],[Fat Calories]]</f>
        <v>112752</v>
      </c>
    </row>
    <row r="124" spans="1:97" x14ac:dyDescent="0.25">
      <c r="A124" s="2">
        <v>249.6</v>
      </c>
      <c r="B124" s="2">
        <f>Table834[[#This Row],[Weight]]^2</f>
        <v>62300.159999999996</v>
      </c>
      <c r="C124" s="2">
        <v>43.5</v>
      </c>
      <c r="D124" s="2">
        <f>Table834[[#This Row],[Waist]]^2</f>
        <v>1892.25</v>
      </c>
      <c r="E124" s="2">
        <v>16.5</v>
      </c>
      <c r="F124" s="2">
        <f>Table834[[#This Row],[Neck]]^2</f>
        <v>272.25</v>
      </c>
      <c r="G124" s="2">
        <v>97.3</v>
      </c>
      <c r="H124" s="2">
        <f>Table834[[#This Row],[Morning Body Temp]]^2</f>
        <v>9467.2899999999991</v>
      </c>
      <c r="I124" s="2">
        <v>145</v>
      </c>
      <c r="J124" s="2">
        <f>Table834[[#This Row],[Morning Systolic Pressure]]^2</f>
        <v>21025</v>
      </c>
      <c r="K124" s="2">
        <v>87</v>
      </c>
      <c r="L124" s="2">
        <f>Table834[[#This Row],[Morning Diastolic Pressure]]^2</f>
        <v>7569</v>
      </c>
      <c r="M124" s="2">
        <v>96</v>
      </c>
      <c r="N124" s="2">
        <f>Table834[[#This Row],[Morning Pulse]]^2</f>
        <v>9216</v>
      </c>
      <c r="O124" s="2">
        <v>96.4</v>
      </c>
      <c r="P124" s="2">
        <f>Table834[[#This Row],[Night Body Temp]]^2</f>
        <v>9292.9600000000009</v>
      </c>
      <c r="Q124" s="2">
        <v>132</v>
      </c>
      <c r="R124" s="2">
        <f>Table834[[#This Row],[Night Systolic Pressure]]^2</f>
        <v>17424</v>
      </c>
      <c r="S124" s="2">
        <v>76</v>
      </c>
      <c r="T124" s="2">
        <f>Table834[[#This Row],[Night Diastolic Pressure]]^2</f>
        <v>5776</v>
      </c>
      <c r="U124" s="2">
        <v>71</v>
      </c>
      <c r="V124" s="2">
        <f>Table834[[#This Row],[Night Pulse]]^2</f>
        <v>5041</v>
      </c>
      <c r="W124" s="2">
        <v>19</v>
      </c>
      <c r="X124" s="2">
        <f>Table834[[#This Row],[Sleep]]^2</f>
        <v>361</v>
      </c>
      <c r="Y124" s="2">
        <f t="shared" si="3"/>
        <v>35.80995918367347</v>
      </c>
      <c r="Z124" s="2">
        <f>Table834[[#This Row],[BMI]]^2</f>
        <v>1282.35317673636</v>
      </c>
      <c r="AA124" s="2">
        <f t="shared" si="2"/>
        <v>30.639085534675949</v>
      </c>
      <c r="AB124" s="2">
        <f>Table834[[#This Row],[CBF]]^2</f>
        <v>938.75356240118901</v>
      </c>
      <c r="AC124" s="2">
        <v>0</v>
      </c>
      <c r="AD124" s="2">
        <f>Table834[[#This Row],[Gym]]^2</f>
        <v>0</v>
      </c>
      <c r="AE124" s="2">
        <v>1</v>
      </c>
      <c r="AF124" s="2">
        <f>Table834[[#This Row],[Cardio]]^2</f>
        <v>1</v>
      </c>
      <c r="AG124" s="2">
        <v>4515.8237499999996</v>
      </c>
      <c r="AH124" s="2">
        <f>Table834[[#This Row],[Calories]]^2</f>
        <v>20392664.141064059</v>
      </c>
      <c r="AI124" s="2">
        <v>873.69037500000002</v>
      </c>
      <c r="AJ124" s="2">
        <f>Table834[[#This Row],[Carbs]]^2</f>
        <v>763334.87136764068</v>
      </c>
      <c r="AK124" s="2">
        <v>94.364999999999995</v>
      </c>
      <c r="AL124" s="2">
        <f>Table834[[#This Row],[Fat ]]^2</f>
        <v>8904.7532249999986</v>
      </c>
      <c r="AM124" s="2">
        <v>95.332875000000001</v>
      </c>
      <c r="AN124" s="2">
        <f>Table834[[#This Row],[Protein]]^2</f>
        <v>9088.3570557656258</v>
      </c>
      <c r="AO124" s="2">
        <v>31.140249999999998</v>
      </c>
      <c r="AP124" s="2">
        <f>Table834[[#This Row],[Fiber]]^2</f>
        <v>969.71517006249985</v>
      </c>
      <c r="AQ124" s="2">
        <v>687.84012500000006</v>
      </c>
      <c r="AR124" s="2">
        <f>Table834[[#This Row],[Sugar]]^2</f>
        <v>473124.03756001568</v>
      </c>
      <c r="AS124" s="2">
        <v>141.6</v>
      </c>
      <c r="AT124" s="2">
        <f>Table834[[#This Row],[Servings]]^2</f>
        <v>20050.559999999998</v>
      </c>
      <c r="AU124" s="2">
        <v>0.25</v>
      </c>
      <c r="AV124" s="2">
        <f>Table834[[#This Row],[Water]]^2</f>
        <v>6.25E-2</v>
      </c>
      <c r="AW124" s="2">
        <v>849.28499999999997</v>
      </c>
      <c r="AX124" s="2">
        <f>Table834[[#This Row],[Fat Calories]]^2</f>
        <v>721285.01122499991</v>
      </c>
      <c r="AY124" s="3">
        <f>Table834[[#This Row],[Weight]]*Table834[[#This Row],[Waist]]</f>
        <v>10857.6</v>
      </c>
      <c r="AZ124" s="4">
        <f>Table834[[#This Row],[Weight]]*Table834[[#This Row],[Neck]]</f>
        <v>4118.3999999999996</v>
      </c>
      <c r="BA124" s="4">
        <f>Table834[[#This Row],[Weight]]*Table834[[#This Row],[Morning Body Temp]]</f>
        <v>24286.079999999998</v>
      </c>
      <c r="BB124" s="4">
        <f>Table834[[#This Row],[Weight]]*Table834[[#This Row],[Morning Systolic Pressure]]</f>
        <v>36192</v>
      </c>
      <c r="BC124" s="11">
        <f>Table834[[#This Row],[Weight]]*Table834[[#This Row],[Morning Diastolic Pressure]]</f>
        <v>21715.200000000001</v>
      </c>
      <c r="BD124" s="2">
        <f>Table834[[#This Row],[Weight]]*Table834[[#This Row],[Morning Pulse]]</f>
        <v>23961.599999999999</v>
      </c>
      <c r="BE124" s="2">
        <f>Table834[[#This Row],[Weight]]*Table834[[#This Row],[Night Body Temp]]</f>
        <v>24061.440000000002</v>
      </c>
      <c r="BF124" s="2">
        <f>Table834[[#This Row],[Weight]]*Table834[[#This Row],[Night Systolic Pressure]]</f>
        <v>32947.199999999997</v>
      </c>
      <c r="BG124" s="4">
        <f>Table83[[#This Row],[Weight]]*Table83[[#This Row],[Night Diastolic Pressure]]</f>
        <v>18969.599999999999</v>
      </c>
      <c r="BH124" s="2">
        <f>Table834[[#This Row],[Weight]]*Table834[[#This Row],[Night Pulse]]</f>
        <v>17721.599999999999</v>
      </c>
      <c r="BI124" s="2">
        <f>Table834[[#This Row],[Weight]]*Table834[[#This Row],[Sleep]]</f>
        <v>4742.3999999999996</v>
      </c>
      <c r="BJ124" s="2">
        <f>Table834[[#This Row],[Weight]]*Table834[[#This Row],[BMI]]</f>
        <v>8938.1658122448971</v>
      </c>
      <c r="BK124" s="2">
        <f>Table834[[#This Row],[Weight]]*Table834[[#This Row],[CBF]]</f>
        <v>7647.5157494551167</v>
      </c>
      <c r="BL124" s="2">
        <f>Table834[[#This Row],[Weight]]*Table834[[#This Row],[Gym]]</f>
        <v>0</v>
      </c>
      <c r="BM124" s="2">
        <f>Table834[[#This Row],[Weight]]*Table834[[#This Row],[Cardio]]</f>
        <v>249.6</v>
      </c>
      <c r="BN124" s="2">
        <f>Table834[[#This Row],[Weight]]*Table834[[#This Row],[Calories]]</f>
        <v>1127149.6079999998</v>
      </c>
      <c r="BO124" s="2">
        <f>Table834[[#This Row],[Weight]]*Table834[[#This Row],[Carbs]]</f>
        <v>218073.1176</v>
      </c>
      <c r="BP124" s="2">
        <f>Table834[[#This Row],[Weight]]*Table834[[#This Row],[Fat ]]</f>
        <v>23553.503999999997</v>
      </c>
      <c r="BQ124" s="2">
        <f>Table834[[#This Row],[Weight]]*Table834[[#This Row],[Protein]]</f>
        <v>23795.085599999999</v>
      </c>
      <c r="BR124" s="2">
        <f>Table834[[#This Row],[Weight]]*Table834[[#This Row],[Fiber]]</f>
        <v>7772.6063999999997</v>
      </c>
      <c r="BS124" s="2">
        <f>Table834[[#This Row],[Weight]]*Table834[[#This Row],[Sugar]]</f>
        <v>171684.8952</v>
      </c>
      <c r="BT124" s="2">
        <f>Table834[[#This Row],[Weight]]*Table834[[#This Row],[Servings]]</f>
        <v>35343.360000000001</v>
      </c>
      <c r="BU124" s="2">
        <f>Table834[[#This Row],[Weight]]*Table834[[#This Row],[Water]]</f>
        <v>62.4</v>
      </c>
      <c r="BV124" s="2">
        <f>Table834[[#This Row],[Weight]]*Table834[[#This Row],[Fat Calories]]</f>
        <v>211981.53599999999</v>
      </c>
      <c r="BW124" s="2">
        <f>Table834[[#This Row],[Waist]]*Table834[[#This Row],[Neck]]</f>
        <v>717.75</v>
      </c>
      <c r="BX124" s="2">
        <f>Table834[[#This Row],[Waist]]*Table834[[#This Row],[Morning Body Temp]]</f>
        <v>4232.55</v>
      </c>
      <c r="BY124" s="2">
        <f>Table834[[#This Row],[Waist]]*Table834[[#This Row],[Morning Systolic Pressure]]</f>
        <v>6307.5</v>
      </c>
      <c r="BZ124" s="2">
        <f>Table834[[#This Row],[Waist]]*Table834[[#This Row],[Morning Diastolic Pressure]]</f>
        <v>3784.5</v>
      </c>
      <c r="CA124" s="2">
        <f>Table834[[#This Row],[Waist]]*Table834[[#This Row],[Morning Pulse]]</f>
        <v>4176</v>
      </c>
      <c r="CB124" s="2">
        <f>Table834[[#This Row],[Waist]]*Table834[[#This Row],[Night Body Temp]]</f>
        <v>4193.4000000000005</v>
      </c>
      <c r="CC124" s="2">
        <f>Table834[[#This Row],[Waist]]*Table834[[#This Row],[Night Systolic Pressure]]</f>
        <v>5742</v>
      </c>
      <c r="CD124" s="4">
        <f>Table83[[#This Row],[Waist]]*Table83[[#This Row],[Night Diastolic Pressure]]</f>
        <v>3306</v>
      </c>
      <c r="CE124" s="2">
        <f>Table834[[#This Row],[Waist]]*Table834[[#This Row],[Night Pulse]]</f>
        <v>3088.5</v>
      </c>
      <c r="CF124" s="2">
        <f>Table834[[#This Row],[Waist]]*Table834[[#This Row],[Sleep]]</f>
        <v>826.5</v>
      </c>
      <c r="CG124" s="2">
        <f>Table834[[#This Row],[Waist]]*Table834[[#This Row],[BMI]]</f>
        <v>1557.7332244897959</v>
      </c>
      <c r="CH124" s="2">
        <f>Table834[[#This Row],[Waist]]*Table834[[#This Row],[CBF]]</f>
        <v>1332.8002207584038</v>
      </c>
      <c r="CI124" s="2">
        <f>Table834[[#This Row],[Waist]]*Table834[[#This Row],[Gym]]</f>
        <v>0</v>
      </c>
      <c r="CJ124" s="2">
        <f>Table834[[#This Row],[Waist]]*Table834[[#This Row],[Cardio]]</f>
        <v>43.5</v>
      </c>
      <c r="CK124" s="2">
        <f>Table834[[#This Row],[Waist]]*Table834[[#This Row],[Calories]]</f>
        <v>196438.33312499998</v>
      </c>
      <c r="CL124" s="2">
        <f>Table834[[#This Row],[Waist]]*Table834[[#This Row],[Carbs]]</f>
        <v>38005.531312500003</v>
      </c>
      <c r="CM124" s="2">
        <f>Table834[[#This Row],[Waist]]*Table834[[#This Row],[Fat ]]</f>
        <v>4104.8774999999996</v>
      </c>
      <c r="CN124" s="2">
        <f>Table834[[#This Row],[Waist]]*Table834[[#This Row],[Protein]]</f>
        <v>4146.9800624999998</v>
      </c>
      <c r="CO124" s="2">
        <f>Table834[[#This Row],[Waist]]*Table834[[#This Row],[Fiber]]</f>
        <v>1354.6008749999999</v>
      </c>
      <c r="CP124" s="2">
        <f>Table834[[#This Row],[Waist]]*Table834[[#This Row],[Sugar]]</f>
        <v>29921.045437500001</v>
      </c>
      <c r="CQ124" s="2">
        <f>Table834[[#This Row],[Waist]]*Table834[[#This Row],[Servings]]</f>
        <v>6159.5999999999995</v>
      </c>
      <c r="CR124" s="2">
        <f>Table834[[#This Row],[Waist]]*Table834[[#This Row],[Water]]</f>
        <v>10.875</v>
      </c>
      <c r="CS124" s="2">
        <f>Table834[[#This Row],[Waist]]*Table834[[#This Row],[Fat Calories]]</f>
        <v>36943.897499999999</v>
      </c>
    </row>
    <row r="125" spans="1:97" x14ac:dyDescent="0.25">
      <c r="A125" s="2">
        <v>250.4</v>
      </c>
      <c r="B125" s="2">
        <f>Table834[[#This Row],[Weight]]^2</f>
        <v>62700.160000000003</v>
      </c>
      <c r="C125" s="2">
        <v>43.5</v>
      </c>
      <c r="D125" s="2">
        <f>Table834[[#This Row],[Waist]]^2</f>
        <v>1892.25</v>
      </c>
      <c r="E125" s="2">
        <v>16.5</v>
      </c>
      <c r="F125" s="2">
        <f>Table834[[#This Row],[Neck]]^2</f>
        <v>272.25</v>
      </c>
      <c r="G125" s="2">
        <v>96.9</v>
      </c>
      <c r="H125" s="2">
        <f>Table834[[#This Row],[Morning Body Temp]]^2</f>
        <v>9389.61</v>
      </c>
      <c r="I125" s="2">
        <v>112</v>
      </c>
      <c r="J125" s="2">
        <f>Table834[[#This Row],[Morning Systolic Pressure]]^2</f>
        <v>12544</v>
      </c>
      <c r="K125" s="2">
        <v>73</v>
      </c>
      <c r="L125" s="2">
        <f>Table834[[#This Row],[Morning Diastolic Pressure]]^2</f>
        <v>5329</v>
      </c>
      <c r="M125" s="2">
        <v>70</v>
      </c>
      <c r="N125" s="2">
        <f>Table834[[#This Row],[Morning Pulse]]^2</f>
        <v>4900</v>
      </c>
      <c r="O125" s="2">
        <v>97.5</v>
      </c>
      <c r="P125" s="2">
        <f>Table834[[#This Row],[Night Body Temp]]^2</f>
        <v>9506.25</v>
      </c>
      <c r="Q125" s="2">
        <v>115</v>
      </c>
      <c r="R125" s="2">
        <f>Table834[[#This Row],[Night Systolic Pressure]]^2</f>
        <v>13225</v>
      </c>
      <c r="S125" s="2">
        <v>73</v>
      </c>
      <c r="T125" s="2">
        <f>Table834[[#This Row],[Night Diastolic Pressure]]^2</f>
        <v>5329</v>
      </c>
      <c r="U125" s="2">
        <v>63</v>
      </c>
      <c r="V125" s="2">
        <f>Table834[[#This Row],[Night Pulse]]^2</f>
        <v>3969</v>
      </c>
      <c r="W125" s="2">
        <v>8</v>
      </c>
      <c r="X125" s="2">
        <f>Table834[[#This Row],[Sleep]]^2</f>
        <v>64</v>
      </c>
      <c r="Y125" s="2">
        <f t="shared" si="3"/>
        <v>35.924734693877546</v>
      </c>
      <c r="Z125" s="2">
        <f>Table834[[#This Row],[BMI]]^2</f>
        <v>1290.586562825489</v>
      </c>
      <c r="AA125" s="2">
        <f t="shared" si="2"/>
        <v>30.639085534675949</v>
      </c>
      <c r="AB125" s="2">
        <f>Table834[[#This Row],[CBF]]^2</f>
        <v>938.75356240118901</v>
      </c>
      <c r="AC125" s="2">
        <v>0</v>
      </c>
      <c r="AD125" s="2">
        <f>Table834[[#This Row],[Gym]]^2</f>
        <v>0</v>
      </c>
      <c r="AE125" s="2">
        <v>1</v>
      </c>
      <c r="AF125" s="2">
        <f>Table834[[#This Row],[Cardio]]^2</f>
        <v>1</v>
      </c>
      <c r="AG125" s="2">
        <v>5192.6812499999996</v>
      </c>
      <c r="AH125" s="2">
        <f>Table834[[#This Row],[Calories]]^2</f>
        <v>26963938.564101558</v>
      </c>
      <c r="AI125" s="2">
        <v>717.67062499999997</v>
      </c>
      <c r="AJ125" s="2">
        <f>Table834[[#This Row],[Carbs]]^2</f>
        <v>515051.12598789058</v>
      </c>
      <c r="AK125" s="2">
        <v>203.45</v>
      </c>
      <c r="AL125" s="2">
        <f>Table834[[#This Row],[Fat ]]^2</f>
        <v>41391.902499999997</v>
      </c>
      <c r="AM125" s="2">
        <v>111.640625</v>
      </c>
      <c r="AN125" s="2">
        <f>Table834[[#This Row],[Protein]]^2</f>
        <v>12463.629150390625</v>
      </c>
      <c r="AO125" s="2">
        <v>45.212500000000006</v>
      </c>
      <c r="AP125" s="2">
        <f>Table834[[#This Row],[Fiber]]^2</f>
        <v>2044.1701562500004</v>
      </c>
      <c r="AQ125" s="2">
        <v>362.08937499999996</v>
      </c>
      <c r="AR125" s="2">
        <f>Table834[[#This Row],[Sugar]]^2</f>
        <v>131108.71548789059</v>
      </c>
      <c r="AS125" s="2">
        <v>23.63</v>
      </c>
      <c r="AT125" s="2">
        <f>Table834[[#This Row],[Servings]]^2</f>
        <v>558.37689999999998</v>
      </c>
      <c r="AU125" s="2">
        <v>0.25</v>
      </c>
      <c r="AV125" s="2">
        <f>Table834[[#This Row],[Water]]^2</f>
        <v>6.25E-2</v>
      </c>
      <c r="AW125" s="2">
        <v>1831.05</v>
      </c>
      <c r="AX125" s="2">
        <f>Table834[[#This Row],[Fat Calories]]^2</f>
        <v>3352744.1025</v>
      </c>
      <c r="AY125" s="5">
        <f>Table834[[#This Row],[Weight]]*Table834[[#This Row],[Waist]]</f>
        <v>10892.4</v>
      </c>
      <c r="AZ125" s="6">
        <f>Table834[[#This Row],[Weight]]*Table834[[#This Row],[Neck]]</f>
        <v>4131.6000000000004</v>
      </c>
      <c r="BA125" s="6">
        <f>Table834[[#This Row],[Weight]]*Table834[[#This Row],[Morning Body Temp]]</f>
        <v>24263.760000000002</v>
      </c>
      <c r="BB125" s="6">
        <f>Table834[[#This Row],[Weight]]*Table834[[#This Row],[Morning Systolic Pressure]]</f>
        <v>28044.799999999999</v>
      </c>
      <c r="BC125" s="12">
        <f>Table834[[#This Row],[Weight]]*Table834[[#This Row],[Morning Diastolic Pressure]]</f>
        <v>18279.2</v>
      </c>
      <c r="BD125" s="2">
        <f>Table834[[#This Row],[Weight]]*Table834[[#This Row],[Morning Pulse]]</f>
        <v>17528</v>
      </c>
      <c r="BE125" s="2">
        <f>Table834[[#This Row],[Weight]]*Table834[[#This Row],[Night Body Temp]]</f>
        <v>24414</v>
      </c>
      <c r="BF125" s="2">
        <f>Table834[[#This Row],[Weight]]*Table834[[#This Row],[Night Systolic Pressure]]</f>
        <v>28796</v>
      </c>
      <c r="BG125" s="4">
        <f>Table83[[#This Row],[Weight]]*Table83[[#This Row],[Night Diastolic Pressure]]</f>
        <v>18279.2</v>
      </c>
      <c r="BH125" s="2">
        <f>Table834[[#This Row],[Weight]]*Table834[[#This Row],[Night Pulse]]</f>
        <v>15775.2</v>
      </c>
      <c r="BI125" s="2">
        <f>Table834[[#This Row],[Weight]]*Table834[[#This Row],[Sleep]]</f>
        <v>2003.2</v>
      </c>
      <c r="BJ125" s="2">
        <f>Table834[[#This Row],[Weight]]*Table834[[#This Row],[BMI]]</f>
        <v>8995.5535673469385</v>
      </c>
      <c r="BK125" s="2">
        <f>Table834[[#This Row],[Weight]]*Table834[[#This Row],[CBF]]</f>
        <v>7672.0270178828578</v>
      </c>
      <c r="BL125" s="2">
        <f>Table834[[#This Row],[Weight]]*Table834[[#This Row],[Gym]]</f>
        <v>0</v>
      </c>
      <c r="BM125" s="2">
        <f>Table834[[#This Row],[Weight]]*Table834[[#This Row],[Cardio]]</f>
        <v>250.4</v>
      </c>
      <c r="BN125" s="2">
        <f>Table834[[#This Row],[Weight]]*Table834[[#This Row],[Calories]]</f>
        <v>1300247.385</v>
      </c>
      <c r="BO125" s="2">
        <f>Table834[[#This Row],[Weight]]*Table834[[#This Row],[Carbs]]</f>
        <v>179704.72450000001</v>
      </c>
      <c r="BP125" s="2">
        <f>Table834[[#This Row],[Weight]]*Table834[[#This Row],[Fat ]]</f>
        <v>50943.88</v>
      </c>
      <c r="BQ125" s="2">
        <f>Table834[[#This Row],[Weight]]*Table834[[#This Row],[Protein]]</f>
        <v>27954.8125</v>
      </c>
      <c r="BR125" s="2">
        <f>Table834[[#This Row],[Weight]]*Table834[[#This Row],[Fiber]]</f>
        <v>11321.210000000001</v>
      </c>
      <c r="BS125" s="2">
        <f>Table834[[#This Row],[Weight]]*Table834[[#This Row],[Sugar]]</f>
        <v>90667.179499999998</v>
      </c>
      <c r="BT125" s="2">
        <f>Table834[[#This Row],[Weight]]*Table834[[#This Row],[Servings]]</f>
        <v>5916.9520000000002</v>
      </c>
      <c r="BU125" s="2">
        <f>Table834[[#This Row],[Weight]]*Table834[[#This Row],[Water]]</f>
        <v>62.6</v>
      </c>
      <c r="BV125" s="2">
        <f>Table834[[#This Row],[Weight]]*Table834[[#This Row],[Fat Calories]]</f>
        <v>458494.92</v>
      </c>
      <c r="BW125" s="2">
        <f>Table834[[#This Row],[Waist]]*Table834[[#This Row],[Neck]]</f>
        <v>717.75</v>
      </c>
      <c r="BX125" s="2">
        <f>Table834[[#This Row],[Waist]]*Table834[[#This Row],[Morning Body Temp]]</f>
        <v>4215.1500000000005</v>
      </c>
      <c r="BY125" s="2">
        <f>Table834[[#This Row],[Waist]]*Table834[[#This Row],[Morning Systolic Pressure]]</f>
        <v>4872</v>
      </c>
      <c r="BZ125" s="2">
        <f>Table834[[#This Row],[Waist]]*Table834[[#This Row],[Morning Diastolic Pressure]]</f>
        <v>3175.5</v>
      </c>
      <c r="CA125" s="2">
        <f>Table834[[#This Row],[Waist]]*Table834[[#This Row],[Morning Pulse]]</f>
        <v>3045</v>
      </c>
      <c r="CB125" s="2">
        <f>Table834[[#This Row],[Waist]]*Table834[[#This Row],[Night Body Temp]]</f>
        <v>4241.25</v>
      </c>
      <c r="CC125" s="2">
        <f>Table834[[#This Row],[Waist]]*Table834[[#This Row],[Night Systolic Pressure]]</f>
        <v>5002.5</v>
      </c>
      <c r="CD125" s="4">
        <f>Table83[[#This Row],[Waist]]*Table83[[#This Row],[Night Diastolic Pressure]]</f>
        <v>3175.5</v>
      </c>
      <c r="CE125" s="2">
        <f>Table834[[#This Row],[Waist]]*Table834[[#This Row],[Night Pulse]]</f>
        <v>2740.5</v>
      </c>
      <c r="CF125" s="2">
        <f>Table834[[#This Row],[Waist]]*Table834[[#This Row],[Sleep]]</f>
        <v>348</v>
      </c>
      <c r="CG125" s="2">
        <f>Table834[[#This Row],[Waist]]*Table834[[#This Row],[BMI]]</f>
        <v>1562.7259591836732</v>
      </c>
      <c r="CH125" s="2">
        <f>Table834[[#This Row],[Waist]]*Table834[[#This Row],[CBF]]</f>
        <v>1332.8002207584038</v>
      </c>
      <c r="CI125" s="2">
        <f>Table834[[#This Row],[Waist]]*Table834[[#This Row],[Gym]]</f>
        <v>0</v>
      </c>
      <c r="CJ125" s="2">
        <f>Table834[[#This Row],[Waist]]*Table834[[#This Row],[Cardio]]</f>
        <v>43.5</v>
      </c>
      <c r="CK125" s="2">
        <f>Table834[[#This Row],[Waist]]*Table834[[#This Row],[Calories]]</f>
        <v>225881.63437499999</v>
      </c>
      <c r="CL125" s="2">
        <f>Table834[[#This Row],[Waist]]*Table834[[#This Row],[Carbs]]</f>
        <v>31218.6721875</v>
      </c>
      <c r="CM125" s="2">
        <f>Table834[[#This Row],[Waist]]*Table834[[#This Row],[Fat ]]</f>
        <v>8850.0749999999989</v>
      </c>
      <c r="CN125" s="2">
        <f>Table834[[#This Row],[Waist]]*Table834[[#This Row],[Protein]]</f>
        <v>4856.3671875</v>
      </c>
      <c r="CO125" s="2">
        <f>Table834[[#This Row],[Waist]]*Table834[[#This Row],[Fiber]]</f>
        <v>1966.7437500000003</v>
      </c>
      <c r="CP125" s="2">
        <f>Table834[[#This Row],[Waist]]*Table834[[#This Row],[Sugar]]</f>
        <v>15750.887812499999</v>
      </c>
      <c r="CQ125" s="2">
        <f>Table834[[#This Row],[Waist]]*Table834[[#This Row],[Servings]]</f>
        <v>1027.905</v>
      </c>
      <c r="CR125" s="2">
        <f>Table834[[#This Row],[Waist]]*Table834[[#This Row],[Water]]</f>
        <v>10.875</v>
      </c>
      <c r="CS125" s="2">
        <f>Table834[[#This Row],[Waist]]*Table834[[#This Row],[Fat Calories]]</f>
        <v>79650.675000000003</v>
      </c>
    </row>
    <row r="126" spans="1:97" x14ac:dyDescent="0.25">
      <c r="A126" s="2">
        <v>252.4</v>
      </c>
      <c r="B126" s="2">
        <f>Table834[[#This Row],[Weight]]^2</f>
        <v>63705.760000000002</v>
      </c>
      <c r="C126" s="2">
        <v>43.5</v>
      </c>
      <c r="D126" s="2">
        <f>Table834[[#This Row],[Waist]]^2</f>
        <v>1892.25</v>
      </c>
      <c r="E126" s="2">
        <v>16.5</v>
      </c>
      <c r="F126" s="2">
        <f>Table834[[#This Row],[Neck]]^2</f>
        <v>272.25</v>
      </c>
      <c r="G126" s="2">
        <v>96.8</v>
      </c>
      <c r="H126" s="2">
        <f>Table834[[#This Row],[Morning Body Temp]]^2</f>
        <v>9370.24</v>
      </c>
      <c r="I126" s="2">
        <v>134</v>
      </c>
      <c r="J126" s="2">
        <f>Table834[[#This Row],[Morning Systolic Pressure]]^2</f>
        <v>17956</v>
      </c>
      <c r="K126" s="2">
        <v>75</v>
      </c>
      <c r="L126" s="2">
        <f>Table834[[#This Row],[Morning Diastolic Pressure]]^2</f>
        <v>5625</v>
      </c>
      <c r="M126" s="2">
        <v>76</v>
      </c>
      <c r="N126" s="2">
        <f>Table834[[#This Row],[Morning Pulse]]^2</f>
        <v>5776</v>
      </c>
      <c r="O126" s="2">
        <v>98.6</v>
      </c>
      <c r="P126" s="2">
        <f>Table834[[#This Row],[Night Body Temp]]^2</f>
        <v>9721.9599999999991</v>
      </c>
      <c r="Q126" s="2">
        <v>136</v>
      </c>
      <c r="R126" s="2">
        <f>Table834[[#This Row],[Night Systolic Pressure]]^2</f>
        <v>18496</v>
      </c>
      <c r="S126" s="2">
        <v>78</v>
      </c>
      <c r="T126" s="2">
        <f>Table834[[#This Row],[Night Diastolic Pressure]]^2</f>
        <v>6084</v>
      </c>
      <c r="U126" s="2">
        <v>94</v>
      </c>
      <c r="V126" s="2">
        <f>Table834[[#This Row],[Night Pulse]]^2</f>
        <v>8836</v>
      </c>
      <c r="W126" s="2">
        <v>2</v>
      </c>
      <c r="X126" s="2">
        <f>Table834[[#This Row],[Sleep]]^2</f>
        <v>4</v>
      </c>
      <c r="Y126" s="2">
        <f t="shared" si="3"/>
        <v>36.211673469387755</v>
      </c>
      <c r="Z126" s="2">
        <f>Table834[[#This Row],[BMI]]^2</f>
        <v>1311.285295453561</v>
      </c>
      <c r="AA126" s="2">
        <f t="shared" si="2"/>
        <v>30.639085534675949</v>
      </c>
      <c r="AB126" s="2">
        <f>Table834[[#This Row],[CBF]]^2</f>
        <v>938.75356240118901</v>
      </c>
      <c r="AC126" s="2">
        <v>0</v>
      </c>
      <c r="AD126" s="2">
        <f>Table834[[#This Row],[Gym]]^2</f>
        <v>0</v>
      </c>
      <c r="AE126" s="2">
        <v>0</v>
      </c>
      <c r="AF126" s="2">
        <f>Table834[[#This Row],[Cardio]]^2</f>
        <v>0</v>
      </c>
      <c r="AG126" s="2">
        <v>560</v>
      </c>
      <c r="AH126" s="2">
        <f>Table834[[#This Row],[Calories]]^2</f>
        <v>313600</v>
      </c>
      <c r="AI126" s="2">
        <v>152</v>
      </c>
      <c r="AJ126" s="2">
        <f>Table834[[#This Row],[Carbs]]^2</f>
        <v>23104</v>
      </c>
      <c r="AK126" s="2">
        <v>0</v>
      </c>
      <c r="AL126" s="2">
        <f>Table834[[#This Row],[Fat ]]^2</f>
        <v>0</v>
      </c>
      <c r="AM126" s="2">
        <v>0</v>
      </c>
      <c r="AN126" s="2">
        <f>Table834[[#This Row],[Protein]]^2</f>
        <v>0</v>
      </c>
      <c r="AO126" s="2">
        <v>0</v>
      </c>
      <c r="AP126" s="2">
        <f>Table834[[#This Row],[Fiber]]^2</f>
        <v>0</v>
      </c>
      <c r="AQ126" s="2">
        <v>152</v>
      </c>
      <c r="AR126" s="2">
        <f>Table834[[#This Row],[Sugar]]^2</f>
        <v>23104</v>
      </c>
      <c r="AS126" s="2">
        <v>40</v>
      </c>
      <c r="AT126" s="2">
        <f>Table834[[#This Row],[Servings]]^2</f>
        <v>1600</v>
      </c>
      <c r="AU126" s="2">
        <v>0</v>
      </c>
      <c r="AV126" s="2">
        <f>Table834[[#This Row],[Water]]^2</f>
        <v>0</v>
      </c>
      <c r="AW126" s="2">
        <v>0</v>
      </c>
      <c r="AX126" s="2">
        <f>Table834[[#This Row],[Fat Calories]]^2</f>
        <v>0</v>
      </c>
      <c r="AY126" s="3">
        <f>Table834[[#This Row],[Weight]]*Table834[[#This Row],[Waist]]</f>
        <v>10979.4</v>
      </c>
      <c r="AZ126" s="4">
        <f>Table834[[#This Row],[Weight]]*Table834[[#This Row],[Neck]]</f>
        <v>4164.6000000000004</v>
      </c>
      <c r="BA126" s="4">
        <f>Table834[[#This Row],[Weight]]*Table834[[#This Row],[Morning Body Temp]]</f>
        <v>24432.32</v>
      </c>
      <c r="BB126" s="4">
        <f>Table834[[#This Row],[Weight]]*Table834[[#This Row],[Morning Systolic Pressure]]</f>
        <v>33821.599999999999</v>
      </c>
      <c r="BC126" s="11">
        <f>Table834[[#This Row],[Weight]]*Table834[[#This Row],[Morning Diastolic Pressure]]</f>
        <v>18930</v>
      </c>
      <c r="BD126" s="2">
        <f>Table834[[#This Row],[Weight]]*Table834[[#This Row],[Morning Pulse]]</f>
        <v>19182.400000000001</v>
      </c>
      <c r="BE126" s="2">
        <f>Table834[[#This Row],[Weight]]*Table834[[#This Row],[Night Body Temp]]</f>
        <v>24886.639999999999</v>
      </c>
      <c r="BF126" s="2">
        <f>Table834[[#This Row],[Weight]]*Table834[[#This Row],[Night Systolic Pressure]]</f>
        <v>34326.400000000001</v>
      </c>
      <c r="BG126" s="4">
        <f>Table83[[#This Row],[Weight]]*Table83[[#This Row],[Night Diastolic Pressure]]</f>
        <v>19687.2</v>
      </c>
      <c r="BH126" s="2">
        <f>Table834[[#This Row],[Weight]]*Table834[[#This Row],[Night Pulse]]</f>
        <v>23725.600000000002</v>
      </c>
      <c r="BI126" s="2">
        <f>Table834[[#This Row],[Weight]]*Table834[[#This Row],[Sleep]]</f>
        <v>504.8</v>
      </c>
      <c r="BJ126" s="2">
        <f>Table834[[#This Row],[Weight]]*Table834[[#This Row],[BMI]]</f>
        <v>9139.8263836734695</v>
      </c>
      <c r="BK126" s="2">
        <f>Table834[[#This Row],[Weight]]*Table834[[#This Row],[CBF]]</f>
        <v>7733.3051889522094</v>
      </c>
      <c r="BL126" s="2">
        <f>Table834[[#This Row],[Weight]]*Table834[[#This Row],[Gym]]</f>
        <v>0</v>
      </c>
      <c r="BM126" s="2">
        <f>Table834[[#This Row],[Weight]]*Table834[[#This Row],[Cardio]]</f>
        <v>0</v>
      </c>
      <c r="BN126" s="2">
        <f>Table834[[#This Row],[Weight]]*Table834[[#This Row],[Calories]]</f>
        <v>141344</v>
      </c>
      <c r="BO126" s="2">
        <f>Table834[[#This Row],[Weight]]*Table834[[#This Row],[Carbs]]</f>
        <v>38364.800000000003</v>
      </c>
      <c r="BP126" s="2">
        <f>Table834[[#This Row],[Weight]]*Table834[[#This Row],[Fat ]]</f>
        <v>0</v>
      </c>
      <c r="BQ126" s="2">
        <f>Table834[[#This Row],[Weight]]*Table834[[#This Row],[Protein]]</f>
        <v>0</v>
      </c>
      <c r="BR126" s="2">
        <f>Table834[[#This Row],[Weight]]*Table834[[#This Row],[Fiber]]</f>
        <v>0</v>
      </c>
      <c r="BS126" s="2">
        <f>Table834[[#This Row],[Weight]]*Table834[[#This Row],[Sugar]]</f>
        <v>38364.800000000003</v>
      </c>
      <c r="BT126" s="2">
        <f>Table834[[#This Row],[Weight]]*Table834[[#This Row],[Servings]]</f>
        <v>10096</v>
      </c>
      <c r="BU126" s="2">
        <f>Table834[[#This Row],[Weight]]*Table834[[#This Row],[Water]]</f>
        <v>0</v>
      </c>
      <c r="BV126" s="2">
        <f>Table834[[#This Row],[Weight]]*Table834[[#This Row],[Fat Calories]]</f>
        <v>0</v>
      </c>
      <c r="BW126" s="2">
        <f>Table834[[#This Row],[Waist]]*Table834[[#This Row],[Neck]]</f>
        <v>717.75</v>
      </c>
      <c r="BX126" s="2">
        <f>Table834[[#This Row],[Waist]]*Table834[[#This Row],[Morning Body Temp]]</f>
        <v>4210.8</v>
      </c>
      <c r="BY126" s="2">
        <f>Table834[[#This Row],[Waist]]*Table834[[#This Row],[Morning Systolic Pressure]]</f>
        <v>5829</v>
      </c>
      <c r="BZ126" s="2">
        <f>Table834[[#This Row],[Waist]]*Table834[[#This Row],[Morning Diastolic Pressure]]</f>
        <v>3262.5</v>
      </c>
      <c r="CA126" s="2">
        <f>Table834[[#This Row],[Waist]]*Table834[[#This Row],[Morning Pulse]]</f>
        <v>3306</v>
      </c>
      <c r="CB126" s="2">
        <f>Table834[[#This Row],[Waist]]*Table834[[#This Row],[Night Body Temp]]</f>
        <v>4289.0999999999995</v>
      </c>
      <c r="CC126" s="2">
        <f>Table834[[#This Row],[Waist]]*Table834[[#This Row],[Night Systolic Pressure]]</f>
        <v>5916</v>
      </c>
      <c r="CD126" s="4">
        <f>Table83[[#This Row],[Waist]]*Table83[[#This Row],[Night Diastolic Pressure]]</f>
        <v>3393</v>
      </c>
      <c r="CE126" s="2">
        <f>Table834[[#This Row],[Waist]]*Table834[[#This Row],[Night Pulse]]</f>
        <v>4089</v>
      </c>
      <c r="CF126" s="2">
        <f>Table834[[#This Row],[Waist]]*Table834[[#This Row],[Sleep]]</f>
        <v>87</v>
      </c>
      <c r="CG126" s="2">
        <f>Table834[[#This Row],[Waist]]*Table834[[#This Row],[BMI]]</f>
        <v>1575.2077959183673</v>
      </c>
      <c r="CH126" s="2">
        <f>Table834[[#This Row],[Waist]]*Table834[[#This Row],[CBF]]</f>
        <v>1332.8002207584038</v>
      </c>
      <c r="CI126" s="2">
        <f>Table834[[#This Row],[Waist]]*Table834[[#This Row],[Gym]]</f>
        <v>0</v>
      </c>
      <c r="CJ126" s="2">
        <f>Table834[[#This Row],[Waist]]*Table834[[#This Row],[Cardio]]</f>
        <v>0</v>
      </c>
      <c r="CK126" s="2">
        <f>Table834[[#This Row],[Waist]]*Table834[[#This Row],[Calories]]</f>
        <v>24360</v>
      </c>
      <c r="CL126" s="2">
        <f>Table834[[#This Row],[Waist]]*Table834[[#This Row],[Carbs]]</f>
        <v>6612</v>
      </c>
      <c r="CM126" s="2">
        <f>Table834[[#This Row],[Waist]]*Table834[[#This Row],[Fat ]]</f>
        <v>0</v>
      </c>
      <c r="CN126" s="2">
        <f>Table834[[#This Row],[Waist]]*Table834[[#This Row],[Protein]]</f>
        <v>0</v>
      </c>
      <c r="CO126" s="2">
        <f>Table834[[#This Row],[Waist]]*Table834[[#This Row],[Fiber]]</f>
        <v>0</v>
      </c>
      <c r="CP126" s="2">
        <f>Table834[[#This Row],[Waist]]*Table834[[#This Row],[Sugar]]</f>
        <v>6612</v>
      </c>
      <c r="CQ126" s="2">
        <f>Table834[[#This Row],[Waist]]*Table834[[#This Row],[Servings]]</f>
        <v>1740</v>
      </c>
      <c r="CR126" s="2">
        <f>Table834[[#This Row],[Waist]]*Table834[[#This Row],[Water]]</f>
        <v>0</v>
      </c>
      <c r="CS126" s="2">
        <f>Table834[[#This Row],[Waist]]*Table834[[#This Row],[Fat Calories]]</f>
        <v>0</v>
      </c>
    </row>
    <row r="127" spans="1:97" x14ac:dyDescent="0.25">
      <c r="A127" s="2">
        <v>250.6</v>
      </c>
      <c r="B127" s="2">
        <f>Table834[[#This Row],[Weight]]^2</f>
        <v>62800.36</v>
      </c>
      <c r="C127" s="2">
        <v>43.5</v>
      </c>
      <c r="D127" s="2">
        <f>Table834[[#This Row],[Waist]]^2</f>
        <v>1892.25</v>
      </c>
      <c r="E127" s="2">
        <v>16.5</v>
      </c>
      <c r="F127" s="2">
        <f>Table834[[#This Row],[Neck]]^2</f>
        <v>272.25</v>
      </c>
      <c r="G127" s="2">
        <v>96.7</v>
      </c>
      <c r="H127" s="2">
        <f>Table834[[#This Row],[Morning Body Temp]]^2</f>
        <v>9350.8900000000012</v>
      </c>
      <c r="I127" s="2">
        <v>142</v>
      </c>
      <c r="J127" s="2">
        <f>Table834[[#This Row],[Morning Systolic Pressure]]^2</f>
        <v>20164</v>
      </c>
      <c r="K127" s="2">
        <v>76</v>
      </c>
      <c r="L127" s="2">
        <f>Table834[[#This Row],[Morning Diastolic Pressure]]^2</f>
        <v>5776</v>
      </c>
      <c r="M127" s="2">
        <v>75</v>
      </c>
      <c r="N127" s="2">
        <f>Table834[[#This Row],[Morning Pulse]]^2</f>
        <v>5625</v>
      </c>
      <c r="O127" s="2">
        <v>98.6</v>
      </c>
      <c r="P127" s="2">
        <f>Table834[[#This Row],[Night Body Temp]]^2</f>
        <v>9721.9599999999991</v>
      </c>
      <c r="Q127" s="2">
        <v>146</v>
      </c>
      <c r="R127" s="2">
        <f>Table834[[#This Row],[Night Systolic Pressure]]^2</f>
        <v>21316</v>
      </c>
      <c r="S127" s="2">
        <v>79</v>
      </c>
      <c r="T127" s="2">
        <f>Table834[[#This Row],[Night Diastolic Pressure]]^2</f>
        <v>6241</v>
      </c>
      <c r="U127" s="2">
        <v>94</v>
      </c>
      <c r="V127" s="2">
        <f>Table834[[#This Row],[Night Pulse]]^2</f>
        <v>8836</v>
      </c>
      <c r="W127" s="2">
        <v>8</v>
      </c>
      <c r="X127" s="2">
        <f>Table834[[#This Row],[Sleep]]^2</f>
        <v>64</v>
      </c>
      <c r="Y127" s="2">
        <f t="shared" si="3"/>
        <v>35.953428571428574</v>
      </c>
      <c r="Z127" s="2">
        <f>Table834[[#This Row],[BMI]]^2</f>
        <v>1292.6490260408166</v>
      </c>
      <c r="AA127" s="2">
        <f t="shared" si="2"/>
        <v>30.639085534675949</v>
      </c>
      <c r="AB127" s="2">
        <f>Table834[[#This Row],[CBF]]^2</f>
        <v>938.75356240118901</v>
      </c>
      <c r="AC127" s="2">
        <v>0</v>
      </c>
      <c r="AD127" s="2">
        <f>Table834[[#This Row],[Gym]]^2</f>
        <v>0</v>
      </c>
      <c r="AE127" s="2">
        <v>0</v>
      </c>
      <c r="AF127" s="2">
        <f>Table834[[#This Row],[Cardio]]^2</f>
        <v>0</v>
      </c>
      <c r="AG127" s="2">
        <v>4345.1558333333342</v>
      </c>
      <c r="AH127" s="2">
        <f>Table834[[#This Row],[Calories]]^2</f>
        <v>18880379.215950701</v>
      </c>
      <c r="AI127" s="2">
        <v>606.38508333333334</v>
      </c>
      <c r="AJ127" s="2">
        <f>Table834[[#This Row],[Carbs]]^2</f>
        <v>367702.86928917363</v>
      </c>
      <c r="AK127" s="2">
        <v>138.87399999999997</v>
      </c>
      <c r="AL127" s="2">
        <f>Table834[[#This Row],[Fat ]]^2</f>
        <v>19285.987875999992</v>
      </c>
      <c r="AM127" s="2">
        <v>206.44258333333335</v>
      </c>
      <c r="AN127" s="2">
        <f>Table834[[#This Row],[Protein]]^2</f>
        <v>42618.540213340282</v>
      </c>
      <c r="AO127" s="2">
        <v>73.660250000000005</v>
      </c>
      <c r="AP127" s="2">
        <f>Table834[[#This Row],[Fiber]]^2</f>
        <v>5425.8324300625009</v>
      </c>
      <c r="AQ127" s="2">
        <v>349.9449166666667</v>
      </c>
      <c r="AR127" s="2">
        <f>Table834[[#This Row],[Sugar]]^2</f>
        <v>122461.44470084031</v>
      </c>
      <c r="AS127" s="2">
        <v>79.77</v>
      </c>
      <c r="AT127" s="2">
        <f>Table834[[#This Row],[Servings]]^2</f>
        <v>6363.2528999999995</v>
      </c>
      <c r="AU127" s="2">
        <v>0</v>
      </c>
      <c r="AV127" s="2">
        <f>Table834[[#This Row],[Water]]^2</f>
        <v>0</v>
      </c>
      <c r="AW127" s="2">
        <v>1249.866</v>
      </c>
      <c r="AX127" s="2">
        <f>Table834[[#This Row],[Fat Calories]]^2</f>
        <v>1562165.0179560001</v>
      </c>
      <c r="AY127" s="5">
        <f>Table834[[#This Row],[Weight]]*Table834[[#This Row],[Waist]]</f>
        <v>10901.1</v>
      </c>
      <c r="AZ127" s="6">
        <f>Table834[[#This Row],[Weight]]*Table834[[#This Row],[Neck]]</f>
        <v>4134.8999999999996</v>
      </c>
      <c r="BA127" s="6">
        <f>Table834[[#This Row],[Weight]]*Table834[[#This Row],[Morning Body Temp]]</f>
        <v>24233.02</v>
      </c>
      <c r="BB127" s="6">
        <f>Table834[[#This Row],[Weight]]*Table834[[#This Row],[Morning Systolic Pressure]]</f>
        <v>35585.199999999997</v>
      </c>
      <c r="BC127" s="12">
        <f>Table834[[#This Row],[Weight]]*Table834[[#This Row],[Morning Diastolic Pressure]]</f>
        <v>19045.599999999999</v>
      </c>
      <c r="BD127" s="2">
        <f>Table834[[#This Row],[Weight]]*Table834[[#This Row],[Morning Pulse]]</f>
        <v>18795</v>
      </c>
      <c r="BE127" s="2">
        <f>Table834[[#This Row],[Weight]]*Table834[[#This Row],[Night Body Temp]]</f>
        <v>24709.159999999996</v>
      </c>
      <c r="BF127" s="2">
        <f>Table834[[#This Row],[Weight]]*Table834[[#This Row],[Night Systolic Pressure]]</f>
        <v>36587.599999999999</v>
      </c>
      <c r="BG127" s="4">
        <f>Table83[[#This Row],[Weight]]*Table83[[#This Row],[Night Diastolic Pressure]]</f>
        <v>19797.399999999998</v>
      </c>
      <c r="BH127" s="2">
        <f>Table834[[#This Row],[Weight]]*Table834[[#This Row],[Night Pulse]]</f>
        <v>23556.399999999998</v>
      </c>
      <c r="BI127" s="2">
        <f>Table834[[#This Row],[Weight]]*Table834[[#This Row],[Sleep]]</f>
        <v>2004.8</v>
      </c>
      <c r="BJ127" s="2">
        <f>Table834[[#This Row],[Weight]]*Table834[[#This Row],[BMI]]</f>
        <v>9009.9292000000005</v>
      </c>
      <c r="BK127" s="2">
        <f>Table834[[#This Row],[Weight]]*Table834[[#This Row],[CBF]]</f>
        <v>7678.154834989793</v>
      </c>
      <c r="BL127" s="2">
        <f>Table834[[#This Row],[Weight]]*Table834[[#This Row],[Gym]]</f>
        <v>0</v>
      </c>
      <c r="BM127" s="2">
        <f>Table834[[#This Row],[Weight]]*Table834[[#This Row],[Cardio]]</f>
        <v>0</v>
      </c>
      <c r="BN127" s="2">
        <f>Table834[[#This Row],[Weight]]*Table834[[#This Row],[Calories]]</f>
        <v>1088896.0518333334</v>
      </c>
      <c r="BO127" s="2">
        <f>Table834[[#This Row],[Weight]]*Table834[[#This Row],[Carbs]]</f>
        <v>151960.10188333332</v>
      </c>
      <c r="BP127" s="2">
        <f>Table834[[#This Row],[Weight]]*Table834[[#This Row],[Fat ]]</f>
        <v>34801.82439999999</v>
      </c>
      <c r="BQ127" s="2">
        <f>Table834[[#This Row],[Weight]]*Table834[[#This Row],[Protein]]</f>
        <v>51734.511383333338</v>
      </c>
      <c r="BR127" s="2">
        <f>Table834[[#This Row],[Weight]]*Table834[[#This Row],[Fiber]]</f>
        <v>18459.25865</v>
      </c>
      <c r="BS127" s="2">
        <f>Table834[[#This Row],[Weight]]*Table834[[#This Row],[Sugar]]</f>
        <v>87696.196116666673</v>
      </c>
      <c r="BT127" s="2">
        <f>Table834[[#This Row],[Weight]]*Table834[[#This Row],[Servings]]</f>
        <v>19990.361999999997</v>
      </c>
      <c r="BU127" s="2">
        <f>Table834[[#This Row],[Weight]]*Table834[[#This Row],[Water]]</f>
        <v>0</v>
      </c>
      <c r="BV127" s="2">
        <f>Table834[[#This Row],[Weight]]*Table834[[#This Row],[Fat Calories]]</f>
        <v>313216.41959999996</v>
      </c>
      <c r="BW127" s="2">
        <f>Table834[[#This Row],[Waist]]*Table834[[#This Row],[Neck]]</f>
        <v>717.75</v>
      </c>
      <c r="BX127" s="2">
        <f>Table834[[#This Row],[Waist]]*Table834[[#This Row],[Morning Body Temp]]</f>
        <v>4206.45</v>
      </c>
      <c r="BY127" s="2">
        <f>Table834[[#This Row],[Waist]]*Table834[[#This Row],[Morning Systolic Pressure]]</f>
        <v>6177</v>
      </c>
      <c r="BZ127" s="2">
        <f>Table834[[#This Row],[Waist]]*Table834[[#This Row],[Morning Diastolic Pressure]]</f>
        <v>3306</v>
      </c>
      <c r="CA127" s="2">
        <f>Table834[[#This Row],[Waist]]*Table834[[#This Row],[Morning Pulse]]</f>
        <v>3262.5</v>
      </c>
      <c r="CB127" s="2">
        <f>Table834[[#This Row],[Waist]]*Table834[[#This Row],[Night Body Temp]]</f>
        <v>4289.0999999999995</v>
      </c>
      <c r="CC127" s="2">
        <f>Table834[[#This Row],[Waist]]*Table834[[#This Row],[Night Systolic Pressure]]</f>
        <v>6351</v>
      </c>
      <c r="CD127" s="4">
        <f>Table83[[#This Row],[Waist]]*Table83[[#This Row],[Night Diastolic Pressure]]</f>
        <v>3436.5</v>
      </c>
      <c r="CE127" s="2">
        <f>Table834[[#This Row],[Waist]]*Table834[[#This Row],[Night Pulse]]</f>
        <v>4089</v>
      </c>
      <c r="CF127" s="2">
        <f>Table834[[#This Row],[Waist]]*Table834[[#This Row],[Sleep]]</f>
        <v>348</v>
      </c>
      <c r="CG127" s="2">
        <f>Table834[[#This Row],[Waist]]*Table834[[#This Row],[BMI]]</f>
        <v>1563.9741428571431</v>
      </c>
      <c r="CH127" s="2">
        <f>Table834[[#This Row],[Waist]]*Table834[[#This Row],[CBF]]</f>
        <v>1332.8002207584038</v>
      </c>
      <c r="CI127" s="2">
        <f>Table834[[#This Row],[Waist]]*Table834[[#This Row],[Gym]]</f>
        <v>0</v>
      </c>
      <c r="CJ127" s="2">
        <f>Table834[[#This Row],[Waist]]*Table834[[#This Row],[Cardio]]</f>
        <v>0</v>
      </c>
      <c r="CK127" s="2">
        <f>Table834[[#This Row],[Waist]]*Table834[[#This Row],[Calories]]</f>
        <v>189014.27875000003</v>
      </c>
      <c r="CL127" s="2">
        <f>Table834[[#This Row],[Waist]]*Table834[[#This Row],[Carbs]]</f>
        <v>26377.751124999999</v>
      </c>
      <c r="CM127" s="2">
        <f>Table834[[#This Row],[Waist]]*Table834[[#This Row],[Fat ]]</f>
        <v>6041.0189999999984</v>
      </c>
      <c r="CN127" s="2">
        <f>Table834[[#This Row],[Waist]]*Table834[[#This Row],[Protein]]</f>
        <v>8980.252375</v>
      </c>
      <c r="CO127" s="2">
        <f>Table834[[#This Row],[Waist]]*Table834[[#This Row],[Fiber]]</f>
        <v>3204.2208750000004</v>
      </c>
      <c r="CP127" s="2">
        <f>Table834[[#This Row],[Waist]]*Table834[[#This Row],[Sugar]]</f>
        <v>15222.603875000001</v>
      </c>
      <c r="CQ127" s="2">
        <f>Table834[[#This Row],[Waist]]*Table834[[#This Row],[Servings]]</f>
        <v>3469.9949999999999</v>
      </c>
      <c r="CR127" s="2">
        <f>Table834[[#This Row],[Waist]]*Table834[[#This Row],[Water]]</f>
        <v>0</v>
      </c>
      <c r="CS127" s="2">
        <f>Table834[[#This Row],[Waist]]*Table834[[#This Row],[Fat Calories]]</f>
        <v>54369.171000000002</v>
      </c>
    </row>
    <row r="128" spans="1:97" x14ac:dyDescent="0.25">
      <c r="A128" s="2">
        <v>252.6</v>
      </c>
      <c r="B128" s="2">
        <f>Table834[[#This Row],[Weight]]^2</f>
        <v>63806.759999999995</v>
      </c>
      <c r="C128" s="2">
        <v>43.5</v>
      </c>
      <c r="D128" s="2">
        <f>Table834[[#This Row],[Waist]]^2</f>
        <v>1892.25</v>
      </c>
      <c r="E128" s="2">
        <v>16.5</v>
      </c>
      <c r="F128" s="2">
        <f>Table834[[#This Row],[Neck]]^2</f>
        <v>272.25</v>
      </c>
      <c r="G128" s="2">
        <v>98.1</v>
      </c>
      <c r="H128" s="2">
        <f>Table834[[#This Row],[Morning Body Temp]]^2</f>
        <v>9623.6099999999988</v>
      </c>
      <c r="I128" s="2">
        <v>133</v>
      </c>
      <c r="J128" s="2">
        <f>Table834[[#This Row],[Morning Systolic Pressure]]^2</f>
        <v>17689</v>
      </c>
      <c r="K128" s="2">
        <v>76</v>
      </c>
      <c r="L128" s="2">
        <f>Table834[[#This Row],[Morning Diastolic Pressure]]^2</f>
        <v>5776</v>
      </c>
      <c r="M128" s="2">
        <v>63</v>
      </c>
      <c r="N128" s="2">
        <f>Table834[[#This Row],[Morning Pulse]]^2</f>
        <v>3969</v>
      </c>
      <c r="O128" s="2">
        <v>98.8</v>
      </c>
      <c r="P128" s="2">
        <f>Table834[[#This Row],[Night Body Temp]]^2</f>
        <v>9761.4399999999987</v>
      </c>
      <c r="Q128" s="2">
        <v>135</v>
      </c>
      <c r="R128" s="2">
        <f>Table834[[#This Row],[Night Systolic Pressure]]^2</f>
        <v>18225</v>
      </c>
      <c r="S128" s="2">
        <v>78</v>
      </c>
      <c r="T128" s="2">
        <f>Table834[[#This Row],[Night Diastolic Pressure]]^2</f>
        <v>6084</v>
      </c>
      <c r="U128" s="2">
        <v>87</v>
      </c>
      <c r="V128" s="2">
        <f>Table834[[#This Row],[Night Pulse]]^2</f>
        <v>7569</v>
      </c>
      <c r="W128" s="2">
        <v>9</v>
      </c>
      <c r="X128" s="2">
        <f>Table834[[#This Row],[Sleep]]^2</f>
        <v>81</v>
      </c>
      <c r="Y128" s="2">
        <f t="shared" si="3"/>
        <v>36.240367346938775</v>
      </c>
      <c r="Z128" s="2">
        <f>Table834[[#This Row],[BMI]]^2</f>
        <v>1313.3642254410663</v>
      </c>
      <c r="AA128" s="2">
        <f t="shared" si="2"/>
        <v>30.639085534675949</v>
      </c>
      <c r="AB128" s="2">
        <f>Table834[[#This Row],[CBF]]^2</f>
        <v>938.75356240118901</v>
      </c>
      <c r="AC128" s="2">
        <v>0</v>
      </c>
      <c r="AD128" s="2">
        <f>Table834[[#This Row],[Gym]]^2</f>
        <v>0</v>
      </c>
      <c r="AE128" s="2">
        <v>0</v>
      </c>
      <c r="AF128" s="2">
        <f>Table834[[#This Row],[Cardio]]^2</f>
        <v>0</v>
      </c>
      <c r="AG128" s="2">
        <v>5061.466071428571</v>
      </c>
      <c r="AH128" s="2">
        <f>Table834[[#This Row],[Calories]]^2</f>
        <v>25618438.792222571</v>
      </c>
      <c r="AI128" s="2">
        <v>708.60833333333335</v>
      </c>
      <c r="AJ128" s="2">
        <f>Table834[[#This Row],[Carbs]]^2</f>
        <v>502125.77006944449</v>
      </c>
      <c r="AK128" s="2">
        <v>179.23839285714286</v>
      </c>
      <c r="AL128" s="2">
        <f>Table834[[#This Row],[Fat ]]^2</f>
        <v>32126.40147401148</v>
      </c>
      <c r="AM128" s="2">
        <v>192.45416666666668</v>
      </c>
      <c r="AN128" s="2">
        <f>Table834[[#This Row],[Protein]]^2</f>
        <v>37038.606267361116</v>
      </c>
      <c r="AO128" s="2">
        <v>38.377083333333339</v>
      </c>
      <c r="AP128" s="2">
        <f>Table834[[#This Row],[Fiber]]^2</f>
        <v>1472.8005251736115</v>
      </c>
      <c r="AQ128" s="2">
        <v>516.88958333333335</v>
      </c>
      <c r="AR128" s="2">
        <f>Table834[[#This Row],[Sugar]]^2</f>
        <v>267174.84135850694</v>
      </c>
      <c r="AS128" s="2">
        <v>107</v>
      </c>
      <c r="AT128" s="2">
        <f>Table834[[#This Row],[Servings]]^2</f>
        <v>11449</v>
      </c>
      <c r="AU128" s="2">
        <v>0</v>
      </c>
      <c r="AV128" s="2">
        <f>Table834[[#This Row],[Water]]^2</f>
        <v>0</v>
      </c>
      <c r="AW128" s="2">
        <v>1613.1455357142856</v>
      </c>
      <c r="AX128" s="2">
        <f>Table834[[#This Row],[Fat Calories]]^2</f>
        <v>2602238.5193949295</v>
      </c>
      <c r="AY128" s="3">
        <f>Table834[[#This Row],[Weight]]*Table834[[#This Row],[Waist]]</f>
        <v>10988.1</v>
      </c>
      <c r="AZ128" s="4">
        <f>Table834[[#This Row],[Weight]]*Table834[[#This Row],[Neck]]</f>
        <v>4167.8999999999996</v>
      </c>
      <c r="BA128" s="4">
        <f>Table834[[#This Row],[Weight]]*Table834[[#This Row],[Morning Body Temp]]</f>
        <v>24780.059999999998</v>
      </c>
      <c r="BB128" s="4">
        <f>Table834[[#This Row],[Weight]]*Table834[[#This Row],[Morning Systolic Pressure]]</f>
        <v>33595.799999999996</v>
      </c>
      <c r="BC128" s="11">
        <f>Table834[[#This Row],[Weight]]*Table834[[#This Row],[Morning Diastolic Pressure]]</f>
        <v>19197.599999999999</v>
      </c>
      <c r="BD128" s="2">
        <f>Table834[[#This Row],[Weight]]*Table834[[#This Row],[Morning Pulse]]</f>
        <v>15913.8</v>
      </c>
      <c r="BE128" s="2">
        <f>Table834[[#This Row],[Weight]]*Table834[[#This Row],[Night Body Temp]]</f>
        <v>24956.879999999997</v>
      </c>
      <c r="BF128" s="2">
        <f>Table834[[#This Row],[Weight]]*Table834[[#This Row],[Night Systolic Pressure]]</f>
        <v>34101</v>
      </c>
      <c r="BG128" s="4">
        <f>Table83[[#This Row],[Weight]]*Table83[[#This Row],[Night Diastolic Pressure]]</f>
        <v>19702.8</v>
      </c>
      <c r="BH128" s="2">
        <f>Table834[[#This Row],[Weight]]*Table834[[#This Row],[Night Pulse]]</f>
        <v>21976.2</v>
      </c>
      <c r="BI128" s="2">
        <f>Table834[[#This Row],[Weight]]*Table834[[#This Row],[Sleep]]</f>
        <v>2273.4</v>
      </c>
      <c r="BJ128" s="2">
        <f>Table834[[#This Row],[Weight]]*Table834[[#This Row],[BMI]]</f>
        <v>9154.3167918367344</v>
      </c>
      <c r="BK128" s="2">
        <f>Table834[[#This Row],[Weight]]*Table834[[#This Row],[CBF]]</f>
        <v>7739.4330060591446</v>
      </c>
      <c r="BL128" s="2">
        <f>Table834[[#This Row],[Weight]]*Table834[[#This Row],[Gym]]</f>
        <v>0</v>
      </c>
      <c r="BM128" s="2">
        <f>Table834[[#This Row],[Weight]]*Table834[[#This Row],[Cardio]]</f>
        <v>0</v>
      </c>
      <c r="BN128" s="2">
        <f>Table834[[#This Row],[Weight]]*Table834[[#This Row],[Calories]]</f>
        <v>1278526.329642857</v>
      </c>
      <c r="BO128" s="2">
        <f>Table834[[#This Row],[Weight]]*Table834[[#This Row],[Carbs]]</f>
        <v>178994.465</v>
      </c>
      <c r="BP128" s="2">
        <f>Table834[[#This Row],[Weight]]*Table834[[#This Row],[Fat ]]</f>
        <v>45275.618035714288</v>
      </c>
      <c r="BQ128" s="2">
        <f>Table834[[#This Row],[Weight]]*Table834[[#This Row],[Protein]]</f>
        <v>48613.922500000001</v>
      </c>
      <c r="BR128" s="2">
        <f>Table834[[#This Row],[Weight]]*Table834[[#This Row],[Fiber]]</f>
        <v>9694.0512500000004</v>
      </c>
      <c r="BS128" s="2">
        <f>Table834[[#This Row],[Weight]]*Table834[[#This Row],[Sugar]]</f>
        <v>130566.30875</v>
      </c>
      <c r="BT128" s="2">
        <f>Table834[[#This Row],[Weight]]*Table834[[#This Row],[Servings]]</f>
        <v>27028.2</v>
      </c>
      <c r="BU128" s="2">
        <f>Table834[[#This Row],[Weight]]*Table834[[#This Row],[Water]]</f>
        <v>0</v>
      </c>
      <c r="BV128" s="2">
        <f>Table834[[#This Row],[Weight]]*Table834[[#This Row],[Fat Calories]]</f>
        <v>407480.56232142856</v>
      </c>
      <c r="BW128" s="2">
        <f>Table834[[#This Row],[Waist]]*Table834[[#This Row],[Neck]]</f>
        <v>717.75</v>
      </c>
      <c r="BX128" s="2">
        <f>Table834[[#This Row],[Waist]]*Table834[[#This Row],[Morning Body Temp]]</f>
        <v>4267.3499999999995</v>
      </c>
      <c r="BY128" s="2">
        <f>Table834[[#This Row],[Waist]]*Table834[[#This Row],[Morning Systolic Pressure]]</f>
        <v>5785.5</v>
      </c>
      <c r="BZ128" s="2">
        <f>Table834[[#This Row],[Waist]]*Table834[[#This Row],[Morning Diastolic Pressure]]</f>
        <v>3306</v>
      </c>
      <c r="CA128" s="2">
        <f>Table834[[#This Row],[Waist]]*Table834[[#This Row],[Morning Pulse]]</f>
        <v>2740.5</v>
      </c>
      <c r="CB128" s="2">
        <f>Table834[[#This Row],[Waist]]*Table834[[#This Row],[Night Body Temp]]</f>
        <v>4297.8</v>
      </c>
      <c r="CC128" s="2">
        <f>Table834[[#This Row],[Waist]]*Table834[[#This Row],[Night Systolic Pressure]]</f>
        <v>5872.5</v>
      </c>
      <c r="CD128" s="4">
        <f>Table83[[#This Row],[Waist]]*Table83[[#This Row],[Night Diastolic Pressure]]</f>
        <v>3393</v>
      </c>
      <c r="CE128" s="2">
        <f>Table834[[#This Row],[Waist]]*Table834[[#This Row],[Night Pulse]]</f>
        <v>3784.5</v>
      </c>
      <c r="CF128" s="2">
        <f>Table834[[#This Row],[Waist]]*Table834[[#This Row],[Sleep]]</f>
        <v>391.5</v>
      </c>
      <c r="CG128" s="2">
        <f>Table834[[#This Row],[Waist]]*Table834[[#This Row],[BMI]]</f>
        <v>1576.4559795918367</v>
      </c>
      <c r="CH128" s="2">
        <f>Table834[[#This Row],[Waist]]*Table834[[#This Row],[CBF]]</f>
        <v>1332.8002207584038</v>
      </c>
      <c r="CI128" s="2">
        <f>Table834[[#This Row],[Waist]]*Table834[[#This Row],[Gym]]</f>
        <v>0</v>
      </c>
      <c r="CJ128" s="2">
        <f>Table834[[#This Row],[Waist]]*Table834[[#This Row],[Cardio]]</f>
        <v>0</v>
      </c>
      <c r="CK128" s="2">
        <f>Table834[[#This Row],[Waist]]*Table834[[#This Row],[Calories]]</f>
        <v>220173.77410714285</v>
      </c>
      <c r="CL128" s="2">
        <f>Table834[[#This Row],[Waist]]*Table834[[#This Row],[Carbs]]</f>
        <v>30824.462500000001</v>
      </c>
      <c r="CM128" s="2">
        <f>Table834[[#This Row],[Waist]]*Table834[[#This Row],[Fat ]]</f>
        <v>7796.8700892857141</v>
      </c>
      <c r="CN128" s="2">
        <f>Table834[[#This Row],[Waist]]*Table834[[#This Row],[Protein]]</f>
        <v>8371.7562500000004</v>
      </c>
      <c r="CO128" s="2">
        <f>Table834[[#This Row],[Waist]]*Table834[[#This Row],[Fiber]]</f>
        <v>1669.4031250000003</v>
      </c>
      <c r="CP128" s="2">
        <f>Table834[[#This Row],[Waist]]*Table834[[#This Row],[Sugar]]</f>
        <v>22484.696875000001</v>
      </c>
      <c r="CQ128" s="2">
        <f>Table834[[#This Row],[Waist]]*Table834[[#This Row],[Servings]]</f>
        <v>4654.5</v>
      </c>
      <c r="CR128" s="2">
        <f>Table834[[#This Row],[Waist]]*Table834[[#This Row],[Water]]</f>
        <v>0</v>
      </c>
      <c r="CS128" s="2">
        <f>Table834[[#This Row],[Waist]]*Table834[[#This Row],[Fat Calories]]</f>
        <v>70171.830803571429</v>
      </c>
    </row>
    <row r="129" spans="1:97" x14ac:dyDescent="0.25">
      <c r="A129" s="2">
        <v>253.6</v>
      </c>
      <c r="B129" s="2">
        <f>Table834[[#This Row],[Weight]]^2</f>
        <v>64312.959999999999</v>
      </c>
      <c r="C129" s="2">
        <v>43.5</v>
      </c>
      <c r="D129" s="2">
        <f>Table834[[#This Row],[Waist]]^2</f>
        <v>1892.25</v>
      </c>
      <c r="E129" s="2">
        <v>16.5</v>
      </c>
      <c r="F129" s="2">
        <f>Table834[[#This Row],[Neck]]^2</f>
        <v>272.25</v>
      </c>
      <c r="G129" s="2">
        <v>98.3</v>
      </c>
      <c r="H129" s="2">
        <f>Table834[[#This Row],[Morning Body Temp]]^2</f>
        <v>9662.89</v>
      </c>
      <c r="I129" s="2">
        <v>160</v>
      </c>
      <c r="J129" s="2">
        <f>Table834[[#This Row],[Morning Systolic Pressure]]^2</f>
        <v>25600</v>
      </c>
      <c r="K129" s="2">
        <v>85</v>
      </c>
      <c r="L129" s="2">
        <f>Table834[[#This Row],[Morning Diastolic Pressure]]^2</f>
        <v>7225</v>
      </c>
      <c r="M129" s="2">
        <v>99</v>
      </c>
      <c r="N129" s="2">
        <f>Table834[[#This Row],[Morning Pulse]]^2</f>
        <v>9801</v>
      </c>
      <c r="O129" s="2">
        <v>97.4</v>
      </c>
      <c r="P129" s="2">
        <f>Table834[[#This Row],[Night Body Temp]]^2</f>
        <v>9486.76</v>
      </c>
      <c r="Q129" s="2">
        <v>140</v>
      </c>
      <c r="R129" s="2">
        <f>Table834[[#This Row],[Night Systolic Pressure]]^2</f>
        <v>19600</v>
      </c>
      <c r="S129" s="2">
        <v>74</v>
      </c>
      <c r="T129" s="2">
        <f>Table834[[#This Row],[Night Diastolic Pressure]]^2</f>
        <v>5476</v>
      </c>
      <c r="U129" s="2">
        <v>88</v>
      </c>
      <c r="V129" s="2">
        <f>Table834[[#This Row],[Night Pulse]]^2</f>
        <v>7744</v>
      </c>
      <c r="W129" s="2">
        <v>10</v>
      </c>
      <c r="X129" s="2">
        <f>Table834[[#This Row],[Sleep]]^2</f>
        <v>100</v>
      </c>
      <c r="Y129" s="2">
        <f t="shared" si="3"/>
        <v>36.38383673469388</v>
      </c>
      <c r="Z129" s="2">
        <f>Table834[[#This Row],[BMI]]^2</f>
        <v>1323.7835755368599</v>
      </c>
      <c r="AA129" s="2">
        <f t="shared" si="2"/>
        <v>30.639085534675949</v>
      </c>
      <c r="AB129" s="2">
        <f>Table834[[#This Row],[CBF]]^2</f>
        <v>938.75356240118901</v>
      </c>
      <c r="AC129" s="2">
        <v>0</v>
      </c>
      <c r="AD129" s="2">
        <f>Table834[[#This Row],[Gym]]^2</f>
        <v>0</v>
      </c>
      <c r="AE129" s="2">
        <v>1</v>
      </c>
      <c r="AF129" s="2">
        <f>Table834[[#This Row],[Cardio]]^2</f>
        <v>1</v>
      </c>
      <c r="AG129" s="2">
        <v>7330.8238095238103</v>
      </c>
      <c r="AH129" s="2">
        <f>Table834[[#This Row],[Calories]]^2</f>
        <v>53740977.726281188</v>
      </c>
      <c r="AI129" s="2">
        <v>1146.0858333333333</v>
      </c>
      <c r="AJ129" s="2">
        <f>Table834[[#This Row],[Carbs]]^2</f>
        <v>1313512.7373673611</v>
      </c>
      <c r="AK129" s="2">
        <v>246.7717857142857</v>
      </c>
      <c r="AL129" s="2">
        <f>Table834[[#This Row],[Fat ]]^2</f>
        <v>60896.314224617337</v>
      </c>
      <c r="AM129" s="2">
        <v>150.10249999999999</v>
      </c>
      <c r="AN129" s="2">
        <f>Table834[[#This Row],[Protein]]^2</f>
        <v>22530.760506249997</v>
      </c>
      <c r="AO129" s="2">
        <v>41.461666666666673</v>
      </c>
      <c r="AP129" s="2">
        <f>Table834[[#This Row],[Fiber]]^2</f>
        <v>1719.0698027777782</v>
      </c>
      <c r="AQ129" s="2">
        <v>1012.2850000000001</v>
      </c>
      <c r="AR129" s="2">
        <f>Table834[[#This Row],[Sugar]]^2</f>
        <v>1024720.9212250002</v>
      </c>
      <c r="AS129" s="2">
        <v>140.6</v>
      </c>
      <c r="AT129" s="2">
        <f>Table834[[#This Row],[Servings]]^2</f>
        <v>19768.359999999997</v>
      </c>
      <c r="AU129" s="2">
        <v>0</v>
      </c>
      <c r="AV129" s="2">
        <f>Table834[[#This Row],[Water]]^2</f>
        <v>0</v>
      </c>
      <c r="AW129" s="2">
        <v>2220.9460714285715</v>
      </c>
      <c r="AX129" s="2">
        <f>Table834[[#This Row],[Fat Calories]]^2</f>
        <v>4932601.4521940053</v>
      </c>
      <c r="AY129" s="5">
        <f>Table834[[#This Row],[Weight]]*Table834[[#This Row],[Waist]]</f>
        <v>11031.6</v>
      </c>
      <c r="AZ129" s="6">
        <f>Table834[[#This Row],[Weight]]*Table834[[#This Row],[Neck]]</f>
        <v>4184.3999999999996</v>
      </c>
      <c r="BA129" s="6">
        <f>Table834[[#This Row],[Weight]]*Table834[[#This Row],[Morning Body Temp]]</f>
        <v>24928.879999999997</v>
      </c>
      <c r="BB129" s="6">
        <f>Table834[[#This Row],[Weight]]*Table834[[#This Row],[Morning Systolic Pressure]]</f>
        <v>40576</v>
      </c>
      <c r="BC129" s="12">
        <f>Table834[[#This Row],[Weight]]*Table834[[#This Row],[Morning Diastolic Pressure]]</f>
        <v>21556</v>
      </c>
      <c r="BD129" s="2">
        <f>Table834[[#This Row],[Weight]]*Table834[[#This Row],[Morning Pulse]]</f>
        <v>25106.399999999998</v>
      </c>
      <c r="BE129" s="2">
        <f>Table834[[#This Row],[Weight]]*Table834[[#This Row],[Night Body Temp]]</f>
        <v>24700.639999999999</v>
      </c>
      <c r="BF129" s="2">
        <f>Table834[[#This Row],[Weight]]*Table834[[#This Row],[Night Systolic Pressure]]</f>
        <v>35504</v>
      </c>
      <c r="BG129" s="4">
        <f>Table83[[#This Row],[Weight]]*Table83[[#This Row],[Night Diastolic Pressure]]</f>
        <v>18766.399999999998</v>
      </c>
      <c r="BH129" s="2">
        <f>Table834[[#This Row],[Weight]]*Table834[[#This Row],[Night Pulse]]</f>
        <v>22316.799999999999</v>
      </c>
      <c r="BI129" s="2">
        <f>Table834[[#This Row],[Weight]]*Table834[[#This Row],[Sleep]]</f>
        <v>2536</v>
      </c>
      <c r="BJ129" s="2">
        <f>Table834[[#This Row],[Weight]]*Table834[[#This Row],[BMI]]</f>
        <v>9226.9409959183668</v>
      </c>
      <c r="BK129" s="2">
        <f>Table834[[#This Row],[Weight]]*Table834[[#This Row],[CBF]]</f>
        <v>7770.0720915938209</v>
      </c>
      <c r="BL129" s="2">
        <f>Table834[[#This Row],[Weight]]*Table834[[#This Row],[Gym]]</f>
        <v>0</v>
      </c>
      <c r="BM129" s="2">
        <f>Table834[[#This Row],[Weight]]*Table834[[#This Row],[Cardio]]</f>
        <v>253.6</v>
      </c>
      <c r="BN129" s="2">
        <f>Table834[[#This Row],[Weight]]*Table834[[#This Row],[Calories]]</f>
        <v>1859096.9180952383</v>
      </c>
      <c r="BO129" s="2">
        <f>Table834[[#This Row],[Weight]]*Table834[[#This Row],[Carbs]]</f>
        <v>290647.3673333333</v>
      </c>
      <c r="BP129" s="2">
        <f>Table834[[#This Row],[Weight]]*Table834[[#This Row],[Fat ]]</f>
        <v>62581.324857142848</v>
      </c>
      <c r="BQ129" s="2">
        <f>Table834[[#This Row],[Weight]]*Table834[[#This Row],[Protein]]</f>
        <v>38065.993999999999</v>
      </c>
      <c r="BR129" s="2">
        <f>Table834[[#This Row],[Weight]]*Table834[[#This Row],[Fiber]]</f>
        <v>10514.678666666669</v>
      </c>
      <c r="BS129" s="2">
        <f>Table834[[#This Row],[Weight]]*Table834[[#This Row],[Sugar]]</f>
        <v>256715.47600000002</v>
      </c>
      <c r="BT129" s="2">
        <f>Table834[[#This Row],[Weight]]*Table834[[#This Row],[Servings]]</f>
        <v>35656.159999999996</v>
      </c>
      <c r="BU129" s="2">
        <f>Table834[[#This Row],[Weight]]*Table834[[#This Row],[Water]]</f>
        <v>0</v>
      </c>
      <c r="BV129" s="2">
        <f>Table834[[#This Row],[Weight]]*Table834[[#This Row],[Fat Calories]]</f>
        <v>563231.92371428572</v>
      </c>
      <c r="BW129" s="2">
        <f>Table834[[#This Row],[Waist]]*Table834[[#This Row],[Neck]]</f>
        <v>717.75</v>
      </c>
      <c r="BX129" s="2">
        <f>Table834[[#This Row],[Waist]]*Table834[[#This Row],[Morning Body Temp]]</f>
        <v>4276.05</v>
      </c>
      <c r="BY129" s="2">
        <f>Table834[[#This Row],[Waist]]*Table834[[#This Row],[Morning Systolic Pressure]]</f>
        <v>6960</v>
      </c>
      <c r="BZ129" s="2">
        <f>Table834[[#This Row],[Waist]]*Table834[[#This Row],[Morning Diastolic Pressure]]</f>
        <v>3697.5</v>
      </c>
      <c r="CA129" s="2">
        <f>Table834[[#This Row],[Waist]]*Table834[[#This Row],[Morning Pulse]]</f>
        <v>4306.5</v>
      </c>
      <c r="CB129" s="2">
        <f>Table834[[#This Row],[Waist]]*Table834[[#This Row],[Night Body Temp]]</f>
        <v>4236.9000000000005</v>
      </c>
      <c r="CC129" s="2">
        <f>Table834[[#This Row],[Waist]]*Table834[[#This Row],[Night Systolic Pressure]]</f>
        <v>6090</v>
      </c>
      <c r="CD129" s="4">
        <f>Table83[[#This Row],[Waist]]*Table83[[#This Row],[Night Diastolic Pressure]]</f>
        <v>3219</v>
      </c>
      <c r="CE129" s="2">
        <f>Table834[[#This Row],[Waist]]*Table834[[#This Row],[Night Pulse]]</f>
        <v>3828</v>
      </c>
      <c r="CF129" s="2">
        <f>Table834[[#This Row],[Waist]]*Table834[[#This Row],[Sleep]]</f>
        <v>435</v>
      </c>
      <c r="CG129" s="2">
        <f>Table834[[#This Row],[Waist]]*Table834[[#This Row],[BMI]]</f>
        <v>1582.6968979591838</v>
      </c>
      <c r="CH129" s="2">
        <f>Table834[[#This Row],[Waist]]*Table834[[#This Row],[CBF]]</f>
        <v>1332.8002207584038</v>
      </c>
      <c r="CI129" s="2">
        <f>Table834[[#This Row],[Waist]]*Table834[[#This Row],[Gym]]</f>
        <v>0</v>
      </c>
      <c r="CJ129" s="2">
        <f>Table834[[#This Row],[Waist]]*Table834[[#This Row],[Cardio]]</f>
        <v>43.5</v>
      </c>
      <c r="CK129" s="2">
        <f>Table834[[#This Row],[Waist]]*Table834[[#This Row],[Calories]]</f>
        <v>318890.83571428573</v>
      </c>
      <c r="CL129" s="2">
        <f>Table834[[#This Row],[Waist]]*Table834[[#This Row],[Carbs]]</f>
        <v>49854.733749999999</v>
      </c>
      <c r="CM129" s="2">
        <f>Table834[[#This Row],[Waist]]*Table834[[#This Row],[Fat ]]</f>
        <v>10734.572678571429</v>
      </c>
      <c r="CN129" s="2">
        <f>Table834[[#This Row],[Waist]]*Table834[[#This Row],[Protein]]</f>
        <v>6529.4587499999998</v>
      </c>
      <c r="CO129" s="2">
        <f>Table834[[#This Row],[Waist]]*Table834[[#This Row],[Fiber]]</f>
        <v>1803.5825000000002</v>
      </c>
      <c r="CP129" s="2">
        <f>Table834[[#This Row],[Waist]]*Table834[[#This Row],[Sugar]]</f>
        <v>44034.397500000006</v>
      </c>
      <c r="CQ129" s="2">
        <f>Table834[[#This Row],[Waist]]*Table834[[#This Row],[Servings]]</f>
        <v>6116.0999999999995</v>
      </c>
      <c r="CR129" s="2">
        <f>Table834[[#This Row],[Waist]]*Table834[[#This Row],[Water]]</f>
        <v>0</v>
      </c>
      <c r="CS129" s="2">
        <f>Table834[[#This Row],[Waist]]*Table834[[#This Row],[Fat Calories]]</f>
        <v>96611.154107142866</v>
      </c>
    </row>
    <row r="130" spans="1:97" x14ac:dyDescent="0.25">
      <c r="A130" s="2">
        <v>253</v>
      </c>
      <c r="B130" s="2">
        <f>Table834[[#This Row],[Weight]]^2</f>
        <v>64009</v>
      </c>
      <c r="C130" s="2">
        <v>43.5</v>
      </c>
      <c r="D130" s="2">
        <f>Table834[[#This Row],[Waist]]^2</f>
        <v>1892.25</v>
      </c>
      <c r="E130" s="2">
        <v>16.5</v>
      </c>
      <c r="F130" s="2">
        <f>Table834[[#This Row],[Neck]]^2</f>
        <v>272.25</v>
      </c>
      <c r="G130" s="2">
        <v>96.3</v>
      </c>
      <c r="H130" s="2">
        <f>Table834[[#This Row],[Morning Body Temp]]^2</f>
        <v>9273.6899999999987</v>
      </c>
      <c r="I130" s="2">
        <v>123</v>
      </c>
      <c r="J130" s="2">
        <f>Table834[[#This Row],[Morning Systolic Pressure]]^2</f>
        <v>15129</v>
      </c>
      <c r="K130" s="2">
        <v>84</v>
      </c>
      <c r="L130" s="2">
        <f>Table834[[#This Row],[Morning Diastolic Pressure]]^2</f>
        <v>7056</v>
      </c>
      <c r="M130" s="2">
        <v>67</v>
      </c>
      <c r="N130" s="2">
        <f>Table834[[#This Row],[Morning Pulse]]^2</f>
        <v>4489</v>
      </c>
      <c r="O130" s="2">
        <v>97.4</v>
      </c>
      <c r="P130" s="2">
        <f>Table834[[#This Row],[Night Body Temp]]^2</f>
        <v>9486.76</v>
      </c>
      <c r="Q130" s="2">
        <v>133</v>
      </c>
      <c r="R130" s="2">
        <f>Table834[[#This Row],[Night Systolic Pressure]]^2</f>
        <v>17689</v>
      </c>
      <c r="S130" s="2">
        <v>74</v>
      </c>
      <c r="T130" s="2">
        <f>Table834[[#This Row],[Night Diastolic Pressure]]^2</f>
        <v>5476</v>
      </c>
      <c r="U130" s="2">
        <v>72</v>
      </c>
      <c r="V130" s="2">
        <f>Table834[[#This Row],[Night Pulse]]^2</f>
        <v>5184</v>
      </c>
      <c r="W130" s="2">
        <v>14</v>
      </c>
      <c r="X130" s="2">
        <f>Table834[[#This Row],[Sleep]]^2</f>
        <v>196</v>
      </c>
      <c r="Y130" s="2">
        <f t="shared" si="3"/>
        <v>36.297755102040817</v>
      </c>
      <c r="Z130" s="2">
        <f>Table834[[#This Row],[BMI]]^2</f>
        <v>1317.5270254477302</v>
      </c>
      <c r="AA130" s="2">
        <f t="shared" ref="AA130:AA193" si="4">(86.01*LOG10(C130-E130))-(70.041*LOG10(70))+36.76</f>
        <v>30.639085534675949</v>
      </c>
      <c r="AB130" s="2">
        <f>Table834[[#This Row],[CBF]]^2</f>
        <v>938.75356240118901</v>
      </c>
      <c r="AC130" s="2">
        <v>0</v>
      </c>
      <c r="AD130" s="2">
        <f>Table834[[#This Row],[Gym]]^2</f>
        <v>0</v>
      </c>
      <c r="AE130" s="2">
        <v>1</v>
      </c>
      <c r="AF130" s="2">
        <f>Table834[[#This Row],[Cardio]]^2</f>
        <v>1</v>
      </c>
      <c r="AG130" s="2">
        <v>6810.4339285714286</v>
      </c>
      <c r="AH130" s="2">
        <f>Table834[[#This Row],[Calories]]^2</f>
        <v>46382010.295436867</v>
      </c>
      <c r="AI130" s="2">
        <v>947.95781250000005</v>
      </c>
      <c r="AJ130" s="2">
        <f>Table834[[#This Row],[Carbs]]^2</f>
        <v>898624.01427978522</v>
      </c>
      <c r="AK130" s="2">
        <v>253.04129464285711</v>
      </c>
      <c r="AL130" s="2">
        <f>Table834[[#This Row],[Fat ]]^2</f>
        <v>64029.896794533226</v>
      </c>
      <c r="AM130" s="2">
        <v>209.50156250000001</v>
      </c>
      <c r="AN130" s="2">
        <f>Table834[[#This Row],[Protein]]^2</f>
        <v>43890.90468994141</v>
      </c>
      <c r="AO130" s="2">
        <v>71.796875</v>
      </c>
      <c r="AP130" s="2">
        <f>Table834[[#This Row],[Fiber]]^2</f>
        <v>5154.791259765625</v>
      </c>
      <c r="AQ130" s="2">
        <v>540.84687499999995</v>
      </c>
      <c r="AR130" s="2">
        <f>Table834[[#This Row],[Sugar]]^2</f>
        <v>292515.34219726559</v>
      </c>
      <c r="AS130" s="2">
        <v>90</v>
      </c>
      <c r="AT130" s="2">
        <f>Table834[[#This Row],[Servings]]^2</f>
        <v>8100</v>
      </c>
      <c r="AU130" s="2">
        <v>1.25</v>
      </c>
      <c r="AV130" s="2">
        <f>Table834[[#This Row],[Water]]^2</f>
        <v>1.5625</v>
      </c>
      <c r="AW130" s="2">
        <v>2277.3716517857147</v>
      </c>
      <c r="AX130" s="2">
        <f>Table834[[#This Row],[Fat Calories]]^2</f>
        <v>5186421.6403571945</v>
      </c>
      <c r="AY130" s="3">
        <f>Table834[[#This Row],[Weight]]*Table834[[#This Row],[Waist]]</f>
        <v>11005.5</v>
      </c>
      <c r="AZ130" s="4">
        <f>Table834[[#This Row],[Weight]]*Table834[[#This Row],[Neck]]</f>
        <v>4174.5</v>
      </c>
      <c r="BA130" s="4">
        <f>Table834[[#This Row],[Weight]]*Table834[[#This Row],[Morning Body Temp]]</f>
        <v>24363.899999999998</v>
      </c>
      <c r="BB130" s="4">
        <f>Table834[[#This Row],[Weight]]*Table834[[#This Row],[Morning Systolic Pressure]]</f>
        <v>31119</v>
      </c>
      <c r="BC130" s="11">
        <f>Table834[[#This Row],[Weight]]*Table834[[#This Row],[Morning Diastolic Pressure]]</f>
        <v>21252</v>
      </c>
      <c r="BD130" s="2">
        <f>Table834[[#This Row],[Weight]]*Table834[[#This Row],[Morning Pulse]]</f>
        <v>16951</v>
      </c>
      <c r="BE130" s="2">
        <f>Table834[[#This Row],[Weight]]*Table834[[#This Row],[Night Body Temp]]</f>
        <v>24642.2</v>
      </c>
      <c r="BF130" s="2">
        <f>Table834[[#This Row],[Weight]]*Table834[[#This Row],[Night Systolic Pressure]]</f>
        <v>33649</v>
      </c>
      <c r="BG130" s="4">
        <f>Table83[[#This Row],[Weight]]*Table83[[#This Row],[Night Diastolic Pressure]]</f>
        <v>18722</v>
      </c>
      <c r="BH130" s="2">
        <f>Table834[[#This Row],[Weight]]*Table834[[#This Row],[Night Pulse]]</f>
        <v>18216</v>
      </c>
      <c r="BI130" s="2">
        <f>Table834[[#This Row],[Weight]]*Table834[[#This Row],[Sleep]]</f>
        <v>3542</v>
      </c>
      <c r="BJ130" s="2">
        <f>Table834[[#This Row],[Weight]]*Table834[[#This Row],[BMI]]</f>
        <v>9183.3320408163272</v>
      </c>
      <c r="BK130" s="2">
        <f>Table834[[#This Row],[Weight]]*Table834[[#This Row],[CBF]]</f>
        <v>7751.6886402730152</v>
      </c>
      <c r="BL130" s="2">
        <f>Table834[[#This Row],[Weight]]*Table834[[#This Row],[Gym]]</f>
        <v>0</v>
      </c>
      <c r="BM130" s="2">
        <f>Table834[[#This Row],[Weight]]*Table834[[#This Row],[Cardio]]</f>
        <v>253</v>
      </c>
      <c r="BN130" s="2">
        <f>Table834[[#This Row],[Weight]]*Table834[[#This Row],[Calories]]</f>
        <v>1723039.7839285715</v>
      </c>
      <c r="BO130" s="2">
        <f>Table834[[#This Row],[Weight]]*Table834[[#This Row],[Carbs]]</f>
        <v>239833.32656250001</v>
      </c>
      <c r="BP130" s="2">
        <f>Table834[[#This Row],[Weight]]*Table834[[#This Row],[Fat ]]</f>
        <v>64019.447544642848</v>
      </c>
      <c r="BQ130" s="2">
        <f>Table834[[#This Row],[Weight]]*Table834[[#This Row],[Protein]]</f>
        <v>53003.895312500004</v>
      </c>
      <c r="BR130" s="2">
        <f>Table834[[#This Row],[Weight]]*Table834[[#This Row],[Fiber]]</f>
        <v>18164.609375</v>
      </c>
      <c r="BS130" s="2">
        <f>Table834[[#This Row],[Weight]]*Table834[[#This Row],[Sugar]]</f>
        <v>136834.25937499999</v>
      </c>
      <c r="BT130" s="2">
        <f>Table834[[#This Row],[Weight]]*Table834[[#This Row],[Servings]]</f>
        <v>22770</v>
      </c>
      <c r="BU130" s="2">
        <f>Table834[[#This Row],[Weight]]*Table834[[#This Row],[Water]]</f>
        <v>316.25</v>
      </c>
      <c r="BV130" s="2">
        <f>Table834[[#This Row],[Weight]]*Table834[[#This Row],[Fat Calories]]</f>
        <v>576175.0279017858</v>
      </c>
      <c r="BW130" s="2">
        <f>Table834[[#This Row],[Waist]]*Table834[[#This Row],[Neck]]</f>
        <v>717.75</v>
      </c>
      <c r="BX130" s="2">
        <f>Table834[[#This Row],[Waist]]*Table834[[#This Row],[Morning Body Temp]]</f>
        <v>4189.05</v>
      </c>
      <c r="BY130" s="2">
        <f>Table834[[#This Row],[Waist]]*Table834[[#This Row],[Morning Systolic Pressure]]</f>
        <v>5350.5</v>
      </c>
      <c r="BZ130" s="2">
        <f>Table834[[#This Row],[Waist]]*Table834[[#This Row],[Morning Diastolic Pressure]]</f>
        <v>3654</v>
      </c>
      <c r="CA130" s="2">
        <f>Table834[[#This Row],[Waist]]*Table834[[#This Row],[Morning Pulse]]</f>
        <v>2914.5</v>
      </c>
      <c r="CB130" s="2">
        <f>Table834[[#This Row],[Waist]]*Table834[[#This Row],[Night Body Temp]]</f>
        <v>4236.9000000000005</v>
      </c>
      <c r="CC130" s="2">
        <f>Table834[[#This Row],[Waist]]*Table834[[#This Row],[Night Systolic Pressure]]</f>
        <v>5785.5</v>
      </c>
      <c r="CD130" s="4">
        <f>Table83[[#This Row],[Waist]]*Table83[[#This Row],[Night Diastolic Pressure]]</f>
        <v>3219</v>
      </c>
      <c r="CE130" s="2">
        <f>Table834[[#This Row],[Waist]]*Table834[[#This Row],[Night Pulse]]</f>
        <v>3132</v>
      </c>
      <c r="CF130" s="2">
        <f>Table834[[#This Row],[Waist]]*Table834[[#This Row],[Sleep]]</f>
        <v>609</v>
      </c>
      <c r="CG130" s="2">
        <f>Table834[[#This Row],[Waist]]*Table834[[#This Row],[BMI]]</f>
        <v>1578.9523469387755</v>
      </c>
      <c r="CH130" s="2">
        <f>Table834[[#This Row],[Waist]]*Table834[[#This Row],[CBF]]</f>
        <v>1332.8002207584038</v>
      </c>
      <c r="CI130" s="2">
        <f>Table834[[#This Row],[Waist]]*Table834[[#This Row],[Gym]]</f>
        <v>0</v>
      </c>
      <c r="CJ130" s="2">
        <f>Table834[[#This Row],[Waist]]*Table834[[#This Row],[Cardio]]</f>
        <v>43.5</v>
      </c>
      <c r="CK130" s="2">
        <f>Table834[[#This Row],[Waist]]*Table834[[#This Row],[Calories]]</f>
        <v>296253.87589285715</v>
      </c>
      <c r="CL130" s="2">
        <f>Table834[[#This Row],[Waist]]*Table834[[#This Row],[Carbs]]</f>
        <v>41236.164843750004</v>
      </c>
      <c r="CM130" s="2">
        <f>Table834[[#This Row],[Waist]]*Table834[[#This Row],[Fat ]]</f>
        <v>11007.296316964284</v>
      </c>
      <c r="CN130" s="2">
        <f>Table834[[#This Row],[Waist]]*Table834[[#This Row],[Protein]]</f>
        <v>9113.3179687499996</v>
      </c>
      <c r="CO130" s="2">
        <f>Table834[[#This Row],[Waist]]*Table834[[#This Row],[Fiber]]</f>
        <v>3123.1640625</v>
      </c>
      <c r="CP130" s="2">
        <f>Table834[[#This Row],[Waist]]*Table834[[#This Row],[Sugar]]</f>
        <v>23526.839062499999</v>
      </c>
      <c r="CQ130" s="2">
        <f>Table834[[#This Row],[Waist]]*Table834[[#This Row],[Servings]]</f>
        <v>3915</v>
      </c>
      <c r="CR130" s="2">
        <f>Table834[[#This Row],[Waist]]*Table834[[#This Row],[Water]]</f>
        <v>54.375</v>
      </c>
      <c r="CS130" s="2">
        <f>Table834[[#This Row],[Waist]]*Table834[[#This Row],[Fat Calories]]</f>
        <v>99065.666852678594</v>
      </c>
    </row>
    <row r="131" spans="1:97" x14ac:dyDescent="0.25">
      <c r="A131" s="2">
        <v>257.2</v>
      </c>
      <c r="B131" s="2">
        <f>Table834[[#This Row],[Weight]]^2</f>
        <v>66151.839999999997</v>
      </c>
      <c r="C131" s="2">
        <v>44</v>
      </c>
      <c r="D131" s="2">
        <f>Table834[[#This Row],[Waist]]^2</f>
        <v>1936</v>
      </c>
      <c r="E131" s="2">
        <v>16.5</v>
      </c>
      <c r="F131" s="2">
        <f>Table834[[#This Row],[Neck]]^2</f>
        <v>272.25</v>
      </c>
      <c r="G131" s="2">
        <v>96.3</v>
      </c>
      <c r="H131" s="2">
        <f>Table834[[#This Row],[Morning Body Temp]]^2</f>
        <v>9273.6899999999987</v>
      </c>
      <c r="I131" s="2">
        <v>130</v>
      </c>
      <c r="J131" s="2">
        <f>Table834[[#This Row],[Morning Systolic Pressure]]^2</f>
        <v>16900</v>
      </c>
      <c r="K131" s="2">
        <v>75</v>
      </c>
      <c r="L131" s="2">
        <f>Table834[[#This Row],[Morning Diastolic Pressure]]^2</f>
        <v>5625</v>
      </c>
      <c r="M131" s="2">
        <v>77</v>
      </c>
      <c r="N131" s="2">
        <f>Table834[[#This Row],[Morning Pulse]]^2</f>
        <v>5929</v>
      </c>
      <c r="O131" s="2">
        <v>96.9</v>
      </c>
      <c r="P131" s="2">
        <f>Table834[[#This Row],[Night Body Temp]]^2</f>
        <v>9389.61</v>
      </c>
      <c r="Q131" s="2">
        <v>146</v>
      </c>
      <c r="R131" s="2">
        <f>Table834[[#This Row],[Night Systolic Pressure]]^2</f>
        <v>21316</v>
      </c>
      <c r="S131" s="2">
        <v>77</v>
      </c>
      <c r="T131" s="2">
        <f>Table834[[#This Row],[Night Diastolic Pressure]]^2</f>
        <v>5929</v>
      </c>
      <c r="U131" s="2">
        <v>76</v>
      </c>
      <c r="V131" s="2">
        <f>Table834[[#This Row],[Night Pulse]]^2</f>
        <v>5776</v>
      </c>
      <c r="W131" s="2">
        <v>10</v>
      </c>
      <c r="X131" s="2">
        <f>Table834[[#This Row],[Sleep]]^2</f>
        <v>100</v>
      </c>
      <c r="Y131" s="2">
        <f t="shared" ref="Y131:Y194" si="5">(A131/4900)*703</f>
        <v>36.900326530612247</v>
      </c>
      <c r="Z131" s="2">
        <f>Table834[[#This Row],[BMI]]^2</f>
        <v>1361.634098065806</v>
      </c>
      <c r="AA131" s="2">
        <f t="shared" si="4"/>
        <v>31.324493175702337</v>
      </c>
      <c r="AB131" s="2">
        <f>Table834[[#This Row],[CBF]]^2</f>
        <v>981.2238727146223</v>
      </c>
      <c r="AC131" s="2">
        <v>0</v>
      </c>
      <c r="AD131" s="2">
        <f>Table834[[#This Row],[Gym]]^2</f>
        <v>0</v>
      </c>
      <c r="AE131" s="2">
        <v>1</v>
      </c>
      <c r="AF131" s="2">
        <f>Table834[[#This Row],[Cardio]]^2</f>
        <v>1</v>
      </c>
      <c r="AG131" s="2">
        <v>5391.7351190476193</v>
      </c>
      <c r="AH131" s="2">
        <f>Table834[[#This Row],[Calories]]^2</f>
        <v>29070807.593971446</v>
      </c>
      <c r="AI131" s="2">
        <v>746.953125</v>
      </c>
      <c r="AJ131" s="2">
        <f>Table834[[#This Row],[Carbs]]^2</f>
        <v>557938.97094726563</v>
      </c>
      <c r="AK131" s="2">
        <v>223.14419642857143</v>
      </c>
      <c r="AL131" s="2">
        <f>Table834[[#This Row],[Fat ]]^2</f>
        <v>49793.332399752871</v>
      </c>
      <c r="AM131" s="2">
        <v>129.65729166666665</v>
      </c>
      <c r="AN131" s="2">
        <f>Table834[[#This Row],[Protein]]^2</f>
        <v>16811.013282335065</v>
      </c>
      <c r="AO131" s="2">
        <v>30.235416666666666</v>
      </c>
      <c r="AP131" s="2">
        <f>Table834[[#This Row],[Fiber]]^2</f>
        <v>914.18042100694436</v>
      </c>
      <c r="AQ131" s="2">
        <v>427.88333333333333</v>
      </c>
      <c r="AR131" s="2">
        <f>Table834[[#This Row],[Sugar]]^2</f>
        <v>183084.14694444445</v>
      </c>
      <c r="AS131" s="2">
        <v>67</v>
      </c>
      <c r="AT131" s="2">
        <f>Table834[[#This Row],[Servings]]^2</f>
        <v>4489</v>
      </c>
      <c r="AU131" s="2">
        <v>0.25</v>
      </c>
      <c r="AV131" s="2">
        <f>Table834[[#This Row],[Water]]^2</f>
        <v>6.25E-2</v>
      </c>
      <c r="AW131" s="2">
        <v>2008.2977678571428</v>
      </c>
      <c r="AX131" s="2">
        <f>Table834[[#This Row],[Fat Calories]]^2</f>
        <v>4033259.9243799825</v>
      </c>
      <c r="AY131" s="5">
        <f>Table834[[#This Row],[Weight]]*Table834[[#This Row],[Waist]]</f>
        <v>11316.8</v>
      </c>
      <c r="AZ131" s="6">
        <f>Table834[[#This Row],[Weight]]*Table834[[#This Row],[Neck]]</f>
        <v>4243.8</v>
      </c>
      <c r="BA131" s="6">
        <f>Table834[[#This Row],[Weight]]*Table834[[#This Row],[Morning Body Temp]]</f>
        <v>24768.359999999997</v>
      </c>
      <c r="BB131" s="6">
        <f>Table834[[#This Row],[Weight]]*Table834[[#This Row],[Morning Systolic Pressure]]</f>
        <v>33436</v>
      </c>
      <c r="BC131" s="12">
        <f>Table834[[#This Row],[Weight]]*Table834[[#This Row],[Morning Diastolic Pressure]]</f>
        <v>19290</v>
      </c>
      <c r="BD131" s="2">
        <f>Table834[[#This Row],[Weight]]*Table834[[#This Row],[Morning Pulse]]</f>
        <v>19804.399999999998</v>
      </c>
      <c r="BE131" s="2">
        <f>Table834[[#This Row],[Weight]]*Table834[[#This Row],[Night Body Temp]]</f>
        <v>24922.68</v>
      </c>
      <c r="BF131" s="2">
        <f>Table834[[#This Row],[Weight]]*Table834[[#This Row],[Night Systolic Pressure]]</f>
        <v>37551.199999999997</v>
      </c>
      <c r="BG131" s="4">
        <f>Table83[[#This Row],[Weight]]*Table83[[#This Row],[Night Diastolic Pressure]]</f>
        <v>19804.399999999998</v>
      </c>
      <c r="BH131" s="2">
        <f>Table834[[#This Row],[Weight]]*Table834[[#This Row],[Night Pulse]]</f>
        <v>19547.2</v>
      </c>
      <c r="BI131" s="2">
        <f>Table834[[#This Row],[Weight]]*Table834[[#This Row],[Sleep]]</f>
        <v>2572</v>
      </c>
      <c r="BJ131" s="2">
        <f>Table834[[#This Row],[Weight]]*Table834[[#This Row],[BMI]]</f>
        <v>9490.7639836734688</v>
      </c>
      <c r="BK131" s="2">
        <f>Table834[[#This Row],[Weight]]*Table834[[#This Row],[CBF]]</f>
        <v>8056.6596447906404</v>
      </c>
      <c r="BL131" s="2">
        <f>Table834[[#This Row],[Weight]]*Table834[[#This Row],[Gym]]</f>
        <v>0</v>
      </c>
      <c r="BM131" s="2">
        <f>Table834[[#This Row],[Weight]]*Table834[[#This Row],[Cardio]]</f>
        <v>257.2</v>
      </c>
      <c r="BN131" s="2">
        <f>Table834[[#This Row],[Weight]]*Table834[[#This Row],[Calories]]</f>
        <v>1386754.2726190477</v>
      </c>
      <c r="BO131" s="2">
        <f>Table834[[#This Row],[Weight]]*Table834[[#This Row],[Carbs]]</f>
        <v>192116.34375</v>
      </c>
      <c r="BP131" s="2">
        <f>Table834[[#This Row],[Weight]]*Table834[[#This Row],[Fat ]]</f>
        <v>57392.687321428573</v>
      </c>
      <c r="BQ131" s="2">
        <f>Table834[[#This Row],[Weight]]*Table834[[#This Row],[Protein]]</f>
        <v>33347.855416666658</v>
      </c>
      <c r="BR131" s="2">
        <f>Table834[[#This Row],[Weight]]*Table834[[#This Row],[Fiber]]</f>
        <v>7776.5491666666658</v>
      </c>
      <c r="BS131" s="2">
        <f>Table834[[#This Row],[Weight]]*Table834[[#This Row],[Sugar]]</f>
        <v>110051.59333333332</v>
      </c>
      <c r="BT131" s="2">
        <f>Table834[[#This Row],[Weight]]*Table834[[#This Row],[Servings]]</f>
        <v>17232.399999999998</v>
      </c>
      <c r="BU131" s="2">
        <f>Table834[[#This Row],[Weight]]*Table834[[#This Row],[Water]]</f>
        <v>64.3</v>
      </c>
      <c r="BV131" s="2">
        <f>Table834[[#This Row],[Weight]]*Table834[[#This Row],[Fat Calories]]</f>
        <v>516534.18589285715</v>
      </c>
      <c r="BW131" s="2">
        <f>Table834[[#This Row],[Waist]]*Table834[[#This Row],[Neck]]</f>
        <v>726</v>
      </c>
      <c r="BX131" s="2">
        <f>Table834[[#This Row],[Waist]]*Table834[[#This Row],[Morning Body Temp]]</f>
        <v>4237.2</v>
      </c>
      <c r="BY131" s="2">
        <f>Table834[[#This Row],[Waist]]*Table834[[#This Row],[Morning Systolic Pressure]]</f>
        <v>5720</v>
      </c>
      <c r="BZ131" s="2">
        <f>Table834[[#This Row],[Waist]]*Table834[[#This Row],[Morning Diastolic Pressure]]</f>
        <v>3300</v>
      </c>
      <c r="CA131" s="2">
        <f>Table834[[#This Row],[Waist]]*Table834[[#This Row],[Morning Pulse]]</f>
        <v>3388</v>
      </c>
      <c r="CB131" s="2">
        <f>Table834[[#This Row],[Waist]]*Table834[[#This Row],[Night Body Temp]]</f>
        <v>4263.6000000000004</v>
      </c>
      <c r="CC131" s="2">
        <f>Table834[[#This Row],[Waist]]*Table834[[#This Row],[Night Systolic Pressure]]</f>
        <v>6424</v>
      </c>
      <c r="CD131" s="4">
        <f>Table83[[#This Row],[Waist]]*Table83[[#This Row],[Night Diastolic Pressure]]</f>
        <v>3388</v>
      </c>
      <c r="CE131" s="2">
        <f>Table834[[#This Row],[Waist]]*Table834[[#This Row],[Night Pulse]]</f>
        <v>3344</v>
      </c>
      <c r="CF131" s="2">
        <f>Table834[[#This Row],[Waist]]*Table834[[#This Row],[Sleep]]</f>
        <v>440</v>
      </c>
      <c r="CG131" s="2">
        <f>Table834[[#This Row],[Waist]]*Table834[[#This Row],[BMI]]</f>
        <v>1623.6143673469389</v>
      </c>
      <c r="CH131" s="2">
        <f>Table834[[#This Row],[Waist]]*Table834[[#This Row],[CBF]]</f>
        <v>1378.2776997309029</v>
      </c>
      <c r="CI131" s="2">
        <f>Table834[[#This Row],[Waist]]*Table834[[#This Row],[Gym]]</f>
        <v>0</v>
      </c>
      <c r="CJ131" s="2">
        <f>Table834[[#This Row],[Waist]]*Table834[[#This Row],[Cardio]]</f>
        <v>44</v>
      </c>
      <c r="CK131" s="2">
        <f>Table834[[#This Row],[Waist]]*Table834[[#This Row],[Calories]]</f>
        <v>237236.34523809524</v>
      </c>
      <c r="CL131" s="2">
        <f>Table834[[#This Row],[Waist]]*Table834[[#This Row],[Carbs]]</f>
        <v>32865.9375</v>
      </c>
      <c r="CM131" s="2">
        <f>Table834[[#This Row],[Waist]]*Table834[[#This Row],[Fat ]]</f>
        <v>9818.3446428571424</v>
      </c>
      <c r="CN131" s="2">
        <f>Table834[[#This Row],[Waist]]*Table834[[#This Row],[Protein]]</f>
        <v>5704.9208333333327</v>
      </c>
      <c r="CO131" s="2">
        <f>Table834[[#This Row],[Waist]]*Table834[[#This Row],[Fiber]]</f>
        <v>1330.3583333333333</v>
      </c>
      <c r="CP131" s="2">
        <f>Table834[[#This Row],[Waist]]*Table834[[#This Row],[Sugar]]</f>
        <v>18826.866666666665</v>
      </c>
      <c r="CQ131" s="2">
        <f>Table834[[#This Row],[Waist]]*Table834[[#This Row],[Servings]]</f>
        <v>2948</v>
      </c>
      <c r="CR131" s="2">
        <f>Table834[[#This Row],[Waist]]*Table834[[#This Row],[Water]]</f>
        <v>11</v>
      </c>
      <c r="CS131" s="2">
        <f>Table834[[#This Row],[Waist]]*Table834[[#This Row],[Fat Calories]]</f>
        <v>88365.101785714287</v>
      </c>
    </row>
    <row r="132" spans="1:97" x14ac:dyDescent="0.25">
      <c r="A132" s="2">
        <v>254.6</v>
      </c>
      <c r="B132" s="2">
        <f>Table834[[#This Row],[Weight]]^2</f>
        <v>64821.159999999996</v>
      </c>
      <c r="C132" s="2">
        <v>44</v>
      </c>
      <c r="D132" s="2">
        <f>Table834[[#This Row],[Waist]]^2</f>
        <v>1936</v>
      </c>
      <c r="E132" s="2">
        <v>16.5</v>
      </c>
      <c r="F132" s="2">
        <f>Table834[[#This Row],[Neck]]^2</f>
        <v>272.25</v>
      </c>
      <c r="G132" s="2">
        <v>96.8</v>
      </c>
      <c r="H132" s="2">
        <f>Table834[[#This Row],[Morning Body Temp]]^2</f>
        <v>9370.24</v>
      </c>
      <c r="I132" s="2">
        <v>137</v>
      </c>
      <c r="J132" s="2">
        <f>Table834[[#This Row],[Morning Systolic Pressure]]^2</f>
        <v>18769</v>
      </c>
      <c r="K132" s="2">
        <v>81</v>
      </c>
      <c r="L132" s="2">
        <f>Table834[[#This Row],[Morning Diastolic Pressure]]^2</f>
        <v>6561</v>
      </c>
      <c r="M132" s="2">
        <v>73</v>
      </c>
      <c r="N132" s="2">
        <f>Table834[[#This Row],[Morning Pulse]]^2</f>
        <v>5329</v>
      </c>
      <c r="O132" s="2">
        <v>97.4</v>
      </c>
      <c r="P132" s="2">
        <f>Table834[[#This Row],[Night Body Temp]]^2</f>
        <v>9486.76</v>
      </c>
      <c r="Q132" s="2">
        <v>143</v>
      </c>
      <c r="R132" s="2">
        <f>Table834[[#This Row],[Night Systolic Pressure]]^2</f>
        <v>20449</v>
      </c>
      <c r="S132" s="2">
        <v>77</v>
      </c>
      <c r="T132" s="2">
        <f>Table834[[#This Row],[Night Diastolic Pressure]]^2</f>
        <v>5929</v>
      </c>
      <c r="U132" s="2">
        <v>77</v>
      </c>
      <c r="V132" s="2">
        <f>Table834[[#This Row],[Night Pulse]]^2</f>
        <v>5929</v>
      </c>
      <c r="W132" s="2">
        <v>1</v>
      </c>
      <c r="X132" s="2">
        <f>Table834[[#This Row],[Sleep]]^2</f>
        <v>1</v>
      </c>
      <c r="Y132" s="2">
        <f t="shared" si="5"/>
        <v>36.527306122448977</v>
      </c>
      <c r="Z132" s="2">
        <f>Table834[[#This Row],[BMI]]^2</f>
        <v>1334.2440925630985</v>
      </c>
      <c r="AA132" s="2">
        <f t="shared" si="4"/>
        <v>31.324493175702337</v>
      </c>
      <c r="AB132" s="2">
        <f>Table834[[#This Row],[CBF]]^2</f>
        <v>981.2238727146223</v>
      </c>
      <c r="AC132" s="2">
        <v>0</v>
      </c>
      <c r="AD132" s="2">
        <f>Table834[[#This Row],[Gym]]^2</f>
        <v>0</v>
      </c>
      <c r="AE132" s="2">
        <v>1</v>
      </c>
      <c r="AF132" s="2">
        <f>Table834[[#This Row],[Cardio]]^2</f>
        <v>1</v>
      </c>
      <c r="AG132" s="2">
        <v>4849.4448214285712</v>
      </c>
      <c r="AH132" s="2">
        <f>Table834[[#This Row],[Calories]]^2</f>
        <v>23517115.076080386</v>
      </c>
      <c r="AI132" s="2">
        <v>581.27920833333326</v>
      </c>
      <c r="AJ132" s="2">
        <f>Table834[[#This Row],[Carbs]]^2</f>
        <v>337885.51804062666</v>
      </c>
      <c r="AK132" s="2">
        <v>204.39239285714285</v>
      </c>
      <c r="AL132" s="2">
        <f>Table834[[#This Row],[Fat ]]^2</f>
        <v>41776.250257868618</v>
      </c>
      <c r="AM132" s="2">
        <v>168.54454166666667</v>
      </c>
      <c r="AN132" s="2">
        <f>Table834[[#This Row],[Protein]]^2</f>
        <v>28407.262525626738</v>
      </c>
      <c r="AO132" s="2">
        <v>56.406333333333336</v>
      </c>
      <c r="AP132" s="2">
        <f>Table834[[#This Row],[Fiber]]^2</f>
        <v>3181.6744401111114</v>
      </c>
      <c r="AQ132" s="2">
        <v>334.10370833333332</v>
      </c>
      <c r="AR132" s="2">
        <f>Table834[[#This Row],[Sugar]]^2</f>
        <v>111625.28792208506</v>
      </c>
      <c r="AS132" s="2">
        <v>78.22999999999999</v>
      </c>
      <c r="AT132" s="2">
        <f>Table834[[#This Row],[Servings]]^2</f>
        <v>6119.932899999998</v>
      </c>
      <c r="AU132" s="2">
        <v>0.25</v>
      </c>
      <c r="AV132" s="2">
        <f>Table834[[#This Row],[Water]]^2</f>
        <v>6.25E-2</v>
      </c>
      <c r="AW132" s="2">
        <v>1839.5315357142856</v>
      </c>
      <c r="AX132" s="2">
        <f>Table834[[#This Row],[Fat Calories]]^2</f>
        <v>3383876.2708873581</v>
      </c>
      <c r="AY132" s="3">
        <f>Table834[[#This Row],[Weight]]*Table834[[#This Row],[Waist]]</f>
        <v>11202.4</v>
      </c>
      <c r="AZ132" s="4">
        <f>Table834[[#This Row],[Weight]]*Table834[[#This Row],[Neck]]</f>
        <v>4200.8999999999996</v>
      </c>
      <c r="BA132" s="4">
        <f>Table834[[#This Row],[Weight]]*Table834[[#This Row],[Morning Body Temp]]</f>
        <v>24645.279999999999</v>
      </c>
      <c r="BB132" s="4">
        <f>Table834[[#This Row],[Weight]]*Table834[[#This Row],[Morning Systolic Pressure]]</f>
        <v>34880.199999999997</v>
      </c>
      <c r="BC132" s="11">
        <f>Table834[[#This Row],[Weight]]*Table834[[#This Row],[Morning Diastolic Pressure]]</f>
        <v>20622.599999999999</v>
      </c>
      <c r="BD132" s="2">
        <f>Table834[[#This Row],[Weight]]*Table834[[#This Row],[Morning Pulse]]</f>
        <v>18585.8</v>
      </c>
      <c r="BE132" s="2">
        <f>Table834[[#This Row],[Weight]]*Table834[[#This Row],[Night Body Temp]]</f>
        <v>24798.04</v>
      </c>
      <c r="BF132" s="2">
        <f>Table834[[#This Row],[Weight]]*Table834[[#This Row],[Night Systolic Pressure]]</f>
        <v>36407.799999999996</v>
      </c>
      <c r="BG132" s="4">
        <f>Table83[[#This Row],[Weight]]*Table83[[#This Row],[Night Diastolic Pressure]]</f>
        <v>19604.2</v>
      </c>
      <c r="BH132" s="2">
        <f>Table834[[#This Row],[Weight]]*Table834[[#This Row],[Night Pulse]]</f>
        <v>19604.2</v>
      </c>
      <c r="BI132" s="2">
        <f>Table834[[#This Row],[Weight]]*Table834[[#This Row],[Sleep]]</f>
        <v>254.6</v>
      </c>
      <c r="BJ132" s="2">
        <f>Table834[[#This Row],[Weight]]*Table834[[#This Row],[BMI]]</f>
        <v>9299.85213877551</v>
      </c>
      <c r="BK132" s="2">
        <f>Table834[[#This Row],[Weight]]*Table834[[#This Row],[CBF]]</f>
        <v>7975.2159625338145</v>
      </c>
      <c r="BL132" s="2">
        <f>Table834[[#This Row],[Weight]]*Table834[[#This Row],[Gym]]</f>
        <v>0</v>
      </c>
      <c r="BM132" s="2">
        <f>Table834[[#This Row],[Weight]]*Table834[[#This Row],[Cardio]]</f>
        <v>254.6</v>
      </c>
      <c r="BN132" s="2">
        <f>Table834[[#This Row],[Weight]]*Table834[[#This Row],[Calories]]</f>
        <v>1234668.6515357143</v>
      </c>
      <c r="BO132" s="2">
        <f>Table834[[#This Row],[Weight]]*Table834[[#This Row],[Carbs]]</f>
        <v>147993.68644166665</v>
      </c>
      <c r="BP132" s="2">
        <f>Table834[[#This Row],[Weight]]*Table834[[#This Row],[Fat ]]</f>
        <v>52038.30322142857</v>
      </c>
      <c r="BQ132" s="2">
        <f>Table834[[#This Row],[Weight]]*Table834[[#This Row],[Protein]]</f>
        <v>42911.440308333331</v>
      </c>
      <c r="BR132" s="2">
        <f>Table834[[#This Row],[Weight]]*Table834[[#This Row],[Fiber]]</f>
        <v>14361.052466666668</v>
      </c>
      <c r="BS132" s="2">
        <f>Table834[[#This Row],[Weight]]*Table834[[#This Row],[Sugar]]</f>
        <v>85062.804141666667</v>
      </c>
      <c r="BT132" s="2">
        <f>Table834[[#This Row],[Weight]]*Table834[[#This Row],[Servings]]</f>
        <v>19917.357999999997</v>
      </c>
      <c r="BU132" s="2">
        <f>Table834[[#This Row],[Weight]]*Table834[[#This Row],[Water]]</f>
        <v>63.65</v>
      </c>
      <c r="BV132" s="2">
        <f>Table834[[#This Row],[Weight]]*Table834[[#This Row],[Fat Calories]]</f>
        <v>468344.7289928571</v>
      </c>
      <c r="BW132" s="2">
        <f>Table834[[#This Row],[Waist]]*Table834[[#This Row],[Neck]]</f>
        <v>726</v>
      </c>
      <c r="BX132" s="2">
        <f>Table834[[#This Row],[Waist]]*Table834[[#This Row],[Morning Body Temp]]</f>
        <v>4259.2</v>
      </c>
      <c r="BY132" s="2">
        <f>Table834[[#This Row],[Waist]]*Table834[[#This Row],[Morning Systolic Pressure]]</f>
        <v>6028</v>
      </c>
      <c r="BZ132" s="2">
        <f>Table834[[#This Row],[Waist]]*Table834[[#This Row],[Morning Diastolic Pressure]]</f>
        <v>3564</v>
      </c>
      <c r="CA132" s="2">
        <f>Table834[[#This Row],[Waist]]*Table834[[#This Row],[Morning Pulse]]</f>
        <v>3212</v>
      </c>
      <c r="CB132" s="2">
        <f>Table834[[#This Row],[Waist]]*Table834[[#This Row],[Night Body Temp]]</f>
        <v>4285.6000000000004</v>
      </c>
      <c r="CC132" s="2">
        <f>Table834[[#This Row],[Waist]]*Table834[[#This Row],[Night Systolic Pressure]]</f>
        <v>6292</v>
      </c>
      <c r="CD132" s="4">
        <f>Table83[[#This Row],[Waist]]*Table83[[#This Row],[Night Diastolic Pressure]]</f>
        <v>3388</v>
      </c>
      <c r="CE132" s="2">
        <f>Table834[[#This Row],[Waist]]*Table834[[#This Row],[Night Pulse]]</f>
        <v>3388</v>
      </c>
      <c r="CF132" s="2">
        <f>Table834[[#This Row],[Waist]]*Table834[[#This Row],[Sleep]]</f>
        <v>44</v>
      </c>
      <c r="CG132" s="2">
        <f>Table834[[#This Row],[Waist]]*Table834[[#This Row],[BMI]]</f>
        <v>1607.201469387755</v>
      </c>
      <c r="CH132" s="2">
        <f>Table834[[#This Row],[Waist]]*Table834[[#This Row],[CBF]]</f>
        <v>1378.2776997309029</v>
      </c>
      <c r="CI132" s="2">
        <f>Table834[[#This Row],[Waist]]*Table834[[#This Row],[Gym]]</f>
        <v>0</v>
      </c>
      <c r="CJ132" s="2">
        <f>Table834[[#This Row],[Waist]]*Table834[[#This Row],[Cardio]]</f>
        <v>44</v>
      </c>
      <c r="CK132" s="2">
        <f>Table834[[#This Row],[Waist]]*Table834[[#This Row],[Calories]]</f>
        <v>213375.57214285713</v>
      </c>
      <c r="CL132" s="2">
        <f>Table834[[#This Row],[Waist]]*Table834[[#This Row],[Carbs]]</f>
        <v>25576.285166666665</v>
      </c>
      <c r="CM132" s="2">
        <f>Table834[[#This Row],[Waist]]*Table834[[#This Row],[Fat ]]</f>
        <v>8993.2652857142857</v>
      </c>
      <c r="CN132" s="2">
        <f>Table834[[#This Row],[Waist]]*Table834[[#This Row],[Protein]]</f>
        <v>7415.9598333333333</v>
      </c>
      <c r="CO132" s="2">
        <f>Table834[[#This Row],[Waist]]*Table834[[#This Row],[Fiber]]</f>
        <v>2481.878666666667</v>
      </c>
      <c r="CP132" s="2">
        <f>Table834[[#This Row],[Waist]]*Table834[[#This Row],[Sugar]]</f>
        <v>14700.563166666667</v>
      </c>
      <c r="CQ132" s="2">
        <f>Table834[[#This Row],[Waist]]*Table834[[#This Row],[Servings]]</f>
        <v>3442.1199999999994</v>
      </c>
      <c r="CR132" s="2">
        <f>Table834[[#This Row],[Waist]]*Table834[[#This Row],[Water]]</f>
        <v>11</v>
      </c>
      <c r="CS132" s="2">
        <f>Table834[[#This Row],[Waist]]*Table834[[#This Row],[Fat Calories]]</f>
        <v>80939.387571428568</v>
      </c>
    </row>
    <row r="133" spans="1:97" x14ac:dyDescent="0.25">
      <c r="A133" s="2">
        <v>255.2</v>
      </c>
      <c r="B133" s="2">
        <f>Table834[[#This Row],[Weight]]^2</f>
        <v>65127.039999999994</v>
      </c>
      <c r="C133" s="2">
        <v>44</v>
      </c>
      <c r="D133" s="2">
        <f>Table834[[#This Row],[Waist]]^2</f>
        <v>1936</v>
      </c>
      <c r="E133" s="2">
        <v>16.5</v>
      </c>
      <c r="F133" s="2">
        <f>Table834[[#This Row],[Neck]]^2</f>
        <v>272.25</v>
      </c>
      <c r="G133" s="2">
        <v>96.4</v>
      </c>
      <c r="H133" s="2">
        <f>Table834[[#This Row],[Morning Body Temp]]^2</f>
        <v>9292.9600000000009</v>
      </c>
      <c r="I133" s="2">
        <v>136</v>
      </c>
      <c r="J133" s="2">
        <f>Table834[[#This Row],[Morning Systolic Pressure]]^2</f>
        <v>18496</v>
      </c>
      <c r="K133" s="2">
        <v>74</v>
      </c>
      <c r="L133" s="2">
        <f>Table834[[#This Row],[Morning Diastolic Pressure]]^2</f>
        <v>5476</v>
      </c>
      <c r="M133" s="2">
        <v>74</v>
      </c>
      <c r="N133" s="2">
        <f>Table834[[#This Row],[Morning Pulse]]^2</f>
        <v>5476</v>
      </c>
      <c r="O133" s="2">
        <v>97.2</v>
      </c>
      <c r="P133" s="2">
        <f>Table834[[#This Row],[Night Body Temp]]^2</f>
        <v>9447.84</v>
      </c>
      <c r="Q133" s="2">
        <v>127</v>
      </c>
      <c r="R133" s="2">
        <f>Table834[[#This Row],[Night Systolic Pressure]]^2</f>
        <v>16129</v>
      </c>
      <c r="S133" s="2">
        <v>75</v>
      </c>
      <c r="T133" s="2">
        <f>Table834[[#This Row],[Night Diastolic Pressure]]^2</f>
        <v>5625</v>
      </c>
      <c r="U133" s="2">
        <v>73</v>
      </c>
      <c r="V133" s="2">
        <f>Table834[[#This Row],[Night Pulse]]^2</f>
        <v>5329</v>
      </c>
      <c r="W133" s="2">
        <v>5</v>
      </c>
      <c r="X133" s="2">
        <f>Table834[[#This Row],[Sleep]]^2</f>
        <v>25</v>
      </c>
      <c r="Y133" s="2">
        <f t="shared" si="5"/>
        <v>36.613387755102039</v>
      </c>
      <c r="Z133" s="2">
        <f>Table834[[#This Row],[BMI]]^2</f>
        <v>1340.5401629054559</v>
      </c>
      <c r="AA133" s="2">
        <f t="shared" si="4"/>
        <v>31.324493175702337</v>
      </c>
      <c r="AB133" s="2">
        <f>Table834[[#This Row],[CBF]]^2</f>
        <v>981.2238727146223</v>
      </c>
      <c r="AC133" s="2">
        <v>0</v>
      </c>
      <c r="AD133" s="2">
        <f>Table834[[#This Row],[Gym]]^2</f>
        <v>0</v>
      </c>
      <c r="AE133" s="2">
        <v>0</v>
      </c>
      <c r="AF133" s="2">
        <f>Table834[[#This Row],[Cardio]]^2</f>
        <v>0</v>
      </c>
      <c r="AG133" s="2">
        <v>500</v>
      </c>
      <c r="AH133" s="2">
        <f>Table834[[#This Row],[Calories]]^2</f>
        <v>250000</v>
      </c>
      <c r="AI133" s="2">
        <v>130</v>
      </c>
      <c r="AJ133" s="2">
        <f>Table834[[#This Row],[Carbs]]^2</f>
        <v>16900</v>
      </c>
      <c r="AK133" s="2">
        <v>0</v>
      </c>
      <c r="AL133" s="2">
        <f>Table834[[#This Row],[Fat ]]^2</f>
        <v>0</v>
      </c>
      <c r="AM133" s="2">
        <v>0</v>
      </c>
      <c r="AN133" s="2">
        <f>Table834[[#This Row],[Protein]]^2</f>
        <v>0</v>
      </c>
      <c r="AO133" s="2">
        <v>0</v>
      </c>
      <c r="AP133" s="2">
        <f>Table834[[#This Row],[Fiber]]^2</f>
        <v>0</v>
      </c>
      <c r="AQ133" s="2">
        <v>129</v>
      </c>
      <c r="AR133" s="2">
        <f>Table834[[#This Row],[Sugar]]^2</f>
        <v>16641</v>
      </c>
      <c r="AS133" s="2">
        <v>3</v>
      </c>
      <c r="AT133" s="2">
        <f>Table834[[#This Row],[Servings]]^2</f>
        <v>9</v>
      </c>
      <c r="AU133" s="2">
        <v>0.25</v>
      </c>
      <c r="AV133" s="2">
        <f>Table834[[#This Row],[Water]]^2</f>
        <v>6.25E-2</v>
      </c>
      <c r="AW133" s="2">
        <v>0</v>
      </c>
      <c r="AX133" s="2">
        <f>Table834[[#This Row],[Fat Calories]]^2</f>
        <v>0</v>
      </c>
      <c r="AY133" s="5">
        <f>Table834[[#This Row],[Weight]]*Table834[[#This Row],[Waist]]</f>
        <v>11228.8</v>
      </c>
      <c r="AZ133" s="6">
        <f>Table834[[#This Row],[Weight]]*Table834[[#This Row],[Neck]]</f>
        <v>4210.8</v>
      </c>
      <c r="BA133" s="6">
        <f>Table834[[#This Row],[Weight]]*Table834[[#This Row],[Morning Body Temp]]</f>
        <v>24601.279999999999</v>
      </c>
      <c r="BB133" s="6">
        <f>Table834[[#This Row],[Weight]]*Table834[[#This Row],[Morning Systolic Pressure]]</f>
        <v>34707.199999999997</v>
      </c>
      <c r="BC133" s="12">
        <f>Table834[[#This Row],[Weight]]*Table834[[#This Row],[Morning Diastolic Pressure]]</f>
        <v>18884.8</v>
      </c>
      <c r="BD133" s="2">
        <f>Table834[[#This Row],[Weight]]*Table834[[#This Row],[Morning Pulse]]</f>
        <v>18884.8</v>
      </c>
      <c r="BE133" s="2">
        <f>Table834[[#This Row],[Weight]]*Table834[[#This Row],[Night Body Temp]]</f>
        <v>24805.439999999999</v>
      </c>
      <c r="BF133" s="2">
        <f>Table834[[#This Row],[Weight]]*Table834[[#This Row],[Night Systolic Pressure]]</f>
        <v>32410.399999999998</v>
      </c>
      <c r="BG133" s="4">
        <f>Table83[[#This Row],[Weight]]*Table83[[#This Row],[Night Diastolic Pressure]]</f>
        <v>19140</v>
      </c>
      <c r="BH133" s="2">
        <f>Table834[[#This Row],[Weight]]*Table834[[#This Row],[Night Pulse]]</f>
        <v>18629.599999999999</v>
      </c>
      <c r="BI133" s="2">
        <f>Table834[[#This Row],[Weight]]*Table834[[#This Row],[Sleep]]</f>
        <v>1276</v>
      </c>
      <c r="BJ133" s="2">
        <f>Table834[[#This Row],[Weight]]*Table834[[#This Row],[BMI]]</f>
        <v>9343.7365551020393</v>
      </c>
      <c r="BK133" s="2">
        <f>Table834[[#This Row],[Weight]]*Table834[[#This Row],[CBF]]</f>
        <v>7994.0106584392361</v>
      </c>
      <c r="BL133" s="2">
        <f>Table834[[#This Row],[Weight]]*Table834[[#This Row],[Gym]]</f>
        <v>0</v>
      </c>
      <c r="BM133" s="2">
        <f>Table834[[#This Row],[Weight]]*Table834[[#This Row],[Cardio]]</f>
        <v>0</v>
      </c>
      <c r="BN133" s="2">
        <f>Table834[[#This Row],[Weight]]*Table834[[#This Row],[Calories]]</f>
        <v>127600</v>
      </c>
      <c r="BO133" s="2">
        <f>Table834[[#This Row],[Weight]]*Table834[[#This Row],[Carbs]]</f>
        <v>33176</v>
      </c>
      <c r="BP133" s="2">
        <f>Table834[[#This Row],[Weight]]*Table834[[#This Row],[Fat ]]</f>
        <v>0</v>
      </c>
      <c r="BQ133" s="2">
        <f>Table834[[#This Row],[Weight]]*Table834[[#This Row],[Protein]]</f>
        <v>0</v>
      </c>
      <c r="BR133" s="2">
        <f>Table834[[#This Row],[Weight]]*Table834[[#This Row],[Fiber]]</f>
        <v>0</v>
      </c>
      <c r="BS133" s="2">
        <f>Table834[[#This Row],[Weight]]*Table834[[#This Row],[Sugar]]</f>
        <v>32920.799999999996</v>
      </c>
      <c r="BT133" s="2">
        <f>Table834[[#This Row],[Weight]]*Table834[[#This Row],[Servings]]</f>
        <v>765.59999999999991</v>
      </c>
      <c r="BU133" s="2">
        <f>Table834[[#This Row],[Weight]]*Table834[[#This Row],[Water]]</f>
        <v>63.8</v>
      </c>
      <c r="BV133" s="2">
        <f>Table834[[#This Row],[Weight]]*Table834[[#This Row],[Fat Calories]]</f>
        <v>0</v>
      </c>
      <c r="BW133" s="2">
        <f>Table834[[#This Row],[Waist]]*Table834[[#This Row],[Neck]]</f>
        <v>726</v>
      </c>
      <c r="BX133" s="2">
        <f>Table834[[#This Row],[Waist]]*Table834[[#This Row],[Morning Body Temp]]</f>
        <v>4241.6000000000004</v>
      </c>
      <c r="BY133" s="2">
        <f>Table834[[#This Row],[Waist]]*Table834[[#This Row],[Morning Systolic Pressure]]</f>
        <v>5984</v>
      </c>
      <c r="BZ133" s="2">
        <f>Table834[[#This Row],[Waist]]*Table834[[#This Row],[Morning Diastolic Pressure]]</f>
        <v>3256</v>
      </c>
      <c r="CA133" s="2">
        <f>Table834[[#This Row],[Waist]]*Table834[[#This Row],[Morning Pulse]]</f>
        <v>3256</v>
      </c>
      <c r="CB133" s="2">
        <f>Table834[[#This Row],[Waist]]*Table834[[#This Row],[Night Body Temp]]</f>
        <v>4276.8</v>
      </c>
      <c r="CC133" s="2">
        <f>Table834[[#This Row],[Waist]]*Table834[[#This Row],[Night Systolic Pressure]]</f>
        <v>5588</v>
      </c>
      <c r="CD133" s="4">
        <f>Table83[[#This Row],[Waist]]*Table83[[#This Row],[Night Diastolic Pressure]]</f>
        <v>3300</v>
      </c>
      <c r="CE133" s="2">
        <f>Table834[[#This Row],[Waist]]*Table834[[#This Row],[Night Pulse]]</f>
        <v>3212</v>
      </c>
      <c r="CF133" s="2">
        <f>Table834[[#This Row],[Waist]]*Table834[[#This Row],[Sleep]]</f>
        <v>220</v>
      </c>
      <c r="CG133" s="2">
        <f>Table834[[#This Row],[Waist]]*Table834[[#This Row],[BMI]]</f>
        <v>1610.9890612244897</v>
      </c>
      <c r="CH133" s="2">
        <f>Table834[[#This Row],[Waist]]*Table834[[#This Row],[CBF]]</f>
        <v>1378.2776997309029</v>
      </c>
      <c r="CI133" s="2">
        <f>Table834[[#This Row],[Waist]]*Table834[[#This Row],[Gym]]</f>
        <v>0</v>
      </c>
      <c r="CJ133" s="2">
        <f>Table834[[#This Row],[Waist]]*Table834[[#This Row],[Cardio]]</f>
        <v>0</v>
      </c>
      <c r="CK133" s="2">
        <f>Table834[[#This Row],[Waist]]*Table834[[#This Row],[Calories]]</f>
        <v>22000</v>
      </c>
      <c r="CL133" s="2">
        <f>Table834[[#This Row],[Waist]]*Table834[[#This Row],[Carbs]]</f>
        <v>5720</v>
      </c>
      <c r="CM133" s="2">
        <f>Table834[[#This Row],[Waist]]*Table834[[#This Row],[Fat ]]</f>
        <v>0</v>
      </c>
      <c r="CN133" s="2">
        <f>Table834[[#This Row],[Waist]]*Table834[[#This Row],[Protein]]</f>
        <v>0</v>
      </c>
      <c r="CO133" s="2">
        <f>Table834[[#This Row],[Waist]]*Table834[[#This Row],[Fiber]]</f>
        <v>0</v>
      </c>
      <c r="CP133" s="2">
        <f>Table834[[#This Row],[Waist]]*Table834[[#This Row],[Sugar]]</f>
        <v>5676</v>
      </c>
      <c r="CQ133" s="2">
        <f>Table834[[#This Row],[Waist]]*Table834[[#This Row],[Servings]]</f>
        <v>132</v>
      </c>
      <c r="CR133" s="2">
        <f>Table834[[#This Row],[Waist]]*Table834[[#This Row],[Water]]</f>
        <v>11</v>
      </c>
      <c r="CS133" s="2">
        <f>Table834[[#This Row],[Waist]]*Table834[[#This Row],[Fat Calories]]</f>
        <v>0</v>
      </c>
    </row>
    <row r="134" spans="1:97" x14ac:dyDescent="0.25">
      <c r="A134" s="2">
        <v>254.8</v>
      </c>
      <c r="B134" s="2">
        <f>Table834[[#This Row],[Weight]]^2</f>
        <v>64923.040000000008</v>
      </c>
      <c r="C134" s="2">
        <v>44</v>
      </c>
      <c r="D134" s="2">
        <f>Table834[[#This Row],[Waist]]^2</f>
        <v>1936</v>
      </c>
      <c r="E134" s="2">
        <v>16.5</v>
      </c>
      <c r="F134" s="2">
        <f>Table834[[#This Row],[Neck]]^2</f>
        <v>272.25</v>
      </c>
      <c r="G134" s="2">
        <v>97.4</v>
      </c>
      <c r="H134" s="2">
        <f>Table834[[#This Row],[Morning Body Temp]]^2</f>
        <v>9486.76</v>
      </c>
      <c r="I134" s="2">
        <v>124</v>
      </c>
      <c r="J134" s="2">
        <f>Table834[[#This Row],[Morning Systolic Pressure]]^2</f>
        <v>15376</v>
      </c>
      <c r="K134" s="2">
        <v>78</v>
      </c>
      <c r="L134" s="2">
        <f>Table834[[#This Row],[Morning Diastolic Pressure]]^2</f>
        <v>6084</v>
      </c>
      <c r="M134" s="2">
        <v>86</v>
      </c>
      <c r="N134" s="2">
        <f>Table834[[#This Row],[Morning Pulse]]^2</f>
        <v>7396</v>
      </c>
      <c r="O134" s="2">
        <v>96.6</v>
      </c>
      <c r="P134" s="2">
        <f>Table834[[#This Row],[Night Body Temp]]^2</f>
        <v>9331.56</v>
      </c>
      <c r="Q134" s="2">
        <v>141</v>
      </c>
      <c r="R134" s="2">
        <f>Table834[[#This Row],[Night Systolic Pressure]]^2</f>
        <v>19881</v>
      </c>
      <c r="S134" s="2">
        <v>74</v>
      </c>
      <c r="T134" s="2">
        <f>Table834[[#This Row],[Night Diastolic Pressure]]^2</f>
        <v>5476</v>
      </c>
      <c r="U134" s="2">
        <v>80</v>
      </c>
      <c r="V134" s="2">
        <f>Table834[[#This Row],[Night Pulse]]^2</f>
        <v>6400</v>
      </c>
      <c r="W134" s="2">
        <v>10</v>
      </c>
      <c r="X134" s="2">
        <f>Table834[[#This Row],[Sleep]]^2</f>
        <v>100</v>
      </c>
      <c r="Y134" s="2">
        <f t="shared" si="5"/>
        <v>36.556000000000004</v>
      </c>
      <c r="Z134" s="2">
        <f>Table834[[#This Row],[BMI]]^2</f>
        <v>1336.3411360000002</v>
      </c>
      <c r="AA134" s="2">
        <f t="shared" si="4"/>
        <v>31.324493175702337</v>
      </c>
      <c r="AB134" s="2">
        <f>Table834[[#This Row],[CBF]]^2</f>
        <v>981.2238727146223</v>
      </c>
      <c r="AC134" s="2">
        <v>0</v>
      </c>
      <c r="AD134" s="2">
        <f>Table834[[#This Row],[Gym]]^2</f>
        <v>0</v>
      </c>
      <c r="AE134" s="2">
        <v>1</v>
      </c>
      <c r="AF134" s="2">
        <f>Table834[[#This Row],[Cardio]]^2</f>
        <v>1</v>
      </c>
      <c r="AG134" s="2">
        <v>5525</v>
      </c>
      <c r="AH134" s="2">
        <f>Table834[[#This Row],[Calories]]^2</f>
        <v>30525625</v>
      </c>
      <c r="AI134" s="2">
        <v>761.80000000000007</v>
      </c>
      <c r="AJ134" s="2">
        <f>Table834[[#This Row],[Carbs]]^2</f>
        <v>580339.24000000011</v>
      </c>
      <c r="AK134" s="2">
        <v>214.7</v>
      </c>
      <c r="AL134" s="2">
        <f>Table834[[#This Row],[Fat ]]^2</f>
        <v>46096.09</v>
      </c>
      <c r="AM134" s="2">
        <v>136.4</v>
      </c>
      <c r="AN134" s="2">
        <f>Table834[[#This Row],[Protein]]^2</f>
        <v>18604.960000000003</v>
      </c>
      <c r="AO134" s="2">
        <v>38.700000000000003</v>
      </c>
      <c r="AP134" s="2">
        <f>Table834[[#This Row],[Fiber]]^2</f>
        <v>1497.6900000000003</v>
      </c>
      <c r="AQ134" s="2">
        <v>378.2</v>
      </c>
      <c r="AR134" s="2">
        <f>Table834[[#This Row],[Sugar]]^2</f>
        <v>143035.24</v>
      </c>
      <c r="AS134" s="2">
        <v>129</v>
      </c>
      <c r="AT134" s="2">
        <f>Table834[[#This Row],[Servings]]^2</f>
        <v>16641</v>
      </c>
      <c r="AU134" s="2">
        <v>0.5</v>
      </c>
      <c r="AV134" s="2">
        <f>Table834[[#This Row],[Water]]^2</f>
        <v>0.25</v>
      </c>
      <c r="AW134" s="2">
        <v>1932.3</v>
      </c>
      <c r="AX134" s="2">
        <f>Table834[[#This Row],[Fat Calories]]^2</f>
        <v>3733783.29</v>
      </c>
      <c r="AY134" s="3">
        <f>Table834[[#This Row],[Weight]]*Table834[[#This Row],[Waist]]</f>
        <v>11211.2</v>
      </c>
      <c r="AZ134" s="4">
        <f>Table834[[#This Row],[Weight]]*Table834[[#This Row],[Neck]]</f>
        <v>4204.2</v>
      </c>
      <c r="BA134" s="4">
        <f>Table834[[#This Row],[Weight]]*Table834[[#This Row],[Morning Body Temp]]</f>
        <v>24817.520000000004</v>
      </c>
      <c r="BB134" s="4">
        <f>Table834[[#This Row],[Weight]]*Table834[[#This Row],[Morning Systolic Pressure]]</f>
        <v>31595.200000000001</v>
      </c>
      <c r="BC134" s="11">
        <f>Table834[[#This Row],[Weight]]*Table834[[#This Row],[Morning Diastolic Pressure]]</f>
        <v>19874.400000000001</v>
      </c>
      <c r="BD134" s="2">
        <f>Table834[[#This Row],[Weight]]*Table834[[#This Row],[Morning Pulse]]</f>
        <v>21912.799999999999</v>
      </c>
      <c r="BE134" s="2">
        <f>Table834[[#This Row],[Weight]]*Table834[[#This Row],[Night Body Temp]]</f>
        <v>24613.68</v>
      </c>
      <c r="BF134" s="2">
        <f>Table834[[#This Row],[Weight]]*Table834[[#This Row],[Night Systolic Pressure]]</f>
        <v>35926.800000000003</v>
      </c>
      <c r="BG134" s="4">
        <f>Table83[[#This Row],[Weight]]*Table83[[#This Row],[Night Diastolic Pressure]]</f>
        <v>18855.2</v>
      </c>
      <c r="BH134" s="2">
        <f>Table834[[#This Row],[Weight]]*Table834[[#This Row],[Night Pulse]]</f>
        <v>20384</v>
      </c>
      <c r="BI134" s="2">
        <f>Table834[[#This Row],[Weight]]*Table834[[#This Row],[Sleep]]</f>
        <v>2548</v>
      </c>
      <c r="BJ134" s="2">
        <f>Table834[[#This Row],[Weight]]*Table834[[#This Row],[BMI]]</f>
        <v>9314.4688000000024</v>
      </c>
      <c r="BK134" s="2">
        <f>Table834[[#This Row],[Weight]]*Table834[[#This Row],[CBF]]</f>
        <v>7981.4808611689559</v>
      </c>
      <c r="BL134" s="2">
        <f>Table834[[#This Row],[Weight]]*Table834[[#This Row],[Gym]]</f>
        <v>0</v>
      </c>
      <c r="BM134" s="2">
        <f>Table834[[#This Row],[Weight]]*Table834[[#This Row],[Cardio]]</f>
        <v>254.8</v>
      </c>
      <c r="BN134" s="2">
        <f>Table834[[#This Row],[Weight]]*Table834[[#This Row],[Calories]]</f>
        <v>1407770</v>
      </c>
      <c r="BO134" s="2">
        <f>Table834[[#This Row],[Weight]]*Table834[[#This Row],[Carbs]]</f>
        <v>194106.64</v>
      </c>
      <c r="BP134" s="2">
        <f>Table834[[#This Row],[Weight]]*Table834[[#This Row],[Fat ]]</f>
        <v>54705.56</v>
      </c>
      <c r="BQ134" s="2">
        <f>Table834[[#This Row],[Weight]]*Table834[[#This Row],[Protein]]</f>
        <v>34754.720000000001</v>
      </c>
      <c r="BR134" s="2">
        <f>Table834[[#This Row],[Weight]]*Table834[[#This Row],[Fiber]]</f>
        <v>9860.760000000002</v>
      </c>
      <c r="BS134" s="2">
        <f>Table834[[#This Row],[Weight]]*Table834[[#This Row],[Sugar]]</f>
        <v>96365.36</v>
      </c>
      <c r="BT134" s="2">
        <f>Table834[[#This Row],[Weight]]*Table834[[#This Row],[Servings]]</f>
        <v>32869.200000000004</v>
      </c>
      <c r="BU134" s="2">
        <f>Table834[[#This Row],[Weight]]*Table834[[#This Row],[Water]]</f>
        <v>127.4</v>
      </c>
      <c r="BV134" s="2">
        <f>Table834[[#This Row],[Weight]]*Table834[[#This Row],[Fat Calories]]</f>
        <v>492350.04000000004</v>
      </c>
      <c r="BW134" s="2">
        <f>Table834[[#This Row],[Waist]]*Table834[[#This Row],[Neck]]</f>
        <v>726</v>
      </c>
      <c r="BX134" s="2">
        <f>Table834[[#This Row],[Waist]]*Table834[[#This Row],[Morning Body Temp]]</f>
        <v>4285.6000000000004</v>
      </c>
      <c r="BY134" s="2">
        <f>Table834[[#This Row],[Waist]]*Table834[[#This Row],[Morning Systolic Pressure]]</f>
        <v>5456</v>
      </c>
      <c r="BZ134" s="2">
        <f>Table834[[#This Row],[Waist]]*Table834[[#This Row],[Morning Diastolic Pressure]]</f>
        <v>3432</v>
      </c>
      <c r="CA134" s="2">
        <f>Table834[[#This Row],[Waist]]*Table834[[#This Row],[Morning Pulse]]</f>
        <v>3784</v>
      </c>
      <c r="CB134" s="2">
        <f>Table834[[#This Row],[Waist]]*Table834[[#This Row],[Night Body Temp]]</f>
        <v>4250.3999999999996</v>
      </c>
      <c r="CC134" s="2">
        <f>Table834[[#This Row],[Waist]]*Table834[[#This Row],[Night Systolic Pressure]]</f>
        <v>6204</v>
      </c>
      <c r="CD134" s="4">
        <f>Table83[[#This Row],[Waist]]*Table83[[#This Row],[Night Diastolic Pressure]]</f>
        <v>3256</v>
      </c>
      <c r="CE134" s="2">
        <f>Table834[[#This Row],[Waist]]*Table834[[#This Row],[Night Pulse]]</f>
        <v>3520</v>
      </c>
      <c r="CF134" s="2">
        <f>Table834[[#This Row],[Waist]]*Table834[[#This Row],[Sleep]]</f>
        <v>440</v>
      </c>
      <c r="CG134" s="2">
        <f>Table834[[#This Row],[Waist]]*Table834[[#This Row],[BMI]]</f>
        <v>1608.4640000000002</v>
      </c>
      <c r="CH134" s="2">
        <f>Table834[[#This Row],[Waist]]*Table834[[#This Row],[CBF]]</f>
        <v>1378.2776997309029</v>
      </c>
      <c r="CI134" s="2">
        <f>Table834[[#This Row],[Waist]]*Table834[[#This Row],[Gym]]</f>
        <v>0</v>
      </c>
      <c r="CJ134" s="2">
        <f>Table834[[#This Row],[Waist]]*Table834[[#This Row],[Cardio]]</f>
        <v>44</v>
      </c>
      <c r="CK134" s="2">
        <f>Table834[[#This Row],[Waist]]*Table834[[#This Row],[Calories]]</f>
        <v>243100</v>
      </c>
      <c r="CL134" s="2">
        <f>Table834[[#This Row],[Waist]]*Table834[[#This Row],[Carbs]]</f>
        <v>33519.200000000004</v>
      </c>
      <c r="CM134" s="2">
        <f>Table834[[#This Row],[Waist]]*Table834[[#This Row],[Fat ]]</f>
        <v>9446.7999999999993</v>
      </c>
      <c r="CN134" s="2">
        <f>Table834[[#This Row],[Waist]]*Table834[[#This Row],[Protein]]</f>
        <v>6001.6</v>
      </c>
      <c r="CO134" s="2">
        <f>Table834[[#This Row],[Waist]]*Table834[[#This Row],[Fiber]]</f>
        <v>1702.8000000000002</v>
      </c>
      <c r="CP134" s="2">
        <f>Table834[[#This Row],[Waist]]*Table834[[#This Row],[Sugar]]</f>
        <v>16640.8</v>
      </c>
      <c r="CQ134" s="2">
        <f>Table834[[#This Row],[Waist]]*Table834[[#This Row],[Servings]]</f>
        <v>5676</v>
      </c>
      <c r="CR134" s="2">
        <f>Table834[[#This Row],[Waist]]*Table834[[#This Row],[Water]]</f>
        <v>22</v>
      </c>
      <c r="CS134" s="2">
        <f>Table834[[#This Row],[Waist]]*Table834[[#This Row],[Fat Calories]]</f>
        <v>85021.2</v>
      </c>
    </row>
    <row r="135" spans="1:97" x14ac:dyDescent="0.25">
      <c r="A135" s="2">
        <v>255.8</v>
      </c>
      <c r="B135" s="2">
        <f>Table834[[#This Row],[Weight]]^2</f>
        <v>65433.640000000007</v>
      </c>
      <c r="C135" s="2">
        <v>44</v>
      </c>
      <c r="D135" s="2">
        <f>Table834[[#This Row],[Waist]]^2</f>
        <v>1936</v>
      </c>
      <c r="E135" s="2">
        <v>16.5</v>
      </c>
      <c r="F135" s="2">
        <f>Table834[[#This Row],[Neck]]^2</f>
        <v>272.25</v>
      </c>
      <c r="G135" s="2">
        <v>95.7</v>
      </c>
      <c r="H135" s="2">
        <f>Table834[[#This Row],[Morning Body Temp]]^2</f>
        <v>9158.49</v>
      </c>
      <c r="I135" s="2">
        <v>122</v>
      </c>
      <c r="J135" s="2">
        <f>Table834[[#This Row],[Morning Systolic Pressure]]^2</f>
        <v>14884</v>
      </c>
      <c r="K135" s="2">
        <v>73</v>
      </c>
      <c r="L135" s="2">
        <f>Table834[[#This Row],[Morning Diastolic Pressure]]^2</f>
        <v>5329</v>
      </c>
      <c r="M135" s="2">
        <v>69</v>
      </c>
      <c r="N135" s="2">
        <f>Table834[[#This Row],[Morning Pulse]]^2</f>
        <v>4761</v>
      </c>
      <c r="O135" s="2">
        <v>97.8</v>
      </c>
      <c r="P135" s="2">
        <f>Table834[[#This Row],[Night Body Temp]]^2</f>
        <v>9564.84</v>
      </c>
      <c r="Q135" s="2">
        <v>162</v>
      </c>
      <c r="R135" s="2">
        <f>Table834[[#This Row],[Night Systolic Pressure]]^2</f>
        <v>26244</v>
      </c>
      <c r="S135" s="2">
        <v>79</v>
      </c>
      <c r="T135" s="2">
        <f>Table834[[#This Row],[Night Diastolic Pressure]]^2</f>
        <v>6241</v>
      </c>
      <c r="U135" s="2">
        <v>77</v>
      </c>
      <c r="V135" s="2">
        <f>Table834[[#This Row],[Night Pulse]]^2</f>
        <v>5929</v>
      </c>
      <c r="W135" s="2">
        <v>10</v>
      </c>
      <c r="X135" s="2">
        <f>Table834[[#This Row],[Sleep]]^2</f>
        <v>100</v>
      </c>
      <c r="Y135" s="2">
        <f t="shared" si="5"/>
        <v>36.699469387755101</v>
      </c>
      <c r="Z135" s="2">
        <f>Table834[[#This Row],[BMI]]^2</f>
        <v>1346.8510533427739</v>
      </c>
      <c r="AA135" s="2">
        <f t="shared" si="4"/>
        <v>31.324493175702337</v>
      </c>
      <c r="AB135" s="2">
        <f>Table834[[#This Row],[CBF]]^2</f>
        <v>981.2238727146223</v>
      </c>
      <c r="AC135" s="2">
        <v>0</v>
      </c>
      <c r="AD135" s="2">
        <f>Table834[[#This Row],[Gym]]^2</f>
        <v>0</v>
      </c>
      <c r="AE135" s="2">
        <v>0</v>
      </c>
      <c r="AF135" s="2">
        <f>Table834[[#This Row],[Cardio]]^2</f>
        <v>0</v>
      </c>
      <c r="AG135" s="2">
        <v>4857.2833333333328</v>
      </c>
      <c r="AH135" s="2">
        <f>Table834[[#This Row],[Calories]]^2</f>
        <v>23593201.380277772</v>
      </c>
      <c r="AI135" s="2">
        <v>656.09333333333336</v>
      </c>
      <c r="AJ135" s="2">
        <f>Table834[[#This Row],[Carbs]]^2</f>
        <v>430458.46204444446</v>
      </c>
      <c r="AK135" s="2">
        <v>183.95499999999998</v>
      </c>
      <c r="AL135" s="2">
        <f>Table834[[#This Row],[Fat ]]^2</f>
        <v>33839.442024999997</v>
      </c>
      <c r="AM135" s="2">
        <v>140.09333333333336</v>
      </c>
      <c r="AN135" s="2">
        <f>Table834[[#This Row],[Protein]]^2</f>
        <v>19626.142044444452</v>
      </c>
      <c r="AO135" s="2">
        <v>44.68</v>
      </c>
      <c r="AP135" s="2">
        <f>Table834[[#This Row],[Fiber]]^2</f>
        <v>1996.3024</v>
      </c>
      <c r="AQ135" s="2">
        <v>390.73166666666668</v>
      </c>
      <c r="AR135" s="2">
        <f>Table834[[#This Row],[Sugar]]^2</f>
        <v>152671.23533611113</v>
      </c>
      <c r="AS135" s="2">
        <v>98.4</v>
      </c>
      <c r="AT135" s="2">
        <f>Table834[[#This Row],[Servings]]^2</f>
        <v>9682.5600000000013</v>
      </c>
      <c r="AU135" s="2">
        <v>0.5</v>
      </c>
      <c r="AV135" s="2">
        <f>Table834[[#This Row],[Water]]^2</f>
        <v>0.25</v>
      </c>
      <c r="AW135" s="2">
        <v>1655.595</v>
      </c>
      <c r="AX135" s="2">
        <f>Table834[[#This Row],[Fat Calories]]^2</f>
        <v>2740994.804025</v>
      </c>
      <c r="AY135" s="5">
        <f>Table834[[#This Row],[Weight]]*Table834[[#This Row],[Waist]]</f>
        <v>11255.2</v>
      </c>
      <c r="AZ135" s="6">
        <f>Table834[[#This Row],[Weight]]*Table834[[#This Row],[Neck]]</f>
        <v>4220.7</v>
      </c>
      <c r="BA135" s="6">
        <f>Table834[[#This Row],[Weight]]*Table834[[#This Row],[Morning Body Temp]]</f>
        <v>24480.06</v>
      </c>
      <c r="BB135" s="6">
        <f>Table834[[#This Row],[Weight]]*Table834[[#This Row],[Morning Systolic Pressure]]</f>
        <v>31207.600000000002</v>
      </c>
      <c r="BC135" s="12">
        <f>Table834[[#This Row],[Weight]]*Table834[[#This Row],[Morning Diastolic Pressure]]</f>
        <v>18673.400000000001</v>
      </c>
      <c r="BD135" s="2">
        <f>Table834[[#This Row],[Weight]]*Table834[[#This Row],[Morning Pulse]]</f>
        <v>17650.2</v>
      </c>
      <c r="BE135" s="2">
        <f>Table834[[#This Row],[Weight]]*Table834[[#This Row],[Night Body Temp]]</f>
        <v>25017.24</v>
      </c>
      <c r="BF135" s="2">
        <f>Table834[[#This Row],[Weight]]*Table834[[#This Row],[Night Systolic Pressure]]</f>
        <v>41439.599999999999</v>
      </c>
      <c r="BG135" s="4">
        <f>Table83[[#This Row],[Weight]]*Table83[[#This Row],[Night Diastolic Pressure]]</f>
        <v>20208.2</v>
      </c>
      <c r="BH135" s="2">
        <f>Table834[[#This Row],[Weight]]*Table834[[#This Row],[Night Pulse]]</f>
        <v>19696.600000000002</v>
      </c>
      <c r="BI135" s="2">
        <f>Table834[[#This Row],[Weight]]*Table834[[#This Row],[Sleep]]</f>
        <v>2558</v>
      </c>
      <c r="BJ135" s="2">
        <f>Table834[[#This Row],[Weight]]*Table834[[#This Row],[BMI]]</f>
        <v>9387.7242693877561</v>
      </c>
      <c r="BK135" s="2">
        <f>Table834[[#This Row],[Weight]]*Table834[[#This Row],[CBF]]</f>
        <v>8012.8053543446576</v>
      </c>
      <c r="BL135" s="2">
        <f>Table834[[#This Row],[Weight]]*Table834[[#This Row],[Gym]]</f>
        <v>0</v>
      </c>
      <c r="BM135" s="2">
        <f>Table834[[#This Row],[Weight]]*Table834[[#This Row],[Cardio]]</f>
        <v>0</v>
      </c>
      <c r="BN135" s="2">
        <f>Table834[[#This Row],[Weight]]*Table834[[#This Row],[Calories]]</f>
        <v>1242493.0766666667</v>
      </c>
      <c r="BO135" s="2">
        <f>Table834[[#This Row],[Weight]]*Table834[[#This Row],[Carbs]]</f>
        <v>167828.67466666669</v>
      </c>
      <c r="BP135" s="2">
        <f>Table834[[#This Row],[Weight]]*Table834[[#This Row],[Fat ]]</f>
        <v>47055.688999999998</v>
      </c>
      <c r="BQ135" s="2">
        <f>Table834[[#This Row],[Weight]]*Table834[[#This Row],[Protein]]</f>
        <v>35835.874666666678</v>
      </c>
      <c r="BR135" s="2">
        <f>Table834[[#This Row],[Weight]]*Table834[[#This Row],[Fiber]]</f>
        <v>11429.144</v>
      </c>
      <c r="BS135" s="2">
        <f>Table834[[#This Row],[Weight]]*Table834[[#This Row],[Sugar]]</f>
        <v>99949.160333333348</v>
      </c>
      <c r="BT135" s="2">
        <f>Table834[[#This Row],[Weight]]*Table834[[#This Row],[Servings]]</f>
        <v>25170.720000000001</v>
      </c>
      <c r="BU135" s="2">
        <f>Table834[[#This Row],[Weight]]*Table834[[#This Row],[Water]]</f>
        <v>127.9</v>
      </c>
      <c r="BV135" s="2">
        <f>Table834[[#This Row],[Weight]]*Table834[[#This Row],[Fat Calories]]</f>
        <v>423501.201</v>
      </c>
      <c r="BW135" s="2">
        <f>Table834[[#This Row],[Waist]]*Table834[[#This Row],[Neck]]</f>
        <v>726</v>
      </c>
      <c r="BX135" s="2">
        <f>Table834[[#This Row],[Waist]]*Table834[[#This Row],[Morning Body Temp]]</f>
        <v>4210.8</v>
      </c>
      <c r="BY135" s="2">
        <f>Table834[[#This Row],[Waist]]*Table834[[#This Row],[Morning Systolic Pressure]]</f>
        <v>5368</v>
      </c>
      <c r="BZ135" s="2">
        <f>Table834[[#This Row],[Waist]]*Table834[[#This Row],[Morning Diastolic Pressure]]</f>
        <v>3212</v>
      </c>
      <c r="CA135" s="2">
        <f>Table834[[#This Row],[Waist]]*Table834[[#This Row],[Morning Pulse]]</f>
        <v>3036</v>
      </c>
      <c r="CB135" s="2">
        <f>Table834[[#This Row],[Waist]]*Table834[[#This Row],[Night Body Temp]]</f>
        <v>4303.2</v>
      </c>
      <c r="CC135" s="2">
        <f>Table834[[#This Row],[Waist]]*Table834[[#This Row],[Night Systolic Pressure]]</f>
        <v>7128</v>
      </c>
      <c r="CD135" s="4">
        <f>Table83[[#This Row],[Waist]]*Table83[[#This Row],[Night Diastolic Pressure]]</f>
        <v>3476</v>
      </c>
      <c r="CE135" s="2">
        <f>Table834[[#This Row],[Waist]]*Table834[[#This Row],[Night Pulse]]</f>
        <v>3388</v>
      </c>
      <c r="CF135" s="2">
        <f>Table834[[#This Row],[Waist]]*Table834[[#This Row],[Sleep]]</f>
        <v>440</v>
      </c>
      <c r="CG135" s="2">
        <f>Table834[[#This Row],[Waist]]*Table834[[#This Row],[BMI]]</f>
        <v>1614.7766530612244</v>
      </c>
      <c r="CH135" s="2">
        <f>Table834[[#This Row],[Waist]]*Table834[[#This Row],[CBF]]</f>
        <v>1378.2776997309029</v>
      </c>
      <c r="CI135" s="2">
        <f>Table834[[#This Row],[Waist]]*Table834[[#This Row],[Gym]]</f>
        <v>0</v>
      </c>
      <c r="CJ135" s="2">
        <f>Table834[[#This Row],[Waist]]*Table834[[#This Row],[Cardio]]</f>
        <v>0</v>
      </c>
      <c r="CK135" s="2">
        <f>Table834[[#This Row],[Waist]]*Table834[[#This Row],[Calories]]</f>
        <v>213720.46666666665</v>
      </c>
      <c r="CL135" s="2">
        <f>Table834[[#This Row],[Waist]]*Table834[[#This Row],[Carbs]]</f>
        <v>28868.106666666667</v>
      </c>
      <c r="CM135" s="2">
        <f>Table834[[#This Row],[Waist]]*Table834[[#This Row],[Fat ]]</f>
        <v>8094.0199999999995</v>
      </c>
      <c r="CN135" s="2">
        <f>Table834[[#This Row],[Waist]]*Table834[[#This Row],[Protein]]</f>
        <v>6164.1066666666684</v>
      </c>
      <c r="CO135" s="2">
        <f>Table834[[#This Row],[Waist]]*Table834[[#This Row],[Fiber]]</f>
        <v>1965.92</v>
      </c>
      <c r="CP135" s="2">
        <f>Table834[[#This Row],[Waist]]*Table834[[#This Row],[Sugar]]</f>
        <v>17192.193333333333</v>
      </c>
      <c r="CQ135" s="2">
        <f>Table834[[#This Row],[Waist]]*Table834[[#This Row],[Servings]]</f>
        <v>4329.6000000000004</v>
      </c>
      <c r="CR135" s="2">
        <f>Table834[[#This Row],[Waist]]*Table834[[#This Row],[Water]]</f>
        <v>22</v>
      </c>
      <c r="CS135" s="2">
        <f>Table834[[#This Row],[Waist]]*Table834[[#This Row],[Fat Calories]]</f>
        <v>72846.180000000008</v>
      </c>
    </row>
    <row r="136" spans="1:97" x14ac:dyDescent="0.25">
      <c r="A136" s="2">
        <v>257.2</v>
      </c>
      <c r="B136" s="2">
        <f>Table834[[#This Row],[Weight]]^2</f>
        <v>66151.839999999997</v>
      </c>
      <c r="C136" s="2">
        <v>44.5</v>
      </c>
      <c r="D136" s="2">
        <f>Table834[[#This Row],[Waist]]^2</f>
        <v>1980.25</v>
      </c>
      <c r="E136" s="2">
        <v>16.5</v>
      </c>
      <c r="F136" s="2">
        <f>Table834[[#This Row],[Neck]]^2</f>
        <v>272.25</v>
      </c>
      <c r="G136" s="2">
        <v>96.8</v>
      </c>
      <c r="H136" s="2">
        <f>Table834[[#This Row],[Morning Body Temp]]^2</f>
        <v>9370.24</v>
      </c>
      <c r="I136" s="2">
        <v>124</v>
      </c>
      <c r="J136" s="2">
        <f>Table834[[#This Row],[Morning Systolic Pressure]]^2</f>
        <v>15376</v>
      </c>
      <c r="K136" s="2">
        <v>88</v>
      </c>
      <c r="L136" s="2">
        <f>Table834[[#This Row],[Morning Diastolic Pressure]]^2</f>
        <v>7744</v>
      </c>
      <c r="M136" s="2">
        <v>74</v>
      </c>
      <c r="N136" s="2">
        <f>Table834[[#This Row],[Morning Pulse]]^2</f>
        <v>5476</v>
      </c>
      <c r="O136" s="2">
        <v>97.2</v>
      </c>
      <c r="P136" s="2">
        <f>Table834[[#This Row],[Night Body Temp]]^2</f>
        <v>9447.84</v>
      </c>
      <c r="Q136" s="2">
        <v>127</v>
      </c>
      <c r="R136" s="2">
        <f>Table834[[#This Row],[Night Systolic Pressure]]^2</f>
        <v>16129</v>
      </c>
      <c r="S136" s="2">
        <v>74</v>
      </c>
      <c r="T136" s="2">
        <f>Table834[[#This Row],[Night Diastolic Pressure]]^2</f>
        <v>5476</v>
      </c>
      <c r="U136" s="2">
        <v>77</v>
      </c>
      <c r="V136" s="2">
        <f>Table834[[#This Row],[Night Pulse]]^2</f>
        <v>5929</v>
      </c>
      <c r="W136" s="2">
        <v>6</v>
      </c>
      <c r="X136" s="2">
        <f>Table834[[#This Row],[Sleep]]^2</f>
        <v>36</v>
      </c>
      <c r="Y136" s="2">
        <f t="shared" si="5"/>
        <v>36.900326530612247</v>
      </c>
      <c r="Z136" s="2">
        <f>Table834[[#This Row],[BMI]]^2</f>
        <v>1361.634098065806</v>
      </c>
      <c r="AA136" s="2">
        <f t="shared" si="4"/>
        <v>31.997550455105717</v>
      </c>
      <c r="AB136" s="2">
        <f>Table834[[#This Row],[CBF]]^2</f>
        <v>1023.8432351270361</v>
      </c>
      <c r="AC136" s="2">
        <v>0</v>
      </c>
      <c r="AD136" s="2">
        <f>Table834[[#This Row],[Gym]]^2</f>
        <v>0</v>
      </c>
      <c r="AE136" s="2">
        <v>0</v>
      </c>
      <c r="AF136" s="2">
        <f>Table834[[#This Row],[Cardio]]^2</f>
        <v>0</v>
      </c>
      <c r="AG136" s="2">
        <v>4762.6833333333334</v>
      </c>
      <c r="AH136" s="2">
        <f>Table834[[#This Row],[Calories]]^2</f>
        <v>22683152.533611111</v>
      </c>
      <c r="AI136" s="2">
        <v>648.98333333333335</v>
      </c>
      <c r="AJ136" s="2">
        <f>Table834[[#This Row],[Carbs]]^2</f>
        <v>421179.36694444448</v>
      </c>
      <c r="AK136" s="2">
        <v>250.35499999999999</v>
      </c>
      <c r="AL136" s="2">
        <f>Table834[[#This Row],[Fat ]]^2</f>
        <v>62677.626024999998</v>
      </c>
      <c r="AM136" s="2">
        <v>136.54333333333335</v>
      </c>
      <c r="AN136" s="2">
        <f>Table834[[#This Row],[Protein]]^2</f>
        <v>18644.081877777782</v>
      </c>
      <c r="AO136" s="2">
        <v>73.160000000000011</v>
      </c>
      <c r="AP136" s="2">
        <f>Table834[[#This Row],[Fiber]]^2</f>
        <v>5352.3856000000014</v>
      </c>
      <c r="AQ136" s="2">
        <v>316.12166666666667</v>
      </c>
      <c r="AR136" s="2">
        <f>Table834[[#This Row],[Sugar]]^2</f>
        <v>99932.908136111117</v>
      </c>
      <c r="AS136" s="2">
        <v>70.400000000000006</v>
      </c>
      <c r="AT136" s="2">
        <f>Table834[[#This Row],[Servings]]^2</f>
        <v>4956.1600000000008</v>
      </c>
      <c r="AU136" s="2">
        <v>1</v>
      </c>
      <c r="AV136" s="2">
        <f>Table834[[#This Row],[Water]]^2</f>
        <v>1</v>
      </c>
      <c r="AW136" s="2">
        <v>2253.1950000000002</v>
      </c>
      <c r="AX136" s="2">
        <f>Table834[[#This Row],[Fat Calories]]^2</f>
        <v>5076887.708025001</v>
      </c>
      <c r="AY136" s="3">
        <f>Table834[[#This Row],[Weight]]*Table834[[#This Row],[Waist]]</f>
        <v>11445.4</v>
      </c>
      <c r="AZ136" s="4">
        <f>Table834[[#This Row],[Weight]]*Table834[[#This Row],[Neck]]</f>
        <v>4243.8</v>
      </c>
      <c r="BA136" s="4">
        <f>Table834[[#This Row],[Weight]]*Table834[[#This Row],[Morning Body Temp]]</f>
        <v>24896.959999999999</v>
      </c>
      <c r="BB136" s="4">
        <f>Table834[[#This Row],[Weight]]*Table834[[#This Row],[Morning Systolic Pressure]]</f>
        <v>31892.799999999999</v>
      </c>
      <c r="BC136" s="11">
        <f>Table834[[#This Row],[Weight]]*Table834[[#This Row],[Morning Diastolic Pressure]]</f>
        <v>22633.599999999999</v>
      </c>
      <c r="BD136" s="2">
        <f>Table834[[#This Row],[Weight]]*Table834[[#This Row],[Morning Pulse]]</f>
        <v>19032.8</v>
      </c>
      <c r="BE136" s="2">
        <f>Table834[[#This Row],[Weight]]*Table834[[#This Row],[Night Body Temp]]</f>
        <v>24999.84</v>
      </c>
      <c r="BF136" s="2">
        <f>Table834[[#This Row],[Weight]]*Table834[[#This Row],[Night Systolic Pressure]]</f>
        <v>32664.399999999998</v>
      </c>
      <c r="BG136" s="4">
        <f>Table83[[#This Row],[Weight]]*Table83[[#This Row],[Night Diastolic Pressure]]</f>
        <v>19032.8</v>
      </c>
      <c r="BH136" s="2">
        <f>Table834[[#This Row],[Weight]]*Table834[[#This Row],[Night Pulse]]</f>
        <v>19804.399999999998</v>
      </c>
      <c r="BI136" s="2">
        <f>Table834[[#This Row],[Weight]]*Table834[[#This Row],[Sleep]]</f>
        <v>1543.1999999999998</v>
      </c>
      <c r="BJ136" s="2">
        <f>Table834[[#This Row],[Weight]]*Table834[[#This Row],[BMI]]</f>
        <v>9490.7639836734688</v>
      </c>
      <c r="BK136" s="2">
        <f>Table834[[#This Row],[Weight]]*Table834[[#This Row],[CBF]]</f>
        <v>8229.7699770531908</v>
      </c>
      <c r="BL136" s="2">
        <f>Table834[[#This Row],[Weight]]*Table834[[#This Row],[Gym]]</f>
        <v>0</v>
      </c>
      <c r="BM136" s="2">
        <f>Table834[[#This Row],[Weight]]*Table834[[#This Row],[Cardio]]</f>
        <v>0</v>
      </c>
      <c r="BN136" s="2">
        <f>Table834[[#This Row],[Weight]]*Table834[[#This Row],[Calories]]</f>
        <v>1224962.1533333333</v>
      </c>
      <c r="BO136" s="2">
        <f>Table834[[#This Row],[Weight]]*Table834[[#This Row],[Carbs]]</f>
        <v>166918.51333333334</v>
      </c>
      <c r="BP136" s="2">
        <f>Table834[[#This Row],[Weight]]*Table834[[#This Row],[Fat ]]</f>
        <v>64391.305999999997</v>
      </c>
      <c r="BQ136" s="2">
        <f>Table834[[#This Row],[Weight]]*Table834[[#This Row],[Protein]]</f>
        <v>35118.945333333337</v>
      </c>
      <c r="BR136" s="2">
        <f>Table834[[#This Row],[Weight]]*Table834[[#This Row],[Fiber]]</f>
        <v>18816.752</v>
      </c>
      <c r="BS136" s="2">
        <f>Table834[[#This Row],[Weight]]*Table834[[#This Row],[Sugar]]</f>
        <v>81306.492666666658</v>
      </c>
      <c r="BT136" s="2">
        <f>Table834[[#This Row],[Weight]]*Table834[[#This Row],[Servings]]</f>
        <v>18106.88</v>
      </c>
      <c r="BU136" s="2">
        <f>Table834[[#This Row],[Weight]]*Table834[[#This Row],[Water]]</f>
        <v>257.2</v>
      </c>
      <c r="BV136" s="2">
        <f>Table834[[#This Row],[Weight]]*Table834[[#This Row],[Fat Calories]]</f>
        <v>579521.75400000007</v>
      </c>
      <c r="BW136" s="2">
        <f>Table834[[#This Row],[Waist]]*Table834[[#This Row],[Neck]]</f>
        <v>734.25</v>
      </c>
      <c r="BX136" s="2">
        <f>Table834[[#This Row],[Waist]]*Table834[[#This Row],[Morning Body Temp]]</f>
        <v>4307.5999999999995</v>
      </c>
      <c r="BY136" s="2">
        <f>Table834[[#This Row],[Waist]]*Table834[[#This Row],[Morning Systolic Pressure]]</f>
        <v>5518</v>
      </c>
      <c r="BZ136" s="2">
        <f>Table834[[#This Row],[Waist]]*Table834[[#This Row],[Morning Diastolic Pressure]]</f>
        <v>3916</v>
      </c>
      <c r="CA136" s="2">
        <f>Table834[[#This Row],[Waist]]*Table834[[#This Row],[Morning Pulse]]</f>
        <v>3293</v>
      </c>
      <c r="CB136" s="2">
        <f>Table834[[#This Row],[Waist]]*Table834[[#This Row],[Night Body Temp]]</f>
        <v>4325.4000000000005</v>
      </c>
      <c r="CC136" s="2">
        <f>Table834[[#This Row],[Waist]]*Table834[[#This Row],[Night Systolic Pressure]]</f>
        <v>5651.5</v>
      </c>
      <c r="CD136" s="4">
        <f>Table83[[#This Row],[Waist]]*Table83[[#This Row],[Night Diastolic Pressure]]</f>
        <v>3293</v>
      </c>
      <c r="CE136" s="2">
        <f>Table834[[#This Row],[Waist]]*Table834[[#This Row],[Night Pulse]]</f>
        <v>3426.5</v>
      </c>
      <c r="CF136" s="2">
        <f>Table834[[#This Row],[Waist]]*Table834[[#This Row],[Sleep]]</f>
        <v>267</v>
      </c>
      <c r="CG136" s="2">
        <f>Table834[[#This Row],[Waist]]*Table834[[#This Row],[BMI]]</f>
        <v>1642.0645306122451</v>
      </c>
      <c r="CH136" s="2">
        <f>Table834[[#This Row],[Waist]]*Table834[[#This Row],[CBF]]</f>
        <v>1423.8909952522044</v>
      </c>
      <c r="CI136" s="2">
        <f>Table834[[#This Row],[Waist]]*Table834[[#This Row],[Gym]]</f>
        <v>0</v>
      </c>
      <c r="CJ136" s="2">
        <f>Table834[[#This Row],[Waist]]*Table834[[#This Row],[Cardio]]</f>
        <v>0</v>
      </c>
      <c r="CK136" s="2">
        <f>Table834[[#This Row],[Waist]]*Table834[[#This Row],[Calories]]</f>
        <v>211939.40833333333</v>
      </c>
      <c r="CL136" s="2">
        <f>Table834[[#This Row],[Waist]]*Table834[[#This Row],[Carbs]]</f>
        <v>28879.758333333335</v>
      </c>
      <c r="CM136" s="2">
        <f>Table834[[#This Row],[Waist]]*Table834[[#This Row],[Fat ]]</f>
        <v>11140.797499999999</v>
      </c>
      <c r="CN136" s="2">
        <f>Table834[[#This Row],[Waist]]*Table834[[#This Row],[Protein]]</f>
        <v>6076.1783333333342</v>
      </c>
      <c r="CO136" s="2">
        <f>Table834[[#This Row],[Waist]]*Table834[[#This Row],[Fiber]]</f>
        <v>3255.6200000000003</v>
      </c>
      <c r="CP136" s="2">
        <f>Table834[[#This Row],[Waist]]*Table834[[#This Row],[Sugar]]</f>
        <v>14067.414166666667</v>
      </c>
      <c r="CQ136" s="2">
        <f>Table834[[#This Row],[Waist]]*Table834[[#This Row],[Servings]]</f>
        <v>3132.8</v>
      </c>
      <c r="CR136" s="2">
        <f>Table834[[#This Row],[Waist]]*Table834[[#This Row],[Water]]</f>
        <v>44.5</v>
      </c>
      <c r="CS136" s="2">
        <f>Table834[[#This Row],[Waist]]*Table834[[#This Row],[Fat Calories]]</f>
        <v>100267.17750000001</v>
      </c>
    </row>
    <row r="137" spans="1:97" x14ac:dyDescent="0.25">
      <c r="A137" s="2">
        <v>258</v>
      </c>
      <c r="B137" s="2">
        <f>Table834[[#This Row],[Weight]]^2</f>
        <v>66564</v>
      </c>
      <c r="C137" s="2">
        <v>44.5</v>
      </c>
      <c r="D137" s="2">
        <f>Table834[[#This Row],[Waist]]^2</f>
        <v>1980.25</v>
      </c>
      <c r="E137" s="2">
        <v>16.5</v>
      </c>
      <c r="F137" s="2">
        <f>Table834[[#This Row],[Neck]]^2</f>
        <v>272.25</v>
      </c>
      <c r="G137" s="2">
        <v>96.6</v>
      </c>
      <c r="H137" s="2">
        <f>Table834[[#This Row],[Morning Body Temp]]^2</f>
        <v>9331.56</v>
      </c>
      <c r="I137" s="2">
        <v>139</v>
      </c>
      <c r="J137" s="2">
        <f>Table834[[#This Row],[Morning Systolic Pressure]]^2</f>
        <v>19321</v>
      </c>
      <c r="K137" s="2">
        <v>77</v>
      </c>
      <c r="L137" s="2">
        <f>Table834[[#This Row],[Morning Diastolic Pressure]]^2</f>
        <v>5929</v>
      </c>
      <c r="M137" s="2">
        <v>66</v>
      </c>
      <c r="N137" s="2">
        <f>Table834[[#This Row],[Morning Pulse]]^2</f>
        <v>4356</v>
      </c>
      <c r="O137" s="2">
        <v>98</v>
      </c>
      <c r="P137" s="2">
        <f>Table834[[#This Row],[Night Body Temp]]^2</f>
        <v>9604</v>
      </c>
      <c r="Q137" s="2">
        <v>131</v>
      </c>
      <c r="R137" s="2">
        <f>Table834[[#This Row],[Night Systolic Pressure]]^2</f>
        <v>17161</v>
      </c>
      <c r="S137" s="2">
        <v>78</v>
      </c>
      <c r="T137" s="2">
        <f>Table834[[#This Row],[Night Diastolic Pressure]]^2</f>
        <v>6084</v>
      </c>
      <c r="U137" s="2">
        <v>85</v>
      </c>
      <c r="V137" s="2">
        <f>Table834[[#This Row],[Night Pulse]]^2</f>
        <v>7225</v>
      </c>
      <c r="W137" s="2">
        <v>9</v>
      </c>
      <c r="X137" s="2">
        <f>Table834[[#This Row],[Sleep]]^2</f>
        <v>81</v>
      </c>
      <c r="Y137" s="2">
        <f t="shared" si="5"/>
        <v>37.015102040816323</v>
      </c>
      <c r="Z137" s="2">
        <f>Table834[[#This Row],[BMI]]^2</f>
        <v>1370.1177790920447</v>
      </c>
      <c r="AA137" s="2">
        <f t="shared" si="4"/>
        <v>31.997550455105717</v>
      </c>
      <c r="AB137" s="2">
        <f>Table834[[#This Row],[CBF]]^2</f>
        <v>1023.8432351270361</v>
      </c>
      <c r="AC137" s="2">
        <v>1</v>
      </c>
      <c r="AD137" s="2">
        <f>Table834[[#This Row],[Gym]]^2</f>
        <v>1</v>
      </c>
      <c r="AE137" s="2">
        <v>1</v>
      </c>
      <c r="AF137" s="2">
        <f>Table834[[#This Row],[Cardio]]^2</f>
        <v>1</v>
      </c>
      <c r="AG137" s="2">
        <v>4631.3</v>
      </c>
      <c r="AH137" s="2">
        <f>Table834[[#This Row],[Calories]]^2</f>
        <v>21448939.690000001</v>
      </c>
      <c r="AI137" s="2">
        <v>742.88333333333333</v>
      </c>
      <c r="AJ137" s="2">
        <f>Table834[[#This Row],[Carbs]]^2</f>
        <v>551875.64694444439</v>
      </c>
      <c r="AK137" s="2">
        <v>151.15875</v>
      </c>
      <c r="AL137" s="2">
        <f>Table834[[#This Row],[Fat ]]^2</f>
        <v>22848.967701562498</v>
      </c>
      <c r="AM137" s="2">
        <v>119.62541666666667</v>
      </c>
      <c r="AN137" s="2">
        <f>Table834[[#This Row],[Protein]]^2</f>
        <v>14310.240312673612</v>
      </c>
      <c r="AO137" s="2">
        <v>9.6883333333333326</v>
      </c>
      <c r="AP137" s="2">
        <f>Table834[[#This Row],[Fiber]]^2</f>
        <v>93.863802777777764</v>
      </c>
      <c r="AQ137" s="2">
        <v>554.69124999999997</v>
      </c>
      <c r="AR137" s="2">
        <f>Table834[[#This Row],[Sugar]]^2</f>
        <v>307682.38282656245</v>
      </c>
      <c r="AS137" s="2">
        <v>115.8</v>
      </c>
      <c r="AT137" s="2">
        <f>Table834[[#This Row],[Servings]]^2</f>
        <v>13409.64</v>
      </c>
      <c r="AU137" s="2">
        <v>1</v>
      </c>
      <c r="AV137" s="2">
        <f>Table834[[#This Row],[Water]]^2</f>
        <v>1</v>
      </c>
      <c r="AW137" s="2">
        <v>1360.42875</v>
      </c>
      <c r="AX137" s="2">
        <f>Table834[[#This Row],[Fat Calories]]^2</f>
        <v>1850766.3838265627</v>
      </c>
      <c r="AY137" s="5">
        <f>Table834[[#This Row],[Weight]]*Table834[[#This Row],[Waist]]</f>
        <v>11481</v>
      </c>
      <c r="AZ137" s="6">
        <f>Table834[[#This Row],[Weight]]*Table834[[#This Row],[Neck]]</f>
        <v>4257</v>
      </c>
      <c r="BA137" s="6">
        <f>Table834[[#This Row],[Weight]]*Table834[[#This Row],[Morning Body Temp]]</f>
        <v>24922.799999999999</v>
      </c>
      <c r="BB137" s="6">
        <f>Table834[[#This Row],[Weight]]*Table834[[#This Row],[Morning Systolic Pressure]]</f>
        <v>35862</v>
      </c>
      <c r="BC137" s="12">
        <f>Table834[[#This Row],[Weight]]*Table834[[#This Row],[Morning Diastolic Pressure]]</f>
        <v>19866</v>
      </c>
      <c r="BD137" s="2">
        <f>Table834[[#This Row],[Weight]]*Table834[[#This Row],[Morning Pulse]]</f>
        <v>17028</v>
      </c>
      <c r="BE137" s="2">
        <f>Table834[[#This Row],[Weight]]*Table834[[#This Row],[Night Body Temp]]</f>
        <v>25284</v>
      </c>
      <c r="BF137" s="2">
        <f>Table834[[#This Row],[Weight]]*Table834[[#This Row],[Night Systolic Pressure]]</f>
        <v>33798</v>
      </c>
      <c r="BG137" s="4">
        <f>Table83[[#This Row],[Weight]]*Table83[[#This Row],[Night Diastolic Pressure]]</f>
        <v>20124</v>
      </c>
      <c r="BH137" s="2">
        <f>Table834[[#This Row],[Weight]]*Table834[[#This Row],[Night Pulse]]</f>
        <v>21930</v>
      </c>
      <c r="BI137" s="2">
        <f>Table834[[#This Row],[Weight]]*Table834[[#This Row],[Sleep]]</f>
        <v>2322</v>
      </c>
      <c r="BJ137" s="2">
        <f>Table834[[#This Row],[Weight]]*Table834[[#This Row],[BMI]]</f>
        <v>9549.896326530612</v>
      </c>
      <c r="BK137" s="2">
        <f>Table834[[#This Row],[Weight]]*Table834[[#This Row],[CBF]]</f>
        <v>8255.368017417275</v>
      </c>
      <c r="BL137" s="2">
        <f>Table834[[#This Row],[Weight]]*Table834[[#This Row],[Gym]]</f>
        <v>258</v>
      </c>
      <c r="BM137" s="2">
        <f>Table834[[#This Row],[Weight]]*Table834[[#This Row],[Cardio]]</f>
        <v>258</v>
      </c>
      <c r="BN137" s="2">
        <f>Table834[[#This Row],[Weight]]*Table834[[#This Row],[Calories]]</f>
        <v>1194875.4000000001</v>
      </c>
      <c r="BO137" s="2">
        <f>Table834[[#This Row],[Weight]]*Table834[[#This Row],[Carbs]]</f>
        <v>191663.9</v>
      </c>
      <c r="BP137" s="2">
        <f>Table834[[#This Row],[Weight]]*Table834[[#This Row],[Fat ]]</f>
        <v>38998.957499999997</v>
      </c>
      <c r="BQ137" s="2">
        <f>Table834[[#This Row],[Weight]]*Table834[[#This Row],[Protein]]</f>
        <v>30863.357499999998</v>
      </c>
      <c r="BR137" s="2">
        <f>Table834[[#This Row],[Weight]]*Table834[[#This Row],[Fiber]]</f>
        <v>2499.5899999999997</v>
      </c>
      <c r="BS137" s="2">
        <f>Table834[[#This Row],[Weight]]*Table834[[#This Row],[Sugar]]</f>
        <v>143110.3425</v>
      </c>
      <c r="BT137" s="2">
        <f>Table834[[#This Row],[Weight]]*Table834[[#This Row],[Servings]]</f>
        <v>29876.399999999998</v>
      </c>
      <c r="BU137" s="2">
        <f>Table834[[#This Row],[Weight]]*Table834[[#This Row],[Water]]</f>
        <v>258</v>
      </c>
      <c r="BV137" s="2">
        <f>Table834[[#This Row],[Weight]]*Table834[[#This Row],[Fat Calories]]</f>
        <v>350990.61749999999</v>
      </c>
      <c r="BW137" s="2">
        <f>Table834[[#This Row],[Waist]]*Table834[[#This Row],[Neck]]</f>
        <v>734.25</v>
      </c>
      <c r="BX137" s="2">
        <f>Table834[[#This Row],[Waist]]*Table834[[#This Row],[Morning Body Temp]]</f>
        <v>4298.7</v>
      </c>
      <c r="BY137" s="2">
        <f>Table834[[#This Row],[Waist]]*Table834[[#This Row],[Morning Systolic Pressure]]</f>
        <v>6185.5</v>
      </c>
      <c r="BZ137" s="2">
        <f>Table834[[#This Row],[Waist]]*Table834[[#This Row],[Morning Diastolic Pressure]]</f>
        <v>3426.5</v>
      </c>
      <c r="CA137" s="2">
        <f>Table834[[#This Row],[Waist]]*Table834[[#This Row],[Morning Pulse]]</f>
        <v>2937</v>
      </c>
      <c r="CB137" s="2">
        <f>Table834[[#This Row],[Waist]]*Table834[[#This Row],[Night Body Temp]]</f>
        <v>4361</v>
      </c>
      <c r="CC137" s="2">
        <f>Table834[[#This Row],[Waist]]*Table834[[#This Row],[Night Systolic Pressure]]</f>
        <v>5829.5</v>
      </c>
      <c r="CD137" s="4">
        <f>Table83[[#This Row],[Waist]]*Table83[[#This Row],[Night Diastolic Pressure]]</f>
        <v>3471</v>
      </c>
      <c r="CE137" s="2">
        <f>Table834[[#This Row],[Waist]]*Table834[[#This Row],[Night Pulse]]</f>
        <v>3782.5</v>
      </c>
      <c r="CF137" s="2">
        <f>Table834[[#This Row],[Waist]]*Table834[[#This Row],[Sleep]]</f>
        <v>400.5</v>
      </c>
      <c r="CG137" s="2">
        <f>Table834[[#This Row],[Waist]]*Table834[[#This Row],[BMI]]</f>
        <v>1647.1720408163264</v>
      </c>
      <c r="CH137" s="2">
        <f>Table834[[#This Row],[Waist]]*Table834[[#This Row],[CBF]]</f>
        <v>1423.8909952522044</v>
      </c>
      <c r="CI137" s="2">
        <f>Table834[[#This Row],[Waist]]*Table834[[#This Row],[Gym]]</f>
        <v>44.5</v>
      </c>
      <c r="CJ137" s="2">
        <f>Table834[[#This Row],[Waist]]*Table834[[#This Row],[Cardio]]</f>
        <v>44.5</v>
      </c>
      <c r="CK137" s="2">
        <f>Table834[[#This Row],[Waist]]*Table834[[#This Row],[Calories]]</f>
        <v>206092.85</v>
      </c>
      <c r="CL137" s="2">
        <f>Table834[[#This Row],[Waist]]*Table834[[#This Row],[Carbs]]</f>
        <v>33058.308333333334</v>
      </c>
      <c r="CM137" s="2">
        <f>Table834[[#This Row],[Waist]]*Table834[[#This Row],[Fat ]]</f>
        <v>6726.5643749999999</v>
      </c>
      <c r="CN137" s="2">
        <f>Table834[[#This Row],[Waist]]*Table834[[#This Row],[Protein]]</f>
        <v>5323.3310416666664</v>
      </c>
      <c r="CO137" s="2">
        <f>Table834[[#This Row],[Waist]]*Table834[[#This Row],[Fiber]]</f>
        <v>431.13083333333327</v>
      </c>
      <c r="CP137" s="2">
        <f>Table834[[#This Row],[Waist]]*Table834[[#This Row],[Sugar]]</f>
        <v>24683.760624999999</v>
      </c>
      <c r="CQ137" s="2">
        <f>Table834[[#This Row],[Waist]]*Table834[[#This Row],[Servings]]</f>
        <v>5153.0999999999995</v>
      </c>
      <c r="CR137" s="2">
        <f>Table834[[#This Row],[Waist]]*Table834[[#This Row],[Water]]</f>
        <v>44.5</v>
      </c>
      <c r="CS137" s="2">
        <f>Table834[[#This Row],[Waist]]*Table834[[#This Row],[Fat Calories]]</f>
        <v>60539.079375000001</v>
      </c>
    </row>
    <row r="138" spans="1:97" x14ac:dyDescent="0.25">
      <c r="A138" s="2">
        <v>251.8</v>
      </c>
      <c r="B138" s="2">
        <f>Table834[[#This Row],[Weight]]^2</f>
        <v>63403.240000000005</v>
      </c>
      <c r="C138" s="2">
        <v>44.5</v>
      </c>
      <c r="D138" s="2">
        <f>Table834[[#This Row],[Waist]]^2</f>
        <v>1980.25</v>
      </c>
      <c r="E138" s="2">
        <v>16.5</v>
      </c>
      <c r="F138" s="2">
        <f>Table834[[#This Row],[Neck]]^2</f>
        <v>272.25</v>
      </c>
      <c r="G138" s="2">
        <v>95.3</v>
      </c>
      <c r="H138" s="2">
        <f>Table834[[#This Row],[Morning Body Temp]]^2</f>
        <v>9082.09</v>
      </c>
      <c r="I138" s="2">
        <v>123</v>
      </c>
      <c r="J138" s="2">
        <f>Table834[[#This Row],[Morning Systolic Pressure]]^2</f>
        <v>15129</v>
      </c>
      <c r="K138" s="2">
        <v>77</v>
      </c>
      <c r="L138" s="2">
        <f>Table834[[#This Row],[Morning Diastolic Pressure]]^2</f>
        <v>5929</v>
      </c>
      <c r="M138" s="2">
        <v>69</v>
      </c>
      <c r="N138" s="2">
        <f>Table834[[#This Row],[Morning Pulse]]^2</f>
        <v>4761</v>
      </c>
      <c r="O138" s="2">
        <v>97.1</v>
      </c>
      <c r="P138" s="2">
        <f>Table834[[#This Row],[Night Body Temp]]^2</f>
        <v>9428.409999999998</v>
      </c>
      <c r="Q138" s="2">
        <v>142</v>
      </c>
      <c r="R138" s="2">
        <f>Table834[[#This Row],[Night Systolic Pressure]]^2</f>
        <v>20164</v>
      </c>
      <c r="S138" s="2">
        <v>84</v>
      </c>
      <c r="T138" s="2">
        <f>Table834[[#This Row],[Night Diastolic Pressure]]^2</f>
        <v>7056</v>
      </c>
      <c r="U138" s="2">
        <v>80</v>
      </c>
      <c r="V138" s="2">
        <f>Table834[[#This Row],[Night Pulse]]^2</f>
        <v>6400</v>
      </c>
      <c r="W138" s="2">
        <v>5</v>
      </c>
      <c r="X138" s="2">
        <f>Table834[[#This Row],[Sleep]]^2</f>
        <v>25</v>
      </c>
      <c r="Y138" s="2">
        <f t="shared" si="5"/>
        <v>36.125591836734699</v>
      </c>
      <c r="Z138" s="2">
        <f>Table834[[#This Row],[BMI]]^2</f>
        <v>1305.0583855543528</v>
      </c>
      <c r="AA138" s="2">
        <f t="shared" si="4"/>
        <v>31.997550455105717</v>
      </c>
      <c r="AB138" s="2">
        <f>Table834[[#This Row],[CBF]]^2</f>
        <v>1023.8432351270361</v>
      </c>
      <c r="AC138" s="2">
        <v>0</v>
      </c>
      <c r="AD138" s="2">
        <f>Table834[[#This Row],[Gym]]^2</f>
        <v>0</v>
      </c>
      <c r="AE138" s="2">
        <v>1</v>
      </c>
      <c r="AF138" s="2">
        <f>Table834[[#This Row],[Cardio]]^2</f>
        <v>1</v>
      </c>
      <c r="AG138" s="2">
        <v>3025.2295833333337</v>
      </c>
      <c r="AH138" s="2">
        <f>Table834[[#This Row],[Calories]]^2</f>
        <v>9152014.0318751764</v>
      </c>
      <c r="AI138" s="2">
        <v>520.81616666666662</v>
      </c>
      <c r="AJ138" s="2">
        <f>Table834[[#This Row],[Carbs]]^2</f>
        <v>271249.47946136107</v>
      </c>
      <c r="AK138" s="2">
        <v>74.574875000000006</v>
      </c>
      <c r="AL138" s="2">
        <f>Table834[[#This Row],[Fat ]]^2</f>
        <v>5561.4119812656263</v>
      </c>
      <c r="AM138" s="2">
        <v>90.387125000000012</v>
      </c>
      <c r="AN138" s="2">
        <f>Table834[[#This Row],[Protein]]^2</f>
        <v>8169.8323657656274</v>
      </c>
      <c r="AO138" s="2">
        <v>40.594583333333333</v>
      </c>
      <c r="AP138" s="2">
        <f>Table834[[#This Row],[Fiber]]^2</f>
        <v>1647.9201960069445</v>
      </c>
      <c r="AQ138" s="2">
        <v>373.47787499999998</v>
      </c>
      <c r="AR138" s="2">
        <f>Table834[[#This Row],[Sugar]]^2</f>
        <v>139485.72311451563</v>
      </c>
      <c r="AS138" s="2">
        <v>66.430000000000007</v>
      </c>
      <c r="AT138" s="2">
        <f>Table834[[#This Row],[Servings]]^2</f>
        <v>4412.9449000000013</v>
      </c>
      <c r="AU138" s="2">
        <v>0.5</v>
      </c>
      <c r="AV138" s="2">
        <f>Table834[[#This Row],[Water]]^2</f>
        <v>0.25</v>
      </c>
      <c r="AW138" s="2">
        <v>671.17387499999995</v>
      </c>
      <c r="AX138" s="2">
        <f>Table834[[#This Row],[Fat Calories]]^2</f>
        <v>450474.37048251554</v>
      </c>
      <c r="AY138" s="3">
        <f>Table834[[#This Row],[Weight]]*Table834[[#This Row],[Waist]]</f>
        <v>11205.1</v>
      </c>
      <c r="AZ138" s="4">
        <f>Table834[[#This Row],[Weight]]*Table834[[#This Row],[Neck]]</f>
        <v>4154.7</v>
      </c>
      <c r="BA138" s="4">
        <f>Table834[[#This Row],[Weight]]*Table834[[#This Row],[Morning Body Temp]]</f>
        <v>23996.54</v>
      </c>
      <c r="BB138" s="4">
        <f>Table834[[#This Row],[Weight]]*Table834[[#This Row],[Morning Systolic Pressure]]</f>
        <v>30971.4</v>
      </c>
      <c r="BC138" s="11">
        <f>Table834[[#This Row],[Weight]]*Table834[[#This Row],[Morning Diastolic Pressure]]</f>
        <v>19388.600000000002</v>
      </c>
      <c r="BD138" s="2">
        <f>Table834[[#This Row],[Weight]]*Table834[[#This Row],[Morning Pulse]]</f>
        <v>17374.2</v>
      </c>
      <c r="BE138" s="2">
        <f>Table834[[#This Row],[Weight]]*Table834[[#This Row],[Night Body Temp]]</f>
        <v>24449.78</v>
      </c>
      <c r="BF138" s="2">
        <f>Table834[[#This Row],[Weight]]*Table834[[#This Row],[Night Systolic Pressure]]</f>
        <v>35755.599999999999</v>
      </c>
      <c r="BG138" s="4">
        <f>Table83[[#This Row],[Weight]]*Table83[[#This Row],[Night Diastolic Pressure]]</f>
        <v>21151.200000000001</v>
      </c>
      <c r="BH138" s="2">
        <f>Table834[[#This Row],[Weight]]*Table834[[#This Row],[Night Pulse]]</f>
        <v>20144</v>
      </c>
      <c r="BI138" s="2">
        <f>Table834[[#This Row],[Weight]]*Table834[[#This Row],[Sleep]]</f>
        <v>1259</v>
      </c>
      <c r="BJ138" s="2">
        <f>Table834[[#This Row],[Weight]]*Table834[[#This Row],[BMI]]</f>
        <v>9096.4240244897974</v>
      </c>
      <c r="BK138" s="2">
        <f>Table834[[#This Row],[Weight]]*Table834[[#This Row],[CBF]]</f>
        <v>8056.98320459562</v>
      </c>
      <c r="BL138" s="2">
        <f>Table834[[#This Row],[Weight]]*Table834[[#This Row],[Gym]]</f>
        <v>0</v>
      </c>
      <c r="BM138" s="2">
        <f>Table834[[#This Row],[Weight]]*Table834[[#This Row],[Cardio]]</f>
        <v>251.8</v>
      </c>
      <c r="BN138" s="2">
        <f>Table834[[#This Row],[Weight]]*Table834[[#This Row],[Calories]]</f>
        <v>761752.80908333347</v>
      </c>
      <c r="BO138" s="2">
        <f>Table834[[#This Row],[Weight]]*Table834[[#This Row],[Carbs]]</f>
        <v>131141.51076666667</v>
      </c>
      <c r="BP138" s="2">
        <f>Table834[[#This Row],[Weight]]*Table834[[#This Row],[Fat ]]</f>
        <v>18777.953525000001</v>
      </c>
      <c r="BQ138" s="2">
        <f>Table834[[#This Row],[Weight]]*Table834[[#This Row],[Protein]]</f>
        <v>22759.478075000003</v>
      </c>
      <c r="BR138" s="2">
        <f>Table834[[#This Row],[Weight]]*Table834[[#This Row],[Fiber]]</f>
        <v>10221.716083333333</v>
      </c>
      <c r="BS138" s="2">
        <f>Table834[[#This Row],[Weight]]*Table834[[#This Row],[Sugar]]</f>
        <v>94041.728925000003</v>
      </c>
      <c r="BT138" s="2">
        <f>Table834[[#This Row],[Weight]]*Table834[[#This Row],[Servings]]</f>
        <v>16727.074000000004</v>
      </c>
      <c r="BU138" s="2">
        <f>Table834[[#This Row],[Weight]]*Table834[[#This Row],[Water]]</f>
        <v>125.9</v>
      </c>
      <c r="BV138" s="2">
        <f>Table834[[#This Row],[Weight]]*Table834[[#This Row],[Fat Calories]]</f>
        <v>169001.581725</v>
      </c>
      <c r="BW138" s="2">
        <f>Table834[[#This Row],[Waist]]*Table834[[#This Row],[Neck]]</f>
        <v>734.25</v>
      </c>
      <c r="BX138" s="2">
        <f>Table834[[#This Row],[Waist]]*Table834[[#This Row],[Morning Body Temp]]</f>
        <v>4240.8499999999995</v>
      </c>
      <c r="BY138" s="2">
        <f>Table834[[#This Row],[Waist]]*Table834[[#This Row],[Morning Systolic Pressure]]</f>
        <v>5473.5</v>
      </c>
      <c r="BZ138" s="2">
        <f>Table834[[#This Row],[Waist]]*Table834[[#This Row],[Morning Diastolic Pressure]]</f>
        <v>3426.5</v>
      </c>
      <c r="CA138" s="2">
        <f>Table834[[#This Row],[Waist]]*Table834[[#This Row],[Morning Pulse]]</f>
        <v>3070.5</v>
      </c>
      <c r="CB138" s="2">
        <f>Table834[[#This Row],[Waist]]*Table834[[#This Row],[Night Body Temp]]</f>
        <v>4320.95</v>
      </c>
      <c r="CC138" s="2">
        <f>Table834[[#This Row],[Waist]]*Table834[[#This Row],[Night Systolic Pressure]]</f>
        <v>6319</v>
      </c>
      <c r="CD138" s="4">
        <f>Table83[[#This Row],[Waist]]*Table83[[#This Row],[Night Diastolic Pressure]]</f>
        <v>3738</v>
      </c>
      <c r="CE138" s="2">
        <f>Table834[[#This Row],[Waist]]*Table834[[#This Row],[Night Pulse]]</f>
        <v>3560</v>
      </c>
      <c r="CF138" s="2">
        <f>Table834[[#This Row],[Waist]]*Table834[[#This Row],[Sleep]]</f>
        <v>222.5</v>
      </c>
      <c r="CG138" s="2">
        <f>Table834[[#This Row],[Waist]]*Table834[[#This Row],[BMI]]</f>
        <v>1607.588836734694</v>
      </c>
      <c r="CH138" s="2">
        <f>Table834[[#This Row],[Waist]]*Table834[[#This Row],[CBF]]</f>
        <v>1423.8909952522044</v>
      </c>
      <c r="CI138" s="2">
        <f>Table834[[#This Row],[Waist]]*Table834[[#This Row],[Gym]]</f>
        <v>0</v>
      </c>
      <c r="CJ138" s="2">
        <f>Table834[[#This Row],[Waist]]*Table834[[#This Row],[Cardio]]</f>
        <v>44.5</v>
      </c>
      <c r="CK138" s="2">
        <f>Table834[[#This Row],[Waist]]*Table834[[#This Row],[Calories]]</f>
        <v>134622.71645833337</v>
      </c>
      <c r="CL138" s="2">
        <f>Table834[[#This Row],[Waist]]*Table834[[#This Row],[Carbs]]</f>
        <v>23176.319416666665</v>
      </c>
      <c r="CM138" s="2">
        <f>Table834[[#This Row],[Waist]]*Table834[[#This Row],[Fat ]]</f>
        <v>3318.5819375000001</v>
      </c>
      <c r="CN138" s="2">
        <f>Table834[[#This Row],[Waist]]*Table834[[#This Row],[Protein]]</f>
        <v>4022.2270625000006</v>
      </c>
      <c r="CO138" s="2">
        <f>Table834[[#This Row],[Waist]]*Table834[[#This Row],[Fiber]]</f>
        <v>1806.4589583333334</v>
      </c>
      <c r="CP138" s="2">
        <f>Table834[[#This Row],[Waist]]*Table834[[#This Row],[Sugar]]</f>
        <v>16619.765437499998</v>
      </c>
      <c r="CQ138" s="2">
        <f>Table834[[#This Row],[Waist]]*Table834[[#This Row],[Servings]]</f>
        <v>2956.1350000000002</v>
      </c>
      <c r="CR138" s="2">
        <f>Table834[[#This Row],[Waist]]*Table834[[#This Row],[Water]]</f>
        <v>22.25</v>
      </c>
      <c r="CS138" s="2">
        <f>Table834[[#This Row],[Waist]]*Table834[[#This Row],[Fat Calories]]</f>
        <v>29867.237437499996</v>
      </c>
    </row>
    <row r="139" spans="1:97" x14ac:dyDescent="0.25">
      <c r="A139" s="2">
        <v>250.4</v>
      </c>
      <c r="B139" s="2">
        <f>Table834[[#This Row],[Weight]]^2</f>
        <v>62700.160000000003</v>
      </c>
      <c r="C139" s="2">
        <v>44.5</v>
      </c>
      <c r="D139" s="2">
        <f>Table834[[#This Row],[Waist]]^2</f>
        <v>1980.25</v>
      </c>
      <c r="E139" s="2">
        <v>16.5</v>
      </c>
      <c r="F139" s="2">
        <f>Table834[[#This Row],[Neck]]^2</f>
        <v>272.25</v>
      </c>
      <c r="G139" s="2">
        <v>95.2</v>
      </c>
      <c r="H139" s="2">
        <f>Table834[[#This Row],[Morning Body Temp]]^2</f>
        <v>9063.0400000000009</v>
      </c>
      <c r="I139" s="2">
        <v>127</v>
      </c>
      <c r="J139" s="2">
        <f>Table834[[#This Row],[Morning Systolic Pressure]]^2</f>
        <v>16129</v>
      </c>
      <c r="K139" s="2">
        <v>80</v>
      </c>
      <c r="L139" s="2">
        <f>Table834[[#This Row],[Morning Diastolic Pressure]]^2</f>
        <v>6400</v>
      </c>
      <c r="M139" s="2">
        <v>74</v>
      </c>
      <c r="N139" s="2">
        <f>Table834[[#This Row],[Morning Pulse]]^2</f>
        <v>5476</v>
      </c>
      <c r="O139" s="2">
        <v>97.4</v>
      </c>
      <c r="P139" s="2">
        <f>Table834[[#This Row],[Night Body Temp]]^2</f>
        <v>9486.76</v>
      </c>
      <c r="Q139" s="2">
        <v>137</v>
      </c>
      <c r="R139" s="2">
        <f>Table834[[#This Row],[Night Systolic Pressure]]^2</f>
        <v>18769</v>
      </c>
      <c r="S139" s="2">
        <v>83</v>
      </c>
      <c r="T139" s="2">
        <f>Table834[[#This Row],[Night Diastolic Pressure]]^2</f>
        <v>6889</v>
      </c>
      <c r="U139" s="2">
        <v>81</v>
      </c>
      <c r="V139" s="2">
        <f>Table834[[#This Row],[Night Pulse]]^2</f>
        <v>6561</v>
      </c>
      <c r="W139" s="2">
        <v>4</v>
      </c>
      <c r="X139" s="2">
        <f>Table834[[#This Row],[Sleep]]^2</f>
        <v>16</v>
      </c>
      <c r="Y139" s="2">
        <f t="shared" si="5"/>
        <v>35.924734693877546</v>
      </c>
      <c r="Z139" s="2">
        <f>Table834[[#This Row],[BMI]]^2</f>
        <v>1290.586562825489</v>
      </c>
      <c r="AA139" s="2">
        <f t="shared" si="4"/>
        <v>31.997550455105717</v>
      </c>
      <c r="AB139" s="2">
        <f>Table834[[#This Row],[CBF]]^2</f>
        <v>1023.8432351270361</v>
      </c>
      <c r="AC139" s="2">
        <v>0</v>
      </c>
      <c r="AD139" s="2">
        <f>Table834[[#This Row],[Gym]]^2</f>
        <v>0</v>
      </c>
      <c r="AE139" s="2">
        <v>1</v>
      </c>
      <c r="AF139" s="2">
        <f>Table834[[#This Row],[Cardio]]^2</f>
        <v>1</v>
      </c>
      <c r="AG139" s="2">
        <v>3309.7843750000002</v>
      </c>
      <c r="AH139" s="2">
        <f>Table834[[#This Row],[Calories]]^2</f>
        <v>10954672.608994141</v>
      </c>
      <c r="AI139" s="2">
        <v>587.67520833333333</v>
      </c>
      <c r="AJ139" s="2">
        <f>Table834[[#This Row],[Carbs]]^2</f>
        <v>345362.15048962674</v>
      </c>
      <c r="AK139" s="2">
        <v>82.926937499999994</v>
      </c>
      <c r="AL139" s="2">
        <f>Table834[[#This Row],[Fat ]]^2</f>
        <v>6876.8769631289051</v>
      </c>
      <c r="AM139" s="2">
        <v>85.182979166666684</v>
      </c>
      <c r="AN139" s="2">
        <f>Table834[[#This Row],[Protein]]^2</f>
        <v>7256.1399397087698</v>
      </c>
      <c r="AO139" s="2">
        <v>8.9678333333333331</v>
      </c>
      <c r="AP139" s="2">
        <f>Table834[[#This Row],[Fiber]]^2</f>
        <v>80.422034694444434</v>
      </c>
      <c r="AQ139" s="2">
        <v>498.64431249999996</v>
      </c>
      <c r="AR139" s="2">
        <f>Table834[[#This Row],[Sugar]]^2</f>
        <v>248646.1503885976</v>
      </c>
      <c r="AS139" s="2">
        <v>97</v>
      </c>
      <c r="AT139" s="2">
        <f>Table834[[#This Row],[Servings]]^2</f>
        <v>9409</v>
      </c>
      <c r="AU139" s="2">
        <v>0.5</v>
      </c>
      <c r="AV139" s="2">
        <f>Table834[[#This Row],[Water]]^2</f>
        <v>0.25</v>
      </c>
      <c r="AW139" s="2">
        <v>746.34243749999996</v>
      </c>
      <c r="AX139" s="2">
        <f>Table834[[#This Row],[Fat Calories]]^2</f>
        <v>557027.0340134413</v>
      </c>
      <c r="AY139" s="5">
        <f>Table834[[#This Row],[Weight]]*Table834[[#This Row],[Waist]]</f>
        <v>11142.800000000001</v>
      </c>
      <c r="AZ139" s="6">
        <f>Table834[[#This Row],[Weight]]*Table834[[#This Row],[Neck]]</f>
        <v>4131.6000000000004</v>
      </c>
      <c r="BA139" s="6">
        <f>Table834[[#This Row],[Weight]]*Table834[[#This Row],[Morning Body Temp]]</f>
        <v>23838.080000000002</v>
      </c>
      <c r="BB139" s="6">
        <f>Table834[[#This Row],[Weight]]*Table834[[#This Row],[Morning Systolic Pressure]]</f>
        <v>31800.799999999999</v>
      </c>
      <c r="BC139" s="12">
        <f>Table834[[#This Row],[Weight]]*Table834[[#This Row],[Morning Diastolic Pressure]]</f>
        <v>20032</v>
      </c>
      <c r="BD139" s="2">
        <f>Table834[[#This Row],[Weight]]*Table834[[#This Row],[Morning Pulse]]</f>
        <v>18529.600000000002</v>
      </c>
      <c r="BE139" s="2">
        <f>Table834[[#This Row],[Weight]]*Table834[[#This Row],[Night Body Temp]]</f>
        <v>24388.960000000003</v>
      </c>
      <c r="BF139" s="2">
        <f>Table834[[#This Row],[Weight]]*Table834[[#This Row],[Night Systolic Pressure]]</f>
        <v>34304.800000000003</v>
      </c>
      <c r="BG139" s="4">
        <f>Table83[[#This Row],[Weight]]*Table83[[#This Row],[Night Diastolic Pressure]]</f>
        <v>20783.2</v>
      </c>
      <c r="BH139" s="2">
        <f>Table834[[#This Row],[Weight]]*Table834[[#This Row],[Night Pulse]]</f>
        <v>20282.400000000001</v>
      </c>
      <c r="BI139" s="2">
        <f>Table834[[#This Row],[Weight]]*Table834[[#This Row],[Sleep]]</f>
        <v>1001.6</v>
      </c>
      <c r="BJ139" s="2">
        <f>Table834[[#This Row],[Weight]]*Table834[[#This Row],[BMI]]</f>
        <v>8995.5535673469385</v>
      </c>
      <c r="BK139" s="2">
        <f>Table834[[#This Row],[Weight]]*Table834[[#This Row],[CBF]]</f>
        <v>8012.1866339584722</v>
      </c>
      <c r="BL139" s="2">
        <f>Table834[[#This Row],[Weight]]*Table834[[#This Row],[Gym]]</f>
        <v>0</v>
      </c>
      <c r="BM139" s="2">
        <f>Table834[[#This Row],[Weight]]*Table834[[#This Row],[Cardio]]</f>
        <v>250.4</v>
      </c>
      <c r="BN139" s="2">
        <f>Table834[[#This Row],[Weight]]*Table834[[#This Row],[Calories]]</f>
        <v>828770.00750000007</v>
      </c>
      <c r="BO139" s="2">
        <f>Table834[[#This Row],[Weight]]*Table834[[#This Row],[Carbs]]</f>
        <v>147153.87216666667</v>
      </c>
      <c r="BP139" s="2">
        <f>Table834[[#This Row],[Weight]]*Table834[[#This Row],[Fat ]]</f>
        <v>20764.905149999999</v>
      </c>
      <c r="BQ139" s="2">
        <f>Table834[[#This Row],[Weight]]*Table834[[#This Row],[Protein]]</f>
        <v>21329.817983333338</v>
      </c>
      <c r="BR139" s="2">
        <f>Table834[[#This Row],[Weight]]*Table834[[#This Row],[Fiber]]</f>
        <v>2245.5454666666665</v>
      </c>
      <c r="BS139" s="2">
        <f>Table834[[#This Row],[Weight]]*Table834[[#This Row],[Sugar]]</f>
        <v>124860.53584999999</v>
      </c>
      <c r="BT139" s="2">
        <f>Table834[[#This Row],[Weight]]*Table834[[#This Row],[Servings]]</f>
        <v>24288.799999999999</v>
      </c>
      <c r="BU139" s="2">
        <f>Table834[[#This Row],[Weight]]*Table834[[#This Row],[Water]]</f>
        <v>125.2</v>
      </c>
      <c r="BV139" s="2">
        <f>Table834[[#This Row],[Weight]]*Table834[[#This Row],[Fat Calories]]</f>
        <v>186884.14635</v>
      </c>
      <c r="BW139" s="2">
        <f>Table834[[#This Row],[Waist]]*Table834[[#This Row],[Neck]]</f>
        <v>734.25</v>
      </c>
      <c r="BX139" s="2">
        <f>Table834[[#This Row],[Waist]]*Table834[[#This Row],[Morning Body Temp]]</f>
        <v>4236.4000000000005</v>
      </c>
      <c r="BY139" s="2">
        <f>Table834[[#This Row],[Waist]]*Table834[[#This Row],[Morning Systolic Pressure]]</f>
        <v>5651.5</v>
      </c>
      <c r="BZ139" s="2">
        <f>Table834[[#This Row],[Waist]]*Table834[[#This Row],[Morning Diastolic Pressure]]</f>
        <v>3560</v>
      </c>
      <c r="CA139" s="2">
        <f>Table834[[#This Row],[Waist]]*Table834[[#This Row],[Morning Pulse]]</f>
        <v>3293</v>
      </c>
      <c r="CB139" s="2">
        <f>Table834[[#This Row],[Waist]]*Table834[[#This Row],[Night Body Temp]]</f>
        <v>4334.3</v>
      </c>
      <c r="CC139" s="2">
        <f>Table834[[#This Row],[Waist]]*Table834[[#This Row],[Night Systolic Pressure]]</f>
        <v>6096.5</v>
      </c>
      <c r="CD139" s="4">
        <f>Table83[[#This Row],[Waist]]*Table83[[#This Row],[Night Diastolic Pressure]]</f>
        <v>3693.5</v>
      </c>
      <c r="CE139" s="2">
        <f>Table834[[#This Row],[Waist]]*Table834[[#This Row],[Night Pulse]]</f>
        <v>3604.5</v>
      </c>
      <c r="CF139" s="2">
        <f>Table834[[#This Row],[Waist]]*Table834[[#This Row],[Sleep]]</f>
        <v>178</v>
      </c>
      <c r="CG139" s="2">
        <f>Table834[[#This Row],[Waist]]*Table834[[#This Row],[BMI]]</f>
        <v>1598.6506938775508</v>
      </c>
      <c r="CH139" s="2">
        <f>Table834[[#This Row],[Waist]]*Table834[[#This Row],[CBF]]</f>
        <v>1423.8909952522044</v>
      </c>
      <c r="CI139" s="2">
        <f>Table834[[#This Row],[Waist]]*Table834[[#This Row],[Gym]]</f>
        <v>0</v>
      </c>
      <c r="CJ139" s="2">
        <f>Table834[[#This Row],[Waist]]*Table834[[#This Row],[Cardio]]</f>
        <v>44.5</v>
      </c>
      <c r="CK139" s="2">
        <f>Table834[[#This Row],[Waist]]*Table834[[#This Row],[Calories]]</f>
        <v>147285.40468750001</v>
      </c>
      <c r="CL139" s="2">
        <f>Table834[[#This Row],[Waist]]*Table834[[#This Row],[Carbs]]</f>
        <v>26151.546770833334</v>
      </c>
      <c r="CM139" s="2">
        <f>Table834[[#This Row],[Waist]]*Table834[[#This Row],[Fat ]]</f>
        <v>3690.2487187499996</v>
      </c>
      <c r="CN139" s="2">
        <f>Table834[[#This Row],[Waist]]*Table834[[#This Row],[Protein]]</f>
        <v>3790.6425729166676</v>
      </c>
      <c r="CO139" s="2">
        <f>Table834[[#This Row],[Waist]]*Table834[[#This Row],[Fiber]]</f>
        <v>399.06858333333332</v>
      </c>
      <c r="CP139" s="2">
        <f>Table834[[#This Row],[Waist]]*Table834[[#This Row],[Sugar]]</f>
        <v>22189.671906249998</v>
      </c>
      <c r="CQ139" s="2">
        <f>Table834[[#This Row],[Waist]]*Table834[[#This Row],[Servings]]</f>
        <v>4316.5</v>
      </c>
      <c r="CR139" s="2">
        <f>Table834[[#This Row],[Waist]]*Table834[[#This Row],[Water]]</f>
        <v>22.25</v>
      </c>
      <c r="CS139" s="2">
        <f>Table834[[#This Row],[Waist]]*Table834[[#This Row],[Fat Calories]]</f>
        <v>33212.238468750002</v>
      </c>
    </row>
    <row r="140" spans="1:97" x14ac:dyDescent="0.25">
      <c r="A140" s="2">
        <v>251</v>
      </c>
      <c r="B140" s="2">
        <f>Table834[[#This Row],[Weight]]^2</f>
        <v>63001</v>
      </c>
      <c r="C140" s="2">
        <v>44.5</v>
      </c>
      <c r="D140" s="2">
        <f>Table834[[#This Row],[Waist]]^2</f>
        <v>1980.25</v>
      </c>
      <c r="E140" s="2">
        <v>16.5</v>
      </c>
      <c r="F140" s="2">
        <f>Table834[[#This Row],[Neck]]^2</f>
        <v>272.25</v>
      </c>
      <c r="G140" s="2">
        <v>95.3</v>
      </c>
      <c r="H140" s="2">
        <f>Table834[[#This Row],[Morning Body Temp]]^2</f>
        <v>9082.09</v>
      </c>
      <c r="I140" s="2">
        <v>132</v>
      </c>
      <c r="J140" s="2">
        <f>Table834[[#This Row],[Morning Systolic Pressure]]^2</f>
        <v>17424</v>
      </c>
      <c r="K140" s="2">
        <v>75</v>
      </c>
      <c r="L140" s="2">
        <f>Table834[[#This Row],[Morning Diastolic Pressure]]^2</f>
        <v>5625</v>
      </c>
      <c r="M140" s="2">
        <v>71</v>
      </c>
      <c r="N140" s="2">
        <f>Table834[[#This Row],[Morning Pulse]]^2</f>
        <v>5041</v>
      </c>
      <c r="O140" s="2">
        <v>98.3</v>
      </c>
      <c r="P140" s="2">
        <f>Table834[[#This Row],[Night Body Temp]]^2</f>
        <v>9662.89</v>
      </c>
      <c r="Q140" s="2">
        <v>144</v>
      </c>
      <c r="R140" s="2">
        <f>Table834[[#This Row],[Night Systolic Pressure]]^2</f>
        <v>20736</v>
      </c>
      <c r="S140" s="2">
        <v>82</v>
      </c>
      <c r="T140" s="2">
        <f>Table834[[#This Row],[Night Diastolic Pressure]]^2</f>
        <v>6724</v>
      </c>
      <c r="U140" s="2">
        <v>83</v>
      </c>
      <c r="V140" s="2">
        <f>Table834[[#This Row],[Night Pulse]]^2</f>
        <v>6889</v>
      </c>
      <c r="W140" s="2">
        <v>4</v>
      </c>
      <c r="X140" s="2">
        <f>Table834[[#This Row],[Sleep]]^2</f>
        <v>16</v>
      </c>
      <c r="Y140" s="2">
        <f t="shared" si="5"/>
        <v>36.010816326530609</v>
      </c>
      <c r="Z140" s="2">
        <f>Table834[[#This Row],[BMI]]^2</f>
        <v>1296.7788925031234</v>
      </c>
      <c r="AA140" s="2">
        <f t="shared" si="4"/>
        <v>31.997550455105717</v>
      </c>
      <c r="AB140" s="2">
        <f>Table834[[#This Row],[CBF]]^2</f>
        <v>1023.8432351270361</v>
      </c>
      <c r="AC140" s="2">
        <v>0</v>
      </c>
      <c r="AD140" s="2">
        <f>Table834[[#This Row],[Gym]]^2</f>
        <v>0</v>
      </c>
      <c r="AE140" s="2">
        <v>1</v>
      </c>
      <c r="AF140" s="2">
        <f>Table834[[#This Row],[Cardio]]^2</f>
        <v>1</v>
      </c>
      <c r="AG140" s="2">
        <v>692</v>
      </c>
      <c r="AH140" s="2">
        <f>Table834[[#This Row],[Calories]]^2</f>
        <v>478864</v>
      </c>
      <c r="AI140" s="2">
        <v>138.4</v>
      </c>
      <c r="AJ140" s="2">
        <f>Table834[[#This Row],[Carbs]]^2</f>
        <v>19154.560000000001</v>
      </c>
      <c r="AK140" s="2">
        <v>17</v>
      </c>
      <c r="AL140" s="2">
        <f>Table834[[#This Row],[Fat ]]^2</f>
        <v>289</v>
      </c>
      <c r="AM140" s="2">
        <v>2</v>
      </c>
      <c r="AN140" s="2">
        <f>Table834[[#This Row],[Protein]]^2</f>
        <v>4</v>
      </c>
      <c r="AO140" s="2">
        <v>0</v>
      </c>
      <c r="AP140" s="2">
        <f>Table834[[#This Row],[Fiber]]^2</f>
        <v>0</v>
      </c>
      <c r="AQ140" s="2">
        <v>119.4</v>
      </c>
      <c r="AR140" s="2">
        <f>Table834[[#This Row],[Sugar]]^2</f>
        <v>14256.36</v>
      </c>
      <c r="AS140" s="2">
        <v>6</v>
      </c>
      <c r="AT140" s="2">
        <f>Table834[[#This Row],[Servings]]^2</f>
        <v>36</v>
      </c>
      <c r="AU140" s="2">
        <v>0</v>
      </c>
      <c r="AV140" s="2">
        <f>Table834[[#This Row],[Water]]^2</f>
        <v>0</v>
      </c>
      <c r="AW140" s="2">
        <v>153</v>
      </c>
      <c r="AX140" s="2">
        <f>Table834[[#This Row],[Fat Calories]]^2</f>
        <v>23409</v>
      </c>
      <c r="AY140" s="3">
        <f>Table834[[#This Row],[Weight]]*Table834[[#This Row],[Waist]]</f>
        <v>11169.5</v>
      </c>
      <c r="AZ140" s="4">
        <f>Table834[[#This Row],[Weight]]*Table834[[#This Row],[Neck]]</f>
        <v>4141.5</v>
      </c>
      <c r="BA140" s="4">
        <f>Table834[[#This Row],[Weight]]*Table834[[#This Row],[Morning Body Temp]]</f>
        <v>23920.3</v>
      </c>
      <c r="BB140" s="4">
        <f>Table834[[#This Row],[Weight]]*Table834[[#This Row],[Morning Systolic Pressure]]</f>
        <v>33132</v>
      </c>
      <c r="BC140" s="11">
        <f>Table834[[#This Row],[Weight]]*Table834[[#This Row],[Morning Diastolic Pressure]]</f>
        <v>18825</v>
      </c>
      <c r="BD140" s="2">
        <f>Table834[[#This Row],[Weight]]*Table834[[#This Row],[Morning Pulse]]</f>
        <v>17821</v>
      </c>
      <c r="BE140" s="2">
        <f>Table834[[#This Row],[Weight]]*Table834[[#This Row],[Night Body Temp]]</f>
        <v>24673.3</v>
      </c>
      <c r="BF140" s="2">
        <f>Table834[[#This Row],[Weight]]*Table834[[#This Row],[Night Systolic Pressure]]</f>
        <v>36144</v>
      </c>
      <c r="BG140" s="4">
        <f>Table83[[#This Row],[Weight]]*Table83[[#This Row],[Night Diastolic Pressure]]</f>
        <v>20582</v>
      </c>
      <c r="BH140" s="2">
        <f>Table834[[#This Row],[Weight]]*Table834[[#This Row],[Night Pulse]]</f>
        <v>20833</v>
      </c>
      <c r="BI140" s="2">
        <f>Table834[[#This Row],[Weight]]*Table834[[#This Row],[Sleep]]</f>
        <v>1004</v>
      </c>
      <c r="BJ140" s="2">
        <f>Table834[[#This Row],[Weight]]*Table834[[#This Row],[BMI]]</f>
        <v>9038.7148979591821</v>
      </c>
      <c r="BK140" s="2">
        <f>Table834[[#This Row],[Weight]]*Table834[[#This Row],[CBF]]</f>
        <v>8031.3851642315349</v>
      </c>
      <c r="BL140" s="2">
        <f>Table834[[#This Row],[Weight]]*Table834[[#This Row],[Gym]]</f>
        <v>0</v>
      </c>
      <c r="BM140" s="2">
        <f>Table834[[#This Row],[Weight]]*Table834[[#This Row],[Cardio]]</f>
        <v>251</v>
      </c>
      <c r="BN140" s="2">
        <f>Table834[[#This Row],[Weight]]*Table834[[#This Row],[Calories]]</f>
        <v>173692</v>
      </c>
      <c r="BO140" s="2">
        <f>Table834[[#This Row],[Weight]]*Table834[[#This Row],[Carbs]]</f>
        <v>34738.400000000001</v>
      </c>
      <c r="BP140" s="2">
        <f>Table834[[#This Row],[Weight]]*Table834[[#This Row],[Fat ]]</f>
        <v>4267</v>
      </c>
      <c r="BQ140" s="2">
        <f>Table834[[#This Row],[Weight]]*Table834[[#This Row],[Protein]]</f>
        <v>502</v>
      </c>
      <c r="BR140" s="2">
        <f>Table834[[#This Row],[Weight]]*Table834[[#This Row],[Fiber]]</f>
        <v>0</v>
      </c>
      <c r="BS140" s="2">
        <f>Table834[[#This Row],[Weight]]*Table834[[#This Row],[Sugar]]</f>
        <v>29969.4</v>
      </c>
      <c r="BT140" s="2">
        <f>Table834[[#This Row],[Weight]]*Table834[[#This Row],[Servings]]</f>
        <v>1506</v>
      </c>
      <c r="BU140" s="2">
        <f>Table834[[#This Row],[Weight]]*Table834[[#This Row],[Water]]</f>
        <v>0</v>
      </c>
      <c r="BV140" s="2">
        <f>Table834[[#This Row],[Weight]]*Table834[[#This Row],[Fat Calories]]</f>
        <v>38403</v>
      </c>
      <c r="BW140" s="2">
        <f>Table834[[#This Row],[Waist]]*Table834[[#This Row],[Neck]]</f>
        <v>734.25</v>
      </c>
      <c r="BX140" s="2">
        <f>Table834[[#This Row],[Waist]]*Table834[[#This Row],[Morning Body Temp]]</f>
        <v>4240.8499999999995</v>
      </c>
      <c r="BY140" s="2">
        <f>Table834[[#This Row],[Waist]]*Table834[[#This Row],[Morning Systolic Pressure]]</f>
        <v>5874</v>
      </c>
      <c r="BZ140" s="2">
        <f>Table834[[#This Row],[Waist]]*Table834[[#This Row],[Morning Diastolic Pressure]]</f>
        <v>3337.5</v>
      </c>
      <c r="CA140" s="2">
        <f>Table834[[#This Row],[Waist]]*Table834[[#This Row],[Morning Pulse]]</f>
        <v>3159.5</v>
      </c>
      <c r="CB140" s="2">
        <f>Table834[[#This Row],[Waist]]*Table834[[#This Row],[Night Body Temp]]</f>
        <v>4374.3499999999995</v>
      </c>
      <c r="CC140" s="2">
        <f>Table834[[#This Row],[Waist]]*Table834[[#This Row],[Night Systolic Pressure]]</f>
        <v>6408</v>
      </c>
      <c r="CD140" s="4">
        <f>Table83[[#This Row],[Waist]]*Table83[[#This Row],[Night Diastolic Pressure]]</f>
        <v>3649</v>
      </c>
      <c r="CE140" s="2">
        <f>Table834[[#This Row],[Waist]]*Table834[[#This Row],[Night Pulse]]</f>
        <v>3693.5</v>
      </c>
      <c r="CF140" s="2">
        <f>Table834[[#This Row],[Waist]]*Table834[[#This Row],[Sleep]]</f>
        <v>178</v>
      </c>
      <c r="CG140" s="2">
        <f>Table834[[#This Row],[Waist]]*Table834[[#This Row],[BMI]]</f>
        <v>1602.481326530612</v>
      </c>
      <c r="CH140" s="2">
        <f>Table834[[#This Row],[Waist]]*Table834[[#This Row],[CBF]]</f>
        <v>1423.8909952522044</v>
      </c>
      <c r="CI140" s="2">
        <f>Table834[[#This Row],[Waist]]*Table834[[#This Row],[Gym]]</f>
        <v>0</v>
      </c>
      <c r="CJ140" s="2">
        <f>Table834[[#This Row],[Waist]]*Table834[[#This Row],[Cardio]]</f>
        <v>44.5</v>
      </c>
      <c r="CK140" s="2">
        <f>Table834[[#This Row],[Waist]]*Table834[[#This Row],[Calories]]</f>
        <v>30794</v>
      </c>
      <c r="CL140" s="2">
        <f>Table834[[#This Row],[Waist]]*Table834[[#This Row],[Carbs]]</f>
        <v>6158.8</v>
      </c>
      <c r="CM140" s="2">
        <f>Table834[[#This Row],[Waist]]*Table834[[#This Row],[Fat ]]</f>
        <v>756.5</v>
      </c>
      <c r="CN140" s="2">
        <f>Table834[[#This Row],[Waist]]*Table834[[#This Row],[Protein]]</f>
        <v>89</v>
      </c>
      <c r="CO140" s="2">
        <f>Table834[[#This Row],[Waist]]*Table834[[#This Row],[Fiber]]</f>
        <v>0</v>
      </c>
      <c r="CP140" s="2">
        <f>Table834[[#This Row],[Waist]]*Table834[[#This Row],[Sugar]]</f>
        <v>5313.3</v>
      </c>
      <c r="CQ140" s="2">
        <f>Table834[[#This Row],[Waist]]*Table834[[#This Row],[Servings]]</f>
        <v>267</v>
      </c>
      <c r="CR140" s="2">
        <f>Table834[[#This Row],[Waist]]*Table834[[#This Row],[Water]]</f>
        <v>0</v>
      </c>
      <c r="CS140" s="2">
        <f>Table834[[#This Row],[Waist]]*Table834[[#This Row],[Fat Calories]]</f>
        <v>6808.5</v>
      </c>
    </row>
    <row r="141" spans="1:97" x14ac:dyDescent="0.25">
      <c r="A141" s="2">
        <v>249.2</v>
      </c>
      <c r="B141" s="2">
        <f>Table834[[#This Row],[Weight]]^2</f>
        <v>62100.639999999992</v>
      </c>
      <c r="C141" s="2">
        <v>44</v>
      </c>
      <c r="D141" s="2">
        <f>Table834[[#This Row],[Waist]]^2</f>
        <v>1936</v>
      </c>
      <c r="E141" s="2">
        <v>16.5</v>
      </c>
      <c r="F141" s="2">
        <f>Table834[[#This Row],[Neck]]^2</f>
        <v>272.25</v>
      </c>
      <c r="G141" s="2">
        <v>96.9</v>
      </c>
      <c r="H141" s="2">
        <f>Table834[[#This Row],[Morning Body Temp]]^2</f>
        <v>9389.61</v>
      </c>
      <c r="I141" s="2">
        <v>140</v>
      </c>
      <c r="J141" s="2">
        <f>Table834[[#This Row],[Morning Systolic Pressure]]^2</f>
        <v>19600</v>
      </c>
      <c r="K141" s="2">
        <v>85</v>
      </c>
      <c r="L141" s="2">
        <f>Table834[[#This Row],[Morning Diastolic Pressure]]^2</f>
        <v>7225</v>
      </c>
      <c r="M141" s="2">
        <v>86</v>
      </c>
      <c r="N141" s="2">
        <f>Table834[[#This Row],[Morning Pulse]]^2</f>
        <v>7396</v>
      </c>
      <c r="O141" s="2">
        <v>98.2</v>
      </c>
      <c r="P141" s="2">
        <f>Table834[[#This Row],[Night Body Temp]]^2</f>
        <v>9643.24</v>
      </c>
      <c r="Q141" s="2">
        <v>134</v>
      </c>
      <c r="R141" s="2">
        <f>Table834[[#This Row],[Night Systolic Pressure]]^2</f>
        <v>17956</v>
      </c>
      <c r="S141" s="2">
        <v>75</v>
      </c>
      <c r="T141" s="2">
        <f>Table834[[#This Row],[Night Diastolic Pressure]]^2</f>
        <v>5625</v>
      </c>
      <c r="U141" s="2">
        <v>88</v>
      </c>
      <c r="V141" s="2">
        <f>Table834[[#This Row],[Night Pulse]]^2</f>
        <v>7744</v>
      </c>
      <c r="W141" s="2">
        <v>9</v>
      </c>
      <c r="X141" s="2">
        <f>Table834[[#This Row],[Sleep]]^2</f>
        <v>81</v>
      </c>
      <c r="Y141" s="2">
        <f t="shared" si="5"/>
        <v>35.752571428571429</v>
      </c>
      <c r="Z141" s="2">
        <f>Table834[[#This Row],[BMI]]^2</f>
        <v>1278.246363755102</v>
      </c>
      <c r="AA141" s="2">
        <f t="shared" si="4"/>
        <v>31.324493175702337</v>
      </c>
      <c r="AB141" s="2">
        <f>Table834[[#This Row],[CBF]]^2</f>
        <v>981.2238727146223</v>
      </c>
      <c r="AC141" s="2">
        <v>0</v>
      </c>
      <c r="AD141" s="2">
        <f>Table834[[#This Row],[Gym]]^2</f>
        <v>0</v>
      </c>
      <c r="AE141" s="2">
        <v>0</v>
      </c>
      <c r="AF141" s="2">
        <f>Table834[[#This Row],[Cardio]]^2</f>
        <v>0</v>
      </c>
      <c r="AG141" s="2">
        <v>3776.5233333333335</v>
      </c>
      <c r="AH141" s="2">
        <f>Table834[[#This Row],[Calories]]^2</f>
        <v>14262128.487211112</v>
      </c>
      <c r="AI141" s="2">
        <v>640.2836666666667</v>
      </c>
      <c r="AJ141" s="2">
        <f>Table834[[#This Row],[Carbs]]^2</f>
        <v>409963.17380011117</v>
      </c>
      <c r="AK141" s="2">
        <v>99.191000000000003</v>
      </c>
      <c r="AL141" s="2">
        <f>Table834[[#This Row],[Fat ]]^2</f>
        <v>9838.8544810000003</v>
      </c>
      <c r="AM141" s="2">
        <v>93.937000000000012</v>
      </c>
      <c r="AN141" s="2">
        <f>Table834[[#This Row],[Protein]]^2</f>
        <v>8824.1599690000021</v>
      </c>
      <c r="AO141" s="2">
        <v>44.299333333333337</v>
      </c>
      <c r="AP141" s="2">
        <f>Table834[[#This Row],[Fiber]]^2</f>
        <v>1962.4309337777781</v>
      </c>
      <c r="AQ141" s="2">
        <v>459.10299999999995</v>
      </c>
      <c r="AR141" s="2">
        <f>Table834[[#This Row],[Sugar]]^2</f>
        <v>210775.56460899996</v>
      </c>
      <c r="AS141" s="2">
        <v>123.63</v>
      </c>
      <c r="AT141" s="2">
        <f>Table834[[#This Row],[Servings]]^2</f>
        <v>15284.376899999999</v>
      </c>
      <c r="AU141" s="2">
        <v>0.25</v>
      </c>
      <c r="AV141" s="2">
        <f>Table834[[#This Row],[Water]]^2</f>
        <v>6.25E-2</v>
      </c>
      <c r="AW141" s="2">
        <v>892.71899999999994</v>
      </c>
      <c r="AX141" s="2">
        <f>Table834[[#This Row],[Fat Calories]]^2</f>
        <v>796947.21296099992</v>
      </c>
      <c r="AY141" s="5">
        <f>Table834[[#This Row],[Weight]]*Table834[[#This Row],[Waist]]</f>
        <v>10964.8</v>
      </c>
      <c r="AZ141" s="6">
        <f>Table834[[#This Row],[Weight]]*Table834[[#This Row],[Neck]]</f>
        <v>4111.8</v>
      </c>
      <c r="BA141" s="6">
        <f>Table834[[#This Row],[Weight]]*Table834[[#This Row],[Morning Body Temp]]</f>
        <v>24147.48</v>
      </c>
      <c r="BB141" s="6">
        <f>Table834[[#This Row],[Weight]]*Table834[[#This Row],[Morning Systolic Pressure]]</f>
        <v>34888</v>
      </c>
      <c r="BC141" s="12">
        <f>Table834[[#This Row],[Weight]]*Table834[[#This Row],[Morning Diastolic Pressure]]</f>
        <v>21182</v>
      </c>
      <c r="BD141" s="2">
        <f>Table834[[#This Row],[Weight]]*Table834[[#This Row],[Morning Pulse]]</f>
        <v>21431.200000000001</v>
      </c>
      <c r="BE141" s="2">
        <f>Table834[[#This Row],[Weight]]*Table834[[#This Row],[Night Body Temp]]</f>
        <v>24471.439999999999</v>
      </c>
      <c r="BF141" s="2">
        <f>Table834[[#This Row],[Weight]]*Table834[[#This Row],[Night Systolic Pressure]]</f>
        <v>33392.799999999996</v>
      </c>
      <c r="BG141" s="4">
        <f>Table83[[#This Row],[Weight]]*Table83[[#This Row],[Night Diastolic Pressure]]</f>
        <v>18690</v>
      </c>
      <c r="BH141" s="2">
        <f>Table834[[#This Row],[Weight]]*Table834[[#This Row],[Night Pulse]]</f>
        <v>21929.599999999999</v>
      </c>
      <c r="BI141" s="2">
        <f>Table834[[#This Row],[Weight]]*Table834[[#This Row],[Sleep]]</f>
        <v>2242.7999999999997</v>
      </c>
      <c r="BJ141" s="2">
        <f>Table834[[#This Row],[Weight]]*Table834[[#This Row],[BMI]]</f>
        <v>8909.5407999999989</v>
      </c>
      <c r="BK141" s="2">
        <f>Table834[[#This Row],[Weight]]*Table834[[#This Row],[CBF]]</f>
        <v>7806.0636993850221</v>
      </c>
      <c r="BL141" s="2">
        <f>Table834[[#This Row],[Weight]]*Table834[[#This Row],[Gym]]</f>
        <v>0</v>
      </c>
      <c r="BM141" s="2">
        <f>Table834[[#This Row],[Weight]]*Table834[[#This Row],[Cardio]]</f>
        <v>0</v>
      </c>
      <c r="BN141" s="2">
        <f>Table834[[#This Row],[Weight]]*Table834[[#This Row],[Calories]]</f>
        <v>941109.61466666672</v>
      </c>
      <c r="BO141" s="2">
        <f>Table834[[#This Row],[Weight]]*Table834[[#This Row],[Carbs]]</f>
        <v>159558.68973333333</v>
      </c>
      <c r="BP141" s="2">
        <f>Table834[[#This Row],[Weight]]*Table834[[#This Row],[Fat ]]</f>
        <v>24718.397199999999</v>
      </c>
      <c r="BQ141" s="2">
        <f>Table834[[#This Row],[Weight]]*Table834[[#This Row],[Protein]]</f>
        <v>23409.100400000003</v>
      </c>
      <c r="BR141" s="2">
        <f>Table834[[#This Row],[Weight]]*Table834[[#This Row],[Fiber]]</f>
        <v>11039.393866666667</v>
      </c>
      <c r="BS141" s="2">
        <f>Table834[[#This Row],[Weight]]*Table834[[#This Row],[Sugar]]</f>
        <v>114408.46759999999</v>
      </c>
      <c r="BT141" s="2">
        <f>Table834[[#This Row],[Weight]]*Table834[[#This Row],[Servings]]</f>
        <v>30808.595999999998</v>
      </c>
      <c r="BU141" s="2">
        <f>Table834[[#This Row],[Weight]]*Table834[[#This Row],[Water]]</f>
        <v>62.3</v>
      </c>
      <c r="BV141" s="2">
        <f>Table834[[#This Row],[Weight]]*Table834[[#This Row],[Fat Calories]]</f>
        <v>222465.57479999997</v>
      </c>
      <c r="BW141" s="2">
        <f>Table834[[#This Row],[Waist]]*Table834[[#This Row],[Neck]]</f>
        <v>726</v>
      </c>
      <c r="BX141" s="2">
        <f>Table834[[#This Row],[Waist]]*Table834[[#This Row],[Morning Body Temp]]</f>
        <v>4263.6000000000004</v>
      </c>
      <c r="BY141" s="2">
        <f>Table834[[#This Row],[Waist]]*Table834[[#This Row],[Morning Systolic Pressure]]</f>
        <v>6160</v>
      </c>
      <c r="BZ141" s="2">
        <f>Table834[[#This Row],[Waist]]*Table834[[#This Row],[Morning Diastolic Pressure]]</f>
        <v>3740</v>
      </c>
      <c r="CA141" s="2">
        <f>Table834[[#This Row],[Waist]]*Table834[[#This Row],[Morning Pulse]]</f>
        <v>3784</v>
      </c>
      <c r="CB141" s="2">
        <f>Table834[[#This Row],[Waist]]*Table834[[#This Row],[Night Body Temp]]</f>
        <v>4320.8</v>
      </c>
      <c r="CC141" s="2">
        <f>Table834[[#This Row],[Waist]]*Table834[[#This Row],[Night Systolic Pressure]]</f>
        <v>5896</v>
      </c>
      <c r="CD141" s="4">
        <f>Table83[[#This Row],[Waist]]*Table83[[#This Row],[Night Diastolic Pressure]]</f>
        <v>3300</v>
      </c>
      <c r="CE141" s="2">
        <f>Table834[[#This Row],[Waist]]*Table834[[#This Row],[Night Pulse]]</f>
        <v>3872</v>
      </c>
      <c r="CF141" s="2">
        <f>Table834[[#This Row],[Waist]]*Table834[[#This Row],[Sleep]]</f>
        <v>396</v>
      </c>
      <c r="CG141" s="2">
        <f>Table834[[#This Row],[Waist]]*Table834[[#This Row],[BMI]]</f>
        <v>1573.113142857143</v>
      </c>
      <c r="CH141" s="2">
        <f>Table834[[#This Row],[Waist]]*Table834[[#This Row],[CBF]]</f>
        <v>1378.2776997309029</v>
      </c>
      <c r="CI141" s="2">
        <f>Table834[[#This Row],[Waist]]*Table834[[#This Row],[Gym]]</f>
        <v>0</v>
      </c>
      <c r="CJ141" s="2">
        <f>Table834[[#This Row],[Waist]]*Table834[[#This Row],[Cardio]]</f>
        <v>0</v>
      </c>
      <c r="CK141" s="2">
        <f>Table834[[#This Row],[Waist]]*Table834[[#This Row],[Calories]]</f>
        <v>166167.02666666667</v>
      </c>
      <c r="CL141" s="2">
        <f>Table834[[#This Row],[Waist]]*Table834[[#This Row],[Carbs]]</f>
        <v>28172.481333333337</v>
      </c>
      <c r="CM141" s="2">
        <f>Table834[[#This Row],[Waist]]*Table834[[#This Row],[Fat ]]</f>
        <v>4364.4040000000005</v>
      </c>
      <c r="CN141" s="2">
        <f>Table834[[#This Row],[Waist]]*Table834[[#This Row],[Protein]]</f>
        <v>4133.228000000001</v>
      </c>
      <c r="CO141" s="2">
        <f>Table834[[#This Row],[Waist]]*Table834[[#This Row],[Fiber]]</f>
        <v>1949.1706666666669</v>
      </c>
      <c r="CP141" s="2">
        <f>Table834[[#This Row],[Waist]]*Table834[[#This Row],[Sugar]]</f>
        <v>20200.531999999999</v>
      </c>
      <c r="CQ141" s="2">
        <f>Table834[[#This Row],[Waist]]*Table834[[#This Row],[Servings]]</f>
        <v>5439.7199999999993</v>
      </c>
      <c r="CR141" s="2">
        <f>Table834[[#This Row],[Waist]]*Table834[[#This Row],[Water]]</f>
        <v>11</v>
      </c>
      <c r="CS141" s="2">
        <f>Table834[[#This Row],[Waist]]*Table834[[#This Row],[Fat Calories]]</f>
        <v>39279.635999999999</v>
      </c>
    </row>
    <row r="142" spans="1:97" x14ac:dyDescent="0.25">
      <c r="A142" s="2">
        <v>248</v>
      </c>
      <c r="B142" s="2">
        <f>Table834[[#This Row],[Weight]]^2</f>
        <v>61504</v>
      </c>
      <c r="C142" s="2">
        <v>44</v>
      </c>
      <c r="D142" s="2">
        <f>Table834[[#This Row],[Waist]]^2</f>
        <v>1936</v>
      </c>
      <c r="E142" s="2">
        <v>16.5</v>
      </c>
      <c r="F142" s="2">
        <f>Table834[[#This Row],[Neck]]^2</f>
        <v>272.25</v>
      </c>
      <c r="G142" s="2">
        <v>97.1</v>
      </c>
      <c r="H142" s="2">
        <f>Table834[[#This Row],[Morning Body Temp]]^2</f>
        <v>9428.409999999998</v>
      </c>
      <c r="I142" s="2">
        <v>123</v>
      </c>
      <c r="J142" s="2">
        <f>Table834[[#This Row],[Morning Systolic Pressure]]^2</f>
        <v>15129</v>
      </c>
      <c r="K142" s="2">
        <v>70</v>
      </c>
      <c r="L142" s="2">
        <f>Table834[[#This Row],[Morning Diastolic Pressure]]^2</f>
        <v>4900</v>
      </c>
      <c r="M142" s="2">
        <v>74</v>
      </c>
      <c r="N142" s="2">
        <f>Table834[[#This Row],[Morning Pulse]]^2</f>
        <v>5476</v>
      </c>
      <c r="O142" s="2">
        <v>97</v>
      </c>
      <c r="P142" s="2">
        <f>Table834[[#This Row],[Night Body Temp]]^2</f>
        <v>9409</v>
      </c>
      <c r="Q142" s="2">
        <v>147</v>
      </c>
      <c r="R142" s="2">
        <f>Table834[[#This Row],[Night Systolic Pressure]]^2</f>
        <v>21609</v>
      </c>
      <c r="S142" s="2">
        <v>85</v>
      </c>
      <c r="T142" s="2">
        <f>Table834[[#This Row],[Night Diastolic Pressure]]^2</f>
        <v>7225</v>
      </c>
      <c r="U142" s="2">
        <v>78</v>
      </c>
      <c r="V142" s="2">
        <f>Table834[[#This Row],[Night Pulse]]^2</f>
        <v>6084</v>
      </c>
      <c r="W142" s="2">
        <v>16</v>
      </c>
      <c r="X142" s="2">
        <f>Table834[[#This Row],[Sleep]]^2</f>
        <v>256</v>
      </c>
      <c r="Y142" s="2">
        <f t="shared" si="5"/>
        <v>35.580408163265311</v>
      </c>
      <c r="Z142" s="2">
        <f>Table834[[#This Row],[BMI]]^2</f>
        <v>1265.9654450645567</v>
      </c>
      <c r="AA142" s="2">
        <f t="shared" si="4"/>
        <v>31.324493175702337</v>
      </c>
      <c r="AB142" s="2">
        <f>Table834[[#This Row],[CBF]]^2</f>
        <v>981.2238727146223</v>
      </c>
      <c r="AC142" s="2">
        <v>1</v>
      </c>
      <c r="AD142" s="2">
        <f>Table834[[#This Row],[Gym]]^2</f>
        <v>1</v>
      </c>
      <c r="AE142" s="2">
        <v>0</v>
      </c>
      <c r="AF142" s="2">
        <f>Table834[[#This Row],[Cardio]]^2</f>
        <v>0</v>
      </c>
      <c r="AG142" s="2">
        <v>4886.0414583333331</v>
      </c>
      <c r="AH142" s="2">
        <f>Table834[[#This Row],[Calories]]^2</f>
        <v>23873401.132552125</v>
      </c>
      <c r="AI142" s="2">
        <v>730.48337500000002</v>
      </c>
      <c r="AJ142" s="2">
        <f>Table834[[#This Row],[Carbs]]^2</f>
        <v>533605.96115139069</v>
      </c>
      <c r="AK142" s="2">
        <v>148.85006249999998</v>
      </c>
      <c r="AL142" s="2">
        <f>Table834[[#This Row],[Fat ]]^2</f>
        <v>22156.341106253902</v>
      </c>
      <c r="AM142" s="2">
        <v>154.92685416666669</v>
      </c>
      <c r="AN142" s="2">
        <f>Table834[[#This Row],[Protein]]^2</f>
        <v>24002.330141979608</v>
      </c>
      <c r="AO142" s="2">
        <v>48.697916666666664</v>
      </c>
      <c r="AP142" s="2">
        <f>Table834[[#This Row],[Fiber]]^2</f>
        <v>2371.4870876736109</v>
      </c>
      <c r="AQ142" s="2">
        <v>541.51043749999997</v>
      </c>
      <c r="AR142" s="2">
        <f>Table834[[#This Row],[Sugar]]^2</f>
        <v>293233.55392144137</v>
      </c>
      <c r="AS142" s="2">
        <v>163.86</v>
      </c>
      <c r="AT142" s="2">
        <f>Table834[[#This Row],[Servings]]^2</f>
        <v>26850.099600000005</v>
      </c>
      <c r="AU142" s="2">
        <v>0</v>
      </c>
      <c r="AV142" s="2">
        <f>Table834[[#This Row],[Water]]^2</f>
        <v>0</v>
      </c>
      <c r="AW142" s="2">
        <v>1339.6505625</v>
      </c>
      <c r="AX142" s="2">
        <f>Table834[[#This Row],[Fat Calories]]^2</f>
        <v>1794663.6296065664</v>
      </c>
      <c r="AY142" s="3">
        <f>Table834[[#This Row],[Weight]]*Table834[[#This Row],[Waist]]</f>
        <v>10912</v>
      </c>
      <c r="AZ142" s="4">
        <f>Table834[[#This Row],[Weight]]*Table834[[#This Row],[Neck]]</f>
        <v>4092</v>
      </c>
      <c r="BA142" s="4">
        <f>Table834[[#This Row],[Weight]]*Table834[[#This Row],[Morning Body Temp]]</f>
        <v>24080.799999999999</v>
      </c>
      <c r="BB142" s="4">
        <f>Table834[[#This Row],[Weight]]*Table834[[#This Row],[Morning Systolic Pressure]]</f>
        <v>30504</v>
      </c>
      <c r="BC142" s="11">
        <f>Table834[[#This Row],[Weight]]*Table834[[#This Row],[Morning Diastolic Pressure]]</f>
        <v>17360</v>
      </c>
      <c r="BD142" s="2">
        <f>Table834[[#This Row],[Weight]]*Table834[[#This Row],[Morning Pulse]]</f>
        <v>18352</v>
      </c>
      <c r="BE142" s="2">
        <f>Table834[[#This Row],[Weight]]*Table834[[#This Row],[Night Body Temp]]</f>
        <v>24056</v>
      </c>
      <c r="BF142" s="2">
        <f>Table834[[#This Row],[Weight]]*Table834[[#This Row],[Night Systolic Pressure]]</f>
        <v>36456</v>
      </c>
      <c r="BG142" s="4">
        <f>Table83[[#This Row],[Weight]]*Table83[[#This Row],[Night Diastolic Pressure]]</f>
        <v>21080</v>
      </c>
      <c r="BH142" s="2">
        <f>Table834[[#This Row],[Weight]]*Table834[[#This Row],[Night Pulse]]</f>
        <v>19344</v>
      </c>
      <c r="BI142" s="2">
        <f>Table834[[#This Row],[Weight]]*Table834[[#This Row],[Sleep]]</f>
        <v>3968</v>
      </c>
      <c r="BJ142" s="2">
        <f>Table834[[#This Row],[Weight]]*Table834[[#This Row],[BMI]]</f>
        <v>8823.9412244897976</v>
      </c>
      <c r="BK142" s="2">
        <f>Table834[[#This Row],[Weight]]*Table834[[#This Row],[CBF]]</f>
        <v>7768.4743075741799</v>
      </c>
      <c r="BL142" s="2">
        <f>Table834[[#This Row],[Weight]]*Table834[[#This Row],[Gym]]</f>
        <v>248</v>
      </c>
      <c r="BM142" s="2">
        <f>Table834[[#This Row],[Weight]]*Table834[[#This Row],[Cardio]]</f>
        <v>0</v>
      </c>
      <c r="BN142" s="2">
        <f>Table834[[#This Row],[Weight]]*Table834[[#This Row],[Calories]]</f>
        <v>1211738.2816666667</v>
      </c>
      <c r="BO142" s="2">
        <f>Table834[[#This Row],[Weight]]*Table834[[#This Row],[Carbs]]</f>
        <v>181159.87700000001</v>
      </c>
      <c r="BP142" s="2">
        <f>Table834[[#This Row],[Weight]]*Table834[[#This Row],[Fat ]]</f>
        <v>36914.815499999997</v>
      </c>
      <c r="BQ142" s="2">
        <f>Table834[[#This Row],[Weight]]*Table834[[#This Row],[Protein]]</f>
        <v>38421.859833333336</v>
      </c>
      <c r="BR142" s="2">
        <f>Table834[[#This Row],[Weight]]*Table834[[#This Row],[Fiber]]</f>
        <v>12077.083333333332</v>
      </c>
      <c r="BS142" s="2">
        <f>Table834[[#This Row],[Weight]]*Table834[[#This Row],[Sugar]]</f>
        <v>134294.58849999998</v>
      </c>
      <c r="BT142" s="2">
        <f>Table834[[#This Row],[Weight]]*Table834[[#This Row],[Servings]]</f>
        <v>40637.280000000006</v>
      </c>
      <c r="BU142" s="2">
        <f>Table834[[#This Row],[Weight]]*Table834[[#This Row],[Water]]</f>
        <v>0</v>
      </c>
      <c r="BV142" s="2">
        <f>Table834[[#This Row],[Weight]]*Table834[[#This Row],[Fat Calories]]</f>
        <v>332233.3395</v>
      </c>
      <c r="BW142" s="2">
        <f>Table834[[#This Row],[Waist]]*Table834[[#This Row],[Neck]]</f>
        <v>726</v>
      </c>
      <c r="BX142" s="2">
        <f>Table834[[#This Row],[Waist]]*Table834[[#This Row],[Morning Body Temp]]</f>
        <v>4272.3999999999996</v>
      </c>
      <c r="BY142" s="2">
        <f>Table834[[#This Row],[Waist]]*Table834[[#This Row],[Morning Systolic Pressure]]</f>
        <v>5412</v>
      </c>
      <c r="BZ142" s="2">
        <f>Table834[[#This Row],[Waist]]*Table834[[#This Row],[Morning Diastolic Pressure]]</f>
        <v>3080</v>
      </c>
      <c r="CA142" s="2">
        <f>Table834[[#This Row],[Waist]]*Table834[[#This Row],[Morning Pulse]]</f>
        <v>3256</v>
      </c>
      <c r="CB142" s="2">
        <f>Table834[[#This Row],[Waist]]*Table834[[#This Row],[Night Body Temp]]</f>
        <v>4268</v>
      </c>
      <c r="CC142" s="2">
        <f>Table834[[#This Row],[Waist]]*Table834[[#This Row],[Night Systolic Pressure]]</f>
        <v>6468</v>
      </c>
      <c r="CD142" s="4">
        <f>Table83[[#This Row],[Waist]]*Table83[[#This Row],[Night Diastolic Pressure]]</f>
        <v>3740</v>
      </c>
      <c r="CE142" s="2">
        <f>Table834[[#This Row],[Waist]]*Table834[[#This Row],[Night Pulse]]</f>
        <v>3432</v>
      </c>
      <c r="CF142" s="2">
        <f>Table834[[#This Row],[Waist]]*Table834[[#This Row],[Sleep]]</f>
        <v>704</v>
      </c>
      <c r="CG142" s="2">
        <f>Table834[[#This Row],[Waist]]*Table834[[#This Row],[BMI]]</f>
        <v>1565.5379591836736</v>
      </c>
      <c r="CH142" s="2">
        <f>Table834[[#This Row],[Waist]]*Table834[[#This Row],[CBF]]</f>
        <v>1378.2776997309029</v>
      </c>
      <c r="CI142" s="2">
        <f>Table834[[#This Row],[Waist]]*Table834[[#This Row],[Gym]]</f>
        <v>44</v>
      </c>
      <c r="CJ142" s="2">
        <f>Table834[[#This Row],[Waist]]*Table834[[#This Row],[Cardio]]</f>
        <v>0</v>
      </c>
      <c r="CK142" s="2">
        <f>Table834[[#This Row],[Waist]]*Table834[[#This Row],[Calories]]</f>
        <v>214985.82416666666</v>
      </c>
      <c r="CL142" s="2">
        <f>Table834[[#This Row],[Waist]]*Table834[[#This Row],[Carbs]]</f>
        <v>32141.268500000002</v>
      </c>
      <c r="CM142" s="2">
        <f>Table834[[#This Row],[Waist]]*Table834[[#This Row],[Fat ]]</f>
        <v>6549.4027499999993</v>
      </c>
      <c r="CN142" s="2">
        <f>Table834[[#This Row],[Waist]]*Table834[[#This Row],[Protein]]</f>
        <v>6816.7815833333343</v>
      </c>
      <c r="CO142" s="2">
        <f>Table834[[#This Row],[Waist]]*Table834[[#This Row],[Fiber]]</f>
        <v>2142.708333333333</v>
      </c>
      <c r="CP142" s="2">
        <f>Table834[[#This Row],[Waist]]*Table834[[#This Row],[Sugar]]</f>
        <v>23826.45925</v>
      </c>
      <c r="CQ142" s="2">
        <f>Table834[[#This Row],[Waist]]*Table834[[#This Row],[Servings]]</f>
        <v>7209.84</v>
      </c>
      <c r="CR142" s="2">
        <f>Table834[[#This Row],[Waist]]*Table834[[#This Row],[Water]]</f>
        <v>0</v>
      </c>
      <c r="CS142" s="2">
        <f>Table834[[#This Row],[Waist]]*Table834[[#This Row],[Fat Calories]]</f>
        <v>58944.624750000003</v>
      </c>
    </row>
    <row r="143" spans="1:97" x14ac:dyDescent="0.25">
      <c r="A143" s="2">
        <v>250.2</v>
      </c>
      <c r="B143" s="2">
        <f>Table834[[#This Row],[Weight]]^2</f>
        <v>62600.039999999994</v>
      </c>
      <c r="C143" s="2">
        <v>44</v>
      </c>
      <c r="D143" s="2">
        <f>Table834[[#This Row],[Waist]]^2</f>
        <v>1936</v>
      </c>
      <c r="E143" s="2">
        <v>16.5</v>
      </c>
      <c r="F143" s="2">
        <f>Table834[[#This Row],[Neck]]^2</f>
        <v>272.25</v>
      </c>
      <c r="G143" s="2">
        <v>96.4</v>
      </c>
      <c r="H143" s="2">
        <f>Table834[[#This Row],[Morning Body Temp]]^2</f>
        <v>9292.9600000000009</v>
      </c>
      <c r="I143" s="2">
        <v>129</v>
      </c>
      <c r="J143" s="2">
        <f>Table834[[#This Row],[Morning Systolic Pressure]]^2</f>
        <v>16641</v>
      </c>
      <c r="K143" s="2">
        <v>72</v>
      </c>
      <c r="L143" s="2">
        <f>Table834[[#This Row],[Morning Diastolic Pressure]]^2</f>
        <v>5184</v>
      </c>
      <c r="M143" s="2">
        <v>68</v>
      </c>
      <c r="N143" s="2">
        <f>Table834[[#This Row],[Morning Pulse]]^2</f>
        <v>4624</v>
      </c>
      <c r="O143" s="2">
        <v>97</v>
      </c>
      <c r="P143" s="2">
        <f>Table834[[#This Row],[Night Body Temp]]^2</f>
        <v>9409</v>
      </c>
      <c r="Q143" s="2">
        <v>147</v>
      </c>
      <c r="R143" s="2">
        <f>Table834[[#This Row],[Night Systolic Pressure]]^2</f>
        <v>21609</v>
      </c>
      <c r="S143" s="2">
        <v>85</v>
      </c>
      <c r="T143" s="2">
        <f>Table834[[#This Row],[Night Diastolic Pressure]]^2</f>
        <v>7225</v>
      </c>
      <c r="U143" s="2">
        <v>74</v>
      </c>
      <c r="V143" s="2">
        <f>Table834[[#This Row],[Night Pulse]]^2</f>
        <v>5476</v>
      </c>
      <c r="W143" s="2">
        <v>7</v>
      </c>
      <c r="X143" s="2">
        <f>Table834[[#This Row],[Sleep]]^2</f>
        <v>49</v>
      </c>
      <c r="Y143" s="2">
        <f t="shared" si="5"/>
        <v>35.896040816326526</v>
      </c>
      <c r="Z143" s="2">
        <f>Table834[[#This Row],[BMI]]^2</f>
        <v>1288.5257462873799</v>
      </c>
      <c r="AA143" s="2">
        <f t="shared" si="4"/>
        <v>31.324493175702337</v>
      </c>
      <c r="AB143" s="2">
        <f>Table834[[#This Row],[CBF]]^2</f>
        <v>981.2238727146223</v>
      </c>
      <c r="AC143" s="2">
        <v>0</v>
      </c>
      <c r="AD143" s="2">
        <f>Table834[[#This Row],[Gym]]^2</f>
        <v>0</v>
      </c>
      <c r="AE143" s="2">
        <v>0</v>
      </c>
      <c r="AF143" s="2">
        <f>Table834[[#This Row],[Cardio]]^2</f>
        <v>0</v>
      </c>
      <c r="AG143" s="2">
        <v>3312.8814583333333</v>
      </c>
      <c r="AH143" s="2">
        <f>Table834[[#This Row],[Calories]]^2</f>
        <v>10975183.556968793</v>
      </c>
      <c r="AI143" s="2">
        <v>511.657375</v>
      </c>
      <c r="AJ143" s="2">
        <f>Table834[[#This Row],[Carbs]]^2</f>
        <v>261793.26939189062</v>
      </c>
      <c r="AK143" s="2">
        <v>93.966062500000007</v>
      </c>
      <c r="AL143" s="2">
        <f>Table834[[#This Row],[Fat ]]^2</f>
        <v>8829.6209017539077</v>
      </c>
      <c r="AM143" s="2">
        <v>123.98485416666668</v>
      </c>
      <c r="AN143" s="2">
        <f>Table834[[#This Row],[Protein]]^2</f>
        <v>15372.244062729604</v>
      </c>
      <c r="AO143" s="2">
        <v>45.321916666666667</v>
      </c>
      <c r="AP143" s="2">
        <f>Table834[[#This Row],[Fiber]]^2</f>
        <v>2054.0761303402778</v>
      </c>
      <c r="AQ143" s="2">
        <v>391.66643750000003</v>
      </c>
      <c r="AR143" s="2">
        <f>Table834[[#This Row],[Sugar]]^2</f>
        <v>153402.59826394144</v>
      </c>
      <c r="AS143" s="2">
        <v>108.56</v>
      </c>
      <c r="AT143" s="2">
        <f>Table834[[#This Row],[Servings]]^2</f>
        <v>11785.2736</v>
      </c>
      <c r="AU143" s="2">
        <v>0</v>
      </c>
      <c r="AV143" s="2">
        <f>Table834[[#This Row],[Water]]^2</f>
        <v>0</v>
      </c>
      <c r="AW143" s="2">
        <v>845.69456249999996</v>
      </c>
      <c r="AX143" s="2">
        <f>Table834[[#This Row],[Fat Calories]]^2</f>
        <v>715199.29304206639</v>
      </c>
      <c r="AY143" s="5">
        <f>Table834[[#This Row],[Weight]]*Table834[[#This Row],[Waist]]</f>
        <v>11008.8</v>
      </c>
      <c r="AZ143" s="6">
        <f>Table834[[#This Row],[Weight]]*Table834[[#This Row],[Neck]]</f>
        <v>4128.3</v>
      </c>
      <c r="BA143" s="6">
        <f>Table834[[#This Row],[Weight]]*Table834[[#This Row],[Morning Body Temp]]</f>
        <v>24119.279999999999</v>
      </c>
      <c r="BB143" s="6">
        <f>Table834[[#This Row],[Weight]]*Table834[[#This Row],[Morning Systolic Pressure]]</f>
        <v>32275.8</v>
      </c>
      <c r="BC143" s="12">
        <f>Table834[[#This Row],[Weight]]*Table834[[#This Row],[Morning Diastolic Pressure]]</f>
        <v>18014.399999999998</v>
      </c>
      <c r="BD143" s="2">
        <f>Table834[[#This Row],[Weight]]*Table834[[#This Row],[Morning Pulse]]</f>
        <v>17013.599999999999</v>
      </c>
      <c r="BE143" s="2">
        <f>Table834[[#This Row],[Weight]]*Table834[[#This Row],[Night Body Temp]]</f>
        <v>24269.399999999998</v>
      </c>
      <c r="BF143" s="2">
        <f>Table834[[#This Row],[Weight]]*Table834[[#This Row],[Night Systolic Pressure]]</f>
        <v>36779.4</v>
      </c>
      <c r="BG143" s="4">
        <f>Table83[[#This Row],[Weight]]*Table83[[#This Row],[Night Diastolic Pressure]]</f>
        <v>21267</v>
      </c>
      <c r="BH143" s="2">
        <f>Table834[[#This Row],[Weight]]*Table834[[#This Row],[Night Pulse]]</f>
        <v>18514.8</v>
      </c>
      <c r="BI143" s="2">
        <f>Table834[[#This Row],[Weight]]*Table834[[#This Row],[Sleep]]</f>
        <v>1751.3999999999999</v>
      </c>
      <c r="BJ143" s="2">
        <f>Table834[[#This Row],[Weight]]*Table834[[#This Row],[BMI]]</f>
        <v>8981.1894122448957</v>
      </c>
      <c r="BK143" s="2">
        <f>Table834[[#This Row],[Weight]]*Table834[[#This Row],[CBF]]</f>
        <v>7837.3881925607238</v>
      </c>
      <c r="BL143" s="2">
        <f>Table834[[#This Row],[Weight]]*Table834[[#This Row],[Gym]]</f>
        <v>0</v>
      </c>
      <c r="BM143" s="2">
        <f>Table834[[#This Row],[Weight]]*Table834[[#This Row],[Cardio]]</f>
        <v>0</v>
      </c>
      <c r="BN143" s="2">
        <f>Table834[[#This Row],[Weight]]*Table834[[#This Row],[Calories]]</f>
        <v>828882.94087499997</v>
      </c>
      <c r="BO143" s="2">
        <f>Table834[[#This Row],[Weight]]*Table834[[#This Row],[Carbs]]</f>
        <v>128016.675225</v>
      </c>
      <c r="BP143" s="2">
        <f>Table834[[#This Row],[Weight]]*Table834[[#This Row],[Fat ]]</f>
        <v>23510.308837500001</v>
      </c>
      <c r="BQ143" s="2">
        <f>Table834[[#This Row],[Weight]]*Table834[[#This Row],[Protein]]</f>
        <v>31021.010512500001</v>
      </c>
      <c r="BR143" s="2">
        <f>Table834[[#This Row],[Weight]]*Table834[[#This Row],[Fiber]]</f>
        <v>11339.54355</v>
      </c>
      <c r="BS143" s="2">
        <f>Table834[[#This Row],[Weight]]*Table834[[#This Row],[Sugar]]</f>
        <v>97994.942662500005</v>
      </c>
      <c r="BT143" s="2">
        <f>Table834[[#This Row],[Weight]]*Table834[[#This Row],[Servings]]</f>
        <v>27161.712</v>
      </c>
      <c r="BU143" s="2">
        <f>Table834[[#This Row],[Weight]]*Table834[[#This Row],[Water]]</f>
        <v>0</v>
      </c>
      <c r="BV143" s="2">
        <f>Table834[[#This Row],[Weight]]*Table834[[#This Row],[Fat Calories]]</f>
        <v>211592.77953749997</v>
      </c>
      <c r="BW143" s="2">
        <f>Table834[[#This Row],[Waist]]*Table834[[#This Row],[Neck]]</f>
        <v>726</v>
      </c>
      <c r="BX143" s="2">
        <f>Table834[[#This Row],[Waist]]*Table834[[#This Row],[Morning Body Temp]]</f>
        <v>4241.6000000000004</v>
      </c>
      <c r="BY143" s="2">
        <f>Table834[[#This Row],[Waist]]*Table834[[#This Row],[Morning Systolic Pressure]]</f>
        <v>5676</v>
      </c>
      <c r="BZ143" s="2">
        <f>Table834[[#This Row],[Waist]]*Table834[[#This Row],[Morning Diastolic Pressure]]</f>
        <v>3168</v>
      </c>
      <c r="CA143" s="2">
        <f>Table834[[#This Row],[Waist]]*Table834[[#This Row],[Morning Pulse]]</f>
        <v>2992</v>
      </c>
      <c r="CB143" s="2">
        <f>Table834[[#This Row],[Waist]]*Table834[[#This Row],[Night Body Temp]]</f>
        <v>4268</v>
      </c>
      <c r="CC143" s="2">
        <f>Table834[[#This Row],[Waist]]*Table834[[#This Row],[Night Systolic Pressure]]</f>
        <v>6468</v>
      </c>
      <c r="CD143" s="4">
        <f>Table83[[#This Row],[Waist]]*Table83[[#This Row],[Night Diastolic Pressure]]</f>
        <v>3740</v>
      </c>
      <c r="CE143" s="2">
        <f>Table834[[#This Row],[Waist]]*Table834[[#This Row],[Night Pulse]]</f>
        <v>3256</v>
      </c>
      <c r="CF143" s="2">
        <f>Table834[[#This Row],[Waist]]*Table834[[#This Row],[Sleep]]</f>
        <v>308</v>
      </c>
      <c r="CG143" s="2">
        <f>Table834[[#This Row],[Waist]]*Table834[[#This Row],[BMI]]</f>
        <v>1579.4257959183672</v>
      </c>
      <c r="CH143" s="2">
        <f>Table834[[#This Row],[Waist]]*Table834[[#This Row],[CBF]]</f>
        <v>1378.2776997309029</v>
      </c>
      <c r="CI143" s="2">
        <f>Table834[[#This Row],[Waist]]*Table834[[#This Row],[Gym]]</f>
        <v>0</v>
      </c>
      <c r="CJ143" s="2">
        <f>Table834[[#This Row],[Waist]]*Table834[[#This Row],[Cardio]]</f>
        <v>0</v>
      </c>
      <c r="CK143" s="2">
        <f>Table834[[#This Row],[Waist]]*Table834[[#This Row],[Calories]]</f>
        <v>145766.78416666668</v>
      </c>
      <c r="CL143" s="2">
        <f>Table834[[#This Row],[Waist]]*Table834[[#This Row],[Carbs]]</f>
        <v>22512.924500000001</v>
      </c>
      <c r="CM143" s="2">
        <f>Table834[[#This Row],[Waist]]*Table834[[#This Row],[Fat ]]</f>
        <v>4134.5067500000005</v>
      </c>
      <c r="CN143" s="2">
        <f>Table834[[#This Row],[Waist]]*Table834[[#This Row],[Protein]]</f>
        <v>5455.333583333334</v>
      </c>
      <c r="CO143" s="2">
        <f>Table834[[#This Row],[Waist]]*Table834[[#This Row],[Fiber]]</f>
        <v>1994.1643333333334</v>
      </c>
      <c r="CP143" s="2">
        <f>Table834[[#This Row],[Waist]]*Table834[[#This Row],[Sugar]]</f>
        <v>17233.323250000001</v>
      </c>
      <c r="CQ143" s="2">
        <f>Table834[[#This Row],[Waist]]*Table834[[#This Row],[Servings]]</f>
        <v>4776.6400000000003</v>
      </c>
      <c r="CR143" s="2">
        <f>Table834[[#This Row],[Waist]]*Table834[[#This Row],[Water]]</f>
        <v>0</v>
      </c>
      <c r="CS143" s="2">
        <f>Table834[[#This Row],[Waist]]*Table834[[#This Row],[Fat Calories]]</f>
        <v>37210.560749999997</v>
      </c>
    </row>
    <row r="144" spans="1:97" x14ac:dyDescent="0.25">
      <c r="A144" s="2">
        <v>253</v>
      </c>
      <c r="B144" s="2">
        <f>Table834[[#This Row],[Weight]]^2</f>
        <v>64009</v>
      </c>
      <c r="C144" s="2">
        <v>44</v>
      </c>
      <c r="D144" s="2">
        <f>Table834[[#This Row],[Waist]]^2</f>
        <v>1936</v>
      </c>
      <c r="E144" s="2">
        <v>16.5</v>
      </c>
      <c r="F144" s="2">
        <f>Table834[[#This Row],[Neck]]^2</f>
        <v>272.25</v>
      </c>
      <c r="G144" s="2">
        <v>96.6</v>
      </c>
      <c r="H144" s="2">
        <f>Table834[[#This Row],[Morning Body Temp]]^2</f>
        <v>9331.56</v>
      </c>
      <c r="I144" s="2">
        <v>133</v>
      </c>
      <c r="J144" s="2">
        <f>Table834[[#This Row],[Morning Systolic Pressure]]^2</f>
        <v>17689</v>
      </c>
      <c r="K144" s="2">
        <v>73</v>
      </c>
      <c r="L144" s="2">
        <f>Table834[[#This Row],[Morning Diastolic Pressure]]^2</f>
        <v>5329</v>
      </c>
      <c r="M144" s="2">
        <v>72</v>
      </c>
      <c r="N144" s="2">
        <f>Table834[[#This Row],[Morning Pulse]]^2</f>
        <v>5184</v>
      </c>
      <c r="O144" s="2">
        <v>96.8</v>
      </c>
      <c r="P144" s="2">
        <f>Table834[[#This Row],[Night Body Temp]]^2</f>
        <v>9370.24</v>
      </c>
      <c r="Q144" s="2">
        <v>140</v>
      </c>
      <c r="R144" s="2">
        <f>Table834[[#This Row],[Night Systolic Pressure]]^2</f>
        <v>19600</v>
      </c>
      <c r="S144" s="2">
        <v>91</v>
      </c>
      <c r="T144" s="2">
        <f>Table834[[#This Row],[Night Diastolic Pressure]]^2</f>
        <v>8281</v>
      </c>
      <c r="U144" s="2">
        <v>81</v>
      </c>
      <c r="V144" s="2">
        <f>Table834[[#This Row],[Night Pulse]]^2</f>
        <v>6561</v>
      </c>
      <c r="W144" s="2">
        <v>8</v>
      </c>
      <c r="X144" s="2">
        <f>Table834[[#This Row],[Sleep]]^2</f>
        <v>64</v>
      </c>
      <c r="Y144" s="2">
        <f t="shared" si="5"/>
        <v>36.297755102040817</v>
      </c>
      <c r="Z144" s="2">
        <f>Table834[[#This Row],[BMI]]^2</f>
        <v>1317.5270254477302</v>
      </c>
      <c r="AA144" s="2">
        <f t="shared" si="4"/>
        <v>31.324493175702337</v>
      </c>
      <c r="AB144" s="2">
        <f>Table834[[#This Row],[CBF]]^2</f>
        <v>981.2238727146223</v>
      </c>
      <c r="AC144" s="2">
        <v>1</v>
      </c>
      <c r="AD144" s="2">
        <f>Table834[[#This Row],[Gym]]^2</f>
        <v>1</v>
      </c>
      <c r="AE144" s="2">
        <v>0</v>
      </c>
      <c r="AF144" s="2">
        <f>Table834[[#This Row],[Cardio]]^2</f>
        <v>0</v>
      </c>
      <c r="AG144" s="2">
        <v>3113.3677083333332</v>
      </c>
      <c r="AH144" s="2">
        <f>Table834[[#This Row],[Calories]]^2</f>
        <v>9693058.4872927517</v>
      </c>
      <c r="AI144" s="2">
        <v>361.111875</v>
      </c>
      <c r="AJ144" s="2">
        <f>Table834[[#This Row],[Carbs]]^2</f>
        <v>130401.78626601562</v>
      </c>
      <c r="AK144" s="2">
        <v>111.4519375</v>
      </c>
      <c r="AL144" s="2">
        <f>Table834[[#This Row],[Fat ]]^2</f>
        <v>12421.534372503906</v>
      </c>
      <c r="AM144" s="2">
        <v>135.84297916666665</v>
      </c>
      <c r="AN144" s="2">
        <f>Table834[[#This Row],[Protein]]^2</f>
        <v>18453.314988875431</v>
      </c>
      <c r="AO144" s="2">
        <v>27.331166666666668</v>
      </c>
      <c r="AP144" s="2">
        <f>Table834[[#This Row],[Fiber]]^2</f>
        <v>746.99267136111121</v>
      </c>
      <c r="AQ144" s="2">
        <v>193.44931249999999</v>
      </c>
      <c r="AR144" s="2">
        <f>Table834[[#This Row],[Sugar]]^2</f>
        <v>37422.636506722651</v>
      </c>
      <c r="AS144" s="2">
        <v>73.7</v>
      </c>
      <c r="AT144" s="2">
        <f>Table834[[#This Row],[Servings]]^2</f>
        <v>5431.6900000000005</v>
      </c>
      <c r="AU144" s="2">
        <v>0</v>
      </c>
      <c r="AV144" s="2">
        <f>Table834[[#This Row],[Water]]^2</f>
        <v>0</v>
      </c>
      <c r="AW144" s="2">
        <v>1003.0674375</v>
      </c>
      <c r="AX144" s="2">
        <f>Table834[[#This Row],[Fat Calories]]^2</f>
        <v>1006144.2841728163</v>
      </c>
      <c r="AY144" s="3">
        <f>Table834[[#This Row],[Weight]]*Table834[[#This Row],[Waist]]</f>
        <v>11132</v>
      </c>
      <c r="AZ144" s="4">
        <f>Table834[[#This Row],[Weight]]*Table834[[#This Row],[Neck]]</f>
        <v>4174.5</v>
      </c>
      <c r="BA144" s="4">
        <f>Table834[[#This Row],[Weight]]*Table834[[#This Row],[Morning Body Temp]]</f>
        <v>24439.8</v>
      </c>
      <c r="BB144" s="4">
        <f>Table834[[#This Row],[Weight]]*Table834[[#This Row],[Morning Systolic Pressure]]</f>
        <v>33649</v>
      </c>
      <c r="BC144" s="11">
        <f>Table834[[#This Row],[Weight]]*Table834[[#This Row],[Morning Diastolic Pressure]]</f>
        <v>18469</v>
      </c>
      <c r="BD144" s="2">
        <f>Table834[[#This Row],[Weight]]*Table834[[#This Row],[Morning Pulse]]</f>
        <v>18216</v>
      </c>
      <c r="BE144" s="2">
        <f>Table834[[#This Row],[Weight]]*Table834[[#This Row],[Night Body Temp]]</f>
        <v>24490.399999999998</v>
      </c>
      <c r="BF144" s="2">
        <f>Table834[[#This Row],[Weight]]*Table834[[#This Row],[Night Systolic Pressure]]</f>
        <v>35420</v>
      </c>
      <c r="BG144" s="4">
        <f>Table83[[#This Row],[Weight]]*Table83[[#This Row],[Night Diastolic Pressure]]</f>
        <v>23023</v>
      </c>
      <c r="BH144" s="2">
        <f>Table834[[#This Row],[Weight]]*Table834[[#This Row],[Night Pulse]]</f>
        <v>20493</v>
      </c>
      <c r="BI144" s="2">
        <f>Table834[[#This Row],[Weight]]*Table834[[#This Row],[Sleep]]</f>
        <v>2024</v>
      </c>
      <c r="BJ144" s="2">
        <f>Table834[[#This Row],[Weight]]*Table834[[#This Row],[BMI]]</f>
        <v>9183.3320408163272</v>
      </c>
      <c r="BK144" s="2">
        <f>Table834[[#This Row],[Weight]]*Table834[[#This Row],[CBF]]</f>
        <v>7925.0967734526912</v>
      </c>
      <c r="BL144" s="2">
        <f>Table834[[#This Row],[Weight]]*Table834[[#This Row],[Gym]]</f>
        <v>253</v>
      </c>
      <c r="BM144" s="2">
        <f>Table834[[#This Row],[Weight]]*Table834[[#This Row],[Cardio]]</f>
        <v>0</v>
      </c>
      <c r="BN144" s="2">
        <f>Table834[[#This Row],[Weight]]*Table834[[#This Row],[Calories]]</f>
        <v>787682.03020833328</v>
      </c>
      <c r="BO144" s="2">
        <f>Table834[[#This Row],[Weight]]*Table834[[#This Row],[Carbs]]</f>
        <v>91361.304374999992</v>
      </c>
      <c r="BP144" s="2">
        <f>Table834[[#This Row],[Weight]]*Table834[[#This Row],[Fat ]]</f>
        <v>28197.340187499998</v>
      </c>
      <c r="BQ144" s="2">
        <f>Table834[[#This Row],[Weight]]*Table834[[#This Row],[Protein]]</f>
        <v>34368.273729166664</v>
      </c>
      <c r="BR144" s="2">
        <f>Table834[[#This Row],[Weight]]*Table834[[#This Row],[Fiber]]</f>
        <v>6914.7851666666675</v>
      </c>
      <c r="BS144" s="2">
        <f>Table834[[#This Row],[Weight]]*Table834[[#This Row],[Sugar]]</f>
        <v>48942.676062499995</v>
      </c>
      <c r="BT144" s="2">
        <f>Table834[[#This Row],[Weight]]*Table834[[#This Row],[Servings]]</f>
        <v>18646.100000000002</v>
      </c>
      <c r="BU144" s="2">
        <f>Table834[[#This Row],[Weight]]*Table834[[#This Row],[Water]]</f>
        <v>0</v>
      </c>
      <c r="BV144" s="2">
        <f>Table834[[#This Row],[Weight]]*Table834[[#This Row],[Fat Calories]]</f>
        <v>253776.06168749998</v>
      </c>
      <c r="BW144" s="2">
        <f>Table834[[#This Row],[Waist]]*Table834[[#This Row],[Neck]]</f>
        <v>726</v>
      </c>
      <c r="BX144" s="2">
        <f>Table834[[#This Row],[Waist]]*Table834[[#This Row],[Morning Body Temp]]</f>
        <v>4250.3999999999996</v>
      </c>
      <c r="BY144" s="2">
        <f>Table834[[#This Row],[Waist]]*Table834[[#This Row],[Morning Systolic Pressure]]</f>
        <v>5852</v>
      </c>
      <c r="BZ144" s="2">
        <f>Table834[[#This Row],[Waist]]*Table834[[#This Row],[Morning Diastolic Pressure]]</f>
        <v>3212</v>
      </c>
      <c r="CA144" s="2">
        <f>Table834[[#This Row],[Waist]]*Table834[[#This Row],[Morning Pulse]]</f>
        <v>3168</v>
      </c>
      <c r="CB144" s="2">
        <f>Table834[[#This Row],[Waist]]*Table834[[#This Row],[Night Body Temp]]</f>
        <v>4259.2</v>
      </c>
      <c r="CC144" s="2">
        <f>Table834[[#This Row],[Waist]]*Table834[[#This Row],[Night Systolic Pressure]]</f>
        <v>6160</v>
      </c>
      <c r="CD144" s="4">
        <f>Table83[[#This Row],[Waist]]*Table83[[#This Row],[Night Diastolic Pressure]]</f>
        <v>4004</v>
      </c>
      <c r="CE144" s="2">
        <f>Table834[[#This Row],[Waist]]*Table834[[#This Row],[Night Pulse]]</f>
        <v>3564</v>
      </c>
      <c r="CF144" s="2">
        <f>Table834[[#This Row],[Waist]]*Table834[[#This Row],[Sleep]]</f>
        <v>352</v>
      </c>
      <c r="CG144" s="2">
        <f>Table834[[#This Row],[Waist]]*Table834[[#This Row],[BMI]]</f>
        <v>1597.1012244897959</v>
      </c>
      <c r="CH144" s="2">
        <f>Table834[[#This Row],[Waist]]*Table834[[#This Row],[CBF]]</f>
        <v>1378.2776997309029</v>
      </c>
      <c r="CI144" s="2">
        <f>Table834[[#This Row],[Waist]]*Table834[[#This Row],[Gym]]</f>
        <v>44</v>
      </c>
      <c r="CJ144" s="2">
        <f>Table834[[#This Row],[Waist]]*Table834[[#This Row],[Cardio]]</f>
        <v>0</v>
      </c>
      <c r="CK144" s="2">
        <f>Table834[[#This Row],[Waist]]*Table834[[#This Row],[Calories]]</f>
        <v>136988.17916666667</v>
      </c>
      <c r="CL144" s="2">
        <f>Table834[[#This Row],[Waist]]*Table834[[#This Row],[Carbs]]</f>
        <v>15888.922500000001</v>
      </c>
      <c r="CM144" s="2">
        <f>Table834[[#This Row],[Waist]]*Table834[[#This Row],[Fat ]]</f>
        <v>4903.8852500000003</v>
      </c>
      <c r="CN144" s="2">
        <f>Table834[[#This Row],[Waist]]*Table834[[#This Row],[Protein]]</f>
        <v>5977.0910833333328</v>
      </c>
      <c r="CO144" s="2">
        <f>Table834[[#This Row],[Waist]]*Table834[[#This Row],[Fiber]]</f>
        <v>1202.5713333333333</v>
      </c>
      <c r="CP144" s="2">
        <f>Table834[[#This Row],[Waist]]*Table834[[#This Row],[Sugar]]</f>
        <v>8511.7697499999995</v>
      </c>
      <c r="CQ144" s="2">
        <f>Table834[[#This Row],[Waist]]*Table834[[#This Row],[Servings]]</f>
        <v>3242.8</v>
      </c>
      <c r="CR144" s="2">
        <f>Table834[[#This Row],[Waist]]*Table834[[#This Row],[Water]]</f>
        <v>0</v>
      </c>
      <c r="CS144" s="2">
        <f>Table834[[#This Row],[Waist]]*Table834[[#This Row],[Fat Calories]]</f>
        <v>44134.967250000002</v>
      </c>
    </row>
    <row r="145" spans="1:97" x14ac:dyDescent="0.25">
      <c r="A145" s="2">
        <v>250.8</v>
      </c>
      <c r="B145" s="2">
        <f>Table834[[#This Row],[Weight]]^2</f>
        <v>62900.640000000007</v>
      </c>
      <c r="C145" s="2">
        <v>44</v>
      </c>
      <c r="D145" s="2">
        <f>Table834[[#This Row],[Waist]]^2</f>
        <v>1936</v>
      </c>
      <c r="E145" s="2">
        <v>16.5</v>
      </c>
      <c r="F145" s="2">
        <f>Table834[[#This Row],[Neck]]^2</f>
        <v>272.25</v>
      </c>
      <c r="G145" s="2">
        <v>97</v>
      </c>
      <c r="H145" s="2">
        <f>Table834[[#This Row],[Morning Body Temp]]^2</f>
        <v>9409</v>
      </c>
      <c r="I145" s="2">
        <v>116</v>
      </c>
      <c r="J145" s="2">
        <f>Table834[[#This Row],[Morning Systolic Pressure]]^2</f>
        <v>13456</v>
      </c>
      <c r="K145" s="2">
        <v>71</v>
      </c>
      <c r="L145" s="2">
        <f>Table834[[#This Row],[Morning Diastolic Pressure]]^2</f>
        <v>5041</v>
      </c>
      <c r="M145" s="2">
        <v>78</v>
      </c>
      <c r="N145" s="2">
        <f>Table834[[#This Row],[Morning Pulse]]^2</f>
        <v>6084</v>
      </c>
      <c r="O145" s="2">
        <v>96.8</v>
      </c>
      <c r="P145" s="2">
        <f>Table834[[#This Row],[Night Body Temp]]^2</f>
        <v>9370.24</v>
      </c>
      <c r="Q145" s="2">
        <v>124</v>
      </c>
      <c r="R145" s="2">
        <f>Table834[[#This Row],[Night Systolic Pressure]]^2</f>
        <v>15376</v>
      </c>
      <c r="S145" s="2">
        <v>67</v>
      </c>
      <c r="T145" s="2">
        <f>Table834[[#This Row],[Night Diastolic Pressure]]^2</f>
        <v>4489</v>
      </c>
      <c r="U145" s="2">
        <v>64</v>
      </c>
      <c r="V145" s="2">
        <f>Table834[[#This Row],[Night Pulse]]^2</f>
        <v>4096</v>
      </c>
      <c r="W145" s="2">
        <v>8</v>
      </c>
      <c r="X145" s="2">
        <f>Table834[[#This Row],[Sleep]]^2</f>
        <v>64</v>
      </c>
      <c r="Y145" s="2">
        <f t="shared" si="5"/>
        <v>35.982122448979595</v>
      </c>
      <c r="Z145" s="2">
        <f>Table834[[#This Row],[BMI]]^2</f>
        <v>1294.7131359333614</v>
      </c>
      <c r="AA145" s="2">
        <f t="shared" si="4"/>
        <v>31.324493175702337</v>
      </c>
      <c r="AB145" s="2">
        <f>Table834[[#This Row],[CBF]]^2</f>
        <v>981.2238727146223</v>
      </c>
      <c r="AC145" s="2">
        <v>1</v>
      </c>
      <c r="AD145" s="2">
        <f>Table834[[#This Row],[Gym]]^2</f>
        <v>1</v>
      </c>
      <c r="AE145" s="2">
        <v>0</v>
      </c>
      <c r="AF145" s="2">
        <f>Table834[[#This Row],[Cardio]]^2</f>
        <v>0</v>
      </c>
      <c r="AG145" s="2">
        <v>4050.583333333333</v>
      </c>
      <c r="AH145" s="2">
        <f>Table834[[#This Row],[Calories]]^2</f>
        <v>16407225.340277776</v>
      </c>
      <c r="AI145" s="2">
        <v>644.8366666666667</v>
      </c>
      <c r="AJ145" s="2">
        <f>Table834[[#This Row],[Carbs]]^2</f>
        <v>415814.3266777778</v>
      </c>
      <c r="AK145" s="2">
        <v>105.22500000000001</v>
      </c>
      <c r="AL145" s="2">
        <f>Table834[[#This Row],[Fat ]]^2</f>
        <v>11072.300625000002</v>
      </c>
      <c r="AM145" s="2">
        <v>89.060000000000016</v>
      </c>
      <c r="AN145" s="2">
        <f>Table834[[#This Row],[Protein]]^2</f>
        <v>7931.683600000003</v>
      </c>
      <c r="AO145" s="2">
        <v>28.563333333333333</v>
      </c>
      <c r="AP145" s="2">
        <f>Table834[[#This Row],[Fiber]]^2</f>
        <v>815.86401111111104</v>
      </c>
      <c r="AQ145" s="2">
        <v>436.60500000000002</v>
      </c>
      <c r="AR145" s="2">
        <f>Table834[[#This Row],[Sugar]]^2</f>
        <v>190623.92602500002</v>
      </c>
      <c r="AS145" s="2">
        <v>133.69999999999999</v>
      </c>
      <c r="AT145" s="2">
        <f>Table834[[#This Row],[Servings]]^2</f>
        <v>17875.689999999999</v>
      </c>
      <c r="AU145" s="2">
        <v>1.5</v>
      </c>
      <c r="AV145" s="2">
        <f>Table834[[#This Row],[Water]]^2</f>
        <v>2.25</v>
      </c>
      <c r="AW145" s="2">
        <v>947.02499999999998</v>
      </c>
      <c r="AX145" s="2">
        <f>Table834[[#This Row],[Fat Calories]]^2</f>
        <v>896856.35062499996</v>
      </c>
      <c r="AY145" s="5">
        <f>Table834[[#This Row],[Weight]]*Table834[[#This Row],[Waist]]</f>
        <v>11035.2</v>
      </c>
      <c r="AZ145" s="6">
        <f>Table834[[#This Row],[Weight]]*Table834[[#This Row],[Neck]]</f>
        <v>4138.2</v>
      </c>
      <c r="BA145" s="6">
        <f>Table834[[#This Row],[Weight]]*Table834[[#This Row],[Morning Body Temp]]</f>
        <v>24327.600000000002</v>
      </c>
      <c r="BB145" s="6">
        <f>Table834[[#This Row],[Weight]]*Table834[[#This Row],[Morning Systolic Pressure]]</f>
        <v>29092.800000000003</v>
      </c>
      <c r="BC145" s="12">
        <f>Table834[[#This Row],[Weight]]*Table834[[#This Row],[Morning Diastolic Pressure]]</f>
        <v>17806.8</v>
      </c>
      <c r="BD145" s="2">
        <f>Table834[[#This Row],[Weight]]*Table834[[#This Row],[Morning Pulse]]</f>
        <v>19562.400000000001</v>
      </c>
      <c r="BE145" s="2">
        <f>Table834[[#This Row],[Weight]]*Table834[[#This Row],[Night Body Temp]]</f>
        <v>24277.439999999999</v>
      </c>
      <c r="BF145" s="2">
        <f>Table834[[#This Row],[Weight]]*Table834[[#This Row],[Night Systolic Pressure]]</f>
        <v>31099.200000000001</v>
      </c>
      <c r="BG145" s="4">
        <f>Table83[[#This Row],[Weight]]*Table83[[#This Row],[Night Diastolic Pressure]]</f>
        <v>16803.600000000002</v>
      </c>
      <c r="BH145" s="2">
        <f>Table834[[#This Row],[Weight]]*Table834[[#This Row],[Night Pulse]]</f>
        <v>16051.2</v>
      </c>
      <c r="BI145" s="2">
        <f>Table834[[#This Row],[Weight]]*Table834[[#This Row],[Sleep]]</f>
        <v>2006.4</v>
      </c>
      <c r="BJ145" s="2">
        <f>Table834[[#This Row],[Weight]]*Table834[[#This Row],[BMI]]</f>
        <v>9024.3163102040835</v>
      </c>
      <c r="BK145" s="2">
        <f>Table834[[#This Row],[Weight]]*Table834[[#This Row],[CBF]]</f>
        <v>7856.1828884661463</v>
      </c>
      <c r="BL145" s="2">
        <f>Table834[[#This Row],[Weight]]*Table834[[#This Row],[Gym]]</f>
        <v>250.8</v>
      </c>
      <c r="BM145" s="2">
        <f>Table834[[#This Row],[Weight]]*Table834[[#This Row],[Cardio]]</f>
        <v>0</v>
      </c>
      <c r="BN145" s="2">
        <f>Table834[[#This Row],[Weight]]*Table834[[#This Row],[Calories]]</f>
        <v>1015886.2999999999</v>
      </c>
      <c r="BO145" s="2">
        <f>Table834[[#This Row],[Weight]]*Table834[[#This Row],[Carbs]]</f>
        <v>161725.03600000002</v>
      </c>
      <c r="BP145" s="2">
        <f>Table834[[#This Row],[Weight]]*Table834[[#This Row],[Fat ]]</f>
        <v>26390.430000000004</v>
      </c>
      <c r="BQ145" s="2">
        <f>Table834[[#This Row],[Weight]]*Table834[[#This Row],[Protein]]</f>
        <v>22336.248000000007</v>
      </c>
      <c r="BR145" s="2">
        <f>Table834[[#This Row],[Weight]]*Table834[[#This Row],[Fiber]]</f>
        <v>7163.6840000000002</v>
      </c>
      <c r="BS145" s="2">
        <f>Table834[[#This Row],[Weight]]*Table834[[#This Row],[Sugar]]</f>
        <v>109500.53400000001</v>
      </c>
      <c r="BT145" s="2">
        <f>Table834[[#This Row],[Weight]]*Table834[[#This Row],[Servings]]</f>
        <v>33531.96</v>
      </c>
      <c r="BU145" s="2">
        <f>Table834[[#This Row],[Weight]]*Table834[[#This Row],[Water]]</f>
        <v>376.20000000000005</v>
      </c>
      <c r="BV145" s="2">
        <f>Table834[[#This Row],[Weight]]*Table834[[#This Row],[Fat Calories]]</f>
        <v>237513.87</v>
      </c>
      <c r="BW145" s="2">
        <f>Table834[[#This Row],[Waist]]*Table834[[#This Row],[Neck]]</f>
        <v>726</v>
      </c>
      <c r="BX145" s="2">
        <f>Table834[[#This Row],[Waist]]*Table834[[#This Row],[Morning Body Temp]]</f>
        <v>4268</v>
      </c>
      <c r="BY145" s="2">
        <f>Table834[[#This Row],[Waist]]*Table834[[#This Row],[Morning Systolic Pressure]]</f>
        <v>5104</v>
      </c>
      <c r="BZ145" s="2">
        <f>Table834[[#This Row],[Waist]]*Table834[[#This Row],[Morning Diastolic Pressure]]</f>
        <v>3124</v>
      </c>
      <c r="CA145" s="2">
        <f>Table834[[#This Row],[Waist]]*Table834[[#This Row],[Morning Pulse]]</f>
        <v>3432</v>
      </c>
      <c r="CB145" s="2">
        <f>Table834[[#This Row],[Waist]]*Table834[[#This Row],[Night Body Temp]]</f>
        <v>4259.2</v>
      </c>
      <c r="CC145" s="2">
        <f>Table834[[#This Row],[Waist]]*Table834[[#This Row],[Night Systolic Pressure]]</f>
        <v>5456</v>
      </c>
      <c r="CD145" s="4">
        <f>Table83[[#This Row],[Waist]]*Table83[[#This Row],[Night Diastolic Pressure]]</f>
        <v>2948</v>
      </c>
      <c r="CE145" s="2">
        <f>Table834[[#This Row],[Waist]]*Table834[[#This Row],[Night Pulse]]</f>
        <v>2816</v>
      </c>
      <c r="CF145" s="2">
        <f>Table834[[#This Row],[Waist]]*Table834[[#This Row],[Sleep]]</f>
        <v>352</v>
      </c>
      <c r="CG145" s="2">
        <f>Table834[[#This Row],[Waist]]*Table834[[#This Row],[BMI]]</f>
        <v>1583.2133877551023</v>
      </c>
      <c r="CH145" s="2">
        <f>Table834[[#This Row],[Waist]]*Table834[[#This Row],[CBF]]</f>
        <v>1378.2776997309029</v>
      </c>
      <c r="CI145" s="2">
        <f>Table834[[#This Row],[Waist]]*Table834[[#This Row],[Gym]]</f>
        <v>44</v>
      </c>
      <c r="CJ145" s="2">
        <f>Table834[[#This Row],[Waist]]*Table834[[#This Row],[Cardio]]</f>
        <v>0</v>
      </c>
      <c r="CK145" s="2">
        <f>Table834[[#This Row],[Waist]]*Table834[[#This Row],[Calories]]</f>
        <v>178225.66666666666</v>
      </c>
      <c r="CL145" s="2">
        <f>Table834[[#This Row],[Waist]]*Table834[[#This Row],[Carbs]]</f>
        <v>28372.813333333335</v>
      </c>
      <c r="CM145" s="2">
        <f>Table834[[#This Row],[Waist]]*Table834[[#This Row],[Fat ]]</f>
        <v>4629.9000000000005</v>
      </c>
      <c r="CN145" s="2">
        <f>Table834[[#This Row],[Waist]]*Table834[[#This Row],[Protein]]</f>
        <v>3918.6400000000008</v>
      </c>
      <c r="CO145" s="2">
        <f>Table834[[#This Row],[Waist]]*Table834[[#This Row],[Fiber]]</f>
        <v>1256.7866666666666</v>
      </c>
      <c r="CP145" s="2">
        <f>Table834[[#This Row],[Waist]]*Table834[[#This Row],[Sugar]]</f>
        <v>19210.620000000003</v>
      </c>
      <c r="CQ145" s="2">
        <f>Table834[[#This Row],[Waist]]*Table834[[#This Row],[Servings]]</f>
        <v>5882.7999999999993</v>
      </c>
      <c r="CR145" s="2">
        <f>Table834[[#This Row],[Waist]]*Table834[[#This Row],[Water]]</f>
        <v>66</v>
      </c>
      <c r="CS145" s="2">
        <f>Table834[[#This Row],[Waist]]*Table834[[#This Row],[Fat Calories]]</f>
        <v>41669.1</v>
      </c>
    </row>
    <row r="146" spans="1:97" x14ac:dyDescent="0.25">
      <c r="A146" s="2">
        <v>252.8</v>
      </c>
      <c r="B146" s="2">
        <f>Table834[[#This Row],[Weight]]^2</f>
        <v>63907.840000000004</v>
      </c>
      <c r="C146" s="2">
        <v>44</v>
      </c>
      <c r="D146" s="2">
        <f>Table834[[#This Row],[Waist]]^2</f>
        <v>1936</v>
      </c>
      <c r="E146" s="2">
        <v>16.5</v>
      </c>
      <c r="F146" s="2">
        <f>Table834[[#This Row],[Neck]]^2</f>
        <v>272.25</v>
      </c>
      <c r="G146" s="2">
        <v>96.2</v>
      </c>
      <c r="H146" s="2">
        <f>Table834[[#This Row],[Morning Body Temp]]^2</f>
        <v>9254.44</v>
      </c>
      <c r="I146" s="2">
        <v>128</v>
      </c>
      <c r="J146" s="2">
        <f>Table834[[#This Row],[Morning Systolic Pressure]]^2</f>
        <v>16384</v>
      </c>
      <c r="K146" s="2">
        <v>70</v>
      </c>
      <c r="L146" s="2">
        <f>Table834[[#This Row],[Morning Diastolic Pressure]]^2</f>
        <v>4900</v>
      </c>
      <c r="M146" s="2">
        <v>63</v>
      </c>
      <c r="N146" s="2">
        <f>Table834[[#This Row],[Morning Pulse]]^2</f>
        <v>3969</v>
      </c>
      <c r="O146" s="2">
        <v>96.4</v>
      </c>
      <c r="P146" s="2">
        <f>Table834[[#This Row],[Night Body Temp]]^2</f>
        <v>9292.9600000000009</v>
      </c>
      <c r="Q146" s="2">
        <v>121</v>
      </c>
      <c r="R146" s="2">
        <f>Table834[[#This Row],[Night Systolic Pressure]]^2</f>
        <v>14641</v>
      </c>
      <c r="S146" s="2">
        <v>75</v>
      </c>
      <c r="T146" s="2">
        <f>Table834[[#This Row],[Night Diastolic Pressure]]^2</f>
        <v>5625</v>
      </c>
      <c r="U146" s="2">
        <v>66</v>
      </c>
      <c r="V146" s="2">
        <f>Table834[[#This Row],[Night Pulse]]^2</f>
        <v>4356</v>
      </c>
      <c r="W146" s="2">
        <v>6</v>
      </c>
      <c r="X146" s="2">
        <f>Table834[[#This Row],[Sleep]]^2</f>
        <v>36</v>
      </c>
      <c r="Y146" s="2">
        <f t="shared" si="5"/>
        <v>36.269061224489796</v>
      </c>
      <c r="Z146" s="2">
        <f>Table834[[#This Row],[BMI]]^2</f>
        <v>1315.4448021057892</v>
      </c>
      <c r="AA146" s="2">
        <f t="shared" si="4"/>
        <v>31.324493175702337</v>
      </c>
      <c r="AB146" s="2">
        <f>Table834[[#This Row],[CBF]]^2</f>
        <v>981.2238727146223</v>
      </c>
      <c r="AC146" s="2">
        <v>1</v>
      </c>
      <c r="AD146" s="2">
        <f>Table834[[#This Row],[Gym]]^2</f>
        <v>1</v>
      </c>
      <c r="AE146" s="2">
        <v>0</v>
      </c>
      <c r="AF146" s="2">
        <f>Table834[[#This Row],[Cardio]]^2</f>
        <v>0</v>
      </c>
      <c r="AG146" s="2">
        <v>2263.6781249999999</v>
      </c>
      <c r="AH146" s="2">
        <f>Table834[[#This Row],[Calories]]^2</f>
        <v>5124238.6536035156</v>
      </c>
      <c r="AI146" s="2">
        <v>391.88270833333331</v>
      </c>
      <c r="AJ146" s="2">
        <f>Table834[[#This Row],[Carbs]]^2</f>
        <v>153572.05709066839</v>
      </c>
      <c r="AK146" s="2">
        <v>52.483062500000003</v>
      </c>
      <c r="AL146" s="2">
        <f>Table834[[#This Row],[Fat ]]^2</f>
        <v>2754.4718493789064</v>
      </c>
      <c r="AM146" s="2">
        <v>66.492854166666675</v>
      </c>
      <c r="AN146" s="2">
        <f>Table834[[#This Row],[Protein]]^2</f>
        <v>4421.2996552296017</v>
      </c>
      <c r="AO146" s="2">
        <v>7.2525833333333329</v>
      </c>
      <c r="AP146" s="2">
        <f>Table834[[#This Row],[Fiber]]^2</f>
        <v>52.599965006944437</v>
      </c>
      <c r="AQ146" s="2">
        <v>349.62943749999999</v>
      </c>
      <c r="AR146" s="2">
        <f>Table834[[#This Row],[Sugar]]^2</f>
        <v>122240.74356656641</v>
      </c>
      <c r="AS146" s="2">
        <v>114</v>
      </c>
      <c r="AT146" s="2">
        <f>Table834[[#This Row],[Servings]]^2</f>
        <v>12996</v>
      </c>
      <c r="AU146" s="2">
        <v>0.5</v>
      </c>
      <c r="AV146" s="2">
        <f>Table834[[#This Row],[Water]]^2</f>
        <v>0.25</v>
      </c>
      <c r="AW146" s="2">
        <v>472.34756250000004</v>
      </c>
      <c r="AX146" s="2">
        <f>Table834[[#This Row],[Fat Calories]]^2</f>
        <v>223112.21979969143</v>
      </c>
      <c r="AY146" s="3">
        <f>Table834[[#This Row],[Weight]]*Table834[[#This Row],[Waist]]</f>
        <v>11123.2</v>
      </c>
      <c r="AZ146" s="4">
        <f>Table834[[#This Row],[Weight]]*Table834[[#This Row],[Neck]]</f>
        <v>4171.2</v>
      </c>
      <c r="BA146" s="4">
        <f>Table834[[#This Row],[Weight]]*Table834[[#This Row],[Morning Body Temp]]</f>
        <v>24319.360000000001</v>
      </c>
      <c r="BB146" s="4">
        <f>Table834[[#This Row],[Weight]]*Table834[[#This Row],[Morning Systolic Pressure]]</f>
        <v>32358.400000000001</v>
      </c>
      <c r="BC146" s="11">
        <f>Table834[[#This Row],[Weight]]*Table834[[#This Row],[Morning Diastolic Pressure]]</f>
        <v>17696</v>
      </c>
      <c r="BD146" s="2">
        <f>Table834[[#This Row],[Weight]]*Table834[[#This Row],[Morning Pulse]]</f>
        <v>15926.400000000001</v>
      </c>
      <c r="BE146" s="2">
        <f>Table834[[#This Row],[Weight]]*Table834[[#This Row],[Night Body Temp]]</f>
        <v>24369.920000000002</v>
      </c>
      <c r="BF146" s="2">
        <f>Table834[[#This Row],[Weight]]*Table834[[#This Row],[Night Systolic Pressure]]</f>
        <v>30588.800000000003</v>
      </c>
      <c r="BG146" s="4">
        <f>Table83[[#This Row],[Weight]]*Table83[[#This Row],[Night Diastolic Pressure]]</f>
        <v>18960</v>
      </c>
      <c r="BH146" s="2">
        <f>Table834[[#This Row],[Weight]]*Table834[[#This Row],[Night Pulse]]</f>
        <v>16684.8</v>
      </c>
      <c r="BI146" s="2">
        <f>Table834[[#This Row],[Weight]]*Table834[[#This Row],[Sleep]]</f>
        <v>1516.8000000000002</v>
      </c>
      <c r="BJ146" s="2">
        <f>Table834[[#This Row],[Weight]]*Table834[[#This Row],[BMI]]</f>
        <v>9168.8186775510203</v>
      </c>
      <c r="BK146" s="2">
        <f>Table834[[#This Row],[Weight]]*Table834[[#This Row],[CBF]]</f>
        <v>7918.8318748175507</v>
      </c>
      <c r="BL146" s="2">
        <f>Table834[[#This Row],[Weight]]*Table834[[#This Row],[Gym]]</f>
        <v>252.8</v>
      </c>
      <c r="BM146" s="2">
        <f>Table834[[#This Row],[Weight]]*Table834[[#This Row],[Cardio]]</f>
        <v>0</v>
      </c>
      <c r="BN146" s="2">
        <f>Table834[[#This Row],[Weight]]*Table834[[#This Row],[Calories]]</f>
        <v>572257.82999999996</v>
      </c>
      <c r="BO146" s="2">
        <f>Table834[[#This Row],[Weight]]*Table834[[#This Row],[Carbs]]</f>
        <v>99067.948666666663</v>
      </c>
      <c r="BP146" s="2">
        <f>Table834[[#This Row],[Weight]]*Table834[[#This Row],[Fat ]]</f>
        <v>13267.718200000001</v>
      </c>
      <c r="BQ146" s="2">
        <f>Table834[[#This Row],[Weight]]*Table834[[#This Row],[Protein]]</f>
        <v>16809.393533333336</v>
      </c>
      <c r="BR146" s="2">
        <f>Table834[[#This Row],[Weight]]*Table834[[#This Row],[Fiber]]</f>
        <v>1833.4530666666667</v>
      </c>
      <c r="BS146" s="2">
        <f>Table834[[#This Row],[Weight]]*Table834[[#This Row],[Sugar]]</f>
        <v>88386.321800000005</v>
      </c>
      <c r="BT146" s="2">
        <f>Table834[[#This Row],[Weight]]*Table834[[#This Row],[Servings]]</f>
        <v>28819.200000000001</v>
      </c>
      <c r="BU146" s="2">
        <f>Table834[[#This Row],[Weight]]*Table834[[#This Row],[Water]]</f>
        <v>126.4</v>
      </c>
      <c r="BV146" s="2">
        <f>Table834[[#This Row],[Weight]]*Table834[[#This Row],[Fat Calories]]</f>
        <v>119409.46380000001</v>
      </c>
      <c r="BW146" s="2">
        <f>Table834[[#This Row],[Waist]]*Table834[[#This Row],[Neck]]</f>
        <v>726</v>
      </c>
      <c r="BX146" s="2">
        <f>Table834[[#This Row],[Waist]]*Table834[[#This Row],[Morning Body Temp]]</f>
        <v>4232.8</v>
      </c>
      <c r="BY146" s="2">
        <f>Table834[[#This Row],[Waist]]*Table834[[#This Row],[Morning Systolic Pressure]]</f>
        <v>5632</v>
      </c>
      <c r="BZ146" s="2">
        <f>Table834[[#This Row],[Waist]]*Table834[[#This Row],[Morning Diastolic Pressure]]</f>
        <v>3080</v>
      </c>
      <c r="CA146" s="2">
        <f>Table834[[#This Row],[Waist]]*Table834[[#This Row],[Morning Pulse]]</f>
        <v>2772</v>
      </c>
      <c r="CB146" s="2">
        <f>Table834[[#This Row],[Waist]]*Table834[[#This Row],[Night Body Temp]]</f>
        <v>4241.6000000000004</v>
      </c>
      <c r="CC146" s="2">
        <f>Table834[[#This Row],[Waist]]*Table834[[#This Row],[Night Systolic Pressure]]</f>
        <v>5324</v>
      </c>
      <c r="CD146" s="4">
        <f>Table83[[#This Row],[Waist]]*Table83[[#This Row],[Night Diastolic Pressure]]</f>
        <v>3300</v>
      </c>
      <c r="CE146" s="2">
        <f>Table834[[#This Row],[Waist]]*Table834[[#This Row],[Night Pulse]]</f>
        <v>2904</v>
      </c>
      <c r="CF146" s="2">
        <f>Table834[[#This Row],[Waist]]*Table834[[#This Row],[Sleep]]</f>
        <v>264</v>
      </c>
      <c r="CG146" s="2">
        <f>Table834[[#This Row],[Waist]]*Table834[[#This Row],[BMI]]</f>
        <v>1595.8386938775511</v>
      </c>
      <c r="CH146" s="2">
        <f>Table834[[#This Row],[Waist]]*Table834[[#This Row],[CBF]]</f>
        <v>1378.2776997309029</v>
      </c>
      <c r="CI146" s="2">
        <f>Table834[[#This Row],[Waist]]*Table834[[#This Row],[Gym]]</f>
        <v>44</v>
      </c>
      <c r="CJ146" s="2">
        <f>Table834[[#This Row],[Waist]]*Table834[[#This Row],[Cardio]]</f>
        <v>0</v>
      </c>
      <c r="CK146" s="2">
        <f>Table834[[#This Row],[Waist]]*Table834[[#This Row],[Calories]]</f>
        <v>99601.837499999994</v>
      </c>
      <c r="CL146" s="2">
        <f>Table834[[#This Row],[Waist]]*Table834[[#This Row],[Carbs]]</f>
        <v>17242.839166666665</v>
      </c>
      <c r="CM146" s="2">
        <f>Table834[[#This Row],[Waist]]*Table834[[#This Row],[Fat ]]</f>
        <v>2309.2547500000001</v>
      </c>
      <c r="CN146" s="2">
        <f>Table834[[#This Row],[Waist]]*Table834[[#This Row],[Protein]]</f>
        <v>2925.6855833333339</v>
      </c>
      <c r="CO146" s="2">
        <f>Table834[[#This Row],[Waist]]*Table834[[#This Row],[Fiber]]</f>
        <v>319.11366666666663</v>
      </c>
      <c r="CP146" s="2">
        <f>Table834[[#This Row],[Waist]]*Table834[[#This Row],[Sugar]]</f>
        <v>15383.695250000001</v>
      </c>
      <c r="CQ146" s="2">
        <f>Table834[[#This Row],[Waist]]*Table834[[#This Row],[Servings]]</f>
        <v>5016</v>
      </c>
      <c r="CR146" s="2">
        <f>Table834[[#This Row],[Waist]]*Table834[[#This Row],[Water]]</f>
        <v>22</v>
      </c>
      <c r="CS146" s="2">
        <f>Table834[[#This Row],[Waist]]*Table834[[#This Row],[Fat Calories]]</f>
        <v>20783.292750000001</v>
      </c>
    </row>
    <row r="147" spans="1:97" x14ac:dyDescent="0.25">
      <c r="A147" s="2">
        <v>251</v>
      </c>
      <c r="B147" s="2">
        <f>Table834[[#This Row],[Weight]]^2</f>
        <v>63001</v>
      </c>
      <c r="C147" s="2">
        <v>44</v>
      </c>
      <c r="D147" s="2">
        <f>Table834[[#This Row],[Waist]]^2</f>
        <v>1936</v>
      </c>
      <c r="E147" s="2">
        <v>16.5</v>
      </c>
      <c r="F147" s="2">
        <f>Table834[[#This Row],[Neck]]^2</f>
        <v>272.25</v>
      </c>
      <c r="G147" s="2">
        <v>96.4</v>
      </c>
      <c r="H147" s="2">
        <f>Table834[[#This Row],[Morning Body Temp]]^2</f>
        <v>9292.9600000000009</v>
      </c>
      <c r="I147" s="2">
        <v>140</v>
      </c>
      <c r="J147" s="2">
        <f>Table834[[#This Row],[Morning Systolic Pressure]]^2</f>
        <v>19600</v>
      </c>
      <c r="K147" s="2">
        <v>77</v>
      </c>
      <c r="L147" s="2">
        <f>Table834[[#This Row],[Morning Diastolic Pressure]]^2</f>
        <v>5929</v>
      </c>
      <c r="M147" s="2">
        <v>74</v>
      </c>
      <c r="N147" s="2">
        <f>Table834[[#This Row],[Morning Pulse]]^2</f>
        <v>5476</v>
      </c>
      <c r="O147" s="2">
        <v>98.2</v>
      </c>
      <c r="P147" s="2">
        <f>Table834[[#This Row],[Night Body Temp]]^2</f>
        <v>9643.24</v>
      </c>
      <c r="Q147" s="2">
        <v>139</v>
      </c>
      <c r="R147" s="2">
        <f>Table834[[#This Row],[Night Systolic Pressure]]^2</f>
        <v>19321</v>
      </c>
      <c r="S147" s="2">
        <v>72</v>
      </c>
      <c r="T147" s="2">
        <f>Table834[[#This Row],[Night Diastolic Pressure]]^2</f>
        <v>5184</v>
      </c>
      <c r="U147" s="2">
        <v>89</v>
      </c>
      <c r="V147" s="2">
        <f>Table834[[#This Row],[Night Pulse]]^2</f>
        <v>7921</v>
      </c>
      <c r="W147" s="2">
        <v>4</v>
      </c>
      <c r="X147" s="2">
        <f>Table834[[#This Row],[Sleep]]^2</f>
        <v>16</v>
      </c>
      <c r="Y147" s="2">
        <f t="shared" si="5"/>
        <v>36.010816326530609</v>
      </c>
      <c r="Z147" s="2">
        <f>Table834[[#This Row],[BMI]]^2</f>
        <v>1296.7788925031234</v>
      </c>
      <c r="AA147" s="2">
        <f t="shared" si="4"/>
        <v>31.324493175702337</v>
      </c>
      <c r="AB147" s="2">
        <f>Table834[[#This Row],[CBF]]^2</f>
        <v>981.2238727146223</v>
      </c>
      <c r="AC147" s="2">
        <v>0</v>
      </c>
      <c r="AD147" s="2">
        <f>Table834[[#This Row],[Gym]]^2</f>
        <v>0</v>
      </c>
      <c r="AE147" s="2">
        <v>0</v>
      </c>
      <c r="AF147" s="2">
        <f>Table834[[#This Row],[Cardio]]^2</f>
        <v>0</v>
      </c>
      <c r="AG147" s="2">
        <v>10</v>
      </c>
      <c r="AH147" s="2">
        <f>Table834[[#This Row],[Calories]]^2</f>
        <v>100</v>
      </c>
      <c r="AI147" s="2">
        <v>3</v>
      </c>
      <c r="AJ147" s="2">
        <f>Table834[[#This Row],[Carbs]]^2</f>
        <v>9</v>
      </c>
      <c r="AK147" s="2">
        <v>0</v>
      </c>
      <c r="AL147" s="2">
        <f>Table834[[#This Row],[Fat ]]^2</f>
        <v>0</v>
      </c>
      <c r="AM147" s="2">
        <v>0</v>
      </c>
      <c r="AN147" s="2">
        <f>Table834[[#This Row],[Protein]]^2</f>
        <v>0</v>
      </c>
      <c r="AO147" s="2">
        <v>0</v>
      </c>
      <c r="AP147" s="2">
        <f>Table834[[#This Row],[Fiber]]^2</f>
        <v>0</v>
      </c>
      <c r="AQ147" s="2">
        <v>2</v>
      </c>
      <c r="AR147" s="2">
        <f>Table834[[#This Row],[Sugar]]^2</f>
        <v>4</v>
      </c>
      <c r="AS147" s="2">
        <v>1</v>
      </c>
      <c r="AT147" s="2">
        <f>Table834[[#This Row],[Servings]]^2</f>
        <v>1</v>
      </c>
      <c r="AU147" s="2">
        <v>0.25</v>
      </c>
      <c r="AV147" s="2">
        <f>Table834[[#This Row],[Water]]^2</f>
        <v>6.25E-2</v>
      </c>
      <c r="AW147" s="2">
        <v>0</v>
      </c>
      <c r="AX147" s="2">
        <f>Table834[[#This Row],[Fat Calories]]^2</f>
        <v>0</v>
      </c>
      <c r="AY147" s="5">
        <f>Table834[[#This Row],[Weight]]*Table834[[#This Row],[Waist]]</f>
        <v>11044</v>
      </c>
      <c r="AZ147" s="6">
        <f>Table834[[#This Row],[Weight]]*Table834[[#This Row],[Neck]]</f>
        <v>4141.5</v>
      </c>
      <c r="BA147" s="6">
        <f>Table834[[#This Row],[Weight]]*Table834[[#This Row],[Morning Body Temp]]</f>
        <v>24196.400000000001</v>
      </c>
      <c r="BB147" s="6">
        <f>Table834[[#This Row],[Weight]]*Table834[[#This Row],[Morning Systolic Pressure]]</f>
        <v>35140</v>
      </c>
      <c r="BC147" s="12">
        <f>Table834[[#This Row],[Weight]]*Table834[[#This Row],[Morning Diastolic Pressure]]</f>
        <v>19327</v>
      </c>
      <c r="BD147" s="2">
        <f>Table834[[#This Row],[Weight]]*Table834[[#This Row],[Morning Pulse]]</f>
        <v>18574</v>
      </c>
      <c r="BE147" s="2">
        <f>Table834[[#This Row],[Weight]]*Table834[[#This Row],[Night Body Temp]]</f>
        <v>24648.2</v>
      </c>
      <c r="BF147" s="2">
        <f>Table834[[#This Row],[Weight]]*Table834[[#This Row],[Night Systolic Pressure]]</f>
        <v>34889</v>
      </c>
      <c r="BG147" s="4">
        <f>Table83[[#This Row],[Weight]]*Table83[[#This Row],[Night Diastolic Pressure]]</f>
        <v>18072</v>
      </c>
      <c r="BH147" s="2">
        <f>Table834[[#This Row],[Weight]]*Table834[[#This Row],[Night Pulse]]</f>
        <v>22339</v>
      </c>
      <c r="BI147" s="2">
        <f>Table834[[#This Row],[Weight]]*Table834[[#This Row],[Sleep]]</f>
        <v>1004</v>
      </c>
      <c r="BJ147" s="2">
        <f>Table834[[#This Row],[Weight]]*Table834[[#This Row],[BMI]]</f>
        <v>9038.7148979591821</v>
      </c>
      <c r="BK147" s="2">
        <f>Table834[[#This Row],[Weight]]*Table834[[#This Row],[CBF]]</f>
        <v>7862.4477871012868</v>
      </c>
      <c r="BL147" s="2">
        <f>Table834[[#This Row],[Weight]]*Table834[[#This Row],[Gym]]</f>
        <v>0</v>
      </c>
      <c r="BM147" s="2">
        <f>Table834[[#This Row],[Weight]]*Table834[[#This Row],[Cardio]]</f>
        <v>0</v>
      </c>
      <c r="BN147" s="2">
        <f>Table834[[#This Row],[Weight]]*Table834[[#This Row],[Calories]]</f>
        <v>2510</v>
      </c>
      <c r="BO147" s="2">
        <f>Table834[[#This Row],[Weight]]*Table834[[#This Row],[Carbs]]</f>
        <v>753</v>
      </c>
      <c r="BP147" s="2">
        <f>Table834[[#This Row],[Weight]]*Table834[[#This Row],[Fat ]]</f>
        <v>0</v>
      </c>
      <c r="BQ147" s="2">
        <f>Table834[[#This Row],[Weight]]*Table834[[#This Row],[Protein]]</f>
        <v>0</v>
      </c>
      <c r="BR147" s="2">
        <f>Table834[[#This Row],[Weight]]*Table834[[#This Row],[Fiber]]</f>
        <v>0</v>
      </c>
      <c r="BS147" s="2">
        <f>Table834[[#This Row],[Weight]]*Table834[[#This Row],[Sugar]]</f>
        <v>502</v>
      </c>
      <c r="BT147" s="2">
        <f>Table834[[#This Row],[Weight]]*Table834[[#This Row],[Servings]]</f>
        <v>251</v>
      </c>
      <c r="BU147" s="2">
        <f>Table834[[#This Row],[Weight]]*Table834[[#This Row],[Water]]</f>
        <v>62.75</v>
      </c>
      <c r="BV147" s="2">
        <f>Table834[[#This Row],[Weight]]*Table834[[#This Row],[Fat Calories]]</f>
        <v>0</v>
      </c>
      <c r="BW147" s="2">
        <f>Table834[[#This Row],[Waist]]*Table834[[#This Row],[Neck]]</f>
        <v>726</v>
      </c>
      <c r="BX147" s="2">
        <f>Table834[[#This Row],[Waist]]*Table834[[#This Row],[Morning Body Temp]]</f>
        <v>4241.6000000000004</v>
      </c>
      <c r="BY147" s="2">
        <f>Table834[[#This Row],[Waist]]*Table834[[#This Row],[Morning Systolic Pressure]]</f>
        <v>6160</v>
      </c>
      <c r="BZ147" s="2">
        <f>Table834[[#This Row],[Waist]]*Table834[[#This Row],[Morning Diastolic Pressure]]</f>
        <v>3388</v>
      </c>
      <c r="CA147" s="2">
        <f>Table834[[#This Row],[Waist]]*Table834[[#This Row],[Morning Pulse]]</f>
        <v>3256</v>
      </c>
      <c r="CB147" s="2">
        <f>Table834[[#This Row],[Waist]]*Table834[[#This Row],[Night Body Temp]]</f>
        <v>4320.8</v>
      </c>
      <c r="CC147" s="2">
        <f>Table834[[#This Row],[Waist]]*Table834[[#This Row],[Night Systolic Pressure]]</f>
        <v>6116</v>
      </c>
      <c r="CD147" s="4">
        <f>Table83[[#This Row],[Waist]]*Table83[[#This Row],[Night Diastolic Pressure]]</f>
        <v>3168</v>
      </c>
      <c r="CE147" s="2">
        <f>Table834[[#This Row],[Waist]]*Table834[[#This Row],[Night Pulse]]</f>
        <v>3916</v>
      </c>
      <c r="CF147" s="2">
        <f>Table834[[#This Row],[Waist]]*Table834[[#This Row],[Sleep]]</f>
        <v>176</v>
      </c>
      <c r="CG147" s="2">
        <f>Table834[[#This Row],[Waist]]*Table834[[#This Row],[BMI]]</f>
        <v>1584.4759183673468</v>
      </c>
      <c r="CH147" s="2">
        <f>Table834[[#This Row],[Waist]]*Table834[[#This Row],[CBF]]</f>
        <v>1378.2776997309029</v>
      </c>
      <c r="CI147" s="2">
        <f>Table834[[#This Row],[Waist]]*Table834[[#This Row],[Gym]]</f>
        <v>0</v>
      </c>
      <c r="CJ147" s="2">
        <f>Table834[[#This Row],[Waist]]*Table834[[#This Row],[Cardio]]</f>
        <v>0</v>
      </c>
      <c r="CK147" s="2">
        <f>Table834[[#This Row],[Waist]]*Table834[[#This Row],[Calories]]</f>
        <v>440</v>
      </c>
      <c r="CL147" s="2">
        <f>Table834[[#This Row],[Waist]]*Table834[[#This Row],[Carbs]]</f>
        <v>132</v>
      </c>
      <c r="CM147" s="2">
        <f>Table834[[#This Row],[Waist]]*Table834[[#This Row],[Fat ]]</f>
        <v>0</v>
      </c>
      <c r="CN147" s="2">
        <f>Table834[[#This Row],[Waist]]*Table834[[#This Row],[Protein]]</f>
        <v>0</v>
      </c>
      <c r="CO147" s="2">
        <f>Table834[[#This Row],[Waist]]*Table834[[#This Row],[Fiber]]</f>
        <v>0</v>
      </c>
      <c r="CP147" s="2">
        <f>Table834[[#This Row],[Waist]]*Table834[[#This Row],[Sugar]]</f>
        <v>88</v>
      </c>
      <c r="CQ147" s="2">
        <f>Table834[[#This Row],[Waist]]*Table834[[#This Row],[Servings]]</f>
        <v>44</v>
      </c>
      <c r="CR147" s="2">
        <f>Table834[[#This Row],[Waist]]*Table834[[#This Row],[Water]]</f>
        <v>11</v>
      </c>
      <c r="CS147" s="2">
        <f>Table834[[#This Row],[Waist]]*Table834[[#This Row],[Fat Calories]]</f>
        <v>0</v>
      </c>
    </row>
    <row r="148" spans="1:97" x14ac:dyDescent="0.25">
      <c r="A148" s="2">
        <v>249.4</v>
      </c>
      <c r="B148" s="2">
        <f>Table834[[#This Row],[Weight]]^2</f>
        <v>62200.36</v>
      </c>
      <c r="C148" s="2">
        <v>44</v>
      </c>
      <c r="D148" s="2">
        <f>Table834[[#This Row],[Waist]]^2</f>
        <v>1936</v>
      </c>
      <c r="E148" s="2">
        <v>16.5</v>
      </c>
      <c r="F148" s="2">
        <f>Table834[[#This Row],[Neck]]^2</f>
        <v>272.25</v>
      </c>
      <c r="G148" s="2">
        <v>96.9</v>
      </c>
      <c r="H148" s="2">
        <f>Table834[[#This Row],[Morning Body Temp]]^2</f>
        <v>9389.61</v>
      </c>
      <c r="I148" s="2">
        <v>138</v>
      </c>
      <c r="J148" s="2">
        <f>Table834[[#This Row],[Morning Systolic Pressure]]^2</f>
        <v>19044</v>
      </c>
      <c r="K148" s="2">
        <v>78</v>
      </c>
      <c r="L148" s="2">
        <f>Table834[[#This Row],[Morning Diastolic Pressure]]^2</f>
        <v>6084</v>
      </c>
      <c r="M148" s="2">
        <v>75</v>
      </c>
      <c r="N148" s="2">
        <f>Table834[[#This Row],[Morning Pulse]]^2</f>
        <v>5625</v>
      </c>
      <c r="O148" s="2">
        <v>98.4</v>
      </c>
      <c r="P148" s="2">
        <f>Table834[[#This Row],[Night Body Temp]]^2</f>
        <v>9682.5600000000013</v>
      </c>
      <c r="Q148" s="2">
        <v>125</v>
      </c>
      <c r="R148" s="2">
        <f>Table834[[#This Row],[Night Systolic Pressure]]^2</f>
        <v>15625</v>
      </c>
      <c r="S148" s="2">
        <v>75</v>
      </c>
      <c r="T148" s="2">
        <f>Table834[[#This Row],[Night Diastolic Pressure]]^2</f>
        <v>5625</v>
      </c>
      <c r="U148" s="2">
        <v>90</v>
      </c>
      <c r="V148" s="2">
        <f>Table834[[#This Row],[Night Pulse]]^2</f>
        <v>8100</v>
      </c>
      <c r="W148" s="2">
        <v>5</v>
      </c>
      <c r="X148" s="2">
        <f>Table834[[#This Row],[Sleep]]^2</f>
        <v>25</v>
      </c>
      <c r="Y148" s="2">
        <f t="shared" si="5"/>
        <v>35.781265306122449</v>
      </c>
      <c r="Z148" s="2">
        <f>Table834[[#This Row],[BMI]]^2</f>
        <v>1280.2989469071222</v>
      </c>
      <c r="AA148" s="2">
        <f t="shared" si="4"/>
        <v>31.324493175702337</v>
      </c>
      <c r="AB148" s="2">
        <f>Table834[[#This Row],[CBF]]^2</f>
        <v>981.2238727146223</v>
      </c>
      <c r="AC148" s="2">
        <v>1</v>
      </c>
      <c r="AD148" s="2">
        <f>Table834[[#This Row],[Gym]]^2</f>
        <v>1</v>
      </c>
      <c r="AE148" s="2">
        <v>0</v>
      </c>
      <c r="AF148" s="2">
        <f>Table834[[#This Row],[Cardio]]^2</f>
        <v>0</v>
      </c>
      <c r="AG148" s="2">
        <v>2235.6781249999999</v>
      </c>
      <c r="AH148" s="2">
        <f>Table834[[#This Row],[Calories]]^2</f>
        <v>4998256.678603515</v>
      </c>
      <c r="AI148" s="2">
        <v>412.28270833333335</v>
      </c>
      <c r="AJ148" s="2">
        <f>Table834[[#This Row],[Carbs]]^2</f>
        <v>169977.03159066843</v>
      </c>
      <c r="AK148" s="2">
        <v>47.483062500000003</v>
      </c>
      <c r="AL148" s="2">
        <f>Table834[[#This Row],[Fat ]]^2</f>
        <v>2254.6412243789064</v>
      </c>
      <c r="AM148" s="2">
        <v>63.492854166666667</v>
      </c>
      <c r="AN148" s="2">
        <f>Table834[[#This Row],[Protein]]^2</f>
        <v>4031.3425302296009</v>
      </c>
      <c r="AO148" s="2">
        <v>15.252583333333332</v>
      </c>
      <c r="AP148" s="2">
        <f>Table834[[#This Row],[Fiber]]^2</f>
        <v>232.64129834027773</v>
      </c>
      <c r="AQ148" s="2">
        <v>372.02943750000003</v>
      </c>
      <c r="AR148" s="2">
        <f>Table834[[#This Row],[Sugar]]^2</f>
        <v>138405.90236656641</v>
      </c>
      <c r="AS148" s="2">
        <v>102</v>
      </c>
      <c r="AT148" s="2">
        <f>Table834[[#This Row],[Servings]]^2</f>
        <v>10404</v>
      </c>
      <c r="AU148" s="2">
        <v>0</v>
      </c>
      <c r="AV148" s="2">
        <f>Table834[[#This Row],[Water]]^2</f>
        <v>0</v>
      </c>
      <c r="AW148" s="2">
        <v>427.34756250000004</v>
      </c>
      <c r="AX148" s="2">
        <f>Table834[[#This Row],[Fat Calories]]^2</f>
        <v>182625.93917469145</v>
      </c>
      <c r="AY148" s="3">
        <f>Table834[[#This Row],[Weight]]*Table834[[#This Row],[Waist]]</f>
        <v>10973.6</v>
      </c>
      <c r="AZ148" s="4">
        <f>Table834[[#This Row],[Weight]]*Table834[[#This Row],[Neck]]</f>
        <v>4115.1000000000004</v>
      </c>
      <c r="BA148" s="4">
        <f>Table834[[#This Row],[Weight]]*Table834[[#This Row],[Morning Body Temp]]</f>
        <v>24166.86</v>
      </c>
      <c r="BB148" s="4">
        <f>Table834[[#This Row],[Weight]]*Table834[[#This Row],[Morning Systolic Pressure]]</f>
        <v>34417.200000000004</v>
      </c>
      <c r="BC148" s="11">
        <f>Table834[[#This Row],[Weight]]*Table834[[#This Row],[Morning Diastolic Pressure]]</f>
        <v>19453.2</v>
      </c>
      <c r="BD148" s="2">
        <f>Table834[[#This Row],[Weight]]*Table834[[#This Row],[Morning Pulse]]</f>
        <v>18705</v>
      </c>
      <c r="BE148" s="2">
        <f>Table834[[#This Row],[Weight]]*Table834[[#This Row],[Night Body Temp]]</f>
        <v>24540.960000000003</v>
      </c>
      <c r="BF148" s="2">
        <f>Table834[[#This Row],[Weight]]*Table834[[#This Row],[Night Systolic Pressure]]</f>
        <v>31175</v>
      </c>
      <c r="BG148" s="4">
        <f>Table83[[#This Row],[Weight]]*Table83[[#This Row],[Night Diastolic Pressure]]</f>
        <v>18705</v>
      </c>
      <c r="BH148" s="2">
        <f>Table834[[#This Row],[Weight]]*Table834[[#This Row],[Night Pulse]]</f>
        <v>22446</v>
      </c>
      <c r="BI148" s="2">
        <f>Table834[[#This Row],[Weight]]*Table834[[#This Row],[Sleep]]</f>
        <v>1247</v>
      </c>
      <c r="BJ148" s="2">
        <f>Table834[[#This Row],[Weight]]*Table834[[#This Row],[BMI]]</f>
        <v>8923.8475673469384</v>
      </c>
      <c r="BK148" s="2">
        <f>Table834[[#This Row],[Weight]]*Table834[[#This Row],[CBF]]</f>
        <v>7812.3285980201626</v>
      </c>
      <c r="BL148" s="2">
        <f>Table834[[#This Row],[Weight]]*Table834[[#This Row],[Gym]]</f>
        <v>249.4</v>
      </c>
      <c r="BM148" s="2">
        <f>Table834[[#This Row],[Weight]]*Table834[[#This Row],[Cardio]]</f>
        <v>0</v>
      </c>
      <c r="BN148" s="2">
        <f>Table834[[#This Row],[Weight]]*Table834[[#This Row],[Calories]]</f>
        <v>557578.12437500001</v>
      </c>
      <c r="BO148" s="2">
        <f>Table834[[#This Row],[Weight]]*Table834[[#This Row],[Carbs]]</f>
        <v>102823.30745833334</v>
      </c>
      <c r="BP148" s="2">
        <f>Table834[[#This Row],[Weight]]*Table834[[#This Row],[Fat ]]</f>
        <v>11842.275787500001</v>
      </c>
      <c r="BQ148" s="2">
        <f>Table834[[#This Row],[Weight]]*Table834[[#This Row],[Protein]]</f>
        <v>15835.117829166667</v>
      </c>
      <c r="BR148" s="2">
        <f>Table834[[#This Row],[Weight]]*Table834[[#This Row],[Fiber]]</f>
        <v>3803.994283333333</v>
      </c>
      <c r="BS148" s="2">
        <f>Table834[[#This Row],[Weight]]*Table834[[#This Row],[Sugar]]</f>
        <v>92784.141712500015</v>
      </c>
      <c r="BT148" s="2">
        <f>Table834[[#This Row],[Weight]]*Table834[[#This Row],[Servings]]</f>
        <v>25438.799999999999</v>
      </c>
      <c r="BU148" s="2">
        <f>Table834[[#This Row],[Weight]]*Table834[[#This Row],[Water]]</f>
        <v>0</v>
      </c>
      <c r="BV148" s="2">
        <f>Table834[[#This Row],[Weight]]*Table834[[#This Row],[Fat Calories]]</f>
        <v>106580.48208750002</v>
      </c>
      <c r="BW148" s="2">
        <f>Table834[[#This Row],[Waist]]*Table834[[#This Row],[Neck]]</f>
        <v>726</v>
      </c>
      <c r="BX148" s="2">
        <f>Table834[[#This Row],[Waist]]*Table834[[#This Row],[Morning Body Temp]]</f>
        <v>4263.6000000000004</v>
      </c>
      <c r="BY148" s="2">
        <f>Table834[[#This Row],[Waist]]*Table834[[#This Row],[Morning Systolic Pressure]]</f>
        <v>6072</v>
      </c>
      <c r="BZ148" s="2">
        <f>Table834[[#This Row],[Waist]]*Table834[[#This Row],[Morning Diastolic Pressure]]</f>
        <v>3432</v>
      </c>
      <c r="CA148" s="2">
        <f>Table834[[#This Row],[Waist]]*Table834[[#This Row],[Morning Pulse]]</f>
        <v>3300</v>
      </c>
      <c r="CB148" s="2">
        <f>Table834[[#This Row],[Waist]]*Table834[[#This Row],[Night Body Temp]]</f>
        <v>4329.6000000000004</v>
      </c>
      <c r="CC148" s="2">
        <f>Table834[[#This Row],[Waist]]*Table834[[#This Row],[Night Systolic Pressure]]</f>
        <v>5500</v>
      </c>
      <c r="CD148" s="4">
        <f>Table83[[#This Row],[Waist]]*Table83[[#This Row],[Night Diastolic Pressure]]</f>
        <v>3300</v>
      </c>
      <c r="CE148" s="2">
        <f>Table834[[#This Row],[Waist]]*Table834[[#This Row],[Night Pulse]]</f>
        <v>3960</v>
      </c>
      <c r="CF148" s="2">
        <f>Table834[[#This Row],[Waist]]*Table834[[#This Row],[Sleep]]</f>
        <v>220</v>
      </c>
      <c r="CG148" s="2">
        <f>Table834[[#This Row],[Waist]]*Table834[[#This Row],[BMI]]</f>
        <v>1574.3756734693877</v>
      </c>
      <c r="CH148" s="2">
        <f>Table834[[#This Row],[Waist]]*Table834[[#This Row],[CBF]]</f>
        <v>1378.2776997309029</v>
      </c>
      <c r="CI148" s="2">
        <f>Table834[[#This Row],[Waist]]*Table834[[#This Row],[Gym]]</f>
        <v>44</v>
      </c>
      <c r="CJ148" s="2">
        <f>Table834[[#This Row],[Waist]]*Table834[[#This Row],[Cardio]]</f>
        <v>0</v>
      </c>
      <c r="CK148" s="2">
        <f>Table834[[#This Row],[Waist]]*Table834[[#This Row],[Calories]]</f>
        <v>98369.837499999994</v>
      </c>
      <c r="CL148" s="2">
        <f>Table834[[#This Row],[Waist]]*Table834[[#This Row],[Carbs]]</f>
        <v>18140.439166666667</v>
      </c>
      <c r="CM148" s="2">
        <f>Table834[[#This Row],[Waist]]*Table834[[#This Row],[Fat ]]</f>
        <v>2089.2547500000001</v>
      </c>
      <c r="CN148" s="2">
        <f>Table834[[#This Row],[Waist]]*Table834[[#This Row],[Protein]]</f>
        <v>2793.6855833333334</v>
      </c>
      <c r="CO148" s="2">
        <f>Table834[[#This Row],[Waist]]*Table834[[#This Row],[Fiber]]</f>
        <v>671.11366666666663</v>
      </c>
      <c r="CP148" s="2">
        <f>Table834[[#This Row],[Waist]]*Table834[[#This Row],[Sugar]]</f>
        <v>16369.295250000001</v>
      </c>
      <c r="CQ148" s="2">
        <f>Table834[[#This Row],[Waist]]*Table834[[#This Row],[Servings]]</f>
        <v>4488</v>
      </c>
      <c r="CR148" s="2">
        <f>Table834[[#This Row],[Waist]]*Table834[[#This Row],[Water]]</f>
        <v>0</v>
      </c>
      <c r="CS148" s="2">
        <f>Table834[[#This Row],[Waist]]*Table834[[#This Row],[Fat Calories]]</f>
        <v>18803.292750000001</v>
      </c>
    </row>
    <row r="149" spans="1:97" x14ac:dyDescent="0.25">
      <c r="A149" s="2">
        <v>253.6</v>
      </c>
      <c r="B149" s="2">
        <f>Table834[[#This Row],[Weight]]^2</f>
        <v>64312.959999999999</v>
      </c>
      <c r="C149" s="2">
        <v>44</v>
      </c>
      <c r="D149" s="2">
        <f>Table834[[#This Row],[Waist]]^2</f>
        <v>1936</v>
      </c>
      <c r="E149" s="2">
        <v>16.5</v>
      </c>
      <c r="F149" s="2">
        <f>Table834[[#This Row],[Neck]]^2</f>
        <v>272.25</v>
      </c>
      <c r="G149" s="2">
        <v>96.5</v>
      </c>
      <c r="H149" s="2">
        <f>Table834[[#This Row],[Morning Body Temp]]^2</f>
        <v>9312.25</v>
      </c>
      <c r="I149" s="2">
        <v>126</v>
      </c>
      <c r="J149" s="2">
        <f>Table834[[#This Row],[Morning Systolic Pressure]]^2</f>
        <v>15876</v>
      </c>
      <c r="K149" s="2">
        <v>69</v>
      </c>
      <c r="L149" s="2">
        <f>Table834[[#This Row],[Morning Diastolic Pressure]]^2</f>
        <v>4761</v>
      </c>
      <c r="M149" s="2">
        <v>68</v>
      </c>
      <c r="N149" s="2">
        <f>Table834[[#This Row],[Morning Pulse]]^2</f>
        <v>4624</v>
      </c>
      <c r="O149" s="2">
        <v>98.6</v>
      </c>
      <c r="P149" s="2">
        <f>Table834[[#This Row],[Night Body Temp]]^2</f>
        <v>9721.9599999999991</v>
      </c>
      <c r="Q149" s="2">
        <v>129</v>
      </c>
      <c r="R149" s="2">
        <f>Table834[[#This Row],[Night Systolic Pressure]]^2</f>
        <v>16641</v>
      </c>
      <c r="S149" s="2">
        <v>77</v>
      </c>
      <c r="T149" s="2">
        <f>Table834[[#This Row],[Night Diastolic Pressure]]^2</f>
        <v>5929</v>
      </c>
      <c r="U149" s="2">
        <v>91</v>
      </c>
      <c r="V149" s="2">
        <f>Table834[[#This Row],[Night Pulse]]^2</f>
        <v>8281</v>
      </c>
      <c r="W149" s="2">
        <v>6</v>
      </c>
      <c r="X149" s="2">
        <f>Table834[[#This Row],[Sleep]]^2</f>
        <v>36</v>
      </c>
      <c r="Y149" s="2">
        <f t="shared" si="5"/>
        <v>36.38383673469388</v>
      </c>
      <c r="Z149" s="2">
        <f>Table834[[#This Row],[BMI]]^2</f>
        <v>1323.7835755368599</v>
      </c>
      <c r="AA149" s="2">
        <f t="shared" si="4"/>
        <v>31.324493175702337</v>
      </c>
      <c r="AB149" s="2">
        <f>Table834[[#This Row],[CBF]]^2</f>
        <v>981.2238727146223</v>
      </c>
      <c r="AC149" s="2">
        <v>0</v>
      </c>
      <c r="AD149" s="2">
        <f>Table834[[#This Row],[Gym]]^2</f>
        <v>0</v>
      </c>
      <c r="AE149" s="2">
        <v>0</v>
      </c>
      <c r="AF149" s="2">
        <f>Table834[[#This Row],[Cardio]]^2</f>
        <v>0</v>
      </c>
      <c r="AG149" s="2">
        <v>6047</v>
      </c>
      <c r="AH149" s="2">
        <f>Table834[[#This Row],[Calories]]^2</f>
        <v>36566209</v>
      </c>
      <c r="AI149" s="2">
        <v>759.4</v>
      </c>
      <c r="AJ149" s="2">
        <f>Table834[[#This Row],[Carbs]]^2</f>
        <v>576688.36</v>
      </c>
      <c r="AK149" s="2">
        <v>264.5</v>
      </c>
      <c r="AL149" s="2">
        <f>Table834[[#This Row],[Fat ]]^2</f>
        <v>69960.25</v>
      </c>
      <c r="AM149" s="2">
        <v>123.5</v>
      </c>
      <c r="AN149" s="2">
        <f>Table834[[#This Row],[Protein]]^2</f>
        <v>15252.25</v>
      </c>
      <c r="AO149" s="2">
        <v>45.5</v>
      </c>
      <c r="AP149" s="2">
        <f>Table834[[#This Row],[Fiber]]^2</f>
        <v>2070.25</v>
      </c>
      <c r="AQ149" s="2">
        <v>330.4</v>
      </c>
      <c r="AR149" s="2">
        <f>Table834[[#This Row],[Sugar]]^2</f>
        <v>109164.15999999999</v>
      </c>
      <c r="AS149" s="2">
        <v>70</v>
      </c>
      <c r="AT149" s="2">
        <f>Table834[[#This Row],[Servings]]^2</f>
        <v>4900</v>
      </c>
      <c r="AU149" s="2">
        <v>0</v>
      </c>
      <c r="AV149" s="2">
        <f>Table834[[#This Row],[Water]]^2</f>
        <v>0</v>
      </c>
      <c r="AW149" s="2">
        <v>2380.5</v>
      </c>
      <c r="AX149" s="2">
        <f>Table834[[#This Row],[Fat Calories]]^2</f>
        <v>5666780.25</v>
      </c>
      <c r="AY149" s="5">
        <f>Table834[[#This Row],[Weight]]*Table834[[#This Row],[Waist]]</f>
        <v>11158.4</v>
      </c>
      <c r="AZ149" s="6">
        <f>Table834[[#This Row],[Weight]]*Table834[[#This Row],[Neck]]</f>
        <v>4184.3999999999996</v>
      </c>
      <c r="BA149" s="6">
        <f>Table834[[#This Row],[Weight]]*Table834[[#This Row],[Morning Body Temp]]</f>
        <v>24472.399999999998</v>
      </c>
      <c r="BB149" s="6">
        <f>Table834[[#This Row],[Weight]]*Table834[[#This Row],[Morning Systolic Pressure]]</f>
        <v>31953.599999999999</v>
      </c>
      <c r="BC149" s="12">
        <f>Table834[[#This Row],[Weight]]*Table834[[#This Row],[Morning Diastolic Pressure]]</f>
        <v>17498.399999999998</v>
      </c>
      <c r="BD149" s="2">
        <f>Table834[[#This Row],[Weight]]*Table834[[#This Row],[Morning Pulse]]</f>
        <v>17244.8</v>
      </c>
      <c r="BE149" s="2">
        <f>Table834[[#This Row],[Weight]]*Table834[[#This Row],[Night Body Temp]]</f>
        <v>25004.959999999999</v>
      </c>
      <c r="BF149" s="2">
        <f>Table834[[#This Row],[Weight]]*Table834[[#This Row],[Night Systolic Pressure]]</f>
        <v>32714.399999999998</v>
      </c>
      <c r="BG149" s="4">
        <f>Table83[[#This Row],[Weight]]*Table83[[#This Row],[Night Diastolic Pressure]]</f>
        <v>19527.2</v>
      </c>
      <c r="BH149" s="2">
        <f>Table834[[#This Row],[Weight]]*Table834[[#This Row],[Night Pulse]]</f>
        <v>23077.599999999999</v>
      </c>
      <c r="BI149" s="2">
        <f>Table834[[#This Row],[Weight]]*Table834[[#This Row],[Sleep]]</f>
        <v>1521.6</v>
      </c>
      <c r="BJ149" s="2">
        <f>Table834[[#This Row],[Weight]]*Table834[[#This Row],[BMI]]</f>
        <v>9226.9409959183668</v>
      </c>
      <c r="BK149" s="2">
        <f>Table834[[#This Row],[Weight]]*Table834[[#This Row],[CBF]]</f>
        <v>7943.8914693581128</v>
      </c>
      <c r="BL149" s="2">
        <f>Table834[[#This Row],[Weight]]*Table834[[#This Row],[Gym]]</f>
        <v>0</v>
      </c>
      <c r="BM149" s="2">
        <f>Table834[[#This Row],[Weight]]*Table834[[#This Row],[Cardio]]</f>
        <v>0</v>
      </c>
      <c r="BN149" s="2">
        <f>Table834[[#This Row],[Weight]]*Table834[[#This Row],[Calories]]</f>
        <v>1533519.2</v>
      </c>
      <c r="BO149" s="2">
        <f>Table834[[#This Row],[Weight]]*Table834[[#This Row],[Carbs]]</f>
        <v>192583.84</v>
      </c>
      <c r="BP149" s="2">
        <f>Table834[[#This Row],[Weight]]*Table834[[#This Row],[Fat ]]</f>
        <v>67077.2</v>
      </c>
      <c r="BQ149" s="2">
        <f>Table834[[#This Row],[Weight]]*Table834[[#This Row],[Protein]]</f>
        <v>31319.599999999999</v>
      </c>
      <c r="BR149" s="2">
        <f>Table834[[#This Row],[Weight]]*Table834[[#This Row],[Fiber]]</f>
        <v>11538.8</v>
      </c>
      <c r="BS149" s="2">
        <f>Table834[[#This Row],[Weight]]*Table834[[#This Row],[Sugar]]</f>
        <v>83789.439999999988</v>
      </c>
      <c r="BT149" s="2">
        <f>Table834[[#This Row],[Weight]]*Table834[[#This Row],[Servings]]</f>
        <v>17752</v>
      </c>
      <c r="BU149" s="2">
        <f>Table834[[#This Row],[Weight]]*Table834[[#This Row],[Water]]</f>
        <v>0</v>
      </c>
      <c r="BV149" s="2">
        <f>Table834[[#This Row],[Weight]]*Table834[[#This Row],[Fat Calories]]</f>
        <v>603694.79999999993</v>
      </c>
      <c r="BW149" s="2">
        <f>Table834[[#This Row],[Waist]]*Table834[[#This Row],[Neck]]</f>
        <v>726</v>
      </c>
      <c r="BX149" s="2">
        <f>Table834[[#This Row],[Waist]]*Table834[[#This Row],[Morning Body Temp]]</f>
        <v>4246</v>
      </c>
      <c r="BY149" s="2">
        <f>Table834[[#This Row],[Waist]]*Table834[[#This Row],[Morning Systolic Pressure]]</f>
        <v>5544</v>
      </c>
      <c r="BZ149" s="2">
        <f>Table834[[#This Row],[Waist]]*Table834[[#This Row],[Morning Diastolic Pressure]]</f>
        <v>3036</v>
      </c>
      <c r="CA149" s="2">
        <f>Table834[[#This Row],[Waist]]*Table834[[#This Row],[Morning Pulse]]</f>
        <v>2992</v>
      </c>
      <c r="CB149" s="2">
        <f>Table834[[#This Row],[Waist]]*Table834[[#This Row],[Night Body Temp]]</f>
        <v>4338.3999999999996</v>
      </c>
      <c r="CC149" s="2">
        <f>Table834[[#This Row],[Waist]]*Table834[[#This Row],[Night Systolic Pressure]]</f>
        <v>5676</v>
      </c>
      <c r="CD149" s="4">
        <f>Table83[[#This Row],[Waist]]*Table83[[#This Row],[Night Diastolic Pressure]]</f>
        <v>3388</v>
      </c>
      <c r="CE149" s="2">
        <f>Table834[[#This Row],[Waist]]*Table834[[#This Row],[Night Pulse]]</f>
        <v>4004</v>
      </c>
      <c r="CF149" s="2">
        <f>Table834[[#This Row],[Waist]]*Table834[[#This Row],[Sleep]]</f>
        <v>264</v>
      </c>
      <c r="CG149" s="2">
        <f>Table834[[#This Row],[Waist]]*Table834[[#This Row],[BMI]]</f>
        <v>1600.8888163265308</v>
      </c>
      <c r="CH149" s="2">
        <f>Table834[[#This Row],[Waist]]*Table834[[#This Row],[CBF]]</f>
        <v>1378.2776997309029</v>
      </c>
      <c r="CI149" s="2">
        <f>Table834[[#This Row],[Waist]]*Table834[[#This Row],[Gym]]</f>
        <v>0</v>
      </c>
      <c r="CJ149" s="2">
        <f>Table834[[#This Row],[Waist]]*Table834[[#This Row],[Cardio]]</f>
        <v>0</v>
      </c>
      <c r="CK149" s="2">
        <f>Table834[[#This Row],[Waist]]*Table834[[#This Row],[Calories]]</f>
        <v>266068</v>
      </c>
      <c r="CL149" s="2">
        <f>Table834[[#This Row],[Waist]]*Table834[[#This Row],[Carbs]]</f>
        <v>33413.599999999999</v>
      </c>
      <c r="CM149" s="2">
        <f>Table834[[#This Row],[Waist]]*Table834[[#This Row],[Fat ]]</f>
        <v>11638</v>
      </c>
      <c r="CN149" s="2">
        <f>Table834[[#This Row],[Waist]]*Table834[[#This Row],[Protein]]</f>
        <v>5434</v>
      </c>
      <c r="CO149" s="2">
        <f>Table834[[#This Row],[Waist]]*Table834[[#This Row],[Fiber]]</f>
        <v>2002</v>
      </c>
      <c r="CP149" s="2">
        <f>Table834[[#This Row],[Waist]]*Table834[[#This Row],[Sugar]]</f>
        <v>14537.599999999999</v>
      </c>
      <c r="CQ149" s="2">
        <f>Table834[[#This Row],[Waist]]*Table834[[#This Row],[Servings]]</f>
        <v>3080</v>
      </c>
      <c r="CR149" s="2">
        <f>Table834[[#This Row],[Waist]]*Table834[[#This Row],[Water]]</f>
        <v>0</v>
      </c>
      <c r="CS149" s="2">
        <f>Table834[[#This Row],[Waist]]*Table834[[#This Row],[Fat Calories]]</f>
        <v>104742</v>
      </c>
    </row>
    <row r="150" spans="1:97" x14ac:dyDescent="0.25">
      <c r="A150" s="2">
        <v>254.6</v>
      </c>
      <c r="B150" s="2">
        <f>Table834[[#This Row],[Weight]]^2</f>
        <v>64821.159999999996</v>
      </c>
      <c r="C150" s="2">
        <v>44</v>
      </c>
      <c r="D150" s="2">
        <f>Table834[[#This Row],[Waist]]^2</f>
        <v>1936</v>
      </c>
      <c r="E150" s="2">
        <v>16.5</v>
      </c>
      <c r="F150" s="2">
        <f>Table834[[#This Row],[Neck]]^2</f>
        <v>272.25</v>
      </c>
      <c r="G150" s="2">
        <v>96</v>
      </c>
      <c r="H150" s="2">
        <f>Table834[[#This Row],[Morning Body Temp]]^2</f>
        <v>9216</v>
      </c>
      <c r="I150" s="2">
        <v>119</v>
      </c>
      <c r="J150" s="2">
        <f>Table834[[#This Row],[Morning Systolic Pressure]]^2</f>
        <v>14161</v>
      </c>
      <c r="K150" s="2">
        <v>79</v>
      </c>
      <c r="L150" s="2">
        <f>Table834[[#This Row],[Morning Diastolic Pressure]]^2</f>
        <v>6241</v>
      </c>
      <c r="M150" s="2">
        <v>75</v>
      </c>
      <c r="N150" s="2">
        <f>Table834[[#This Row],[Morning Pulse]]^2</f>
        <v>5625</v>
      </c>
      <c r="O150" s="2">
        <v>98.2</v>
      </c>
      <c r="P150" s="2">
        <f>Table834[[#This Row],[Night Body Temp]]^2</f>
        <v>9643.24</v>
      </c>
      <c r="Q150" s="2">
        <v>141</v>
      </c>
      <c r="R150" s="2">
        <f>Table834[[#This Row],[Night Systolic Pressure]]^2</f>
        <v>19881</v>
      </c>
      <c r="S150" s="2">
        <v>86</v>
      </c>
      <c r="T150" s="2">
        <f>Table834[[#This Row],[Night Diastolic Pressure]]^2</f>
        <v>7396</v>
      </c>
      <c r="U150" s="2">
        <v>91</v>
      </c>
      <c r="V150" s="2">
        <f>Table834[[#This Row],[Night Pulse]]^2</f>
        <v>8281</v>
      </c>
      <c r="W150" s="2">
        <v>3</v>
      </c>
      <c r="X150" s="2">
        <f>Table834[[#This Row],[Sleep]]^2</f>
        <v>9</v>
      </c>
      <c r="Y150" s="2">
        <f t="shared" si="5"/>
        <v>36.527306122448977</v>
      </c>
      <c r="Z150" s="2">
        <f>Table834[[#This Row],[BMI]]^2</f>
        <v>1334.2440925630985</v>
      </c>
      <c r="AA150" s="2">
        <f t="shared" si="4"/>
        <v>31.324493175702337</v>
      </c>
      <c r="AB150" s="2">
        <f>Table834[[#This Row],[CBF]]^2</f>
        <v>981.2238727146223</v>
      </c>
      <c r="AC150" s="2">
        <v>0</v>
      </c>
      <c r="AD150" s="2">
        <f>Table834[[#This Row],[Gym]]^2</f>
        <v>0</v>
      </c>
      <c r="AE150" s="2">
        <v>0</v>
      </c>
      <c r="AF150" s="2">
        <f>Table834[[#This Row],[Cardio]]^2</f>
        <v>0</v>
      </c>
      <c r="AG150" s="2">
        <v>2667</v>
      </c>
      <c r="AH150" s="2">
        <f>Table834[[#This Row],[Calories]]^2</f>
        <v>7112889</v>
      </c>
      <c r="AI150" s="2">
        <v>441.4</v>
      </c>
      <c r="AJ150" s="2">
        <f>Table834[[#This Row],[Carbs]]^2</f>
        <v>194833.96</v>
      </c>
      <c r="AK150" s="2">
        <v>82.5</v>
      </c>
      <c r="AL150" s="2">
        <f>Table834[[#This Row],[Fat ]]^2</f>
        <v>6806.25</v>
      </c>
      <c r="AM150" s="2">
        <v>41</v>
      </c>
      <c r="AN150" s="2">
        <f>Table834[[#This Row],[Protein]]^2</f>
        <v>1681</v>
      </c>
      <c r="AO150" s="2">
        <v>12.5</v>
      </c>
      <c r="AP150" s="2">
        <f>Table834[[#This Row],[Fiber]]^2</f>
        <v>156.25</v>
      </c>
      <c r="AQ150" s="2">
        <v>296.39999999999998</v>
      </c>
      <c r="AR150" s="2">
        <f>Table834[[#This Row],[Sugar]]^2</f>
        <v>87852.959999999992</v>
      </c>
      <c r="AS150" s="2">
        <v>56</v>
      </c>
      <c r="AT150" s="2">
        <f>Table834[[#This Row],[Servings]]^2</f>
        <v>3136</v>
      </c>
      <c r="AU150" s="2">
        <v>0</v>
      </c>
      <c r="AV150" s="2">
        <f>Table834[[#This Row],[Water]]^2</f>
        <v>0</v>
      </c>
      <c r="AW150" s="2">
        <v>742.5</v>
      </c>
      <c r="AX150" s="2">
        <f>Table834[[#This Row],[Fat Calories]]^2</f>
        <v>551306.25</v>
      </c>
      <c r="AY150" s="3">
        <f>Table834[[#This Row],[Weight]]*Table834[[#This Row],[Waist]]</f>
        <v>11202.4</v>
      </c>
      <c r="AZ150" s="4">
        <f>Table834[[#This Row],[Weight]]*Table834[[#This Row],[Neck]]</f>
        <v>4200.8999999999996</v>
      </c>
      <c r="BA150" s="4">
        <f>Table834[[#This Row],[Weight]]*Table834[[#This Row],[Morning Body Temp]]</f>
        <v>24441.599999999999</v>
      </c>
      <c r="BB150" s="4">
        <f>Table834[[#This Row],[Weight]]*Table834[[#This Row],[Morning Systolic Pressure]]</f>
        <v>30297.399999999998</v>
      </c>
      <c r="BC150" s="11">
        <f>Table834[[#This Row],[Weight]]*Table834[[#This Row],[Morning Diastolic Pressure]]</f>
        <v>20113.399999999998</v>
      </c>
      <c r="BD150" s="2">
        <f>Table834[[#This Row],[Weight]]*Table834[[#This Row],[Morning Pulse]]</f>
        <v>19095</v>
      </c>
      <c r="BE150" s="2">
        <f>Table834[[#This Row],[Weight]]*Table834[[#This Row],[Night Body Temp]]</f>
        <v>25001.72</v>
      </c>
      <c r="BF150" s="2">
        <f>Table834[[#This Row],[Weight]]*Table834[[#This Row],[Night Systolic Pressure]]</f>
        <v>35898.6</v>
      </c>
      <c r="BG150" s="4">
        <f>Table83[[#This Row],[Weight]]*Table83[[#This Row],[Night Diastolic Pressure]]</f>
        <v>21895.599999999999</v>
      </c>
      <c r="BH150" s="2">
        <f>Table834[[#This Row],[Weight]]*Table834[[#This Row],[Night Pulse]]</f>
        <v>23168.6</v>
      </c>
      <c r="BI150" s="2">
        <f>Table834[[#This Row],[Weight]]*Table834[[#This Row],[Sleep]]</f>
        <v>763.8</v>
      </c>
      <c r="BJ150" s="2">
        <f>Table834[[#This Row],[Weight]]*Table834[[#This Row],[BMI]]</f>
        <v>9299.85213877551</v>
      </c>
      <c r="BK150" s="2">
        <f>Table834[[#This Row],[Weight]]*Table834[[#This Row],[CBF]]</f>
        <v>7975.2159625338145</v>
      </c>
      <c r="BL150" s="2">
        <f>Table834[[#This Row],[Weight]]*Table834[[#This Row],[Gym]]</f>
        <v>0</v>
      </c>
      <c r="BM150" s="2">
        <f>Table834[[#This Row],[Weight]]*Table834[[#This Row],[Cardio]]</f>
        <v>0</v>
      </c>
      <c r="BN150" s="2">
        <f>Table834[[#This Row],[Weight]]*Table834[[#This Row],[Calories]]</f>
        <v>679018.2</v>
      </c>
      <c r="BO150" s="2">
        <f>Table834[[#This Row],[Weight]]*Table834[[#This Row],[Carbs]]</f>
        <v>112380.43999999999</v>
      </c>
      <c r="BP150" s="2">
        <f>Table834[[#This Row],[Weight]]*Table834[[#This Row],[Fat ]]</f>
        <v>21004.5</v>
      </c>
      <c r="BQ150" s="2">
        <f>Table834[[#This Row],[Weight]]*Table834[[#This Row],[Protein]]</f>
        <v>10438.6</v>
      </c>
      <c r="BR150" s="2">
        <f>Table834[[#This Row],[Weight]]*Table834[[#This Row],[Fiber]]</f>
        <v>3182.5</v>
      </c>
      <c r="BS150" s="2">
        <f>Table834[[#This Row],[Weight]]*Table834[[#This Row],[Sugar]]</f>
        <v>75463.439999999988</v>
      </c>
      <c r="BT150" s="2">
        <f>Table834[[#This Row],[Weight]]*Table834[[#This Row],[Servings]]</f>
        <v>14257.6</v>
      </c>
      <c r="BU150" s="2">
        <f>Table834[[#This Row],[Weight]]*Table834[[#This Row],[Water]]</f>
        <v>0</v>
      </c>
      <c r="BV150" s="2">
        <f>Table834[[#This Row],[Weight]]*Table834[[#This Row],[Fat Calories]]</f>
        <v>189040.5</v>
      </c>
      <c r="BW150" s="2">
        <f>Table834[[#This Row],[Waist]]*Table834[[#This Row],[Neck]]</f>
        <v>726</v>
      </c>
      <c r="BX150" s="2">
        <f>Table834[[#This Row],[Waist]]*Table834[[#This Row],[Morning Body Temp]]</f>
        <v>4224</v>
      </c>
      <c r="BY150" s="2">
        <f>Table834[[#This Row],[Waist]]*Table834[[#This Row],[Morning Systolic Pressure]]</f>
        <v>5236</v>
      </c>
      <c r="BZ150" s="2">
        <f>Table834[[#This Row],[Waist]]*Table834[[#This Row],[Morning Diastolic Pressure]]</f>
        <v>3476</v>
      </c>
      <c r="CA150" s="2">
        <f>Table834[[#This Row],[Waist]]*Table834[[#This Row],[Morning Pulse]]</f>
        <v>3300</v>
      </c>
      <c r="CB150" s="2">
        <f>Table834[[#This Row],[Waist]]*Table834[[#This Row],[Night Body Temp]]</f>
        <v>4320.8</v>
      </c>
      <c r="CC150" s="2">
        <f>Table834[[#This Row],[Waist]]*Table834[[#This Row],[Night Systolic Pressure]]</f>
        <v>6204</v>
      </c>
      <c r="CD150" s="4">
        <f>Table83[[#This Row],[Waist]]*Table83[[#This Row],[Night Diastolic Pressure]]</f>
        <v>3784</v>
      </c>
      <c r="CE150" s="2">
        <f>Table834[[#This Row],[Waist]]*Table834[[#This Row],[Night Pulse]]</f>
        <v>4004</v>
      </c>
      <c r="CF150" s="2">
        <f>Table834[[#This Row],[Waist]]*Table834[[#This Row],[Sleep]]</f>
        <v>132</v>
      </c>
      <c r="CG150" s="2">
        <f>Table834[[#This Row],[Waist]]*Table834[[#This Row],[BMI]]</f>
        <v>1607.201469387755</v>
      </c>
      <c r="CH150" s="2">
        <f>Table834[[#This Row],[Waist]]*Table834[[#This Row],[CBF]]</f>
        <v>1378.2776997309029</v>
      </c>
      <c r="CI150" s="2">
        <f>Table834[[#This Row],[Waist]]*Table834[[#This Row],[Gym]]</f>
        <v>0</v>
      </c>
      <c r="CJ150" s="2">
        <f>Table834[[#This Row],[Waist]]*Table834[[#This Row],[Cardio]]</f>
        <v>0</v>
      </c>
      <c r="CK150" s="2">
        <f>Table834[[#This Row],[Waist]]*Table834[[#This Row],[Calories]]</f>
        <v>117348</v>
      </c>
      <c r="CL150" s="2">
        <f>Table834[[#This Row],[Waist]]*Table834[[#This Row],[Carbs]]</f>
        <v>19421.599999999999</v>
      </c>
      <c r="CM150" s="2">
        <f>Table834[[#This Row],[Waist]]*Table834[[#This Row],[Fat ]]</f>
        <v>3630</v>
      </c>
      <c r="CN150" s="2">
        <f>Table834[[#This Row],[Waist]]*Table834[[#This Row],[Protein]]</f>
        <v>1804</v>
      </c>
      <c r="CO150" s="2">
        <f>Table834[[#This Row],[Waist]]*Table834[[#This Row],[Fiber]]</f>
        <v>550</v>
      </c>
      <c r="CP150" s="2">
        <f>Table834[[#This Row],[Waist]]*Table834[[#This Row],[Sugar]]</f>
        <v>13041.599999999999</v>
      </c>
      <c r="CQ150" s="2">
        <f>Table834[[#This Row],[Waist]]*Table834[[#This Row],[Servings]]</f>
        <v>2464</v>
      </c>
      <c r="CR150" s="2">
        <f>Table834[[#This Row],[Waist]]*Table834[[#This Row],[Water]]</f>
        <v>0</v>
      </c>
      <c r="CS150" s="2">
        <f>Table834[[#This Row],[Waist]]*Table834[[#This Row],[Fat Calories]]</f>
        <v>32670</v>
      </c>
    </row>
    <row r="151" spans="1:97" x14ac:dyDescent="0.25">
      <c r="A151" s="2">
        <v>253</v>
      </c>
      <c r="B151" s="2">
        <f>Table834[[#This Row],[Weight]]^2</f>
        <v>64009</v>
      </c>
      <c r="C151" s="2">
        <v>44</v>
      </c>
      <c r="D151" s="2">
        <f>Table834[[#This Row],[Waist]]^2</f>
        <v>1936</v>
      </c>
      <c r="E151" s="2">
        <v>16.5</v>
      </c>
      <c r="F151" s="2">
        <f>Table834[[#This Row],[Neck]]^2</f>
        <v>272.25</v>
      </c>
      <c r="G151" s="2">
        <v>96.9</v>
      </c>
      <c r="H151" s="2">
        <f>Table834[[#This Row],[Morning Body Temp]]^2</f>
        <v>9389.61</v>
      </c>
      <c r="I151" s="2">
        <v>132</v>
      </c>
      <c r="J151" s="2">
        <f>Table834[[#This Row],[Morning Systolic Pressure]]^2</f>
        <v>17424</v>
      </c>
      <c r="K151" s="2">
        <v>81</v>
      </c>
      <c r="L151" s="2">
        <f>Table834[[#This Row],[Morning Diastolic Pressure]]^2</f>
        <v>6561</v>
      </c>
      <c r="M151" s="2">
        <v>65</v>
      </c>
      <c r="N151" s="2">
        <f>Table834[[#This Row],[Morning Pulse]]^2</f>
        <v>4225</v>
      </c>
      <c r="O151" s="2">
        <v>98.3</v>
      </c>
      <c r="P151" s="2">
        <f>Table834[[#This Row],[Night Body Temp]]^2</f>
        <v>9662.89</v>
      </c>
      <c r="Q151" s="2">
        <v>136</v>
      </c>
      <c r="R151" s="2">
        <f>Table834[[#This Row],[Night Systolic Pressure]]^2</f>
        <v>18496</v>
      </c>
      <c r="S151" s="2">
        <v>82</v>
      </c>
      <c r="T151" s="2">
        <f>Table834[[#This Row],[Night Diastolic Pressure]]^2</f>
        <v>6724</v>
      </c>
      <c r="U151" s="2">
        <v>89</v>
      </c>
      <c r="V151" s="2">
        <f>Table834[[#This Row],[Night Pulse]]^2</f>
        <v>7921</v>
      </c>
      <c r="W151" s="2">
        <v>9</v>
      </c>
      <c r="X151" s="2">
        <f>Table834[[#This Row],[Sleep]]^2</f>
        <v>81</v>
      </c>
      <c r="Y151" s="2">
        <f t="shared" si="5"/>
        <v>36.297755102040817</v>
      </c>
      <c r="Z151" s="2">
        <f>Table834[[#This Row],[BMI]]^2</f>
        <v>1317.5270254477302</v>
      </c>
      <c r="AA151" s="2">
        <f t="shared" si="4"/>
        <v>31.324493175702337</v>
      </c>
      <c r="AB151" s="2">
        <f>Table834[[#This Row],[CBF]]^2</f>
        <v>981.2238727146223</v>
      </c>
      <c r="AC151" s="2">
        <v>1</v>
      </c>
      <c r="AD151" s="2">
        <f>Table834[[#This Row],[Gym]]^2</f>
        <v>1</v>
      </c>
      <c r="AE151" s="2">
        <v>0</v>
      </c>
      <c r="AF151" s="2">
        <f>Table834[[#This Row],[Cardio]]^2</f>
        <v>0</v>
      </c>
      <c r="AG151" s="2">
        <v>2940</v>
      </c>
      <c r="AH151" s="2">
        <f>Table834[[#This Row],[Calories]]^2</f>
        <v>8643600</v>
      </c>
      <c r="AI151" s="2">
        <v>420.5</v>
      </c>
      <c r="AJ151" s="2">
        <f>Table834[[#This Row],[Carbs]]^2</f>
        <v>176820.25</v>
      </c>
      <c r="AK151" s="2">
        <v>99.2</v>
      </c>
      <c r="AL151" s="2">
        <f>Table834[[#This Row],[Fat ]]^2</f>
        <v>9840.6400000000012</v>
      </c>
      <c r="AM151" s="2">
        <v>98.4</v>
      </c>
      <c r="AN151" s="2">
        <f>Table834[[#This Row],[Protein]]^2</f>
        <v>9682.5600000000013</v>
      </c>
      <c r="AO151" s="2">
        <v>8.1999999999999993</v>
      </c>
      <c r="AP151" s="2">
        <f>Table834[[#This Row],[Fiber]]^2</f>
        <v>67.239999999999995</v>
      </c>
      <c r="AQ151" s="2">
        <v>295.10000000000002</v>
      </c>
      <c r="AR151" s="2">
        <f>Table834[[#This Row],[Sugar]]^2</f>
        <v>87084.010000000009</v>
      </c>
      <c r="AS151" s="2">
        <v>69</v>
      </c>
      <c r="AT151" s="2">
        <f>Table834[[#This Row],[Servings]]^2</f>
        <v>4761</v>
      </c>
      <c r="AU151" s="2">
        <v>0</v>
      </c>
      <c r="AV151" s="2">
        <f>Table834[[#This Row],[Water]]^2</f>
        <v>0</v>
      </c>
      <c r="AW151" s="2">
        <v>892.8</v>
      </c>
      <c r="AX151" s="2">
        <f>Table834[[#This Row],[Fat Calories]]^2</f>
        <v>797091.83999999997</v>
      </c>
      <c r="AY151" s="5">
        <f>Table834[[#This Row],[Weight]]*Table834[[#This Row],[Waist]]</f>
        <v>11132</v>
      </c>
      <c r="AZ151" s="6">
        <f>Table834[[#This Row],[Weight]]*Table834[[#This Row],[Neck]]</f>
        <v>4174.5</v>
      </c>
      <c r="BA151" s="6">
        <f>Table834[[#This Row],[Weight]]*Table834[[#This Row],[Morning Body Temp]]</f>
        <v>24515.7</v>
      </c>
      <c r="BB151" s="6">
        <f>Table834[[#This Row],[Weight]]*Table834[[#This Row],[Morning Systolic Pressure]]</f>
        <v>33396</v>
      </c>
      <c r="BC151" s="12">
        <f>Table834[[#This Row],[Weight]]*Table834[[#This Row],[Morning Diastolic Pressure]]</f>
        <v>20493</v>
      </c>
      <c r="BD151" s="2">
        <f>Table834[[#This Row],[Weight]]*Table834[[#This Row],[Morning Pulse]]</f>
        <v>16445</v>
      </c>
      <c r="BE151" s="2">
        <f>Table834[[#This Row],[Weight]]*Table834[[#This Row],[Night Body Temp]]</f>
        <v>24869.899999999998</v>
      </c>
      <c r="BF151" s="2">
        <f>Table834[[#This Row],[Weight]]*Table834[[#This Row],[Night Systolic Pressure]]</f>
        <v>34408</v>
      </c>
      <c r="BG151" s="4">
        <f>Table83[[#This Row],[Weight]]*Table83[[#This Row],[Night Diastolic Pressure]]</f>
        <v>20746</v>
      </c>
      <c r="BH151" s="2">
        <f>Table834[[#This Row],[Weight]]*Table834[[#This Row],[Night Pulse]]</f>
        <v>22517</v>
      </c>
      <c r="BI151" s="2">
        <f>Table834[[#This Row],[Weight]]*Table834[[#This Row],[Sleep]]</f>
        <v>2277</v>
      </c>
      <c r="BJ151" s="2">
        <f>Table834[[#This Row],[Weight]]*Table834[[#This Row],[BMI]]</f>
        <v>9183.3320408163272</v>
      </c>
      <c r="BK151" s="2">
        <f>Table834[[#This Row],[Weight]]*Table834[[#This Row],[CBF]]</f>
        <v>7925.0967734526912</v>
      </c>
      <c r="BL151" s="2">
        <f>Table834[[#This Row],[Weight]]*Table834[[#This Row],[Gym]]</f>
        <v>253</v>
      </c>
      <c r="BM151" s="2">
        <f>Table834[[#This Row],[Weight]]*Table834[[#This Row],[Cardio]]</f>
        <v>0</v>
      </c>
      <c r="BN151" s="2">
        <f>Table834[[#This Row],[Weight]]*Table834[[#This Row],[Calories]]</f>
        <v>743820</v>
      </c>
      <c r="BO151" s="2">
        <f>Table834[[#This Row],[Weight]]*Table834[[#This Row],[Carbs]]</f>
        <v>106386.5</v>
      </c>
      <c r="BP151" s="2">
        <f>Table834[[#This Row],[Weight]]*Table834[[#This Row],[Fat ]]</f>
        <v>25097.600000000002</v>
      </c>
      <c r="BQ151" s="2">
        <f>Table834[[#This Row],[Weight]]*Table834[[#This Row],[Protein]]</f>
        <v>24895.200000000001</v>
      </c>
      <c r="BR151" s="2">
        <f>Table834[[#This Row],[Weight]]*Table834[[#This Row],[Fiber]]</f>
        <v>2074.6</v>
      </c>
      <c r="BS151" s="2">
        <f>Table834[[#This Row],[Weight]]*Table834[[#This Row],[Sugar]]</f>
        <v>74660.3</v>
      </c>
      <c r="BT151" s="2">
        <f>Table834[[#This Row],[Weight]]*Table834[[#This Row],[Servings]]</f>
        <v>17457</v>
      </c>
      <c r="BU151" s="2">
        <f>Table834[[#This Row],[Weight]]*Table834[[#This Row],[Water]]</f>
        <v>0</v>
      </c>
      <c r="BV151" s="2">
        <f>Table834[[#This Row],[Weight]]*Table834[[#This Row],[Fat Calories]]</f>
        <v>225878.39999999999</v>
      </c>
      <c r="BW151" s="2">
        <f>Table834[[#This Row],[Waist]]*Table834[[#This Row],[Neck]]</f>
        <v>726</v>
      </c>
      <c r="BX151" s="2">
        <f>Table834[[#This Row],[Waist]]*Table834[[#This Row],[Morning Body Temp]]</f>
        <v>4263.6000000000004</v>
      </c>
      <c r="BY151" s="2">
        <f>Table834[[#This Row],[Waist]]*Table834[[#This Row],[Morning Systolic Pressure]]</f>
        <v>5808</v>
      </c>
      <c r="BZ151" s="2">
        <f>Table834[[#This Row],[Waist]]*Table834[[#This Row],[Morning Diastolic Pressure]]</f>
        <v>3564</v>
      </c>
      <c r="CA151" s="2">
        <f>Table834[[#This Row],[Waist]]*Table834[[#This Row],[Morning Pulse]]</f>
        <v>2860</v>
      </c>
      <c r="CB151" s="2">
        <f>Table834[[#This Row],[Waist]]*Table834[[#This Row],[Night Body Temp]]</f>
        <v>4325.2</v>
      </c>
      <c r="CC151" s="2">
        <f>Table834[[#This Row],[Waist]]*Table834[[#This Row],[Night Systolic Pressure]]</f>
        <v>5984</v>
      </c>
      <c r="CD151" s="4">
        <f>Table83[[#This Row],[Waist]]*Table83[[#This Row],[Night Diastolic Pressure]]</f>
        <v>3608</v>
      </c>
      <c r="CE151" s="2">
        <f>Table834[[#This Row],[Waist]]*Table834[[#This Row],[Night Pulse]]</f>
        <v>3916</v>
      </c>
      <c r="CF151" s="2">
        <f>Table834[[#This Row],[Waist]]*Table834[[#This Row],[Sleep]]</f>
        <v>396</v>
      </c>
      <c r="CG151" s="2">
        <f>Table834[[#This Row],[Waist]]*Table834[[#This Row],[BMI]]</f>
        <v>1597.1012244897959</v>
      </c>
      <c r="CH151" s="2">
        <f>Table834[[#This Row],[Waist]]*Table834[[#This Row],[CBF]]</f>
        <v>1378.2776997309029</v>
      </c>
      <c r="CI151" s="2">
        <f>Table834[[#This Row],[Waist]]*Table834[[#This Row],[Gym]]</f>
        <v>44</v>
      </c>
      <c r="CJ151" s="2">
        <f>Table834[[#This Row],[Waist]]*Table834[[#This Row],[Cardio]]</f>
        <v>0</v>
      </c>
      <c r="CK151" s="2">
        <f>Table834[[#This Row],[Waist]]*Table834[[#This Row],[Calories]]</f>
        <v>129360</v>
      </c>
      <c r="CL151" s="2">
        <f>Table834[[#This Row],[Waist]]*Table834[[#This Row],[Carbs]]</f>
        <v>18502</v>
      </c>
      <c r="CM151" s="2">
        <f>Table834[[#This Row],[Waist]]*Table834[[#This Row],[Fat ]]</f>
        <v>4364.8</v>
      </c>
      <c r="CN151" s="2">
        <f>Table834[[#This Row],[Waist]]*Table834[[#This Row],[Protein]]</f>
        <v>4329.6000000000004</v>
      </c>
      <c r="CO151" s="2">
        <f>Table834[[#This Row],[Waist]]*Table834[[#This Row],[Fiber]]</f>
        <v>360.79999999999995</v>
      </c>
      <c r="CP151" s="2">
        <f>Table834[[#This Row],[Waist]]*Table834[[#This Row],[Sugar]]</f>
        <v>12984.400000000001</v>
      </c>
      <c r="CQ151" s="2">
        <f>Table834[[#This Row],[Waist]]*Table834[[#This Row],[Servings]]</f>
        <v>3036</v>
      </c>
      <c r="CR151" s="2">
        <f>Table834[[#This Row],[Waist]]*Table834[[#This Row],[Water]]</f>
        <v>0</v>
      </c>
      <c r="CS151" s="2">
        <f>Table834[[#This Row],[Waist]]*Table834[[#This Row],[Fat Calories]]</f>
        <v>39283.199999999997</v>
      </c>
    </row>
    <row r="152" spans="1:97" x14ac:dyDescent="0.25">
      <c r="A152" s="2">
        <v>254</v>
      </c>
      <c r="B152" s="2">
        <f>Table834[[#This Row],[Weight]]^2</f>
        <v>64516</v>
      </c>
      <c r="C152" s="2">
        <v>44</v>
      </c>
      <c r="D152" s="2">
        <f>Table834[[#This Row],[Waist]]^2</f>
        <v>1936</v>
      </c>
      <c r="E152" s="2">
        <v>16.5</v>
      </c>
      <c r="F152" s="2">
        <f>Table834[[#This Row],[Neck]]^2</f>
        <v>272.25</v>
      </c>
      <c r="G152" s="2">
        <v>96.5</v>
      </c>
      <c r="H152" s="2">
        <f>Table834[[#This Row],[Morning Body Temp]]^2</f>
        <v>9312.25</v>
      </c>
      <c r="I152" s="2">
        <v>138</v>
      </c>
      <c r="J152" s="2">
        <f>Table834[[#This Row],[Morning Systolic Pressure]]^2</f>
        <v>19044</v>
      </c>
      <c r="K152" s="2">
        <v>80</v>
      </c>
      <c r="L152" s="2">
        <f>Table834[[#This Row],[Morning Diastolic Pressure]]^2</f>
        <v>6400</v>
      </c>
      <c r="M152" s="2">
        <v>76</v>
      </c>
      <c r="N152" s="2">
        <f>Table834[[#This Row],[Morning Pulse]]^2</f>
        <v>5776</v>
      </c>
      <c r="O152" s="2">
        <v>98.5</v>
      </c>
      <c r="P152" s="2">
        <f>Table834[[#This Row],[Night Body Temp]]^2</f>
        <v>9702.25</v>
      </c>
      <c r="Q152" s="2">
        <v>136</v>
      </c>
      <c r="R152" s="2">
        <f>Table834[[#This Row],[Night Systolic Pressure]]^2</f>
        <v>18496</v>
      </c>
      <c r="S152" s="2">
        <v>80</v>
      </c>
      <c r="T152" s="2">
        <f>Table834[[#This Row],[Night Diastolic Pressure]]^2</f>
        <v>6400</v>
      </c>
      <c r="U152" s="2">
        <v>90</v>
      </c>
      <c r="V152" s="2">
        <f>Table834[[#This Row],[Night Pulse]]^2</f>
        <v>8100</v>
      </c>
      <c r="W152" s="2">
        <v>12</v>
      </c>
      <c r="X152" s="2">
        <f>Table834[[#This Row],[Sleep]]^2</f>
        <v>144</v>
      </c>
      <c r="Y152" s="2">
        <f t="shared" si="5"/>
        <v>36.441224489795914</v>
      </c>
      <c r="Z152" s="2">
        <f>Table834[[#This Row],[BMI]]^2</f>
        <v>1327.9628423157014</v>
      </c>
      <c r="AA152" s="2">
        <f t="shared" si="4"/>
        <v>31.324493175702337</v>
      </c>
      <c r="AB152" s="2">
        <f>Table834[[#This Row],[CBF]]^2</f>
        <v>981.2238727146223</v>
      </c>
      <c r="AC152" s="2">
        <v>0</v>
      </c>
      <c r="AD152" s="2">
        <f>Table834[[#This Row],[Gym]]^2</f>
        <v>0</v>
      </c>
      <c r="AE152" s="2">
        <v>0</v>
      </c>
      <c r="AF152" s="2">
        <f>Table834[[#This Row],[Cardio]]^2</f>
        <v>0</v>
      </c>
      <c r="AG152" s="2">
        <v>1592</v>
      </c>
      <c r="AH152" s="2">
        <f>Table834[[#This Row],[Calories]]^2</f>
        <v>2534464</v>
      </c>
      <c r="AI152" s="2">
        <v>244.8</v>
      </c>
      <c r="AJ152" s="2">
        <f>Table834[[#This Row],[Carbs]]^2</f>
        <v>59927.040000000008</v>
      </c>
      <c r="AK152" s="2">
        <v>47</v>
      </c>
      <c r="AL152" s="2">
        <f>Table834[[#This Row],[Fat ]]^2</f>
        <v>2209</v>
      </c>
      <c r="AM152" s="2">
        <v>46</v>
      </c>
      <c r="AN152" s="2">
        <f>Table834[[#This Row],[Protein]]^2</f>
        <v>2116</v>
      </c>
      <c r="AO152" s="2">
        <v>2</v>
      </c>
      <c r="AP152" s="2">
        <f>Table834[[#This Row],[Fiber]]^2</f>
        <v>4</v>
      </c>
      <c r="AQ152" s="2">
        <v>140.80000000000001</v>
      </c>
      <c r="AR152" s="2">
        <f>Table834[[#This Row],[Sugar]]^2</f>
        <v>19824.640000000003</v>
      </c>
      <c r="AS152" s="2">
        <v>56</v>
      </c>
      <c r="AT152" s="2">
        <f>Table834[[#This Row],[Servings]]^2</f>
        <v>3136</v>
      </c>
      <c r="AU152" s="2">
        <v>0</v>
      </c>
      <c r="AV152" s="2">
        <f>Table834[[#This Row],[Water]]^2</f>
        <v>0</v>
      </c>
      <c r="AW152" s="2">
        <v>423</v>
      </c>
      <c r="AX152" s="2">
        <f>Table834[[#This Row],[Fat Calories]]^2</f>
        <v>178929</v>
      </c>
      <c r="AY152" s="3">
        <f>Table834[[#This Row],[Weight]]*Table834[[#This Row],[Waist]]</f>
        <v>11176</v>
      </c>
      <c r="AZ152" s="4">
        <f>Table834[[#This Row],[Weight]]*Table834[[#This Row],[Neck]]</f>
        <v>4191</v>
      </c>
      <c r="BA152" s="4">
        <f>Table834[[#This Row],[Weight]]*Table834[[#This Row],[Morning Body Temp]]</f>
        <v>24511</v>
      </c>
      <c r="BB152" s="4">
        <f>Table834[[#This Row],[Weight]]*Table834[[#This Row],[Morning Systolic Pressure]]</f>
        <v>35052</v>
      </c>
      <c r="BC152" s="11">
        <f>Table834[[#This Row],[Weight]]*Table834[[#This Row],[Morning Diastolic Pressure]]</f>
        <v>20320</v>
      </c>
      <c r="BD152" s="2">
        <f>Table834[[#This Row],[Weight]]*Table834[[#This Row],[Morning Pulse]]</f>
        <v>19304</v>
      </c>
      <c r="BE152" s="2">
        <f>Table834[[#This Row],[Weight]]*Table834[[#This Row],[Night Body Temp]]</f>
        <v>25019</v>
      </c>
      <c r="BF152" s="2">
        <f>Table834[[#This Row],[Weight]]*Table834[[#This Row],[Night Systolic Pressure]]</f>
        <v>34544</v>
      </c>
      <c r="BG152" s="4">
        <f>Table83[[#This Row],[Weight]]*Table83[[#This Row],[Night Diastolic Pressure]]</f>
        <v>20320</v>
      </c>
      <c r="BH152" s="2">
        <f>Table834[[#This Row],[Weight]]*Table834[[#This Row],[Night Pulse]]</f>
        <v>22860</v>
      </c>
      <c r="BI152" s="2">
        <f>Table834[[#This Row],[Weight]]*Table834[[#This Row],[Sleep]]</f>
        <v>3048</v>
      </c>
      <c r="BJ152" s="2">
        <f>Table834[[#This Row],[Weight]]*Table834[[#This Row],[BMI]]</f>
        <v>9256.0710204081624</v>
      </c>
      <c r="BK152" s="2">
        <f>Table834[[#This Row],[Weight]]*Table834[[#This Row],[CBF]]</f>
        <v>7956.4212666283938</v>
      </c>
      <c r="BL152" s="2">
        <f>Table834[[#This Row],[Weight]]*Table834[[#This Row],[Gym]]</f>
        <v>0</v>
      </c>
      <c r="BM152" s="2">
        <f>Table834[[#This Row],[Weight]]*Table834[[#This Row],[Cardio]]</f>
        <v>0</v>
      </c>
      <c r="BN152" s="2">
        <f>Table834[[#This Row],[Weight]]*Table834[[#This Row],[Calories]]</f>
        <v>404368</v>
      </c>
      <c r="BO152" s="2">
        <f>Table834[[#This Row],[Weight]]*Table834[[#This Row],[Carbs]]</f>
        <v>62179.200000000004</v>
      </c>
      <c r="BP152" s="2">
        <f>Table834[[#This Row],[Weight]]*Table834[[#This Row],[Fat ]]</f>
        <v>11938</v>
      </c>
      <c r="BQ152" s="2">
        <f>Table834[[#This Row],[Weight]]*Table834[[#This Row],[Protein]]</f>
        <v>11684</v>
      </c>
      <c r="BR152" s="2">
        <f>Table834[[#This Row],[Weight]]*Table834[[#This Row],[Fiber]]</f>
        <v>508</v>
      </c>
      <c r="BS152" s="2">
        <f>Table834[[#This Row],[Weight]]*Table834[[#This Row],[Sugar]]</f>
        <v>35763.200000000004</v>
      </c>
      <c r="BT152" s="2">
        <f>Table834[[#This Row],[Weight]]*Table834[[#This Row],[Servings]]</f>
        <v>14224</v>
      </c>
      <c r="BU152" s="2">
        <f>Table834[[#This Row],[Weight]]*Table834[[#This Row],[Water]]</f>
        <v>0</v>
      </c>
      <c r="BV152" s="2">
        <f>Table834[[#This Row],[Weight]]*Table834[[#This Row],[Fat Calories]]</f>
        <v>107442</v>
      </c>
      <c r="BW152" s="2">
        <f>Table834[[#This Row],[Waist]]*Table834[[#This Row],[Neck]]</f>
        <v>726</v>
      </c>
      <c r="BX152" s="2">
        <f>Table834[[#This Row],[Waist]]*Table834[[#This Row],[Morning Body Temp]]</f>
        <v>4246</v>
      </c>
      <c r="BY152" s="2">
        <f>Table834[[#This Row],[Waist]]*Table834[[#This Row],[Morning Systolic Pressure]]</f>
        <v>6072</v>
      </c>
      <c r="BZ152" s="2">
        <f>Table834[[#This Row],[Waist]]*Table834[[#This Row],[Morning Diastolic Pressure]]</f>
        <v>3520</v>
      </c>
      <c r="CA152" s="2">
        <f>Table834[[#This Row],[Waist]]*Table834[[#This Row],[Morning Pulse]]</f>
        <v>3344</v>
      </c>
      <c r="CB152" s="2">
        <f>Table834[[#This Row],[Waist]]*Table834[[#This Row],[Night Body Temp]]</f>
        <v>4334</v>
      </c>
      <c r="CC152" s="2">
        <f>Table834[[#This Row],[Waist]]*Table834[[#This Row],[Night Systolic Pressure]]</f>
        <v>5984</v>
      </c>
      <c r="CD152" s="4">
        <f>Table83[[#This Row],[Waist]]*Table83[[#This Row],[Night Diastolic Pressure]]</f>
        <v>3520</v>
      </c>
      <c r="CE152" s="2">
        <f>Table834[[#This Row],[Waist]]*Table834[[#This Row],[Night Pulse]]</f>
        <v>3960</v>
      </c>
      <c r="CF152" s="2">
        <f>Table834[[#This Row],[Waist]]*Table834[[#This Row],[Sleep]]</f>
        <v>528</v>
      </c>
      <c r="CG152" s="2">
        <f>Table834[[#This Row],[Waist]]*Table834[[#This Row],[BMI]]</f>
        <v>1603.4138775510203</v>
      </c>
      <c r="CH152" s="2">
        <f>Table834[[#This Row],[Waist]]*Table834[[#This Row],[CBF]]</f>
        <v>1378.2776997309029</v>
      </c>
      <c r="CI152" s="2">
        <f>Table834[[#This Row],[Waist]]*Table834[[#This Row],[Gym]]</f>
        <v>0</v>
      </c>
      <c r="CJ152" s="2">
        <f>Table834[[#This Row],[Waist]]*Table834[[#This Row],[Cardio]]</f>
        <v>0</v>
      </c>
      <c r="CK152" s="2">
        <f>Table834[[#This Row],[Waist]]*Table834[[#This Row],[Calories]]</f>
        <v>70048</v>
      </c>
      <c r="CL152" s="2">
        <f>Table834[[#This Row],[Waist]]*Table834[[#This Row],[Carbs]]</f>
        <v>10771.2</v>
      </c>
      <c r="CM152" s="2">
        <f>Table834[[#This Row],[Waist]]*Table834[[#This Row],[Fat ]]</f>
        <v>2068</v>
      </c>
      <c r="CN152" s="2">
        <f>Table834[[#This Row],[Waist]]*Table834[[#This Row],[Protein]]</f>
        <v>2024</v>
      </c>
      <c r="CO152" s="2">
        <f>Table834[[#This Row],[Waist]]*Table834[[#This Row],[Fiber]]</f>
        <v>88</v>
      </c>
      <c r="CP152" s="2">
        <f>Table834[[#This Row],[Waist]]*Table834[[#This Row],[Sugar]]</f>
        <v>6195.2000000000007</v>
      </c>
      <c r="CQ152" s="2">
        <f>Table834[[#This Row],[Waist]]*Table834[[#This Row],[Servings]]</f>
        <v>2464</v>
      </c>
      <c r="CR152" s="2">
        <f>Table834[[#This Row],[Waist]]*Table834[[#This Row],[Water]]</f>
        <v>0</v>
      </c>
      <c r="CS152" s="2">
        <f>Table834[[#This Row],[Waist]]*Table834[[#This Row],[Fat Calories]]</f>
        <v>18612</v>
      </c>
    </row>
    <row r="153" spans="1:97" x14ac:dyDescent="0.25">
      <c r="A153" s="2">
        <v>253</v>
      </c>
      <c r="B153" s="2">
        <f>Table834[[#This Row],[Weight]]^2</f>
        <v>64009</v>
      </c>
      <c r="C153" s="2">
        <v>44</v>
      </c>
      <c r="D153" s="2">
        <f>Table834[[#This Row],[Waist]]^2</f>
        <v>1936</v>
      </c>
      <c r="E153" s="2">
        <v>16.5</v>
      </c>
      <c r="F153" s="2">
        <f>Table834[[#This Row],[Neck]]^2</f>
        <v>272.25</v>
      </c>
      <c r="G153" s="2">
        <v>94.2</v>
      </c>
      <c r="H153" s="2">
        <f>Table834[[#This Row],[Morning Body Temp]]^2</f>
        <v>8873.6400000000012</v>
      </c>
      <c r="I153" s="2">
        <v>124</v>
      </c>
      <c r="J153" s="2">
        <f>Table834[[#This Row],[Morning Systolic Pressure]]^2</f>
        <v>15376</v>
      </c>
      <c r="K153" s="2">
        <v>75</v>
      </c>
      <c r="L153" s="2">
        <f>Table834[[#This Row],[Morning Diastolic Pressure]]^2</f>
        <v>5625</v>
      </c>
      <c r="M153" s="2">
        <v>82</v>
      </c>
      <c r="N153" s="2">
        <f>Table834[[#This Row],[Morning Pulse]]^2</f>
        <v>6724</v>
      </c>
      <c r="O153" s="2">
        <v>98.1</v>
      </c>
      <c r="P153" s="2">
        <f>Table834[[#This Row],[Night Body Temp]]^2</f>
        <v>9623.6099999999988</v>
      </c>
      <c r="Q153" s="2">
        <v>131</v>
      </c>
      <c r="R153" s="2">
        <f>Table834[[#This Row],[Night Systolic Pressure]]^2</f>
        <v>17161</v>
      </c>
      <c r="S153" s="2">
        <v>77</v>
      </c>
      <c r="T153" s="2">
        <f>Table834[[#This Row],[Night Diastolic Pressure]]^2</f>
        <v>5929</v>
      </c>
      <c r="U153" s="2">
        <v>87</v>
      </c>
      <c r="V153" s="2">
        <f>Table834[[#This Row],[Night Pulse]]^2</f>
        <v>7569</v>
      </c>
      <c r="W153" s="2">
        <v>8</v>
      </c>
      <c r="X153" s="2">
        <f>Table834[[#This Row],[Sleep]]^2</f>
        <v>64</v>
      </c>
      <c r="Y153" s="2">
        <f t="shared" si="5"/>
        <v>36.297755102040817</v>
      </c>
      <c r="Z153" s="2">
        <f>Table834[[#This Row],[BMI]]^2</f>
        <v>1317.5270254477302</v>
      </c>
      <c r="AA153" s="2">
        <f t="shared" si="4"/>
        <v>31.324493175702337</v>
      </c>
      <c r="AB153" s="2">
        <f>Table834[[#This Row],[CBF]]^2</f>
        <v>981.2238727146223</v>
      </c>
      <c r="AC153" s="2">
        <v>0</v>
      </c>
      <c r="AD153" s="2">
        <f>Table834[[#This Row],[Gym]]^2</f>
        <v>0</v>
      </c>
      <c r="AE153" s="2">
        <v>0</v>
      </c>
      <c r="AF153" s="2">
        <f>Table834[[#This Row],[Cardio]]^2</f>
        <v>0</v>
      </c>
      <c r="AG153" s="2">
        <v>5802.7849999999999</v>
      </c>
      <c r="AH153" s="2">
        <f>Table834[[#This Row],[Calories]]^2</f>
        <v>33672313.756224997</v>
      </c>
      <c r="AI153" s="2">
        <v>833.42620370370378</v>
      </c>
      <c r="AJ153" s="2">
        <f>Table834[[#This Row],[Carbs]]^2</f>
        <v>694599.23701996752</v>
      </c>
      <c r="AK153" s="2">
        <v>216.76972222222221</v>
      </c>
      <c r="AL153" s="2">
        <f>Table834[[#This Row],[Fat ]]^2</f>
        <v>46989.112472299377</v>
      </c>
      <c r="AM153" s="2">
        <v>143.81657407407408</v>
      </c>
      <c r="AN153" s="2">
        <f>Table834[[#This Row],[Protein]]^2</f>
        <v>20683.206978403639</v>
      </c>
      <c r="AO153" s="2">
        <v>10.941203703703703</v>
      </c>
      <c r="AP153" s="2">
        <f>Table834[[#This Row],[Fiber]]^2</f>
        <v>119.70993848593963</v>
      </c>
      <c r="AQ153" s="2">
        <v>525.43208333333337</v>
      </c>
      <c r="AR153" s="2">
        <f>Table834[[#This Row],[Sugar]]^2</f>
        <v>276078.87419600697</v>
      </c>
      <c r="AS153" s="2">
        <v>129.17000000000002</v>
      </c>
      <c r="AT153" s="2">
        <f>Table834[[#This Row],[Servings]]^2</f>
        <v>16684.888900000005</v>
      </c>
      <c r="AU153" s="2">
        <v>0</v>
      </c>
      <c r="AV153" s="2">
        <f>Table834[[#This Row],[Water]]^2</f>
        <v>0</v>
      </c>
      <c r="AW153" s="2">
        <v>1950.9275</v>
      </c>
      <c r="AX153" s="2">
        <f>Table834[[#This Row],[Fat Calories]]^2</f>
        <v>3806118.11025625</v>
      </c>
      <c r="AY153" s="5">
        <f>Table834[[#This Row],[Weight]]*Table834[[#This Row],[Waist]]</f>
        <v>11132</v>
      </c>
      <c r="AZ153" s="6">
        <f>Table834[[#This Row],[Weight]]*Table834[[#This Row],[Neck]]</f>
        <v>4174.5</v>
      </c>
      <c r="BA153" s="6">
        <f>Table834[[#This Row],[Weight]]*Table834[[#This Row],[Morning Body Temp]]</f>
        <v>23832.600000000002</v>
      </c>
      <c r="BB153" s="6">
        <f>Table834[[#This Row],[Weight]]*Table834[[#This Row],[Morning Systolic Pressure]]</f>
        <v>31372</v>
      </c>
      <c r="BC153" s="12">
        <f>Table834[[#This Row],[Weight]]*Table834[[#This Row],[Morning Diastolic Pressure]]</f>
        <v>18975</v>
      </c>
      <c r="BD153" s="2">
        <f>Table834[[#This Row],[Weight]]*Table834[[#This Row],[Morning Pulse]]</f>
        <v>20746</v>
      </c>
      <c r="BE153" s="2">
        <f>Table834[[#This Row],[Weight]]*Table834[[#This Row],[Night Body Temp]]</f>
        <v>24819.3</v>
      </c>
      <c r="BF153" s="2">
        <f>Table834[[#This Row],[Weight]]*Table834[[#This Row],[Night Systolic Pressure]]</f>
        <v>33143</v>
      </c>
      <c r="BG153" s="4">
        <f>Table83[[#This Row],[Weight]]*Table83[[#This Row],[Night Diastolic Pressure]]</f>
        <v>19481</v>
      </c>
      <c r="BH153" s="2">
        <f>Table834[[#This Row],[Weight]]*Table834[[#This Row],[Night Pulse]]</f>
        <v>22011</v>
      </c>
      <c r="BI153" s="2">
        <f>Table834[[#This Row],[Weight]]*Table834[[#This Row],[Sleep]]</f>
        <v>2024</v>
      </c>
      <c r="BJ153" s="2">
        <f>Table834[[#This Row],[Weight]]*Table834[[#This Row],[BMI]]</f>
        <v>9183.3320408163272</v>
      </c>
      <c r="BK153" s="2">
        <f>Table834[[#This Row],[Weight]]*Table834[[#This Row],[CBF]]</f>
        <v>7925.0967734526912</v>
      </c>
      <c r="BL153" s="2">
        <f>Table834[[#This Row],[Weight]]*Table834[[#This Row],[Gym]]</f>
        <v>0</v>
      </c>
      <c r="BM153" s="2">
        <f>Table834[[#This Row],[Weight]]*Table834[[#This Row],[Cardio]]</f>
        <v>0</v>
      </c>
      <c r="BN153" s="2">
        <f>Table834[[#This Row],[Weight]]*Table834[[#This Row],[Calories]]</f>
        <v>1468104.605</v>
      </c>
      <c r="BO153" s="2">
        <f>Table834[[#This Row],[Weight]]*Table834[[#This Row],[Carbs]]</f>
        <v>210856.82953703706</v>
      </c>
      <c r="BP153" s="2">
        <f>Table834[[#This Row],[Weight]]*Table834[[#This Row],[Fat ]]</f>
        <v>54842.739722222221</v>
      </c>
      <c r="BQ153" s="2">
        <f>Table834[[#This Row],[Weight]]*Table834[[#This Row],[Protein]]</f>
        <v>36385.593240740745</v>
      </c>
      <c r="BR153" s="2">
        <f>Table834[[#This Row],[Weight]]*Table834[[#This Row],[Fiber]]</f>
        <v>2768.124537037037</v>
      </c>
      <c r="BS153" s="2">
        <f>Table834[[#This Row],[Weight]]*Table834[[#This Row],[Sugar]]</f>
        <v>132934.31708333333</v>
      </c>
      <c r="BT153" s="2">
        <f>Table834[[#This Row],[Weight]]*Table834[[#This Row],[Servings]]</f>
        <v>32680.010000000006</v>
      </c>
      <c r="BU153" s="2">
        <f>Table834[[#This Row],[Weight]]*Table834[[#This Row],[Water]]</f>
        <v>0</v>
      </c>
      <c r="BV153" s="2">
        <f>Table834[[#This Row],[Weight]]*Table834[[#This Row],[Fat Calories]]</f>
        <v>493584.65750000003</v>
      </c>
      <c r="BW153" s="2">
        <f>Table834[[#This Row],[Waist]]*Table834[[#This Row],[Neck]]</f>
        <v>726</v>
      </c>
      <c r="BX153" s="2">
        <f>Table834[[#This Row],[Waist]]*Table834[[#This Row],[Morning Body Temp]]</f>
        <v>4144.8</v>
      </c>
      <c r="BY153" s="2">
        <f>Table834[[#This Row],[Waist]]*Table834[[#This Row],[Morning Systolic Pressure]]</f>
        <v>5456</v>
      </c>
      <c r="BZ153" s="2">
        <f>Table834[[#This Row],[Waist]]*Table834[[#This Row],[Morning Diastolic Pressure]]</f>
        <v>3300</v>
      </c>
      <c r="CA153" s="2">
        <f>Table834[[#This Row],[Waist]]*Table834[[#This Row],[Morning Pulse]]</f>
        <v>3608</v>
      </c>
      <c r="CB153" s="2">
        <f>Table834[[#This Row],[Waist]]*Table834[[#This Row],[Night Body Temp]]</f>
        <v>4316.3999999999996</v>
      </c>
      <c r="CC153" s="2">
        <f>Table834[[#This Row],[Waist]]*Table834[[#This Row],[Night Systolic Pressure]]</f>
        <v>5764</v>
      </c>
      <c r="CD153" s="4">
        <f>Table83[[#This Row],[Waist]]*Table83[[#This Row],[Night Diastolic Pressure]]</f>
        <v>3388</v>
      </c>
      <c r="CE153" s="2">
        <f>Table834[[#This Row],[Waist]]*Table834[[#This Row],[Night Pulse]]</f>
        <v>3828</v>
      </c>
      <c r="CF153" s="2">
        <f>Table834[[#This Row],[Waist]]*Table834[[#This Row],[Sleep]]</f>
        <v>352</v>
      </c>
      <c r="CG153" s="2">
        <f>Table834[[#This Row],[Waist]]*Table834[[#This Row],[BMI]]</f>
        <v>1597.1012244897959</v>
      </c>
      <c r="CH153" s="2">
        <f>Table834[[#This Row],[Waist]]*Table834[[#This Row],[CBF]]</f>
        <v>1378.2776997309029</v>
      </c>
      <c r="CI153" s="2">
        <f>Table834[[#This Row],[Waist]]*Table834[[#This Row],[Gym]]</f>
        <v>0</v>
      </c>
      <c r="CJ153" s="2">
        <f>Table834[[#This Row],[Waist]]*Table834[[#This Row],[Cardio]]</f>
        <v>0</v>
      </c>
      <c r="CK153" s="2">
        <f>Table834[[#This Row],[Waist]]*Table834[[#This Row],[Calories]]</f>
        <v>255322.53999999998</v>
      </c>
      <c r="CL153" s="2">
        <f>Table834[[#This Row],[Waist]]*Table834[[#This Row],[Carbs]]</f>
        <v>36670.752962962964</v>
      </c>
      <c r="CM153" s="2">
        <f>Table834[[#This Row],[Waist]]*Table834[[#This Row],[Fat ]]</f>
        <v>9537.8677777777775</v>
      </c>
      <c r="CN153" s="2">
        <f>Table834[[#This Row],[Waist]]*Table834[[#This Row],[Protein]]</f>
        <v>6327.9292592592592</v>
      </c>
      <c r="CO153" s="2">
        <f>Table834[[#This Row],[Waist]]*Table834[[#This Row],[Fiber]]</f>
        <v>481.41296296296292</v>
      </c>
      <c r="CP153" s="2">
        <f>Table834[[#This Row],[Waist]]*Table834[[#This Row],[Sugar]]</f>
        <v>23119.011666666669</v>
      </c>
      <c r="CQ153" s="2">
        <f>Table834[[#This Row],[Waist]]*Table834[[#This Row],[Servings]]</f>
        <v>5683.4800000000005</v>
      </c>
      <c r="CR153" s="2">
        <f>Table834[[#This Row],[Waist]]*Table834[[#This Row],[Water]]</f>
        <v>0</v>
      </c>
      <c r="CS153" s="2">
        <f>Table834[[#This Row],[Waist]]*Table834[[#This Row],[Fat Calories]]</f>
        <v>85840.81</v>
      </c>
    </row>
    <row r="154" spans="1:97" x14ac:dyDescent="0.25">
      <c r="A154" s="2">
        <v>251.8</v>
      </c>
      <c r="B154" s="2">
        <f>Table834[[#This Row],[Weight]]^2</f>
        <v>63403.240000000005</v>
      </c>
      <c r="C154" s="2">
        <v>44</v>
      </c>
      <c r="D154" s="2">
        <f>Table834[[#This Row],[Waist]]^2</f>
        <v>1936</v>
      </c>
      <c r="E154" s="2">
        <v>16.5</v>
      </c>
      <c r="F154" s="2">
        <f>Table834[[#This Row],[Neck]]^2</f>
        <v>272.25</v>
      </c>
      <c r="G154" s="2">
        <v>96.7</v>
      </c>
      <c r="H154" s="2">
        <f>Table834[[#This Row],[Morning Body Temp]]^2</f>
        <v>9350.8900000000012</v>
      </c>
      <c r="I154" s="2">
        <v>124</v>
      </c>
      <c r="J154" s="2">
        <f>Table834[[#This Row],[Morning Systolic Pressure]]^2</f>
        <v>15376</v>
      </c>
      <c r="K154" s="2">
        <v>74</v>
      </c>
      <c r="L154" s="2">
        <f>Table834[[#This Row],[Morning Diastolic Pressure]]^2</f>
        <v>5476</v>
      </c>
      <c r="M154" s="2">
        <v>75</v>
      </c>
      <c r="N154" s="2">
        <f>Table834[[#This Row],[Morning Pulse]]^2</f>
        <v>5625</v>
      </c>
      <c r="O154" s="2">
        <v>98</v>
      </c>
      <c r="P154" s="2">
        <f>Table834[[#This Row],[Night Body Temp]]^2</f>
        <v>9604</v>
      </c>
      <c r="Q154" s="2">
        <v>135</v>
      </c>
      <c r="R154" s="2">
        <f>Table834[[#This Row],[Night Systolic Pressure]]^2</f>
        <v>18225</v>
      </c>
      <c r="S154" s="2">
        <v>79</v>
      </c>
      <c r="T154" s="2">
        <f>Table834[[#This Row],[Night Diastolic Pressure]]^2</f>
        <v>6241</v>
      </c>
      <c r="U154" s="2">
        <v>90</v>
      </c>
      <c r="V154" s="2">
        <f>Table834[[#This Row],[Night Pulse]]^2</f>
        <v>8100</v>
      </c>
      <c r="W154" s="2">
        <v>6</v>
      </c>
      <c r="X154" s="2">
        <f>Table834[[#This Row],[Sleep]]^2</f>
        <v>36</v>
      </c>
      <c r="Y154" s="2">
        <f t="shared" si="5"/>
        <v>36.125591836734699</v>
      </c>
      <c r="Z154" s="2">
        <f>Table834[[#This Row],[BMI]]^2</f>
        <v>1305.0583855543528</v>
      </c>
      <c r="AA154" s="2">
        <f t="shared" si="4"/>
        <v>31.324493175702337</v>
      </c>
      <c r="AB154" s="2">
        <f>Table834[[#This Row],[CBF]]^2</f>
        <v>981.2238727146223</v>
      </c>
      <c r="AC154" s="2">
        <v>0</v>
      </c>
      <c r="AD154" s="2">
        <f>Table834[[#This Row],[Gym]]^2</f>
        <v>0</v>
      </c>
      <c r="AE154" s="2">
        <v>0</v>
      </c>
      <c r="AF154" s="2">
        <f>Table834[[#This Row],[Cardio]]^2</f>
        <v>0</v>
      </c>
      <c r="AG154" s="2">
        <v>1316.9749999999999</v>
      </c>
      <c r="AH154" s="2">
        <f>Table834[[#This Row],[Calories]]^2</f>
        <v>1734423.1506249998</v>
      </c>
      <c r="AI154" s="2">
        <v>186.535</v>
      </c>
      <c r="AJ154" s="2">
        <f>Table834[[#This Row],[Carbs]]^2</f>
        <v>34795.306225</v>
      </c>
      <c r="AK154" s="2">
        <v>56.275000000000006</v>
      </c>
      <c r="AL154" s="2">
        <f>Table834[[#This Row],[Fat ]]^2</f>
        <v>3166.8756250000006</v>
      </c>
      <c r="AM154" s="2">
        <v>27.375</v>
      </c>
      <c r="AN154" s="2">
        <f>Table834[[#This Row],[Protein]]^2</f>
        <v>749.390625</v>
      </c>
      <c r="AO154" s="2">
        <v>27.005000000000003</v>
      </c>
      <c r="AP154" s="2">
        <f>Table834[[#This Row],[Fiber]]^2</f>
        <v>729.27002500000015</v>
      </c>
      <c r="AQ154" s="2">
        <v>82.004999999999995</v>
      </c>
      <c r="AR154" s="2">
        <f>Table834[[#This Row],[Sugar]]^2</f>
        <v>6724.8200249999991</v>
      </c>
      <c r="AS154" s="2">
        <v>15.33</v>
      </c>
      <c r="AT154" s="2">
        <f>Table834[[#This Row],[Servings]]^2</f>
        <v>235.00890000000001</v>
      </c>
      <c r="AU154" s="2">
        <v>0</v>
      </c>
      <c r="AV154" s="2">
        <f>Table834[[#This Row],[Water]]^2</f>
        <v>0</v>
      </c>
      <c r="AW154" s="2">
        <v>506.47499999999997</v>
      </c>
      <c r="AX154" s="2">
        <f>Table834[[#This Row],[Fat Calories]]^2</f>
        <v>256516.92562499997</v>
      </c>
      <c r="AY154" s="3">
        <f>Table834[[#This Row],[Weight]]*Table834[[#This Row],[Waist]]</f>
        <v>11079.2</v>
      </c>
      <c r="AZ154" s="4">
        <f>Table834[[#This Row],[Weight]]*Table834[[#This Row],[Neck]]</f>
        <v>4154.7</v>
      </c>
      <c r="BA154" s="4">
        <f>Table834[[#This Row],[Weight]]*Table834[[#This Row],[Morning Body Temp]]</f>
        <v>24349.06</v>
      </c>
      <c r="BB154" s="4">
        <f>Table834[[#This Row],[Weight]]*Table834[[#This Row],[Morning Systolic Pressure]]</f>
        <v>31223.200000000001</v>
      </c>
      <c r="BC154" s="11">
        <f>Table834[[#This Row],[Weight]]*Table834[[#This Row],[Morning Diastolic Pressure]]</f>
        <v>18633.2</v>
      </c>
      <c r="BD154" s="2">
        <f>Table834[[#This Row],[Weight]]*Table834[[#This Row],[Morning Pulse]]</f>
        <v>18885</v>
      </c>
      <c r="BE154" s="2">
        <f>Table834[[#This Row],[Weight]]*Table834[[#This Row],[Night Body Temp]]</f>
        <v>24676.400000000001</v>
      </c>
      <c r="BF154" s="2">
        <f>Table834[[#This Row],[Weight]]*Table834[[#This Row],[Night Systolic Pressure]]</f>
        <v>33993</v>
      </c>
      <c r="BG154" s="4">
        <f>Table83[[#This Row],[Weight]]*Table83[[#This Row],[Night Diastolic Pressure]]</f>
        <v>19892.2</v>
      </c>
      <c r="BH154" s="2">
        <f>Table834[[#This Row],[Weight]]*Table834[[#This Row],[Night Pulse]]</f>
        <v>22662</v>
      </c>
      <c r="BI154" s="2">
        <f>Table834[[#This Row],[Weight]]*Table834[[#This Row],[Sleep]]</f>
        <v>1510.8000000000002</v>
      </c>
      <c r="BJ154" s="2">
        <f>Table834[[#This Row],[Weight]]*Table834[[#This Row],[BMI]]</f>
        <v>9096.4240244897974</v>
      </c>
      <c r="BK154" s="2">
        <f>Table834[[#This Row],[Weight]]*Table834[[#This Row],[CBF]]</f>
        <v>7887.507381641849</v>
      </c>
      <c r="BL154" s="2">
        <f>Table834[[#This Row],[Weight]]*Table834[[#This Row],[Gym]]</f>
        <v>0</v>
      </c>
      <c r="BM154" s="2">
        <f>Table834[[#This Row],[Weight]]*Table834[[#This Row],[Cardio]]</f>
        <v>0</v>
      </c>
      <c r="BN154" s="2">
        <f>Table834[[#This Row],[Weight]]*Table834[[#This Row],[Calories]]</f>
        <v>331614.30499999999</v>
      </c>
      <c r="BO154" s="2">
        <f>Table834[[#This Row],[Weight]]*Table834[[#This Row],[Carbs]]</f>
        <v>46969.512999999999</v>
      </c>
      <c r="BP154" s="2">
        <f>Table834[[#This Row],[Weight]]*Table834[[#This Row],[Fat ]]</f>
        <v>14170.045000000002</v>
      </c>
      <c r="BQ154" s="2">
        <f>Table834[[#This Row],[Weight]]*Table834[[#This Row],[Protein]]</f>
        <v>6893.0250000000005</v>
      </c>
      <c r="BR154" s="2">
        <f>Table834[[#This Row],[Weight]]*Table834[[#This Row],[Fiber]]</f>
        <v>6799.8590000000013</v>
      </c>
      <c r="BS154" s="2">
        <f>Table834[[#This Row],[Weight]]*Table834[[#This Row],[Sugar]]</f>
        <v>20648.859</v>
      </c>
      <c r="BT154" s="2">
        <f>Table834[[#This Row],[Weight]]*Table834[[#This Row],[Servings]]</f>
        <v>3860.0940000000001</v>
      </c>
      <c r="BU154" s="2">
        <f>Table834[[#This Row],[Weight]]*Table834[[#This Row],[Water]]</f>
        <v>0</v>
      </c>
      <c r="BV154" s="2">
        <f>Table834[[#This Row],[Weight]]*Table834[[#This Row],[Fat Calories]]</f>
        <v>127530.405</v>
      </c>
      <c r="BW154" s="2">
        <f>Table834[[#This Row],[Waist]]*Table834[[#This Row],[Neck]]</f>
        <v>726</v>
      </c>
      <c r="BX154" s="2">
        <f>Table834[[#This Row],[Waist]]*Table834[[#This Row],[Morning Body Temp]]</f>
        <v>4254.8</v>
      </c>
      <c r="BY154" s="2">
        <f>Table834[[#This Row],[Waist]]*Table834[[#This Row],[Morning Systolic Pressure]]</f>
        <v>5456</v>
      </c>
      <c r="BZ154" s="2">
        <f>Table834[[#This Row],[Waist]]*Table834[[#This Row],[Morning Diastolic Pressure]]</f>
        <v>3256</v>
      </c>
      <c r="CA154" s="2">
        <f>Table834[[#This Row],[Waist]]*Table834[[#This Row],[Morning Pulse]]</f>
        <v>3300</v>
      </c>
      <c r="CB154" s="2">
        <f>Table834[[#This Row],[Waist]]*Table834[[#This Row],[Night Body Temp]]</f>
        <v>4312</v>
      </c>
      <c r="CC154" s="2">
        <f>Table834[[#This Row],[Waist]]*Table834[[#This Row],[Night Systolic Pressure]]</f>
        <v>5940</v>
      </c>
      <c r="CD154" s="4">
        <f>Table83[[#This Row],[Waist]]*Table83[[#This Row],[Night Diastolic Pressure]]</f>
        <v>3476</v>
      </c>
      <c r="CE154" s="2">
        <f>Table834[[#This Row],[Waist]]*Table834[[#This Row],[Night Pulse]]</f>
        <v>3960</v>
      </c>
      <c r="CF154" s="2">
        <f>Table834[[#This Row],[Waist]]*Table834[[#This Row],[Sleep]]</f>
        <v>264</v>
      </c>
      <c r="CG154" s="2">
        <f>Table834[[#This Row],[Waist]]*Table834[[#This Row],[BMI]]</f>
        <v>1589.5260408163267</v>
      </c>
      <c r="CH154" s="2">
        <f>Table834[[#This Row],[Waist]]*Table834[[#This Row],[CBF]]</f>
        <v>1378.2776997309029</v>
      </c>
      <c r="CI154" s="2">
        <f>Table834[[#This Row],[Waist]]*Table834[[#This Row],[Gym]]</f>
        <v>0</v>
      </c>
      <c r="CJ154" s="2">
        <f>Table834[[#This Row],[Waist]]*Table834[[#This Row],[Cardio]]</f>
        <v>0</v>
      </c>
      <c r="CK154" s="2">
        <f>Table834[[#This Row],[Waist]]*Table834[[#This Row],[Calories]]</f>
        <v>57946.899999999994</v>
      </c>
      <c r="CL154" s="2">
        <f>Table834[[#This Row],[Waist]]*Table834[[#This Row],[Carbs]]</f>
        <v>8207.5399999999991</v>
      </c>
      <c r="CM154" s="2">
        <f>Table834[[#This Row],[Waist]]*Table834[[#This Row],[Fat ]]</f>
        <v>2476.1000000000004</v>
      </c>
      <c r="CN154" s="2">
        <f>Table834[[#This Row],[Waist]]*Table834[[#This Row],[Protein]]</f>
        <v>1204.5</v>
      </c>
      <c r="CO154" s="2">
        <f>Table834[[#This Row],[Waist]]*Table834[[#This Row],[Fiber]]</f>
        <v>1188.22</v>
      </c>
      <c r="CP154" s="2">
        <f>Table834[[#This Row],[Waist]]*Table834[[#This Row],[Sugar]]</f>
        <v>3608.22</v>
      </c>
      <c r="CQ154" s="2">
        <f>Table834[[#This Row],[Waist]]*Table834[[#This Row],[Servings]]</f>
        <v>674.52</v>
      </c>
      <c r="CR154" s="2">
        <f>Table834[[#This Row],[Waist]]*Table834[[#This Row],[Water]]</f>
        <v>0</v>
      </c>
      <c r="CS154" s="2">
        <f>Table834[[#This Row],[Waist]]*Table834[[#This Row],[Fat Calories]]</f>
        <v>22284.899999999998</v>
      </c>
    </row>
    <row r="155" spans="1:97" x14ac:dyDescent="0.25">
      <c r="A155" s="2">
        <v>251.4</v>
      </c>
      <c r="B155" s="2">
        <f>Table834[[#This Row],[Weight]]^2</f>
        <v>63201.960000000006</v>
      </c>
      <c r="C155" s="2">
        <v>44</v>
      </c>
      <c r="D155" s="2">
        <f>Table834[[#This Row],[Waist]]^2</f>
        <v>1936</v>
      </c>
      <c r="E155" s="2">
        <v>16.5</v>
      </c>
      <c r="F155" s="2">
        <f>Table834[[#This Row],[Neck]]^2</f>
        <v>272.25</v>
      </c>
      <c r="G155" s="2">
        <v>95.3</v>
      </c>
      <c r="H155" s="2">
        <f>Table834[[#This Row],[Morning Body Temp]]^2</f>
        <v>9082.09</v>
      </c>
      <c r="I155" s="2">
        <v>122</v>
      </c>
      <c r="J155" s="2">
        <f>Table834[[#This Row],[Morning Systolic Pressure]]^2</f>
        <v>14884</v>
      </c>
      <c r="K155" s="2">
        <v>72</v>
      </c>
      <c r="L155" s="2">
        <f>Table834[[#This Row],[Morning Diastolic Pressure]]^2</f>
        <v>5184</v>
      </c>
      <c r="M155" s="2">
        <v>66</v>
      </c>
      <c r="N155" s="2">
        <f>Table834[[#This Row],[Morning Pulse]]^2</f>
        <v>4356</v>
      </c>
      <c r="O155" s="2">
        <v>97.6</v>
      </c>
      <c r="P155" s="2">
        <f>Table834[[#This Row],[Night Body Temp]]^2</f>
        <v>9525.7599999999984</v>
      </c>
      <c r="Q155" s="2">
        <v>133</v>
      </c>
      <c r="R155" s="2">
        <f>Table834[[#This Row],[Night Systolic Pressure]]^2</f>
        <v>17689</v>
      </c>
      <c r="S155" s="2">
        <v>77</v>
      </c>
      <c r="T155" s="2">
        <f>Table834[[#This Row],[Night Diastolic Pressure]]^2</f>
        <v>5929</v>
      </c>
      <c r="U155" s="2">
        <v>86</v>
      </c>
      <c r="V155" s="2">
        <f>Table834[[#This Row],[Night Pulse]]^2</f>
        <v>7396</v>
      </c>
      <c r="W155" s="2">
        <v>12</v>
      </c>
      <c r="X155" s="2">
        <f>Table834[[#This Row],[Sleep]]^2</f>
        <v>144</v>
      </c>
      <c r="Y155" s="2">
        <f t="shared" si="5"/>
        <v>36.068204081632651</v>
      </c>
      <c r="Z155" s="2">
        <f>Table834[[#This Row],[BMI]]^2</f>
        <v>1300.9153456743022</v>
      </c>
      <c r="AA155" s="2">
        <f t="shared" si="4"/>
        <v>31.324493175702337</v>
      </c>
      <c r="AB155" s="2">
        <f>Table834[[#This Row],[CBF]]^2</f>
        <v>981.2238727146223</v>
      </c>
      <c r="AC155" s="2">
        <v>0</v>
      </c>
      <c r="AD155" s="2">
        <f>Table834[[#This Row],[Gym]]^2</f>
        <v>0</v>
      </c>
      <c r="AE155" s="2">
        <v>0</v>
      </c>
      <c r="AF155" s="2">
        <f>Table834[[#This Row],[Cardio]]^2</f>
        <v>0</v>
      </c>
      <c r="AG155" s="2">
        <v>1219.3699999999999</v>
      </c>
      <c r="AH155" s="2">
        <f>Table834[[#This Row],[Calories]]^2</f>
        <v>1486863.1968999996</v>
      </c>
      <c r="AI155" s="2">
        <v>127.9124074074074</v>
      </c>
      <c r="AJ155" s="2">
        <f>Table834[[#This Row],[Carbs]]^2</f>
        <v>16361.583968758572</v>
      </c>
      <c r="AK155" s="2">
        <v>54.449444444444445</v>
      </c>
      <c r="AL155" s="2">
        <f>Table834[[#This Row],[Fat ]]^2</f>
        <v>2964.7420003086422</v>
      </c>
      <c r="AM155" s="2">
        <v>60.013148148148147</v>
      </c>
      <c r="AN155" s="2">
        <f>Table834[[#This Row],[Protein]]^2</f>
        <v>3601.5779506515773</v>
      </c>
      <c r="AO155" s="2">
        <v>6.4824074074074067</v>
      </c>
      <c r="AP155" s="2">
        <f>Table834[[#This Row],[Fiber]]^2</f>
        <v>42.021605795610419</v>
      </c>
      <c r="AQ155" s="2">
        <v>67.68416666666667</v>
      </c>
      <c r="AR155" s="2">
        <f>Table834[[#This Row],[Sugar]]^2</f>
        <v>4581.1464173611112</v>
      </c>
      <c r="AS155" s="2">
        <v>5</v>
      </c>
      <c r="AT155" s="2">
        <f>Table834[[#This Row],[Servings]]^2</f>
        <v>25</v>
      </c>
      <c r="AU155" s="2">
        <v>0.5</v>
      </c>
      <c r="AV155" s="2">
        <f>Table834[[#This Row],[Water]]^2</f>
        <v>0.25</v>
      </c>
      <c r="AW155" s="2">
        <v>490.04500000000002</v>
      </c>
      <c r="AX155" s="2">
        <f>Table834[[#This Row],[Fat Calories]]^2</f>
        <v>240144.10202500003</v>
      </c>
      <c r="AY155" s="5">
        <f>Table834[[#This Row],[Weight]]*Table834[[#This Row],[Waist]]</f>
        <v>11061.6</v>
      </c>
      <c r="AZ155" s="6">
        <f>Table834[[#This Row],[Weight]]*Table834[[#This Row],[Neck]]</f>
        <v>4148.1000000000004</v>
      </c>
      <c r="BA155" s="6">
        <f>Table834[[#This Row],[Weight]]*Table834[[#This Row],[Morning Body Temp]]</f>
        <v>23958.42</v>
      </c>
      <c r="BB155" s="6">
        <f>Table834[[#This Row],[Weight]]*Table834[[#This Row],[Morning Systolic Pressure]]</f>
        <v>30670.799999999999</v>
      </c>
      <c r="BC155" s="12">
        <f>Table834[[#This Row],[Weight]]*Table834[[#This Row],[Morning Diastolic Pressure]]</f>
        <v>18100.8</v>
      </c>
      <c r="BD155" s="2">
        <f>Table834[[#This Row],[Weight]]*Table834[[#This Row],[Morning Pulse]]</f>
        <v>16592.400000000001</v>
      </c>
      <c r="BE155" s="2">
        <f>Table834[[#This Row],[Weight]]*Table834[[#This Row],[Night Body Temp]]</f>
        <v>24536.639999999999</v>
      </c>
      <c r="BF155" s="2">
        <f>Table834[[#This Row],[Weight]]*Table834[[#This Row],[Night Systolic Pressure]]</f>
        <v>33436.200000000004</v>
      </c>
      <c r="BG155" s="4">
        <f>Table83[[#This Row],[Weight]]*Table83[[#This Row],[Night Diastolic Pressure]]</f>
        <v>19357.8</v>
      </c>
      <c r="BH155" s="2">
        <f>Table834[[#This Row],[Weight]]*Table834[[#This Row],[Night Pulse]]</f>
        <v>21620.400000000001</v>
      </c>
      <c r="BI155" s="2">
        <f>Table834[[#This Row],[Weight]]*Table834[[#This Row],[Sleep]]</f>
        <v>3016.8</v>
      </c>
      <c r="BJ155" s="2">
        <f>Table834[[#This Row],[Weight]]*Table834[[#This Row],[BMI]]</f>
        <v>9067.5465061224477</v>
      </c>
      <c r="BK155" s="2">
        <f>Table834[[#This Row],[Weight]]*Table834[[#This Row],[CBF]]</f>
        <v>7874.9775843715679</v>
      </c>
      <c r="BL155" s="2">
        <f>Table834[[#This Row],[Weight]]*Table834[[#This Row],[Gym]]</f>
        <v>0</v>
      </c>
      <c r="BM155" s="2">
        <f>Table834[[#This Row],[Weight]]*Table834[[#This Row],[Cardio]]</f>
        <v>0</v>
      </c>
      <c r="BN155" s="2">
        <f>Table834[[#This Row],[Weight]]*Table834[[#This Row],[Calories]]</f>
        <v>306549.61799999996</v>
      </c>
      <c r="BO155" s="2">
        <f>Table834[[#This Row],[Weight]]*Table834[[#This Row],[Carbs]]</f>
        <v>32157.179222222221</v>
      </c>
      <c r="BP155" s="2">
        <f>Table834[[#This Row],[Weight]]*Table834[[#This Row],[Fat ]]</f>
        <v>13688.590333333334</v>
      </c>
      <c r="BQ155" s="2">
        <f>Table834[[#This Row],[Weight]]*Table834[[#This Row],[Protein]]</f>
        <v>15087.305444444444</v>
      </c>
      <c r="BR155" s="2">
        <f>Table834[[#This Row],[Weight]]*Table834[[#This Row],[Fiber]]</f>
        <v>1629.6772222222221</v>
      </c>
      <c r="BS155" s="2">
        <f>Table834[[#This Row],[Weight]]*Table834[[#This Row],[Sugar]]</f>
        <v>17015.799500000001</v>
      </c>
      <c r="BT155" s="2">
        <f>Table834[[#This Row],[Weight]]*Table834[[#This Row],[Servings]]</f>
        <v>1257</v>
      </c>
      <c r="BU155" s="2">
        <f>Table834[[#This Row],[Weight]]*Table834[[#This Row],[Water]]</f>
        <v>125.7</v>
      </c>
      <c r="BV155" s="2">
        <f>Table834[[#This Row],[Weight]]*Table834[[#This Row],[Fat Calories]]</f>
        <v>123197.31300000001</v>
      </c>
      <c r="BW155" s="2">
        <f>Table834[[#This Row],[Waist]]*Table834[[#This Row],[Neck]]</f>
        <v>726</v>
      </c>
      <c r="BX155" s="2">
        <f>Table834[[#This Row],[Waist]]*Table834[[#This Row],[Morning Body Temp]]</f>
        <v>4193.2</v>
      </c>
      <c r="BY155" s="2">
        <f>Table834[[#This Row],[Waist]]*Table834[[#This Row],[Morning Systolic Pressure]]</f>
        <v>5368</v>
      </c>
      <c r="BZ155" s="2">
        <f>Table834[[#This Row],[Waist]]*Table834[[#This Row],[Morning Diastolic Pressure]]</f>
        <v>3168</v>
      </c>
      <c r="CA155" s="2">
        <f>Table834[[#This Row],[Waist]]*Table834[[#This Row],[Morning Pulse]]</f>
        <v>2904</v>
      </c>
      <c r="CB155" s="2">
        <f>Table834[[#This Row],[Waist]]*Table834[[#This Row],[Night Body Temp]]</f>
        <v>4294.3999999999996</v>
      </c>
      <c r="CC155" s="2">
        <f>Table834[[#This Row],[Waist]]*Table834[[#This Row],[Night Systolic Pressure]]</f>
        <v>5852</v>
      </c>
      <c r="CD155" s="4">
        <f>Table83[[#This Row],[Waist]]*Table83[[#This Row],[Night Diastolic Pressure]]</f>
        <v>3388</v>
      </c>
      <c r="CE155" s="2">
        <f>Table834[[#This Row],[Waist]]*Table834[[#This Row],[Night Pulse]]</f>
        <v>3784</v>
      </c>
      <c r="CF155" s="2">
        <f>Table834[[#This Row],[Waist]]*Table834[[#This Row],[Sleep]]</f>
        <v>528</v>
      </c>
      <c r="CG155" s="2">
        <f>Table834[[#This Row],[Waist]]*Table834[[#This Row],[BMI]]</f>
        <v>1587.0009795918365</v>
      </c>
      <c r="CH155" s="2">
        <f>Table834[[#This Row],[Waist]]*Table834[[#This Row],[CBF]]</f>
        <v>1378.2776997309029</v>
      </c>
      <c r="CI155" s="2">
        <f>Table834[[#This Row],[Waist]]*Table834[[#This Row],[Gym]]</f>
        <v>0</v>
      </c>
      <c r="CJ155" s="2">
        <f>Table834[[#This Row],[Waist]]*Table834[[#This Row],[Cardio]]</f>
        <v>0</v>
      </c>
      <c r="CK155" s="2">
        <f>Table834[[#This Row],[Waist]]*Table834[[#This Row],[Calories]]</f>
        <v>53652.28</v>
      </c>
      <c r="CL155" s="2">
        <f>Table834[[#This Row],[Waist]]*Table834[[#This Row],[Carbs]]</f>
        <v>5628.1459259259254</v>
      </c>
      <c r="CM155" s="2">
        <f>Table834[[#This Row],[Waist]]*Table834[[#This Row],[Fat ]]</f>
        <v>2395.7755555555555</v>
      </c>
      <c r="CN155" s="2">
        <f>Table834[[#This Row],[Waist]]*Table834[[#This Row],[Protein]]</f>
        <v>2640.5785185185186</v>
      </c>
      <c r="CO155" s="2">
        <f>Table834[[#This Row],[Waist]]*Table834[[#This Row],[Fiber]]</f>
        <v>285.22592592592588</v>
      </c>
      <c r="CP155" s="2">
        <f>Table834[[#This Row],[Waist]]*Table834[[#This Row],[Sugar]]</f>
        <v>2978.1033333333335</v>
      </c>
      <c r="CQ155" s="2">
        <f>Table834[[#This Row],[Waist]]*Table834[[#This Row],[Servings]]</f>
        <v>220</v>
      </c>
      <c r="CR155" s="2">
        <f>Table834[[#This Row],[Waist]]*Table834[[#This Row],[Water]]</f>
        <v>22</v>
      </c>
      <c r="CS155" s="2">
        <f>Table834[[#This Row],[Waist]]*Table834[[#This Row],[Fat Calories]]</f>
        <v>21561.98</v>
      </c>
    </row>
    <row r="156" spans="1:97" x14ac:dyDescent="0.25">
      <c r="A156" s="2">
        <v>249.2</v>
      </c>
      <c r="B156" s="2">
        <f>Table834[[#This Row],[Weight]]^2</f>
        <v>62100.639999999992</v>
      </c>
      <c r="C156" s="2">
        <v>44</v>
      </c>
      <c r="D156" s="2">
        <f>Table834[[#This Row],[Waist]]^2</f>
        <v>1936</v>
      </c>
      <c r="E156" s="2">
        <v>16.5</v>
      </c>
      <c r="F156" s="2">
        <f>Table834[[#This Row],[Neck]]^2</f>
        <v>272.25</v>
      </c>
      <c r="G156" s="2">
        <v>95.8</v>
      </c>
      <c r="H156" s="2">
        <f>Table834[[#This Row],[Morning Body Temp]]^2</f>
        <v>9177.64</v>
      </c>
      <c r="I156" s="2">
        <v>123</v>
      </c>
      <c r="J156" s="2">
        <f>Table834[[#This Row],[Morning Systolic Pressure]]^2</f>
        <v>15129</v>
      </c>
      <c r="K156" s="2">
        <v>77</v>
      </c>
      <c r="L156" s="2">
        <f>Table834[[#This Row],[Morning Diastolic Pressure]]^2</f>
        <v>5929</v>
      </c>
      <c r="M156" s="2">
        <v>85</v>
      </c>
      <c r="N156" s="2">
        <f>Table834[[#This Row],[Morning Pulse]]^2</f>
        <v>7225</v>
      </c>
      <c r="O156" s="2">
        <v>97.1</v>
      </c>
      <c r="P156" s="2">
        <f>Table834[[#This Row],[Night Body Temp]]^2</f>
        <v>9428.409999999998</v>
      </c>
      <c r="Q156" s="2">
        <v>117</v>
      </c>
      <c r="R156" s="2">
        <f>Table834[[#This Row],[Night Systolic Pressure]]^2</f>
        <v>13689</v>
      </c>
      <c r="S156" s="2">
        <v>68</v>
      </c>
      <c r="T156" s="2">
        <f>Table834[[#This Row],[Night Diastolic Pressure]]^2</f>
        <v>4624</v>
      </c>
      <c r="U156" s="2">
        <v>66</v>
      </c>
      <c r="V156" s="2">
        <f>Table834[[#This Row],[Night Pulse]]^2</f>
        <v>4356</v>
      </c>
      <c r="W156" s="2">
        <v>14</v>
      </c>
      <c r="X156" s="2">
        <f>Table834[[#This Row],[Sleep]]^2</f>
        <v>196</v>
      </c>
      <c r="Y156" s="2">
        <f t="shared" si="5"/>
        <v>35.752571428571429</v>
      </c>
      <c r="Z156" s="2">
        <f>Table834[[#This Row],[BMI]]^2</f>
        <v>1278.246363755102</v>
      </c>
      <c r="AA156" s="2">
        <f t="shared" si="4"/>
        <v>31.324493175702337</v>
      </c>
      <c r="AB156" s="2">
        <f>Table834[[#This Row],[CBF]]^2</f>
        <v>981.2238727146223</v>
      </c>
      <c r="AC156" s="2">
        <v>0</v>
      </c>
      <c r="AD156" s="2">
        <f>Table834[[#This Row],[Gym]]^2</f>
        <v>0</v>
      </c>
      <c r="AE156" s="2">
        <v>0</v>
      </c>
      <c r="AF156" s="2">
        <f>Table834[[#This Row],[Cardio]]^2</f>
        <v>0</v>
      </c>
      <c r="AG156" s="2">
        <v>2270.0566666666668</v>
      </c>
      <c r="AH156" s="2">
        <f>Table834[[#This Row],[Calories]]^2</f>
        <v>5153157.2698777784</v>
      </c>
      <c r="AI156" s="2">
        <v>329.8830740740741</v>
      </c>
      <c r="AJ156" s="2">
        <f>Table834[[#This Row],[Carbs]]^2</f>
        <v>108822.84256056107</v>
      </c>
      <c r="AK156" s="2">
        <v>57.797444444444444</v>
      </c>
      <c r="AL156" s="2">
        <f>Table834[[#This Row],[Fat ]]^2</f>
        <v>3340.5445843086418</v>
      </c>
      <c r="AM156" s="2">
        <v>108.97481481481483</v>
      </c>
      <c r="AN156" s="2">
        <f>Table834[[#This Row],[Protein]]^2</f>
        <v>11875.510263923186</v>
      </c>
      <c r="AO156" s="2">
        <v>44.937407407407406</v>
      </c>
      <c r="AP156" s="2">
        <f>Table834[[#This Row],[Fiber]]^2</f>
        <v>2019.370584499314</v>
      </c>
      <c r="AQ156" s="2">
        <v>207.9385</v>
      </c>
      <c r="AR156" s="2">
        <f>Table834[[#This Row],[Sugar]]^2</f>
        <v>43238.419782249999</v>
      </c>
      <c r="AS156" s="2">
        <v>73.42</v>
      </c>
      <c r="AT156" s="2">
        <f>Table834[[#This Row],[Servings]]^2</f>
        <v>5390.4964</v>
      </c>
      <c r="AU156" s="2">
        <v>0.5</v>
      </c>
      <c r="AV156" s="2">
        <f>Table834[[#This Row],[Water]]^2</f>
        <v>0.25</v>
      </c>
      <c r="AW156" s="2">
        <v>520.17699999999991</v>
      </c>
      <c r="AX156" s="2">
        <f>Table834[[#This Row],[Fat Calories]]^2</f>
        <v>270584.11132899992</v>
      </c>
      <c r="AY156" s="3">
        <f>Table834[[#This Row],[Weight]]*Table834[[#This Row],[Waist]]</f>
        <v>10964.8</v>
      </c>
      <c r="AZ156" s="4">
        <f>Table834[[#This Row],[Weight]]*Table834[[#This Row],[Neck]]</f>
        <v>4111.8</v>
      </c>
      <c r="BA156" s="4">
        <f>Table834[[#This Row],[Weight]]*Table834[[#This Row],[Morning Body Temp]]</f>
        <v>23873.359999999997</v>
      </c>
      <c r="BB156" s="4">
        <f>Table834[[#This Row],[Weight]]*Table834[[#This Row],[Morning Systolic Pressure]]</f>
        <v>30651.599999999999</v>
      </c>
      <c r="BC156" s="11">
        <f>Table834[[#This Row],[Weight]]*Table834[[#This Row],[Morning Diastolic Pressure]]</f>
        <v>19188.399999999998</v>
      </c>
      <c r="BD156" s="2">
        <f>Table834[[#This Row],[Weight]]*Table834[[#This Row],[Morning Pulse]]</f>
        <v>21182</v>
      </c>
      <c r="BE156" s="2">
        <f>Table834[[#This Row],[Weight]]*Table834[[#This Row],[Night Body Temp]]</f>
        <v>24197.319999999996</v>
      </c>
      <c r="BF156" s="2">
        <f>Table834[[#This Row],[Weight]]*Table834[[#This Row],[Night Systolic Pressure]]</f>
        <v>29156.399999999998</v>
      </c>
      <c r="BG156" s="4">
        <f>Table83[[#This Row],[Weight]]*Table83[[#This Row],[Night Diastolic Pressure]]</f>
        <v>16945.599999999999</v>
      </c>
      <c r="BH156" s="2">
        <f>Table834[[#This Row],[Weight]]*Table834[[#This Row],[Night Pulse]]</f>
        <v>16447.2</v>
      </c>
      <c r="BI156" s="2">
        <f>Table834[[#This Row],[Weight]]*Table834[[#This Row],[Sleep]]</f>
        <v>3488.7999999999997</v>
      </c>
      <c r="BJ156" s="2">
        <f>Table834[[#This Row],[Weight]]*Table834[[#This Row],[BMI]]</f>
        <v>8909.5407999999989</v>
      </c>
      <c r="BK156" s="2">
        <f>Table834[[#This Row],[Weight]]*Table834[[#This Row],[CBF]]</f>
        <v>7806.0636993850221</v>
      </c>
      <c r="BL156" s="2">
        <f>Table834[[#This Row],[Weight]]*Table834[[#This Row],[Gym]]</f>
        <v>0</v>
      </c>
      <c r="BM156" s="2">
        <f>Table834[[#This Row],[Weight]]*Table834[[#This Row],[Cardio]]</f>
        <v>0</v>
      </c>
      <c r="BN156" s="2">
        <f>Table834[[#This Row],[Weight]]*Table834[[#This Row],[Calories]]</f>
        <v>565698.12133333331</v>
      </c>
      <c r="BO156" s="2">
        <f>Table834[[#This Row],[Weight]]*Table834[[#This Row],[Carbs]]</f>
        <v>82206.862059259263</v>
      </c>
      <c r="BP156" s="2">
        <f>Table834[[#This Row],[Weight]]*Table834[[#This Row],[Fat ]]</f>
        <v>14403.123155555555</v>
      </c>
      <c r="BQ156" s="2">
        <f>Table834[[#This Row],[Weight]]*Table834[[#This Row],[Protein]]</f>
        <v>27156.523851851856</v>
      </c>
      <c r="BR156" s="2">
        <f>Table834[[#This Row],[Weight]]*Table834[[#This Row],[Fiber]]</f>
        <v>11198.401925925926</v>
      </c>
      <c r="BS156" s="2">
        <f>Table834[[#This Row],[Weight]]*Table834[[#This Row],[Sugar]]</f>
        <v>51818.2742</v>
      </c>
      <c r="BT156" s="2">
        <f>Table834[[#This Row],[Weight]]*Table834[[#This Row],[Servings]]</f>
        <v>18296.263999999999</v>
      </c>
      <c r="BU156" s="2">
        <f>Table834[[#This Row],[Weight]]*Table834[[#This Row],[Water]]</f>
        <v>124.6</v>
      </c>
      <c r="BV156" s="2">
        <f>Table834[[#This Row],[Weight]]*Table834[[#This Row],[Fat Calories]]</f>
        <v>129628.10839999997</v>
      </c>
      <c r="BW156" s="2">
        <f>Table834[[#This Row],[Waist]]*Table834[[#This Row],[Neck]]</f>
        <v>726</v>
      </c>
      <c r="BX156" s="2">
        <f>Table834[[#This Row],[Waist]]*Table834[[#This Row],[Morning Body Temp]]</f>
        <v>4215.2</v>
      </c>
      <c r="BY156" s="2">
        <f>Table834[[#This Row],[Waist]]*Table834[[#This Row],[Morning Systolic Pressure]]</f>
        <v>5412</v>
      </c>
      <c r="BZ156" s="2">
        <f>Table834[[#This Row],[Waist]]*Table834[[#This Row],[Morning Diastolic Pressure]]</f>
        <v>3388</v>
      </c>
      <c r="CA156" s="2">
        <f>Table834[[#This Row],[Waist]]*Table834[[#This Row],[Morning Pulse]]</f>
        <v>3740</v>
      </c>
      <c r="CB156" s="2">
        <f>Table834[[#This Row],[Waist]]*Table834[[#This Row],[Night Body Temp]]</f>
        <v>4272.3999999999996</v>
      </c>
      <c r="CC156" s="2">
        <f>Table834[[#This Row],[Waist]]*Table834[[#This Row],[Night Systolic Pressure]]</f>
        <v>5148</v>
      </c>
      <c r="CD156" s="4">
        <f>Table83[[#This Row],[Waist]]*Table83[[#This Row],[Night Diastolic Pressure]]</f>
        <v>2992</v>
      </c>
      <c r="CE156" s="2">
        <f>Table834[[#This Row],[Waist]]*Table834[[#This Row],[Night Pulse]]</f>
        <v>2904</v>
      </c>
      <c r="CF156" s="2">
        <f>Table834[[#This Row],[Waist]]*Table834[[#This Row],[Sleep]]</f>
        <v>616</v>
      </c>
      <c r="CG156" s="2">
        <f>Table834[[#This Row],[Waist]]*Table834[[#This Row],[BMI]]</f>
        <v>1573.113142857143</v>
      </c>
      <c r="CH156" s="2">
        <f>Table834[[#This Row],[Waist]]*Table834[[#This Row],[CBF]]</f>
        <v>1378.2776997309029</v>
      </c>
      <c r="CI156" s="2">
        <f>Table834[[#This Row],[Waist]]*Table834[[#This Row],[Gym]]</f>
        <v>0</v>
      </c>
      <c r="CJ156" s="2">
        <f>Table834[[#This Row],[Waist]]*Table834[[#This Row],[Cardio]]</f>
        <v>0</v>
      </c>
      <c r="CK156" s="2">
        <f>Table834[[#This Row],[Waist]]*Table834[[#This Row],[Calories]]</f>
        <v>99882.493333333347</v>
      </c>
      <c r="CL156" s="2">
        <f>Table834[[#This Row],[Waist]]*Table834[[#This Row],[Carbs]]</f>
        <v>14514.85525925926</v>
      </c>
      <c r="CM156" s="2">
        <f>Table834[[#This Row],[Waist]]*Table834[[#This Row],[Fat ]]</f>
        <v>2543.0875555555554</v>
      </c>
      <c r="CN156" s="2">
        <f>Table834[[#This Row],[Waist]]*Table834[[#This Row],[Protein]]</f>
        <v>4794.8918518518531</v>
      </c>
      <c r="CO156" s="2">
        <f>Table834[[#This Row],[Waist]]*Table834[[#This Row],[Fiber]]</f>
        <v>1977.2459259259258</v>
      </c>
      <c r="CP156" s="2">
        <f>Table834[[#This Row],[Waist]]*Table834[[#This Row],[Sugar]]</f>
        <v>9149.2939999999999</v>
      </c>
      <c r="CQ156" s="2">
        <f>Table834[[#This Row],[Waist]]*Table834[[#This Row],[Servings]]</f>
        <v>3230.48</v>
      </c>
      <c r="CR156" s="2">
        <f>Table834[[#This Row],[Waist]]*Table834[[#This Row],[Water]]</f>
        <v>22</v>
      </c>
      <c r="CS156" s="2">
        <f>Table834[[#This Row],[Waist]]*Table834[[#This Row],[Fat Calories]]</f>
        <v>22887.787999999997</v>
      </c>
    </row>
    <row r="157" spans="1:97" x14ac:dyDescent="0.25">
      <c r="A157" s="2">
        <v>252.8</v>
      </c>
      <c r="B157" s="2">
        <f>Table834[[#This Row],[Weight]]^2</f>
        <v>63907.840000000004</v>
      </c>
      <c r="C157" s="2">
        <v>44</v>
      </c>
      <c r="D157" s="2">
        <f>Table834[[#This Row],[Waist]]^2</f>
        <v>1936</v>
      </c>
      <c r="E157" s="2">
        <v>16.5</v>
      </c>
      <c r="F157" s="2">
        <f>Table834[[#This Row],[Neck]]^2</f>
        <v>272.25</v>
      </c>
      <c r="G157" s="2">
        <v>96.9</v>
      </c>
      <c r="H157" s="2">
        <f>Table834[[#This Row],[Morning Body Temp]]^2</f>
        <v>9389.61</v>
      </c>
      <c r="I157" s="2">
        <v>124</v>
      </c>
      <c r="J157" s="2">
        <f>Table834[[#This Row],[Morning Systolic Pressure]]^2</f>
        <v>15376</v>
      </c>
      <c r="K157" s="2">
        <v>78</v>
      </c>
      <c r="L157" s="2">
        <f>Table834[[#This Row],[Morning Diastolic Pressure]]^2</f>
        <v>6084</v>
      </c>
      <c r="M157" s="2">
        <v>77</v>
      </c>
      <c r="N157" s="2">
        <f>Table834[[#This Row],[Morning Pulse]]^2</f>
        <v>5929</v>
      </c>
      <c r="O157" s="2">
        <v>96.9</v>
      </c>
      <c r="P157" s="2">
        <f>Table834[[#This Row],[Night Body Temp]]^2</f>
        <v>9389.61</v>
      </c>
      <c r="Q157" s="2">
        <v>116</v>
      </c>
      <c r="R157" s="2">
        <f>Table834[[#This Row],[Night Systolic Pressure]]^2</f>
        <v>13456</v>
      </c>
      <c r="S157" s="2">
        <v>68</v>
      </c>
      <c r="T157" s="2">
        <f>Table834[[#This Row],[Night Diastolic Pressure]]^2</f>
        <v>4624</v>
      </c>
      <c r="U157" s="2">
        <v>66</v>
      </c>
      <c r="V157" s="2">
        <f>Table834[[#This Row],[Night Pulse]]^2</f>
        <v>4356</v>
      </c>
      <c r="W157" s="2">
        <v>8</v>
      </c>
      <c r="X157" s="2">
        <f>Table834[[#This Row],[Sleep]]^2</f>
        <v>64</v>
      </c>
      <c r="Y157" s="2">
        <f t="shared" si="5"/>
        <v>36.269061224489796</v>
      </c>
      <c r="Z157" s="2">
        <f>Table834[[#This Row],[BMI]]^2</f>
        <v>1315.4448021057892</v>
      </c>
      <c r="AA157" s="2">
        <f t="shared" si="4"/>
        <v>31.324493175702337</v>
      </c>
      <c r="AB157" s="2">
        <f>Table834[[#This Row],[CBF]]^2</f>
        <v>981.2238727146223</v>
      </c>
      <c r="AC157" s="2">
        <v>0</v>
      </c>
      <c r="AD157" s="2">
        <f>Table834[[#This Row],[Gym]]^2</f>
        <v>0</v>
      </c>
      <c r="AE157" s="2">
        <v>0</v>
      </c>
      <c r="AF157" s="2">
        <f>Table834[[#This Row],[Cardio]]^2</f>
        <v>0</v>
      </c>
      <c r="AG157" s="2">
        <v>2812.5150000000003</v>
      </c>
      <c r="AH157" s="2">
        <f>Table834[[#This Row],[Calories]]^2</f>
        <v>7910240.6252250019</v>
      </c>
      <c r="AI157" s="2">
        <v>441.84981481481475</v>
      </c>
      <c r="AJ157" s="2">
        <f>Table834[[#This Row],[Carbs]]^2</f>
        <v>195231.25885188609</v>
      </c>
      <c r="AK157" s="2">
        <v>74.048888888888882</v>
      </c>
      <c r="AL157" s="2">
        <f>Table834[[#This Row],[Fat ]]^2</f>
        <v>5483.2379456790113</v>
      </c>
      <c r="AM157" s="2">
        <v>109.3012962962963</v>
      </c>
      <c r="AN157" s="2">
        <f>Table834[[#This Row],[Protein]]^2</f>
        <v>11946.773372050755</v>
      </c>
      <c r="AO157" s="2">
        <v>14.939814814814813</v>
      </c>
      <c r="AP157" s="2">
        <f>Table834[[#This Row],[Fiber]]^2</f>
        <v>223.19806670096017</v>
      </c>
      <c r="AQ157" s="2">
        <v>345.24333333333334</v>
      </c>
      <c r="AR157" s="2">
        <f>Table834[[#This Row],[Sugar]]^2</f>
        <v>119192.95921111111</v>
      </c>
      <c r="AS157" s="2">
        <v>106</v>
      </c>
      <c r="AT157" s="2">
        <f>Table834[[#This Row],[Servings]]^2</f>
        <v>11236</v>
      </c>
      <c r="AU157" s="2">
        <v>0</v>
      </c>
      <c r="AV157" s="2">
        <f>Table834[[#This Row],[Water]]^2</f>
        <v>0</v>
      </c>
      <c r="AW157" s="2">
        <v>666.44</v>
      </c>
      <c r="AX157" s="2">
        <f>Table834[[#This Row],[Fat Calories]]^2</f>
        <v>444142.27360000007</v>
      </c>
      <c r="AY157" s="5">
        <f>Table834[[#This Row],[Weight]]*Table834[[#This Row],[Waist]]</f>
        <v>11123.2</v>
      </c>
      <c r="AZ157" s="6">
        <f>Table834[[#This Row],[Weight]]*Table834[[#This Row],[Neck]]</f>
        <v>4171.2</v>
      </c>
      <c r="BA157" s="6">
        <f>Table834[[#This Row],[Weight]]*Table834[[#This Row],[Morning Body Temp]]</f>
        <v>24496.320000000003</v>
      </c>
      <c r="BB157" s="6">
        <f>Table834[[#This Row],[Weight]]*Table834[[#This Row],[Morning Systolic Pressure]]</f>
        <v>31347.200000000001</v>
      </c>
      <c r="BC157" s="12">
        <f>Table834[[#This Row],[Weight]]*Table834[[#This Row],[Morning Diastolic Pressure]]</f>
        <v>19718.400000000001</v>
      </c>
      <c r="BD157" s="2">
        <f>Table834[[#This Row],[Weight]]*Table834[[#This Row],[Morning Pulse]]</f>
        <v>19465.600000000002</v>
      </c>
      <c r="BE157" s="2">
        <f>Table834[[#This Row],[Weight]]*Table834[[#This Row],[Night Body Temp]]</f>
        <v>24496.320000000003</v>
      </c>
      <c r="BF157" s="2">
        <f>Table834[[#This Row],[Weight]]*Table834[[#This Row],[Night Systolic Pressure]]</f>
        <v>29324.800000000003</v>
      </c>
      <c r="BG157" s="4">
        <f>Table83[[#This Row],[Weight]]*Table83[[#This Row],[Night Diastolic Pressure]]</f>
        <v>17190.400000000001</v>
      </c>
      <c r="BH157" s="2">
        <f>Table834[[#This Row],[Weight]]*Table834[[#This Row],[Night Pulse]]</f>
        <v>16684.8</v>
      </c>
      <c r="BI157" s="2">
        <f>Table834[[#This Row],[Weight]]*Table834[[#This Row],[Sleep]]</f>
        <v>2022.4</v>
      </c>
      <c r="BJ157" s="2">
        <f>Table834[[#This Row],[Weight]]*Table834[[#This Row],[BMI]]</f>
        <v>9168.8186775510203</v>
      </c>
      <c r="BK157" s="2">
        <f>Table834[[#This Row],[Weight]]*Table834[[#This Row],[CBF]]</f>
        <v>7918.8318748175507</v>
      </c>
      <c r="BL157" s="2">
        <f>Table834[[#This Row],[Weight]]*Table834[[#This Row],[Gym]]</f>
        <v>0</v>
      </c>
      <c r="BM157" s="2">
        <f>Table834[[#This Row],[Weight]]*Table834[[#This Row],[Cardio]]</f>
        <v>0</v>
      </c>
      <c r="BN157" s="2">
        <f>Table834[[#This Row],[Weight]]*Table834[[#This Row],[Calories]]</f>
        <v>711003.79200000013</v>
      </c>
      <c r="BO157" s="2">
        <f>Table834[[#This Row],[Weight]]*Table834[[#This Row],[Carbs]]</f>
        <v>111699.63318518517</v>
      </c>
      <c r="BP157" s="2">
        <f>Table834[[#This Row],[Weight]]*Table834[[#This Row],[Fat ]]</f>
        <v>18719.55911111111</v>
      </c>
      <c r="BQ157" s="2">
        <f>Table834[[#This Row],[Weight]]*Table834[[#This Row],[Protein]]</f>
        <v>27631.367703703705</v>
      </c>
      <c r="BR157" s="2">
        <f>Table834[[#This Row],[Weight]]*Table834[[#This Row],[Fiber]]</f>
        <v>3776.7851851851851</v>
      </c>
      <c r="BS157" s="2">
        <f>Table834[[#This Row],[Weight]]*Table834[[#This Row],[Sugar]]</f>
        <v>87277.51466666667</v>
      </c>
      <c r="BT157" s="2">
        <f>Table834[[#This Row],[Weight]]*Table834[[#This Row],[Servings]]</f>
        <v>26796.800000000003</v>
      </c>
      <c r="BU157" s="2">
        <f>Table834[[#This Row],[Weight]]*Table834[[#This Row],[Water]]</f>
        <v>0</v>
      </c>
      <c r="BV157" s="2">
        <f>Table834[[#This Row],[Weight]]*Table834[[#This Row],[Fat Calories]]</f>
        <v>168476.03200000004</v>
      </c>
      <c r="BW157" s="2">
        <f>Table834[[#This Row],[Waist]]*Table834[[#This Row],[Neck]]</f>
        <v>726</v>
      </c>
      <c r="BX157" s="2">
        <f>Table834[[#This Row],[Waist]]*Table834[[#This Row],[Morning Body Temp]]</f>
        <v>4263.6000000000004</v>
      </c>
      <c r="BY157" s="2">
        <f>Table834[[#This Row],[Waist]]*Table834[[#This Row],[Morning Systolic Pressure]]</f>
        <v>5456</v>
      </c>
      <c r="BZ157" s="2">
        <f>Table834[[#This Row],[Waist]]*Table834[[#This Row],[Morning Diastolic Pressure]]</f>
        <v>3432</v>
      </c>
      <c r="CA157" s="2">
        <f>Table834[[#This Row],[Waist]]*Table834[[#This Row],[Morning Pulse]]</f>
        <v>3388</v>
      </c>
      <c r="CB157" s="2">
        <f>Table834[[#This Row],[Waist]]*Table834[[#This Row],[Night Body Temp]]</f>
        <v>4263.6000000000004</v>
      </c>
      <c r="CC157" s="2">
        <f>Table834[[#This Row],[Waist]]*Table834[[#This Row],[Night Systolic Pressure]]</f>
        <v>5104</v>
      </c>
      <c r="CD157" s="4">
        <f>Table83[[#This Row],[Waist]]*Table83[[#This Row],[Night Diastolic Pressure]]</f>
        <v>2992</v>
      </c>
      <c r="CE157" s="2">
        <f>Table834[[#This Row],[Waist]]*Table834[[#This Row],[Night Pulse]]</f>
        <v>2904</v>
      </c>
      <c r="CF157" s="2">
        <f>Table834[[#This Row],[Waist]]*Table834[[#This Row],[Sleep]]</f>
        <v>352</v>
      </c>
      <c r="CG157" s="2">
        <f>Table834[[#This Row],[Waist]]*Table834[[#This Row],[BMI]]</f>
        <v>1595.8386938775511</v>
      </c>
      <c r="CH157" s="2">
        <f>Table834[[#This Row],[Waist]]*Table834[[#This Row],[CBF]]</f>
        <v>1378.2776997309029</v>
      </c>
      <c r="CI157" s="2">
        <f>Table834[[#This Row],[Waist]]*Table834[[#This Row],[Gym]]</f>
        <v>0</v>
      </c>
      <c r="CJ157" s="2">
        <f>Table834[[#This Row],[Waist]]*Table834[[#This Row],[Cardio]]</f>
        <v>0</v>
      </c>
      <c r="CK157" s="2">
        <f>Table834[[#This Row],[Waist]]*Table834[[#This Row],[Calories]]</f>
        <v>123750.66000000002</v>
      </c>
      <c r="CL157" s="2">
        <f>Table834[[#This Row],[Waist]]*Table834[[#This Row],[Carbs]]</f>
        <v>19441.391851851848</v>
      </c>
      <c r="CM157" s="2">
        <f>Table834[[#This Row],[Waist]]*Table834[[#This Row],[Fat ]]</f>
        <v>3258.1511111111108</v>
      </c>
      <c r="CN157" s="2">
        <f>Table834[[#This Row],[Waist]]*Table834[[#This Row],[Protein]]</f>
        <v>4809.2570370370377</v>
      </c>
      <c r="CO157" s="2">
        <f>Table834[[#This Row],[Waist]]*Table834[[#This Row],[Fiber]]</f>
        <v>657.35185185185173</v>
      </c>
      <c r="CP157" s="2">
        <f>Table834[[#This Row],[Waist]]*Table834[[#This Row],[Sugar]]</f>
        <v>15190.706666666667</v>
      </c>
      <c r="CQ157" s="2">
        <f>Table834[[#This Row],[Waist]]*Table834[[#This Row],[Servings]]</f>
        <v>4664</v>
      </c>
      <c r="CR157" s="2">
        <f>Table834[[#This Row],[Waist]]*Table834[[#This Row],[Water]]</f>
        <v>0</v>
      </c>
      <c r="CS157" s="2">
        <f>Table834[[#This Row],[Waist]]*Table834[[#This Row],[Fat Calories]]</f>
        <v>29323.360000000001</v>
      </c>
    </row>
    <row r="158" spans="1:97" x14ac:dyDescent="0.25">
      <c r="A158" s="2">
        <v>253</v>
      </c>
      <c r="B158" s="2">
        <f>Table834[[#This Row],[Weight]]^2</f>
        <v>64009</v>
      </c>
      <c r="C158" s="2">
        <v>44</v>
      </c>
      <c r="D158" s="2">
        <f>Table834[[#This Row],[Waist]]^2</f>
        <v>1936</v>
      </c>
      <c r="E158" s="2">
        <v>16.5</v>
      </c>
      <c r="F158" s="2">
        <f>Table834[[#This Row],[Neck]]^2</f>
        <v>272.25</v>
      </c>
      <c r="G158" s="2">
        <v>97</v>
      </c>
      <c r="H158" s="2">
        <f>Table834[[#This Row],[Morning Body Temp]]^2</f>
        <v>9409</v>
      </c>
      <c r="I158" s="2">
        <v>140</v>
      </c>
      <c r="J158" s="2">
        <f>Table834[[#This Row],[Morning Systolic Pressure]]^2</f>
        <v>19600</v>
      </c>
      <c r="K158" s="2">
        <v>87</v>
      </c>
      <c r="L158" s="2">
        <f>Table834[[#This Row],[Morning Diastolic Pressure]]^2</f>
        <v>7569</v>
      </c>
      <c r="M158" s="2">
        <v>78</v>
      </c>
      <c r="N158" s="2">
        <f>Table834[[#This Row],[Morning Pulse]]^2</f>
        <v>6084</v>
      </c>
      <c r="O158" s="2">
        <v>97.1</v>
      </c>
      <c r="P158" s="2">
        <f>Table834[[#This Row],[Night Body Temp]]^2</f>
        <v>9428.409999999998</v>
      </c>
      <c r="Q158" s="2">
        <v>118</v>
      </c>
      <c r="R158" s="2">
        <f>Table834[[#This Row],[Night Systolic Pressure]]^2</f>
        <v>13924</v>
      </c>
      <c r="S158" s="2">
        <v>67</v>
      </c>
      <c r="T158" s="2">
        <f>Table834[[#This Row],[Night Diastolic Pressure]]^2</f>
        <v>4489</v>
      </c>
      <c r="U158" s="2">
        <v>67</v>
      </c>
      <c r="V158" s="2">
        <f>Table834[[#This Row],[Night Pulse]]^2</f>
        <v>4489</v>
      </c>
      <c r="W158" s="2">
        <v>6</v>
      </c>
      <c r="X158" s="2">
        <f>Table834[[#This Row],[Sleep]]^2</f>
        <v>36</v>
      </c>
      <c r="Y158" s="2">
        <f t="shared" si="5"/>
        <v>36.297755102040817</v>
      </c>
      <c r="Z158" s="2">
        <f>Table834[[#This Row],[BMI]]^2</f>
        <v>1317.5270254477302</v>
      </c>
      <c r="AA158" s="2">
        <f t="shared" si="4"/>
        <v>31.324493175702337</v>
      </c>
      <c r="AB158" s="2">
        <f>Table834[[#This Row],[CBF]]^2</f>
        <v>981.2238727146223</v>
      </c>
      <c r="AC158" s="2">
        <v>0</v>
      </c>
      <c r="AD158" s="2">
        <f>Table834[[#This Row],[Gym]]^2</f>
        <v>0</v>
      </c>
      <c r="AE158" s="2">
        <v>0</v>
      </c>
      <c r="AF158" s="2">
        <f>Table834[[#This Row],[Cardio]]^2</f>
        <v>0</v>
      </c>
      <c r="AG158" s="2">
        <v>7104.37</v>
      </c>
      <c r="AH158" s="2">
        <f>Table834[[#This Row],[Calories]]^2</f>
        <v>50472073.096900001</v>
      </c>
      <c r="AI158" s="2">
        <v>816.91240740740739</v>
      </c>
      <c r="AJ158" s="2">
        <f>Table834[[#This Row],[Carbs]]^2</f>
        <v>667345.8813761659</v>
      </c>
      <c r="AK158" s="2">
        <v>277.44944444444445</v>
      </c>
      <c r="AL158" s="2">
        <f>Table834[[#This Row],[Fat ]]^2</f>
        <v>76978.194222530874</v>
      </c>
      <c r="AM158" s="2">
        <v>221.01314814814816</v>
      </c>
      <c r="AN158" s="2">
        <f>Table834[[#This Row],[Protein]]^2</f>
        <v>48846.81165435529</v>
      </c>
      <c r="AO158" s="2">
        <v>51.982407407407408</v>
      </c>
      <c r="AP158" s="2">
        <f>Table834[[#This Row],[Fiber]]^2</f>
        <v>2702.1706798696846</v>
      </c>
      <c r="AQ158" s="2">
        <v>292.68416666666667</v>
      </c>
      <c r="AR158" s="2">
        <f>Table834[[#This Row],[Sugar]]^2</f>
        <v>85664.021417361117</v>
      </c>
      <c r="AS158" s="2">
        <v>101</v>
      </c>
      <c r="AT158" s="2">
        <f>Table834[[#This Row],[Servings]]^2</f>
        <v>10201</v>
      </c>
      <c r="AU158" s="2">
        <v>0</v>
      </c>
      <c r="AV158" s="2">
        <f>Table834[[#This Row],[Water]]^2</f>
        <v>0</v>
      </c>
      <c r="AW158" s="2">
        <v>2497.0450000000001</v>
      </c>
      <c r="AX158" s="2">
        <f>Table834[[#This Row],[Fat Calories]]^2</f>
        <v>6235233.7320250003</v>
      </c>
      <c r="AY158" s="3">
        <f>Table834[[#This Row],[Weight]]*Table834[[#This Row],[Waist]]</f>
        <v>11132</v>
      </c>
      <c r="AZ158" s="4">
        <f>Table834[[#This Row],[Weight]]*Table834[[#This Row],[Neck]]</f>
        <v>4174.5</v>
      </c>
      <c r="BA158" s="4">
        <f>Table834[[#This Row],[Weight]]*Table834[[#This Row],[Morning Body Temp]]</f>
        <v>24541</v>
      </c>
      <c r="BB158" s="4">
        <f>Table834[[#This Row],[Weight]]*Table834[[#This Row],[Morning Systolic Pressure]]</f>
        <v>35420</v>
      </c>
      <c r="BC158" s="11">
        <f>Table834[[#This Row],[Weight]]*Table834[[#This Row],[Morning Diastolic Pressure]]</f>
        <v>22011</v>
      </c>
      <c r="BD158" s="2">
        <f>Table834[[#This Row],[Weight]]*Table834[[#This Row],[Morning Pulse]]</f>
        <v>19734</v>
      </c>
      <c r="BE158" s="2">
        <f>Table834[[#This Row],[Weight]]*Table834[[#This Row],[Night Body Temp]]</f>
        <v>24566.3</v>
      </c>
      <c r="BF158" s="2">
        <f>Table834[[#This Row],[Weight]]*Table834[[#This Row],[Night Systolic Pressure]]</f>
        <v>29854</v>
      </c>
      <c r="BG158" s="4">
        <f>Table83[[#This Row],[Weight]]*Table83[[#This Row],[Night Diastolic Pressure]]</f>
        <v>16951</v>
      </c>
      <c r="BH158" s="2">
        <f>Table834[[#This Row],[Weight]]*Table834[[#This Row],[Night Pulse]]</f>
        <v>16951</v>
      </c>
      <c r="BI158" s="2">
        <f>Table834[[#This Row],[Weight]]*Table834[[#This Row],[Sleep]]</f>
        <v>1518</v>
      </c>
      <c r="BJ158" s="2">
        <f>Table834[[#This Row],[Weight]]*Table834[[#This Row],[BMI]]</f>
        <v>9183.3320408163272</v>
      </c>
      <c r="BK158" s="2">
        <f>Table834[[#This Row],[Weight]]*Table834[[#This Row],[CBF]]</f>
        <v>7925.0967734526912</v>
      </c>
      <c r="BL158" s="2">
        <f>Table834[[#This Row],[Weight]]*Table834[[#This Row],[Gym]]</f>
        <v>0</v>
      </c>
      <c r="BM158" s="2">
        <f>Table834[[#This Row],[Weight]]*Table834[[#This Row],[Cardio]]</f>
        <v>0</v>
      </c>
      <c r="BN158" s="2">
        <f>Table834[[#This Row],[Weight]]*Table834[[#This Row],[Calories]]</f>
        <v>1797405.6099999999</v>
      </c>
      <c r="BO158" s="2">
        <f>Table834[[#This Row],[Weight]]*Table834[[#This Row],[Carbs]]</f>
        <v>206678.83907407406</v>
      </c>
      <c r="BP158" s="2">
        <f>Table834[[#This Row],[Weight]]*Table834[[#This Row],[Fat ]]</f>
        <v>70194.709444444452</v>
      </c>
      <c r="BQ158" s="2">
        <f>Table834[[#This Row],[Weight]]*Table834[[#This Row],[Protein]]</f>
        <v>55916.326481481483</v>
      </c>
      <c r="BR158" s="2">
        <f>Table834[[#This Row],[Weight]]*Table834[[#This Row],[Fiber]]</f>
        <v>13151.549074074073</v>
      </c>
      <c r="BS158" s="2">
        <f>Table834[[#This Row],[Weight]]*Table834[[#This Row],[Sugar]]</f>
        <v>74049.094166666662</v>
      </c>
      <c r="BT158" s="2">
        <f>Table834[[#This Row],[Weight]]*Table834[[#This Row],[Servings]]</f>
        <v>25553</v>
      </c>
      <c r="BU158" s="2">
        <f>Table834[[#This Row],[Weight]]*Table834[[#This Row],[Water]]</f>
        <v>0</v>
      </c>
      <c r="BV158" s="2">
        <f>Table834[[#This Row],[Weight]]*Table834[[#This Row],[Fat Calories]]</f>
        <v>631752.38500000001</v>
      </c>
      <c r="BW158" s="2">
        <f>Table834[[#This Row],[Waist]]*Table834[[#This Row],[Neck]]</f>
        <v>726</v>
      </c>
      <c r="BX158" s="2">
        <f>Table834[[#This Row],[Waist]]*Table834[[#This Row],[Morning Body Temp]]</f>
        <v>4268</v>
      </c>
      <c r="BY158" s="2">
        <f>Table834[[#This Row],[Waist]]*Table834[[#This Row],[Morning Systolic Pressure]]</f>
        <v>6160</v>
      </c>
      <c r="BZ158" s="2">
        <f>Table834[[#This Row],[Waist]]*Table834[[#This Row],[Morning Diastolic Pressure]]</f>
        <v>3828</v>
      </c>
      <c r="CA158" s="2">
        <f>Table834[[#This Row],[Waist]]*Table834[[#This Row],[Morning Pulse]]</f>
        <v>3432</v>
      </c>
      <c r="CB158" s="2">
        <f>Table834[[#This Row],[Waist]]*Table834[[#This Row],[Night Body Temp]]</f>
        <v>4272.3999999999996</v>
      </c>
      <c r="CC158" s="2">
        <f>Table834[[#This Row],[Waist]]*Table834[[#This Row],[Night Systolic Pressure]]</f>
        <v>5192</v>
      </c>
      <c r="CD158" s="4">
        <f>Table83[[#This Row],[Waist]]*Table83[[#This Row],[Night Diastolic Pressure]]</f>
        <v>2948</v>
      </c>
      <c r="CE158" s="2">
        <f>Table834[[#This Row],[Waist]]*Table834[[#This Row],[Night Pulse]]</f>
        <v>2948</v>
      </c>
      <c r="CF158" s="2">
        <f>Table834[[#This Row],[Waist]]*Table834[[#This Row],[Sleep]]</f>
        <v>264</v>
      </c>
      <c r="CG158" s="2">
        <f>Table834[[#This Row],[Waist]]*Table834[[#This Row],[BMI]]</f>
        <v>1597.1012244897959</v>
      </c>
      <c r="CH158" s="2">
        <f>Table834[[#This Row],[Waist]]*Table834[[#This Row],[CBF]]</f>
        <v>1378.2776997309029</v>
      </c>
      <c r="CI158" s="2">
        <f>Table834[[#This Row],[Waist]]*Table834[[#This Row],[Gym]]</f>
        <v>0</v>
      </c>
      <c r="CJ158" s="2">
        <f>Table834[[#This Row],[Waist]]*Table834[[#This Row],[Cardio]]</f>
        <v>0</v>
      </c>
      <c r="CK158" s="2">
        <f>Table834[[#This Row],[Waist]]*Table834[[#This Row],[Calories]]</f>
        <v>312592.27999999997</v>
      </c>
      <c r="CL158" s="2">
        <f>Table834[[#This Row],[Waist]]*Table834[[#This Row],[Carbs]]</f>
        <v>35944.145925925928</v>
      </c>
      <c r="CM158" s="2">
        <f>Table834[[#This Row],[Waist]]*Table834[[#This Row],[Fat ]]</f>
        <v>12207.775555555556</v>
      </c>
      <c r="CN158" s="2">
        <f>Table834[[#This Row],[Waist]]*Table834[[#This Row],[Protein]]</f>
        <v>9724.5785185185196</v>
      </c>
      <c r="CO158" s="2">
        <f>Table834[[#This Row],[Waist]]*Table834[[#This Row],[Fiber]]</f>
        <v>2287.2259259259258</v>
      </c>
      <c r="CP158" s="2">
        <f>Table834[[#This Row],[Waist]]*Table834[[#This Row],[Sugar]]</f>
        <v>12878.103333333333</v>
      </c>
      <c r="CQ158" s="2">
        <f>Table834[[#This Row],[Waist]]*Table834[[#This Row],[Servings]]</f>
        <v>4444</v>
      </c>
      <c r="CR158" s="2">
        <f>Table834[[#This Row],[Waist]]*Table834[[#This Row],[Water]]</f>
        <v>0</v>
      </c>
      <c r="CS158" s="2">
        <f>Table834[[#This Row],[Waist]]*Table834[[#This Row],[Fat Calories]]</f>
        <v>109869.98000000001</v>
      </c>
    </row>
    <row r="159" spans="1:97" x14ac:dyDescent="0.25">
      <c r="A159" s="2">
        <v>259</v>
      </c>
      <c r="B159" s="2">
        <f>Table834[[#This Row],[Weight]]^2</f>
        <v>67081</v>
      </c>
      <c r="C159" s="2">
        <v>44.5</v>
      </c>
      <c r="D159" s="2">
        <f>Table834[[#This Row],[Waist]]^2</f>
        <v>1980.25</v>
      </c>
      <c r="E159" s="2">
        <v>16.5</v>
      </c>
      <c r="F159" s="2">
        <f>Table834[[#This Row],[Neck]]^2</f>
        <v>272.25</v>
      </c>
      <c r="G159" s="2">
        <v>97.2</v>
      </c>
      <c r="H159" s="2">
        <f>Table834[[#This Row],[Morning Body Temp]]^2</f>
        <v>9447.84</v>
      </c>
      <c r="I159" s="2">
        <v>140</v>
      </c>
      <c r="J159" s="2">
        <f>Table834[[#This Row],[Morning Systolic Pressure]]^2</f>
        <v>19600</v>
      </c>
      <c r="K159" s="2">
        <v>80</v>
      </c>
      <c r="L159" s="2">
        <f>Table834[[#This Row],[Morning Diastolic Pressure]]^2</f>
        <v>6400</v>
      </c>
      <c r="M159" s="2">
        <v>86</v>
      </c>
      <c r="N159" s="2">
        <f>Table834[[#This Row],[Morning Pulse]]^2</f>
        <v>7396</v>
      </c>
      <c r="O159" s="2">
        <v>97</v>
      </c>
      <c r="P159" s="2">
        <f>Table834[[#This Row],[Night Body Temp]]^2</f>
        <v>9409</v>
      </c>
      <c r="Q159" s="2">
        <v>137</v>
      </c>
      <c r="R159" s="2">
        <f>Table834[[#This Row],[Night Systolic Pressure]]^2</f>
        <v>18769</v>
      </c>
      <c r="S159" s="2">
        <v>67</v>
      </c>
      <c r="T159" s="2">
        <f>Table834[[#This Row],[Night Diastolic Pressure]]^2</f>
        <v>4489</v>
      </c>
      <c r="U159" s="2">
        <v>65</v>
      </c>
      <c r="V159" s="2">
        <f>Table834[[#This Row],[Night Pulse]]^2</f>
        <v>4225</v>
      </c>
      <c r="W159" s="2">
        <v>6</v>
      </c>
      <c r="X159" s="2">
        <f>Table834[[#This Row],[Sleep]]^2</f>
        <v>36</v>
      </c>
      <c r="Y159" s="2">
        <f t="shared" si="5"/>
        <v>37.158571428571427</v>
      </c>
      <c r="Z159" s="2">
        <f>Table834[[#This Row],[BMI]]^2</f>
        <v>1380.7594306122448</v>
      </c>
      <c r="AA159" s="2">
        <f t="shared" si="4"/>
        <v>31.997550455105717</v>
      </c>
      <c r="AB159" s="2">
        <f>Table834[[#This Row],[CBF]]^2</f>
        <v>1023.8432351270361</v>
      </c>
      <c r="AC159" s="2">
        <v>0</v>
      </c>
      <c r="AD159" s="2">
        <f>Table834[[#This Row],[Gym]]^2</f>
        <v>0</v>
      </c>
      <c r="AE159" s="2">
        <v>0</v>
      </c>
      <c r="AF159" s="2">
        <f>Table834[[#This Row],[Cardio]]^2</f>
        <v>0</v>
      </c>
      <c r="AG159" s="2">
        <v>1995.5166666666667</v>
      </c>
      <c r="AH159" s="2">
        <f>Table834[[#This Row],[Calories]]^2</f>
        <v>3982086.7669444443</v>
      </c>
      <c r="AI159" s="2">
        <v>299.86666666666667</v>
      </c>
      <c r="AJ159" s="2">
        <f>Table834[[#This Row],[Carbs]]^2</f>
        <v>89920.017777777786</v>
      </c>
      <c r="AK159" s="2">
        <v>55.525000000000006</v>
      </c>
      <c r="AL159" s="2">
        <f>Table834[[#This Row],[Fat ]]^2</f>
        <v>3083.0256250000007</v>
      </c>
      <c r="AM159" s="2">
        <v>83.666666666666686</v>
      </c>
      <c r="AN159" s="2">
        <f>Table834[[#This Row],[Protein]]^2</f>
        <v>7000.111111111114</v>
      </c>
      <c r="AO159" s="2">
        <v>57.7</v>
      </c>
      <c r="AP159" s="2">
        <f>Table834[[#This Row],[Fiber]]^2</f>
        <v>3329.2900000000004</v>
      </c>
      <c r="AQ159" s="2">
        <v>185.90833333333333</v>
      </c>
      <c r="AR159" s="2">
        <f>Table834[[#This Row],[Sugar]]^2</f>
        <v>34561.908402777779</v>
      </c>
      <c r="AS159" s="2">
        <v>44</v>
      </c>
      <c r="AT159" s="2">
        <f>Table834[[#This Row],[Servings]]^2</f>
        <v>1936</v>
      </c>
      <c r="AU159" s="2">
        <v>0</v>
      </c>
      <c r="AV159" s="2">
        <f>Table834[[#This Row],[Water]]^2</f>
        <v>0</v>
      </c>
      <c r="AW159" s="2">
        <v>499.72500000000002</v>
      </c>
      <c r="AX159" s="2">
        <f>Table834[[#This Row],[Fat Calories]]^2</f>
        <v>249725.07562500003</v>
      </c>
      <c r="AY159" s="5">
        <f>Table834[[#This Row],[Weight]]*Table834[[#This Row],[Waist]]</f>
        <v>11525.5</v>
      </c>
      <c r="AZ159" s="6">
        <f>Table834[[#This Row],[Weight]]*Table834[[#This Row],[Neck]]</f>
        <v>4273.5</v>
      </c>
      <c r="BA159" s="6">
        <f>Table834[[#This Row],[Weight]]*Table834[[#This Row],[Morning Body Temp]]</f>
        <v>25174.799999999999</v>
      </c>
      <c r="BB159" s="6">
        <f>Table834[[#This Row],[Weight]]*Table834[[#This Row],[Morning Systolic Pressure]]</f>
        <v>36260</v>
      </c>
      <c r="BC159" s="12">
        <f>Table834[[#This Row],[Weight]]*Table834[[#This Row],[Morning Diastolic Pressure]]</f>
        <v>20720</v>
      </c>
      <c r="BD159" s="2">
        <f>Table834[[#This Row],[Weight]]*Table834[[#This Row],[Morning Pulse]]</f>
        <v>22274</v>
      </c>
      <c r="BE159" s="2">
        <f>Table834[[#This Row],[Weight]]*Table834[[#This Row],[Night Body Temp]]</f>
        <v>25123</v>
      </c>
      <c r="BF159" s="2">
        <f>Table834[[#This Row],[Weight]]*Table834[[#This Row],[Night Systolic Pressure]]</f>
        <v>35483</v>
      </c>
      <c r="BG159" s="4">
        <f>Table83[[#This Row],[Weight]]*Table83[[#This Row],[Night Diastolic Pressure]]</f>
        <v>17353</v>
      </c>
      <c r="BH159" s="2">
        <f>Table834[[#This Row],[Weight]]*Table834[[#This Row],[Night Pulse]]</f>
        <v>16835</v>
      </c>
      <c r="BI159" s="2">
        <f>Table834[[#This Row],[Weight]]*Table834[[#This Row],[Sleep]]</f>
        <v>1554</v>
      </c>
      <c r="BJ159" s="2">
        <f>Table834[[#This Row],[Weight]]*Table834[[#This Row],[BMI]]</f>
        <v>9624.07</v>
      </c>
      <c r="BK159" s="2">
        <f>Table834[[#This Row],[Weight]]*Table834[[#This Row],[CBF]]</f>
        <v>8287.3655678723808</v>
      </c>
      <c r="BL159" s="2">
        <f>Table834[[#This Row],[Weight]]*Table834[[#This Row],[Gym]]</f>
        <v>0</v>
      </c>
      <c r="BM159" s="2">
        <f>Table834[[#This Row],[Weight]]*Table834[[#This Row],[Cardio]]</f>
        <v>0</v>
      </c>
      <c r="BN159" s="2">
        <f>Table834[[#This Row],[Weight]]*Table834[[#This Row],[Calories]]</f>
        <v>516838.81666666665</v>
      </c>
      <c r="BO159" s="2">
        <f>Table834[[#This Row],[Weight]]*Table834[[#This Row],[Carbs]]</f>
        <v>77665.466666666674</v>
      </c>
      <c r="BP159" s="2">
        <f>Table834[[#This Row],[Weight]]*Table834[[#This Row],[Fat ]]</f>
        <v>14380.975000000002</v>
      </c>
      <c r="BQ159" s="2">
        <f>Table834[[#This Row],[Weight]]*Table834[[#This Row],[Protein]]</f>
        <v>21669.666666666672</v>
      </c>
      <c r="BR159" s="2">
        <f>Table834[[#This Row],[Weight]]*Table834[[#This Row],[Fiber]]</f>
        <v>14944.300000000001</v>
      </c>
      <c r="BS159" s="2">
        <f>Table834[[#This Row],[Weight]]*Table834[[#This Row],[Sugar]]</f>
        <v>48150.258333333331</v>
      </c>
      <c r="BT159" s="2">
        <f>Table834[[#This Row],[Weight]]*Table834[[#This Row],[Servings]]</f>
        <v>11396</v>
      </c>
      <c r="BU159" s="2">
        <f>Table834[[#This Row],[Weight]]*Table834[[#This Row],[Water]]</f>
        <v>0</v>
      </c>
      <c r="BV159" s="2">
        <f>Table834[[#This Row],[Weight]]*Table834[[#This Row],[Fat Calories]]</f>
        <v>129428.77500000001</v>
      </c>
      <c r="BW159" s="2">
        <f>Table834[[#This Row],[Waist]]*Table834[[#This Row],[Neck]]</f>
        <v>734.25</v>
      </c>
      <c r="BX159" s="2">
        <f>Table834[[#This Row],[Waist]]*Table834[[#This Row],[Morning Body Temp]]</f>
        <v>4325.4000000000005</v>
      </c>
      <c r="BY159" s="2">
        <f>Table834[[#This Row],[Waist]]*Table834[[#This Row],[Morning Systolic Pressure]]</f>
        <v>6230</v>
      </c>
      <c r="BZ159" s="2">
        <f>Table834[[#This Row],[Waist]]*Table834[[#This Row],[Morning Diastolic Pressure]]</f>
        <v>3560</v>
      </c>
      <c r="CA159" s="2">
        <f>Table834[[#This Row],[Waist]]*Table834[[#This Row],[Morning Pulse]]</f>
        <v>3827</v>
      </c>
      <c r="CB159" s="2">
        <f>Table834[[#This Row],[Waist]]*Table834[[#This Row],[Night Body Temp]]</f>
        <v>4316.5</v>
      </c>
      <c r="CC159" s="2">
        <f>Table834[[#This Row],[Waist]]*Table834[[#This Row],[Night Systolic Pressure]]</f>
        <v>6096.5</v>
      </c>
      <c r="CD159" s="4">
        <f>Table83[[#This Row],[Waist]]*Table83[[#This Row],[Night Diastolic Pressure]]</f>
        <v>2981.5</v>
      </c>
      <c r="CE159" s="2">
        <f>Table834[[#This Row],[Waist]]*Table834[[#This Row],[Night Pulse]]</f>
        <v>2892.5</v>
      </c>
      <c r="CF159" s="2">
        <f>Table834[[#This Row],[Waist]]*Table834[[#This Row],[Sleep]]</f>
        <v>267</v>
      </c>
      <c r="CG159" s="2">
        <f>Table834[[#This Row],[Waist]]*Table834[[#This Row],[BMI]]</f>
        <v>1653.5564285714286</v>
      </c>
      <c r="CH159" s="2">
        <f>Table834[[#This Row],[Waist]]*Table834[[#This Row],[CBF]]</f>
        <v>1423.8909952522044</v>
      </c>
      <c r="CI159" s="2">
        <f>Table834[[#This Row],[Waist]]*Table834[[#This Row],[Gym]]</f>
        <v>0</v>
      </c>
      <c r="CJ159" s="2">
        <f>Table834[[#This Row],[Waist]]*Table834[[#This Row],[Cardio]]</f>
        <v>0</v>
      </c>
      <c r="CK159" s="2">
        <f>Table834[[#This Row],[Waist]]*Table834[[#This Row],[Calories]]</f>
        <v>88800.491666666669</v>
      </c>
      <c r="CL159" s="2">
        <f>Table834[[#This Row],[Waist]]*Table834[[#This Row],[Carbs]]</f>
        <v>13344.066666666668</v>
      </c>
      <c r="CM159" s="2">
        <f>Table834[[#This Row],[Waist]]*Table834[[#This Row],[Fat ]]</f>
        <v>2470.8625000000002</v>
      </c>
      <c r="CN159" s="2">
        <f>Table834[[#This Row],[Waist]]*Table834[[#This Row],[Protein]]</f>
        <v>3723.1666666666674</v>
      </c>
      <c r="CO159" s="2">
        <f>Table834[[#This Row],[Waist]]*Table834[[#This Row],[Fiber]]</f>
        <v>2567.65</v>
      </c>
      <c r="CP159" s="2">
        <f>Table834[[#This Row],[Waist]]*Table834[[#This Row],[Sugar]]</f>
        <v>8272.9208333333336</v>
      </c>
      <c r="CQ159" s="2">
        <f>Table834[[#This Row],[Waist]]*Table834[[#This Row],[Servings]]</f>
        <v>1958</v>
      </c>
      <c r="CR159" s="2">
        <f>Table834[[#This Row],[Waist]]*Table834[[#This Row],[Water]]</f>
        <v>0</v>
      </c>
      <c r="CS159" s="2">
        <f>Table834[[#This Row],[Waist]]*Table834[[#This Row],[Fat Calories]]</f>
        <v>22237.762500000001</v>
      </c>
    </row>
    <row r="160" spans="1:97" x14ac:dyDescent="0.25">
      <c r="A160" s="2">
        <v>254.8</v>
      </c>
      <c r="B160" s="2">
        <f>Table834[[#This Row],[Weight]]^2</f>
        <v>64923.040000000008</v>
      </c>
      <c r="C160" s="2">
        <v>44.5</v>
      </c>
      <c r="D160" s="2">
        <f>Table834[[#This Row],[Waist]]^2</f>
        <v>1980.25</v>
      </c>
      <c r="E160" s="2">
        <v>16.5</v>
      </c>
      <c r="F160" s="2">
        <f>Table834[[#This Row],[Neck]]^2</f>
        <v>272.25</v>
      </c>
      <c r="G160" s="2">
        <v>96.8</v>
      </c>
      <c r="H160" s="2">
        <f>Table834[[#This Row],[Morning Body Temp]]^2</f>
        <v>9370.24</v>
      </c>
      <c r="I160" s="2">
        <v>129</v>
      </c>
      <c r="J160" s="2">
        <f>Table834[[#This Row],[Morning Systolic Pressure]]^2</f>
        <v>16641</v>
      </c>
      <c r="K160" s="2">
        <v>87</v>
      </c>
      <c r="L160" s="2">
        <f>Table834[[#This Row],[Morning Diastolic Pressure]]^2</f>
        <v>7569</v>
      </c>
      <c r="M160" s="2">
        <v>70</v>
      </c>
      <c r="N160" s="2">
        <f>Table834[[#This Row],[Morning Pulse]]^2</f>
        <v>4900</v>
      </c>
      <c r="O160" s="2">
        <v>97.6</v>
      </c>
      <c r="P160" s="2">
        <f>Table834[[#This Row],[Night Body Temp]]^2</f>
        <v>9525.7599999999984</v>
      </c>
      <c r="Q160" s="2">
        <v>135</v>
      </c>
      <c r="R160" s="2">
        <f>Table834[[#This Row],[Night Systolic Pressure]]^2</f>
        <v>18225</v>
      </c>
      <c r="S160" s="2">
        <v>69</v>
      </c>
      <c r="T160" s="2">
        <f>Table834[[#This Row],[Night Diastolic Pressure]]^2</f>
        <v>4761</v>
      </c>
      <c r="U160" s="2">
        <v>67</v>
      </c>
      <c r="V160" s="2">
        <f>Table834[[#This Row],[Night Pulse]]^2</f>
        <v>4489</v>
      </c>
      <c r="W160" s="2">
        <v>12</v>
      </c>
      <c r="X160" s="2">
        <f>Table834[[#This Row],[Sleep]]^2</f>
        <v>144</v>
      </c>
      <c r="Y160" s="2">
        <f t="shared" si="5"/>
        <v>36.556000000000004</v>
      </c>
      <c r="Z160" s="2">
        <f>Table834[[#This Row],[BMI]]^2</f>
        <v>1336.3411360000002</v>
      </c>
      <c r="AA160" s="2">
        <f t="shared" si="4"/>
        <v>31.997550455105717</v>
      </c>
      <c r="AB160" s="2">
        <f>Table834[[#This Row],[CBF]]^2</f>
        <v>1023.8432351270361</v>
      </c>
      <c r="AC160" s="2">
        <v>0</v>
      </c>
      <c r="AD160" s="2">
        <f>Table834[[#This Row],[Gym]]^2</f>
        <v>0</v>
      </c>
      <c r="AE160" s="2">
        <v>0</v>
      </c>
      <c r="AF160" s="2">
        <f>Table834[[#This Row],[Cardio]]^2</f>
        <v>0</v>
      </c>
      <c r="AG160" s="2">
        <v>2392.7399999999998</v>
      </c>
      <c r="AH160" s="2">
        <f>Table834[[#This Row],[Calories]]^2</f>
        <v>5725204.7075999994</v>
      </c>
      <c r="AI160" s="2">
        <v>133.42481481481479</v>
      </c>
      <c r="AJ160" s="2">
        <f>Table834[[#This Row],[Carbs]]^2</f>
        <v>17802.181208367623</v>
      </c>
      <c r="AK160" s="2">
        <v>135.09888888888889</v>
      </c>
      <c r="AL160" s="2">
        <f>Table834[[#This Row],[Fat ]]^2</f>
        <v>18251.709779012348</v>
      </c>
      <c r="AM160" s="2">
        <v>182.4262962962963</v>
      </c>
      <c r="AN160" s="2">
        <f>Table834[[#This Row],[Protein]]^2</f>
        <v>33279.353580384086</v>
      </c>
      <c r="AO160" s="2">
        <v>14.164814814814813</v>
      </c>
      <c r="AP160" s="2">
        <f>Table834[[#This Row],[Fiber]]^2</f>
        <v>200.64197873799719</v>
      </c>
      <c r="AQ160" s="2">
        <v>31.368333333333336</v>
      </c>
      <c r="AR160" s="2">
        <f>Table834[[#This Row],[Sugar]]^2</f>
        <v>983.9723361111113</v>
      </c>
      <c r="AS160" s="2">
        <v>21</v>
      </c>
      <c r="AT160" s="2">
        <f>Table834[[#This Row],[Servings]]^2</f>
        <v>441</v>
      </c>
      <c r="AU160" s="2">
        <v>1</v>
      </c>
      <c r="AV160" s="2">
        <f>Table834[[#This Row],[Water]]^2</f>
        <v>1</v>
      </c>
      <c r="AW160" s="2">
        <v>1215.8900000000001</v>
      </c>
      <c r="AX160" s="2">
        <f>Table834[[#This Row],[Fat Calories]]^2</f>
        <v>1478388.4921000001</v>
      </c>
      <c r="AY160" s="3">
        <f>Table834[[#This Row],[Weight]]*Table834[[#This Row],[Waist]]</f>
        <v>11338.6</v>
      </c>
      <c r="AZ160" s="4">
        <f>Table834[[#This Row],[Weight]]*Table834[[#This Row],[Neck]]</f>
        <v>4204.2</v>
      </c>
      <c r="BA160" s="4">
        <f>Table834[[#This Row],[Weight]]*Table834[[#This Row],[Morning Body Temp]]</f>
        <v>24664.639999999999</v>
      </c>
      <c r="BB160" s="4">
        <f>Table834[[#This Row],[Weight]]*Table834[[#This Row],[Morning Systolic Pressure]]</f>
        <v>32869.200000000004</v>
      </c>
      <c r="BC160" s="11">
        <f>Table834[[#This Row],[Weight]]*Table834[[#This Row],[Morning Diastolic Pressure]]</f>
        <v>22167.600000000002</v>
      </c>
      <c r="BD160" s="2">
        <f>Table834[[#This Row],[Weight]]*Table834[[#This Row],[Morning Pulse]]</f>
        <v>17836</v>
      </c>
      <c r="BE160" s="2">
        <f>Table834[[#This Row],[Weight]]*Table834[[#This Row],[Night Body Temp]]</f>
        <v>24868.48</v>
      </c>
      <c r="BF160" s="2">
        <f>Table834[[#This Row],[Weight]]*Table834[[#This Row],[Night Systolic Pressure]]</f>
        <v>34398</v>
      </c>
      <c r="BG160" s="4">
        <f>Table83[[#This Row],[Weight]]*Table83[[#This Row],[Night Diastolic Pressure]]</f>
        <v>17581.2</v>
      </c>
      <c r="BH160" s="2">
        <f>Table834[[#This Row],[Weight]]*Table834[[#This Row],[Night Pulse]]</f>
        <v>17071.600000000002</v>
      </c>
      <c r="BI160" s="2">
        <f>Table834[[#This Row],[Weight]]*Table834[[#This Row],[Sleep]]</f>
        <v>3057.6000000000004</v>
      </c>
      <c r="BJ160" s="2">
        <f>Table834[[#This Row],[Weight]]*Table834[[#This Row],[BMI]]</f>
        <v>9314.4688000000024</v>
      </c>
      <c r="BK160" s="2">
        <f>Table834[[#This Row],[Weight]]*Table834[[#This Row],[CBF]]</f>
        <v>8152.9758559609372</v>
      </c>
      <c r="BL160" s="2">
        <f>Table834[[#This Row],[Weight]]*Table834[[#This Row],[Gym]]</f>
        <v>0</v>
      </c>
      <c r="BM160" s="2">
        <f>Table834[[#This Row],[Weight]]*Table834[[#This Row],[Cardio]]</f>
        <v>0</v>
      </c>
      <c r="BN160" s="2">
        <f>Table834[[#This Row],[Weight]]*Table834[[#This Row],[Calories]]</f>
        <v>609670.152</v>
      </c>
      <c r="BO160" s="2">
        <f>Table834[[#This Row],[Weight]]*Table834[[#This Row],[Carbs]]</f>
        <v>33996.642814814812</v>
      </c>
      <c r="BP160" s="2">
        <f>Table834[[#This Row],[Weight]]*Table834[[#This Row],[Fat ]]</f>
        <v>34423.196888888895</v>
      </c>
      <c r="BQ160" s="2">
        <f>Table834[[#This Row],[Weight]]*Table834[[#This Row],[Protein]]</f>
        <v>46482.220296296298</v>
      </c>
      <c r="BR160" s="2">
        <f>Table834[[#This Row],[Weight]]*Table834[[#This Row],[Fiber]]</f>
        <v>3609.1948148148144</v>
      </c>
      <c r="BS160" s="2">
        <f>Table834[[#This Row],[Weight]]*Table834[[#This Row],[Sugar]]</f>
        <v>7992.6513333333342</v>
      </c>
      <c r="BT160" s="2">
        <f>Table834[[#This Row],[Weight]]*Table834[[#This Row],[Servings]]</f>
        <v>5350.8</v>
      </c>
      <c r="BU160" s="2">
        <f>Table834[[#This Row],[Weight]]*Table834[[#This Row],[Water]]</f>
        <v>254.8</v>
      </c>
      <c r="BV160" s="2">
        <f>Table834[[#This Row],[Weight]]*Table834[[#This Row],[Fat Calories]]</f>
        <v>309808.77200000006</v>
      </c>
      <c r="BW160" s="2">
        <f>Table834[[#This Row],[Waist]]*Table834[[#This Row],[Neck]]</f>
        <v>734.25</v>
      </c>
      <c r="BX160" s="2">
        <f>Table834[[#This Row],[Waist]]*Table834[[#This Row],[Morning Body Temp]]</f>
        <v>4307.5999999999995</v>
      </c>
      <c r="BY160" s="2">
        <f>Table834[[#This Row],[Waist]]*Table834[[#This Row],[Morning Systolic Pressure]]</f>
        <v>5740.5</v>
      </c>
      <c r="BZ160" s="2">
        <f>Table834[[#This Row],[Waist]]*Table834[[#This Row],[Morning Diastolic Pressure]]</f>
        <v>3871.5</v>
      </c>
      <c r="CA160" s="2">
        <f>Table834[[#This Row],[Waist]]*Table834[[#This Row],[Morning Pulse]]</f>
        <v>3115</v>
      </c>
      <c r="CB160" s="2">
        <f>Table834[[#This Row],[Waist]]*Table834[[#This Row],[Night Body Temp]]</f>
        <v>4343.2</v>
      </c>
      <c r="CC160" s="2">
        <f>Table834[[#This Row],[Waist]]*Table834[[#This Row],[Night Systolic Pressure]]</f>
        <v>6007.5</v>
      </c>
      <c r="CD160" s="4">
        <f>Table83[[#This Row],[Waist]]*Table83[[#This Row],[Night Diastolic Pressure]]</f>
        <v>3070.5</v>
      </c>
      <c r="CE160" s="2">
        <f>Table834[[#This Row],[Waist]]*Table834[[#This Row],[Night Pulse]]</f>
        <v>2981.5</v>
      </c>
      <c r="CF160" s="2">
        <f>Table834[[#This Row],[Waist]]*Table834[[#This Row],[Sleep]]</f>
        <v>534</v>
      </c>
      <c r="CG160" s="2">
        <f>Table834[[#This Row],[Waist]]*Table834[[#This Row],[BMI]]</f>
        <v>1626.7420000000002</v>
      </c>
      <c r="CH160" s="2">
        <f>Table834[[#This Row],[Waist]]*Table834[[#This Row],[CBF]]</f>
        <v>1423.8909952522044</v>
      </c>
      <c r="CI160" s="2">
        <f>Table834[[#This Row],[Waist]]*Table834[[#This Row],[Gym]]</f>
        <v>0</v>
      </c>
      <c r="CJ160" s="2">
        <f>Table834[[#This Row],[Waist]]*Table834[[#This Row],[Cardio]]</f>
        <v>0</v>
      </c>
      <c r="CK160" s="2">
        <f>Table834[[#This Row],[Waist]]*Table834[[#This Row],[Calories]]</f>
        <v>106476.93</v>
      </c>
      <c r="CL160" s="2">
        <f>Table834[[#This Row],[Waist]]*Table834[[#This Row],[Carbs]]</f>
        <v>5937.4042592592587</v>
      </c>
      <c r="CM160" s="2">
        <f>Table834[[#This Row],[Waist]]*Table834[[#This Row],[Fat ]]</f>
        <v>6011.9005555555559</v>
      </c>
      <c r="CN160" s="2">
        <f>Table834[[#This Row],[Waist]]*Table834[[#This Row],[Protein]]</f>
        <v>8117.9701851851851</v>
      </c>
      <c r="CO160" s="2">
        <f>Table834[[#This Row],[Waist]]*Table834[[#This Row],[Fiber]]</f>
        <v>630.33425925925917</v>
      </c>
      <c r="CP160" s="2">
        <f>Table834[[#This Row],[Waist]]*Table834[[#This Row],[Sugar]]</f>
        <v>1395.8908333333334</v>
      </c>
      <c r="CQ160" s="2">
        <f>Table834[[#This Row],[Waist]]*Table834[[#This Row],[Servings]]</f>
        <v>934.5</v>
      </c>
      <c r="CR160" s="2">
        <f>Table834[[#This Row],[Waist]]*Table834[[#This Row],[Water]]</f>
        <v>44.5</v>
      </c>
      <c r="CS160" s="2">
        <f>Table834[[#This Row],[Waist]]*Table834[[#This Row],[Fat Calories]]</f>
        <v>54107.105000000003</v>
      </c>
    </row>
    <row r="161" spans="1:97" x14ac:dyDescent="0.25">
      <c r="A161" s="2">
        <v>252.8</v>
      </c>
      <c r="B161" s="2">
        <f>Table834[[#This Row],[Weight]]^2</f>
        <v>63907.840000000004</v>
      </c>
      <c r="C161" s="2">
        <v>44.5</v>
      </c>
      <c r="D161" s="2">
        <f>Table834[[#This Row],[Waist]]^2</f>
        <v>1980.25</v>
      </c>
      <c r="E161" s="2">
        <v>16.5</v>
      </c>
      <c r="F161" s="2">
        <f>Table834[[#This Row],[Neck]]^2</f>
        <v>272.25</v>
      </c>
      <c r="G161" s="2">
        <v>96.7</v>
      </c>
      <c r="H161" s="2">
        <f>Table834[[#This Row],[Morning Body Temp]]^2</f>
        <v>9350.8900000000012</v>
      </c>
      <c r="I161" s="2">
        <v>124</v>
      </c>
      <c r="J161" s="2">
        <f>Table834[[#This Row],[Morning Systolic Pressure]]^2</f>
        <v>15376</v>
      </c>
      <c r="K161" s="2">
        <v>69</v>
      </c>
      <c r="L161" s="2">
        <f>Table834[[#This Row],[Morning Diastolic Pressure]]^2</f>
        <v>4761</v>
      </c>
      <c r="M161" s="2">
        <v>66</v>
      </c>
      <c r="N161" s="2">
        <f>Table834[[#This Row],[Morning Pulse]]^2</f>
        <v>4356</v>
      </c>
      <c r="O161" s="2">
        <v>96.9</v>
      </c>
      <c r="P161" s="2">
        <f>Table834[[#This Row],[Night Body Temp]]^2</f>
        <v>9389.61</v>
      </c>
      <c r="Q161" s="2">
        <v>134</v>
      </c>
      <c r="R161" s="2">
        <f>Table834[[#This Row],[Night Systolic Pressure]]^2</f>
        <v>17956</v>
      </c>
      <c r="S161" s="2">
        <v>75</v>
      </c>
      <c r="T161" s="2">
        <f>Table834[[#This Row],[Night Diastolic Pressure]]^2</f>
        <v>5625</v>
      </c>
      <c r="U161" s="2">
        <v>72</v>
      </c>
      <c r="V161" s="2">
        <f>Table834[[#This Row],[Night Pulse]]^2</f>
        <v>5184</v>
      </c>
      <c r="W161" s="2">
        <v>8</v>
      </c>
      <c r="X161" s="2">
        <f>Table834[[#This Row],[Sleep]]^2</f>
        <v>64</v>
      </c>
      <c r="Y161" s="2">
        <f t="shared" si="5"/>
        <v>36.269061224489796</v>
      </c>
      <c r="Z161" s="2">
        <f>Table834[[#This Row],[BMI]]^2</f>
        <v>1315.4448021057892</v>
      </c>
      <c r="AA161" s="2">
        <f t="shared" si="4"/>
        <v>31.997550455105717</v>
      </c>
      <c r="AB161" s="2">
        <f>Table834[[#This Row],[CBF]]^2</f>
        <v>1023.8432351270361</v>
      </c>
      <c r="AC161" s="2">
        <v>1</v>
      </c>
      <c r="AD161" s="2">
        <f>Table834[[#This Row],[Gym]]^2</f>
        <v>1</v>
      </c>
      <c r="AE161" s="2">
        <v>1</v>
      </c>
      <c r="AF161" s="2">
        <f>Table834[[#This Row],[Cardio]]^2</f>
        <v>1</v>
      </c>
      <c r="AG161" s="2">
        <v>1908.2166666666665</v>
      </c>
      <c r="AH161" s="2">
        <f>Table834[[#This Row],[Calories]]^2</f>
        <v>3641290.8469444439</v>
      </c>
      <c r="AI161" s="2">
        <v>213.73666666666668</v>
      </c>
      <c r="AJ161" s="2">
        <f>Table834[[#This Row],[Carbs]]^2</f>
        <v>45683.362677777783</v>
      </c>
      <c r="AK161" s="2">
        <v>173.85499999999999</v>
      </c>
      <c r="AL161" s="2">
        <f>Table834[[#This Row],[Fat ]]^2</f>
        <v>30225.561024999995</v>
      </c>
      <c r="AM161" s="2">
        <v>97.006666666666675</v>
      </c>
      <c r="AN161" s="2">
        <f>Table834[[#This Row],[Protein]]^2</f>
        <v>9410.2933777777798</v>
      </c>
      <c r="AO161" s="2">
        <v>59.470000000000006</v>
      </c>
      <c r="AP161" s="2">
        <f>Table834[[#This Row],[Fiber]]^2</f>
        <v>3536.6809000000007</v>
      </c>
      <c r="AQ161" s="2">
        <v>50.18833333333334</v>
      </c>
      <c r="AR161" s="2">
        <f>Table834[[#This Row],[Sugar]]^2</f>
        <v>2518.8688027777785</v>
      </c>
      <c r="AS161" s="2">
        <v>38.5</v>
      </c>
      <c r="AT161" s="2">
        <f>Table834[[#This Row],[Servings]]^2</f>
        <v>1482.25</v>
      </c>
      <c r="AU161" s="2">
        <v>2</v>
      </c>
      <c r="AV161" s="2">
        <f>Table834[[#This Row],[Water]]^2</f>
        <v>4</v>
      </c>
      <c r="AW161" s="2">
        <v>1564.6949999999999</v>
      </c>
      <c r="AX161" s="2">
        <f>Table834[[#This Row],[Fat Calories]]^2</f>
        <v>2448270.4430249999</v>
      </c>
      <c r="AY161" s="5">
        <f>Table834[[#This Row],[Weight]]*Table834[[#This Row],[Waist]]</f>
        <v>11249.6</v>
      </c>
      <c r="AZ161" s="6">
        <f>Table834[[#This Row],[Weight]]*Table834[[#This Row],[Neck]]</f>
        <v>4171.2</v>
      </c>
      <c r="BA161" s="6">
        <f>Table834[[#This Row],[Weight]]*Table834[[#This Row],[Morning Body Temp]]</f>
        <v>24445.760000000002</v>
      </c>
      <c r="BB161" s="6">
        <f>Table834[[#This Row],[Weight]]*Table834[[#This Row],[Morning Systolic Pressure]]</f>
        <v>31347.200000000001</v>
      </c>
      <c r="BC161" s="12">
        <f>Table834[[#This Row],[Weight]]*Table834[[#This Row],[Morning Diastolic Pressure]]</f>
        <v>17443.2</v>
      </c>
      <c r="BD161" s="2">
        <f>Table834[[#This Row],[Weight]]*Table834[[#This Row],[Morning Pulse]]</f>
        <v>16684.8</v>
      </c>
      <c r="BE161" s="2">
        <f>Table834[[#This Row],[Weight]]*Table834[[#This Row],[Night Body Temp]]</f>
        <v>24496.320000000003</v>
      </c>
      <c r="BF161" s="2">
        <f>Table834[[#This Row],[Weight]]*Table834[[#This Row],[Night Systolic Pressure]]</f>
        <v>33875.200000000004</v>
      </c>
      <c r="BG161" s="4">
        <f>Table83[[#This Row],[Weight]]*Table83[[#This Row],[Night Diastolic Pressure]]</f>
        <v>18960</v>
      </c>
      <c r="BH161" s="2">
        <f>Table834[[#This Row],[Weight]]*Table834[[#This Row],[Night Pulse]]</f>
        <v>18201.600000000002</v>
      </c>
      <c r="BI161" s="2">
        <f>Table834[[#This Row],[Weight]]*Table834[[#This Row],[Sleep]]</f>
        <v>2022.4</v>
      </c>
      <c r="BJ161" s="2">
        <f>Table834[[#This Row],[Weight]]*Table834[[#This Row],[BMI]]</f>
        <v>9168.8186775510203</v>
      </c>
      <c r="BK161" s="2">
        <f>Table834[[#This Row],[Weight]]*Table834[[#This Row],[CBF]]</f>
        <v>8088.9807550507257</v>
      </c>
      <c r="BL161" s="2">
        <f>Table834[[#This Row],[Weight]]*Table834[[#This Row],[Gym]]</f>
        <v>252.8</v>
      </c>
      <c r="BM161" s="2">
        <f>Table834[[#This Row],[Weight]]*Table834[[#This Row],[Cardio]]</f>
        <v>252.8</v>
      </c>
      <c r="BN161" s="2">
        <f>Table834[[#This Row],[Weight]]*Table834[[#This Row],[Calories]]</f>
        <v>482397.17333333328</v>
      </c>
      <c r="BO161" s="2">
        <f>Table834[[#This Row],[Weight]]*Table834[[#This Row],[Carbs]]</f>
        <v>54032.629333333338</v>
      </c>
      <c r="BP161" s="2">
        <f>Table834[[#This Row],[Weight]]*Table834[[#This Row],[Fat ]]</f>
        <v>43950.544000000002</v>
      </c>
      <c r="BQ161" s="2">
        <f>Table834[[#This Row],[Weight]]*Table834[[#This Row],[Protein]]</f>
        <v>24523.285333333337</v>
      </c>
      <c r="BR161" s="2">
        <f>Table834[[#This Row],[Weight]]*Table834[[#This Row],[Fiber]]</f>
        <v>15034.016000000001</v>
      </c>
      <c r="BS161" s="2">
        <f>Table834[[#This Row],[Weight]]*Table834[[#This Row],[Sugar]]</f>
        <v>12687.610666666669</v>
      </c>
      <c r="BT161" s="2">
        <f>Table834[[#This Row],[Weight]]*Table834[[#This Row],[Servings]]</f>
        <v>9732.8000000000011</v>
      </c>
      <c r="BU161" s="2">
        <f>Table834[[#This Row],[Weight]]*Table834[[#This Row],[Water]]</f>
        <v>505.6</v>
      </c>
      <c r="BV161" s="2">
        <f>Table834[[#This Row],[Weight]]*Table834[[#This Row],[Fat Calories]]</f>
        <v>395554.89600000001</v>
      </c>
      <c r="BW161" s="2">
        <f>Table834[[#This Row],[Waist]]*Table834[[#This Row],[Neck]]</f>
        <v>734.25</v>
      </c>
      <c r="BX161" s="2">
        <f>Table834[[#This Row],[Waist]]*Table834[[#This Row],[Morning Body Temp]]</f>
        <v>4303.1500000000005</v>
      </c>
      <c r="BY161" s="2">
        <f>Table834[[#This Row],[Waist]]*Table834[[#This Row],[Morning Systolic Pressure]]</f>
        <v>5518</v>
      </c>
      <c r="BZ161" s="2">
        <f>Table834[[#This Row],[Waist]]*Table834[[#This Row],[Morning Diastolic Pressure]]</f>
        <v>3070.5</v>
      </c>
      <c r="CA161" s="2">
        <f>Table834[[#This Row],[Waist]]*Table834[[#This Row],[Morning Pulse]]</f>
        <v>2937</v>
      </c>
      <c r="CB161" s="2">
        <f>Table834[[#This Row],[Waist]]*Table834[[#This Row],[Night Body Temp]]</f>
        <v>4312.05</v>
      </c>
      <c r="CC161" s="2">
        <f>Table834[[#This Row],[Waist]]*Table834[[#This Row],[Night Systolic Pressure]]</f>
        <v>5963</v>
      </c>
      <c r="CD161" s="4">
        <f>Table83[[#This Row],[Waist]]*Table83[[#This Row],[Night Diastolic Pressure]]</f>
        <v>3337.5</v>
      </c>
      <c r="CE161" s="2">
        <f>Table834[[#This Row],[Waist]]*Table834[[#This Row],[Night Pulse]]</f>
        <v>3204</v>
      </c>
      <c r="CF161" s="2">
        <f>Table834[[#This Row],[Waist]]*Table834[[#This Row],[Sleep]]</f>
        <v>356</v>
      </c>
      <c r="CG161" s="2">
        <f>Table834[[#This Row],[Waist]]*Table834[[#This Row],[BMI]]</f>
        <v>1613.9732244897959</v>
      </c>
      <c r="CH161" s="2">
        <f>Table834[[#This Row],[Waist]]*Table834[[#This Row],[CBF]]</f>
        <v>1423.8909952522044</v>
      </c>
      <c r="CI161" s="2">
        <f>Table834[[#This Row],[Waist]]*Table834[[#This Row],[Gym]]</f>
        <v>44.5</v>
      </c>
      <c r="CJ161" s="2">
        <f>Table834[[#This Row],[Waist]]*Table834[[#This Row],[Cardio]]</f>
        <v>44.5</v>
      </c>
      <c r="CK161" s="2">
        <f>Table834[[#This Row],[Waist]]*Table834[[#This Row],[Calories]]</f>
        <v>84915.641666666663</v>
      </c>
      <c r="CL161" s="2">
        <f>Table834[[#This Row],[Waist]]*Table834[[#This Row],[Carbs]]</f>
        <v>9511.2816666666677</v>
      </c>
      <c r="CM161" s="2">
        <f>Table834[[#This Row],[Waist]]*Table834[[#This Row],[Fat ]]</f>
        <v>7736.5474999999997</v>
      </c>
      <c r="CN161" s="2">
        <f>Table834[[#This Row],[Waist]]*Table834[[#This Row],[Protein]]</f>
        <v>4316.7966666666671</v>
      </c>
      <c r="CO161" s="2">
        <f>Table834[[#This Row],[Waist]]*Table834[[#This Row],[Fiber]]</f>
        <v>2646.4150000000004</v>
      </c>
      <c r="CP161" s="2">
        <f>Table834[[#This Row],[Waist]]*Table834[[#This Row],[Sugar]]</f>
        <v>2233.3808333333336</v>
      </c>
      <c r="CQ161" s="2">
        <f>Table834[[#This Row],[Waist]]*Table834[[#This Row],[Servings]]</f>
        <v>1713.25</v>
      </c>
      <c r="CR161" s="2">
        <f>Table834[[#This Row],[Waist]]*Table834[[#This Row],[Water]]</f>
        <v>89</v>
      </c>
      <c r="CS161" s="2">
        <f>Table834[[#This Row],[Waist]]*Table834[[#This Row],[Fat Calories]]</f>
        <v>69628.927499999991</v>
      </c>
    </row>
    <row r="162" spans="1:97" x14ac:dyDescent="0.25">
      <c r="A162" s="2">
        <v>251.8</v>
      </c>
      <c r="B162" s="2">
        <f>Table834[[#This Row],[Weight]]^2</f>
        <v>63403.240000000005</v>
      </c>
      <c r="C162" s="2">
        <v>44.5</v>
      </c>
      <c r="D162" s="2">
        <f>Table834[[#This Row],[Waist]]^2</f>
        <v>1980.25</v>
      </c>
      <c r="E162" s="2">
        <v>16.5</v>
      </c>
      <c r="F162" s="2">
        <f>Table834[[#This Row],[Neck]]^2</f>
        <v>272.25</v>
      </c>
      <c r="G162" s="2">
        <v>96.4</v>
      </c>
      <c r="H162" s="2">
        <f>Table834[[#This Row],[Morning Body Temp]]^2</f>
        <v>9292.9600000000009</v>
      </c>
      <c r="I162" s="2">
        <v>123</v>
      </c>
      <c r="J162" s="2">
        <f>Table834[[#This Row],[Morning Systolic Pressure]]^2</f>
        <v>15129</v>
      </c>
      <c r="K162" s="2">
        <v>74</v>
      </c>
      <c r="L162" s="2">
        <f>Table834[[#This Row],[Morning Diastolic Pressure]]^2</f>
        <v>5476</v>
      </c>
      <c r="M162" s="2">
        <v>69</v>
      </c>
      <c r="N162" s="2">
        <f>Table834[[#This Row],[Morning Pulse]]^2</f>
        <v>4761</v>
      </c>
      <c r="O162" s="2">
        <v>96.9</v>
      </c>
      <c r="P162" s="2">
        <f>Table834[[#This Row],[Night Body Temp]]^2</f>
        <v>9389.61</v>
      </c>
      <c r="Q162" s="2">
        <v>135</v>
      </c>
      <c r="R162" s="2">
        <f>Table834[[#This Row],[Night Systolic Pressure]]^2</f>
        <v>18225</v>
      </c>
      <c r="S162" s="2">
        <v>69</v>
      </c>
      <c r="T162" s="2">
        <f>Table834[[#This Row],[Night Diastolic Pressure]]^2</f>
        <v>4761</v>
      </c>
      <c r="U162" s="2">
        <v>71</v>
      </c>
      <c r="V162" s="2">
        <f>Table834[[#This Row],[Night Pulse]]^2</f>
        <v>5041</v>
      </c>
      <c r="W162" s="2">
        <v>8</v>
      </c>
      <c r="X162" s="2">
        <f>Table834[[#This Row],[Sleep]]^2</f>
        <v>64</v>
      </c>
      <c r="Y162" s="2">
        <f t="shared" si="5"/>
        <v>36.125591836734699</v>
      </c>
      <c r="Z162" s="2">
        <f>Table834[[#This Row],[BMI]]^2</f>
        <v>1305.0583855543528</v>
      </c>
      <c r="AA162" s="2">
        <f t="shared" si="4"/>
        <v>31.997550455105717</v>
      </c>
      <c r="AB162" s="2">
        <f>Table834[[#This Row],[CBF]]^2</f>
        <v>1023.8432351270361</v>
      </c>
      <c r="AC162" s="2">
        <v>0</v>
      </c>
      <c r="AD162" s="2">
        <f>Table834[[#This Row],[Gym]]^2</f>
        <v>0</v>
      </c>
      <c r="AE162" s="2">
        <v>0</v>
      </c>
      <c r="AF162" s="2">
        <f>Table834[[#This Row],[Cardio]]^2</f>
        <v>0</v>
      </c>
      <c r="AG162" s="2">
        <v>4115.6466666666665</v>
      </c>
      <c r="AH162" s="2">
        <f>Table834[[#This Row],[Calories]]^2</f>
        <v>16938547.484844442</v>
      </c>
      <c r="AI162" s="2">
        <v>463.25366666666667</v>
      </c>
      <c r="AJ162" s="2">
        <f>Table834[[#This Row],[Carbs]]^2</f>
        <v>214603.95968011112</v>
      </c>
      <c r="AK162" s="2">
        <v>172.392</v>
      </c>
      <c r="AL162" s="2">
        <f>Table834[[#This Row],[Fat ]]^2</f>
        <v>29719.001663999999</v>
      </c>
      <c r="AM162" s="2">
        <v>144.58466666666666</v>
      </c>
      <c r="AN162" s="2">
        <f>Table834[[#This Row],[Protein]]^2</f>
        <v>20904.725835111109</v>
      </c>
      <c r="AO162" s="2">
        <v>28.869</v>
      </c>
      <c r="AP162" s="2">
        <f>Table834[[#This Row],[Fiber]]^2</f>
        <v>833.41916100000003</v>
      </c>
      <c r="AQ162" s="2">
        <v>218.47633333333334</v>
      </c>
      <c r="AR162" s="2">
        <f>Table834[[#This Row],[Sugar]]^2</f>
        <v>47731.908226777785</v>
      </c>
      <c r="AS162" s="2">
        <v>64.39</v>
      </c>
      <c r="AT162" s="2">
        <f>Table834[[#This Row],[Servings]]^2</f>
        <v>4146.0721000000003</v>
      </c>
      <c r="AU162" s="2">
        <v>1</v>
      </c>
      <c r="AV162" s="2">
        <f>Table834[[#This Row],[Water]]^2</f>
        <v>1</v>
      </c>
      <c r="AW162" s="2">
        <v>1551.528</v>
      </c>
      <c r="AX162" s="2">
        <f>Table834[[#This Row],[Fat Calories]]^2</f>
        <v>2407239.134784</v>
      </c>
      <c r="AY162" s="3">
        <f>Table834[[#This Row],[Weight]]*Table834[[#This Row],[Waist]]</f>
        <v>11205.1</v>
      </c>
      <c r="AZ162" s="4">
        <f>Table834[[#This Row],[Weight]]*Table834[[#This Row],[Neck]]</f>
        <v>4154.7</v>
      </c>
      <c r="BA162" s="4">
        <f>Table834[[#This Row],[Weight]]*Table834[[#This Row],[Morning Body Temp]]</f>
        <v>24273.520000000004</v>
      </c>
      <c r="BB162" s="4">
        <f>Table834[[#This Row],[Weight]]*Table834[[#This Row],[Morning Systolic Pressure]]</f>
        <v>30971.4</v>
      </c>
      <c r="BC162" s="11">
        <f>Table834[[#This Row],[Weight]]*Table834[[#This Row],[Morning Diastolic Pressure]]</f>
        <v>18633.2</v>
      </c>
      <c r="BD162" s="2">
        <f>Table834[[#This Row],[Weight]]*Table834[[#This Row],[Morning Pulse]]</f>
        <v>17374.2</v>
      </c>
      <c r="BE162" s="2">
        <f>Table834[[#This Row],[Weight]]*Table834[[#This Row],[Night Body Temp]]</f>
        <v>24399.420000000002</v>
      </c>
      <c r="BF162" s="2">
        <f>Table834[[#This Row],[Weight]]*Table834[[#This Row],[Night Systolic Pressure]]</f>
        <v>33993</v>
      </c>
      <c r="BG162" s="4">
        <f>Table83[[#This Row],[Weight]]*Table83[[#This Row],[Night Diastolic Pressure]]</f>
        <v>17374.2</v>
      </c>
      <c r="BH162" s="2">
        <f>Table834[[#This Row],[Weight]]*Table834[[#This Row],[Night Pulse]]</f>
        <v>17877.8</v>
      </c>
      <c r="BI162" s="2">
        <f>Table834[[#This Row],[Weight]]*Table834[[#This Row],[Sleep]]</f>
        <v>2014.4</v>
      </c>
      <c r="BJ162" s="2">
        <f>Table834[[#This Row],[Weight]]*Table834[[#This Row],[BMI]]</f>
        <v>9096.4240244897974</v>
      </c>
      <c r="BK162" s="2">
        <f>Table834[[#This Row],[Weight]]*Table834[[#This Row],[CBF]]</f>
        <v>8056.98320459562</v>
      </c>
      <c r="BL162" s="2">
        <f>Table834[[#This Row],[Weight]]*Table834[[#This Row],[Gym]]</f>
        <v>0</v>
      </c>
      <c r="BM162" s="2">
        <f>Table834[[#This Row],[Weight]]*Table834[[#This Row],[Cardio]]</f>
        <v>0</v>
      </c>
      <c r="BN162" s="2">
        <f>Table834[[#This Row],[Weight]]*Table834[[#This Row],[Calories]]</f>
        <v>1036319.8306666667</v>
      </c>
      <c r="BO162" s="2">
        <f>Table834[[#This Row],[Weight]]*Table834[[#This Row],[Carbs]]</f>
        <v>116647.27326666667</v>
      </c>
      <c r="BP162" s="2">
        <f>Table834[[#This Row],[Weight]]*Table834[[#This Row],[Fat ]]</f>
        <v>43408.3056</v>
      </c>
      <c r="BQ162" s="2">
        <f>Table834[[#This Row],[Weight]]*Table834[[#This Row],[Protein]]</f>
        <v>36406.419066666669</v>
      </c>
      <c r="BR162" s="2">
        <f>Table834[[#This Row],[Weight]]*Table834[[#This Row],[Fiber]]</f>
        <v>7269.2142000000003</v>
      </c>
      <c r="BS162" s="2">
        <f>Table834[[#This Row],[Weight]]*Table834[[#This Row],[Sugar]]</f>
        <v>55012.340733333338</v>
      </c>
      <c r="BT162" s="2">
        <f>Table834[[#This Row],[Weight]]*Table834[[#This Row],[Servings]]</f>
        <v>16213.402</v>
      </c>
      <c r="BU162" s="2">
        <f>Table834[[#This Row],[Weight]]*Table834[[#This Row],[Water]]</f>
        <v>251.8</v>
      </c>
      <c r="BV162" s="2">
        <f>Table834[[#This Row],[Weight]]*Table834[[#This Row],[Fat Calories]]</f>
        <v>390674.75040000002</v>
      </c>
      <c r="BW162" s="2">
        <f>Table834[[#This Row],[Waist]]*Table834[[#This Row],[Neck]]</f>
        <v>734.25</v>
      </c>
      <c r="BX162" s="2">
        <f>Table834[[#This Row],[Waist]]*Table834[[#This Row],[Morning Body Temp]]</f>
        <v>4289.8</v>
      </c>
      <c r="BY162" s="2">
        <f>Table834[[#This Row],[Waist]]*Table834[[#This Row],[Morning Systolic Pressure]]</f>
        <v>5473.5</v>
      </c>
      <c r="BZ162" s="2">
        <f>Table834[[#This Row],[Waist]]*Table834[[#This Row],[Morning Diastolic Pressure]]</f>
        <v>3293</v>
      </c>
      <c r="CA162" s="2">
        <f>Table834[[#This Row],[Waist]]*Table834[[#This Row],[Morning Pulse]]</f>
        <v>3070.5</v>
      </c>
      <c r="CB162" s="2">
        <f>Table834[[#This Row],[Waist]]*Table834[[#This Row],[Night Body Temp]]</f>
        <v>4312.05</v>
      </c>
      <c r="CC162" s="2">
        <f>Table834[[#This Row],[Waist]]*Table834[[#This Row],[Night Systolic Pressure]]</f>
        <v>6007.5</v>
      </c>
      <c r="CD162" s="4">
        <f>Table83[[#This Row],[Waist]]*Table83[[#This Row],[Night Diastolic Pressure]]</f>
        <v>3070.5</v>
      </c>
      <c r="CE162" s="2">
        <f>Table834[[#This Row],[Waist]]*Table834[[#This Row],[Night Pulse]]</f>
        <v>3159.5</v>
      </c>
      <c r="CF162" s="2">
        <f>Table834[[#This Row],[Waist]]*Table834[[#This Row],[Sleep]]</f>
        <v>356</v>
      </c>
      <c r="CG162" s="2">
        <f>Table834[[#This Row],[Waist]]*Table834[[#This Row],[BMI]]</f>
        <v>1607.588836734694</v>
      </c>
      <c r="CH162" s="2">
        <f>Table834[[#This Row],[Waist]]*Table834[[#This Row],[CBF]]</f>
        <v>1423.8909952522044</v>
      </c>
      <c r="CI162" s="2">
        <f>Table834[[#This Row],[Waist]]*Table834[[#This Row],[Gym]]</f>
        <v>0</v>
      </c>
      <c r="CJ162" s="2">
        <f>Table834[[#This Row],[Waist]]*Table834[[#This Row],[Cardio]]</f>
        <v>0</v>
      </c>
      <c r="CK162" s="2">
        <f>Table834[[#This Row],[Waist]]*Table834[[#This Row],[Calories]]</f>
        <v>183146.27666666667</v>
      </c>
      <c r="CL162" s="2">
        <f>Table834[[#This Row],[Waist]]*Table834[[#This Row],[Carbs]]</f>
        <v>20614.788166666665</v>
      </c>
      <c r="CM162" s="2">
        <f>Table834[[#This Row],[Waist]]*Table834[[#This Row],[Fat ]]</f>
        <v>7671.4439999999995</v>
      </c>
      <c r="CN162" s="2">
        <f>Table834[[#This Row],[Waist]]*Table834[[#This Row],[Protein]]</f>
        <v>6434.0176666666666</v>
      </c>
      <c r="CO162" s="2">
        <f>Table834[[#This Row],[Waist]]*Table834[[#This Row],[Fiber]]</f>
        <v>1284.6704999999999</v>
      </c>
      <c r="CP162" s="2">
        <f>Table834[[#This Row],[Waist]]*Table834[[#This Row],[Sugar]]</f>
        <v>9722.1968333333334</v>
      </c>
      <c r="CQ162" s="2">
        <f>Table834[[#This Row],[Waist]]*Table834[[#This Row],[Servings]]</f>
        <v>2865.355</v>
      </c>
      <c r="CR162" s="2">
        <f>Table834[[#This Row],[Waist]]*Table834[[#This Row],[Water]]</f>
        <v>44.5</v>
      </c>
      <c r="CS162" s="2">
        <f>Table834[[#This Row],[Waist]]*Table834[[#This Row],[Fat Calories]]</f>
        <v>69042.995999999999</v>
      </c>
    </row>
    <row r="163" spans="1:97" x14ac:dyDescent="0.25">
      <c r="A163" s="2">
        <v>254.8</v>
      </c>
      <c r="B163" s="2">
        <f>Table834[[#This Row],[Weight]]^2</f>
        <v>64923.040000000008</v>
      </c>
      <c r="C163" s="2">
        <v>44.5</v>
      </c>
      <c r="D163" s="2">
        <f>Table834[[#This Row],[Waist]]^2</f>
        <v>1980.25</v>
      </c>
      <c r="E163" s="2">
        <v>16.5</v>
      </c>
      <c r="F163" s="2">
        <f>Table834[[#This Row],[Neck]]^2</f>
        <v>272.25</v>
      </c>
      <c r="G163" s="2">
        <v>97.2</v>
      </c>
      <c r="H163" s="2">
        <f>Table834[[#This Row],[Morning Body Temp]]^2</f>
        <v>9447.84</v>
      </c>
      <c r="I163" s="2">
        <v>144</v>
      </c>
      <c r="J163" s="2">
        <f>Table834[[#This Row],[Morning Systolic Pressure]]^2</f>
        <v>20736</v>
      </c>
      <c r="K163" s="2">
        <v>83</v>
      </c>
      <c r="L163" s="2">
        <f>Table834[[#This Row],[Morning Diastolic Pressure]]^2</f>
        <v>6889</v>
      </c>
      <c r="M163" s="2">
        <v>99</v>
      </c>
      <c r="N163" s="2">
        <f>Table834[[#This Row],[Morning Pulse]]^2</f>
        <v>9801</v>
      </c>
      <c r="O163" s="2">
        <v>96.8</v>
      </c>
      <c r="P163" s="2">
        <f>Table834[[#This Row],[Night Body Temp]]^2</f>
        <v>9370.24</v>
      </c>
      <c r="Q163" s="2">
        <v>124</v>
      </c>
      <c r="R163" s="2">
        <f>Table834[[#This Row],[Night Systolic Pressure]]^2</f>
        <v>15376</v>
      </c>
      <c r="S163" s="2">
        <v>72</v>
      </c>
      <c r="T163" s="2">
        <f>Table834[[#This Row],[Night Diastolic Pressure]]^2</f>
        <v>5184</v>
      </c>
      <c r="U163" s="2">
        <v>74</v>
      </c>
      <c r="V163" s="2">
        <f>Table834[[#This Row],[Night Pulse]]^2</f>
        <v>5476</v>
      </c>
      <c r="W163" s="2">
        <v>6</v>
      </c>
      <c r="X163" s="2">
        <f>Table834[[#This Row],[Sleep]]^2</f>
        <v>36</v>
      </c>
      <c r="Y163" s="2">
        <f t="shared" si="5"/>
        <v>36.556000000000004</v>
      </c>
      <c r="Z163" s="2">
        <f>Table834[[#This Row],[BMI]]^2</f>
        <v>1336.3411360000002</v>
      </c>
      <c r="AA163" s="2">
        <f t="shared" si="4"/>
        <v>31.997550455105717</v>
      </c>
      <c r="AB163" s="2">
        <f>Table834[[#This Row],[CBF]]^2</f>
        <v>1023.8432351270361</v>
      </c>
      <c r="AC163" s="2">
        <v>0</v>
      </c>
      <c r="AD163" s="2">
        <f>Table834[[#This Row],[Gym]]^2</f>
        <v>0</v>
      </c>
      <c r="AE163" s="2">
        <v>0</v>
      </c>
      <c r="AF163" s="2">
        <f>Table834[[#This Row],[Cardio]]^2</f>
        <v>0</v>
      </c>
      <c r="AG163" s="2">
        <v>2253.5166666666664</v>
      </c>
      <c r="AH163" s="2">
        <f>Table834[[#This Row],[Calories]]^2</f>
        <v>5078337.3669444434</v>
      </c>
      <c r="AI163" s="2">
        <v>285.66666666666663</v>
      </c>
      <c r="AJ163" s="2">
        <f>Table834[[#This Row],[Carbs]]^2</f>
        <v>81605.444444444423</v>
      </c>
      <c r="AK163" s="2">
        <v>74.325000000000003</v>
      </c>
      <c r="AL163" s="2">
        <f>Table834[[#This Row],[Fat ]]^2</f>
        <v>5524.2056250000005</v>
      </c>
      <c r="AM163" s="2">
        <v>94.26666666666668</v>
      </c>
      <c r="AN163" s="2">
        <f>Table834[[#This Row],[Protein]]^2</f>
        <v>8886.2044444444473</v>
      </c>
      <c r="AO163" s="2">
        <v>18</v>
      </c>
      <c r="AP163" s="2">
        <f>Table834[[#This Row],[Fiber]]^2</f>
        <v>324</v>
      </c>
      <c r="AQ163" s="2">
        <v>168.30833333333334</v>
      </c>
      <c r="AR163" s="2">
        <f>Table834[[#This Row],[Sugar]]^2</f>
        <v>28327.695069444446</v>
      </c>
      <c r="AS163" s="2">
        <v>65</v>
      </c>
      <c r="AT163" s="2">
        <f>Table834[[#This Row],[Servings]]^2</f>
        <v>4225</v>
      </c>
      <c r="AU163" s="2">
        <v>1</v>
      </c>
      <c r="AV163" s="2">
        <f>Table834[[#This Row],[Water]]^2</f>
        <v>1</v>
      </c>
      <c r="AW163" s="2">
        <v>668.92499999999995</v>
      </c>
      <c r="AX163" s="2">
        <f>Table834[[#This Row],[Fat Calories]]^2</f>
        <v>447460.65562499996</v>
      </c>
      <c r="AY163" s="5">
        <f>Table834[[#This Row],[Weight]]*Table834[[#This Row],[Waist]]</f>
        <v>11338.6</v>
      </c>
      <c r="AZ163" s="6">
        <f>Table834[[#This Row],[Weight]]*Table834[[#This Row],[Neck]]</f>
        <v>4204.2</v>
      </c>
      <c r="BA163" s="6">
        <f>Table834[[#This Row],[Weight]]*Table834[[#This Row],[Morning Body Temp]]</f>
        <v>24766.560000000001</v>
      </c>
      <c r="BB163" s="6">
        <f>Table834[[#This Row],[Weight]]*Table834[[#This Row],[Morning Systolic Pressure]]</f>
        <v>36691.200000000004</v>
      </c>
      <c r="BC163" s="12">
        <f>Table834[[#This Row],[Weight]]*Table834[[#This Row],[Morning Diastolic Pressure]]</f>
        <v>21148.400000000001</v>
      </c>
      <c r="BD163" s="2">
        <f>Table834[[#This Row],[Weight]]*Table834[[#This Row],[Morning Pulse]]</f>
        <v>25225.200000000001</v>
      </c>
      <c r="BE163" s="2">
        <f>Table834[[#This Row],[Weight]]*Table834[[#This Row],[Night Body Temp]]</f>
        <v>24664.639999999999</v>
      </c>
      <c r="BF163" s="2">
        <f>Table834[[#This Row],[Weight]]*Table834[[#This Row],[Night Systolic Pressure]]</f>
        <v>31595.200000000001</v>
      </c>
      <c r="BG163" s="4">
        <f>Table83[[#This Row],[Weight]]*Table83[[#This Row],[Night Diastolic Pressure]]</f>
        <v>18345.600000000002</v>
      </c>
      <c r="BH163" s="2">
        <f>Table834[[#This Row],[Weight]]*Table834[[#This Row],[Night Pulse]]</f>
        <v>18855.2</v>
      </c>
      <c r="BI163" s="2">
        <f>Table834[[#This Row],[Weight]]*Table834[[#This Row],[Sleep]]</f>
        <v>1528.8000000000002</v>
      </c>
      <c r="BJ163" s="2">
        <f>Table834[[#This Row],[Weight]]*Table834[[#This Row],[BMI]]</f>
        <v>9314.4688000000024</v>
      </c>
      <c r="BK163" s="2">
        <f>Table834[[#This Row],[Weight]]*Table834[[#This Row],[CBF]]</f>
        <v>8152.9758559609372</v>
      </c>
      <c r="BL163" s="2">
        <f>Table834[[#This Row],[Weight]]*Table834[[#This Row],[Gym]]</f>
        <v>0</v>
      </c>
      <c r="BM163" s="2">
        <f>Table834[[#This Row],[Weight]]*Table834[[#This Row],[Cardio]]</f>
        <v>0</v>
      </c>
      <c r="BN163" s="2">
        <f>Table834[[#This Row],[Weight]]*Table834[[#This Row],[Calories]]</f>
        <v>574196.04666666663</v>
      </c>
      <c r="BO163" s="2">
        <f>Table834[[#This Row],[Weight]]*Table834[[#This Row],[Carbs]]</f>
        <v>72787.866666666654</v>
      </c>
      <c r="BP163" s="2">
        <f>Table834[[#This Row],[Weight]]*Table834[[#This Row],[Fat ]]</f>
        <v>18938.010000000002</v>
      </c>
      <c r="BQ163" s="2">
        <f>Table834[[#This Row],[Weight]]*Table834[[#This Row],[Protein]]</f>
        <v>24019.146666666671</v>
      </c>
      <c r="BR163" s="2">
        <f>Table834[[#This Row],[Weight]]*Table834[[#This Row],[Fiber]]</f>
        <v>4586.4000000000005</v>
      </c>
      <c r="BS163" s="2">
        <f>Table834[[#This Row],[Weight]]*Table834[[#This Row],[Sugar]]</f>
        <v>42884.963333333333</v>
      </c>
      <c r="BT163" s="2">
        <f>Table834[[#This Row],[Weight]]*Table834[[#This Row],[Servings]]</f>
        <v>16562</v>
      </c>
      <c r="BU163" s="2">
        <f>Table834[[#This Row],[Weight]]*Table834[[#This Row],[Water]]</f>
        <v>254.8</v>
      </c>
      <c r="BV163" s="2">
        <f>Table834[[#This Row],[Weight]]*Table834[[#This Row],[Fat Calories]]</f>
        <v>170442.09</v>
      </c>
      <c r="BW163" s="2">
        <f>Table834[[#This Row],[Waist]]*Table834[[#This Row],[Neck]]</f>
        <v>734.25</v>
      </c>
      <c r="BX163" s="2">
        <f>Table834[[#This Row],[Waist]]*Table834[[#This Row],[Morning Body Temp]]</f>
        <v>4325.4000000000005</v>
      </c>
      <c r="BY163" s="2">
        <f>Table834[[#This Row],[Waist]]*Table834[[#This Row],[Morning Systolic Pressure]]</f>
        <v>6408</v>
      </c>
      <c r="BZ163" s="2">
        <f>Table834[[#This Row],[Waist]]*Table834[[#This Row],[Morning Diastolic Pressure]]</f>
        <v>3693.5</v>
      </c>
      <c r="CA163" s="2">
        <f>Table834[[#This Row],[Waist]]*Table834[[#This Row],[Morning Pulse]]</f>
        <v>4405.5</v>
      </c>
      <c r="CB163" s="2">
        <f>Table834[[#This Row],[Waist]]*Table834[[#This Row],[Night Body Temp]]</f>
        <v>4307.5999999999995</v>
      </c>
      <c r="CC163" s="2">
        <f>Table834[[#This Row],[Waist]]*Table834[[#This Row],[Night Systolic Pressure]]</f>
        <v>5518</v>
      </c>
      <c r="CD163" s="4">
        <f>Table83[[#This Row],[Waist]]*Table83[[#This Row],[Night Diastolic Pressure]]</f>
        <v>3204</v>
      </c>
      <c r="CE163" s="2">
        <f>Table834[[#This Row],[Waist]]*Table834[[#This Row],[Night Pulse]]</f>
        <v>3293</v>
      </c>
      <c r="CF163" s="2">
        <f>Table834[[#This Row],[Waist]]*Table834[[#This Row],[Sleep]]</f>
        <v>267</v>
      </c>
      <c r="CG163" s="2">
        <f>Table834[[#This Row],[Waist]]*Table834[[#This Row],[BMI]]</f>
        <v>1626.7420000000002</v>
      </c>
      <c r="CH163" s="2">
        <f>Table834[[#This Row],[Waist]]*Table834[[#This Row],[CBF]]</f>
        <v>1423.8909952522044</v>
      </c>
      <c r="CI163" s="2">
        <f>Table834[[#This Row],[Waist]]*Table834[[#This Row],[Gym]]</f>
        <v>0</v>
      </c>
      <c r="CJ163" s="2">
        <f>Table834[[#This Row],[Waist]]*Table834[[#This Row],[Cardio]]</f>
        <v>0</v>
      </c>
      <c r="CK163" s="2">
        <f>Table834[[#This Row],[Waist]]*Table834[[#This Row],[Calories]]</f>
        <v>100281.49166666665</v>
      </c>
      <c r="CL163" s="2">
        <f>Table834[[#This Row],[Waist]]*Table834[[#This Row],[Carbs]]</f>
        <v>12712.166666666664</v>
      </c>
      <c r="CM163" s="2">
        <f>Table834[[#This Row],[Waist]]*Table834[[#This Row],[Fat ]]</f>
        <v>3307.4625000000001</v>
      </c>
      <c r="CN163" s="2">
        <f>Table834[[#This Row],[Waist]]*Table834[[#This Row],[Protein]]</f>
        <v>4194.8666666666677</v>
      </c>
      <c r="CO163" s="2">
        <f>Table834[[#This Row],[Waist]]*Table834[[#This Row],[Fiber]]</f>
        <v>801</v>
      </c>
      <c r="CP163" s="2">
        <f>Table834[[#This Row],[Waist]]*Table834[[#This Row],[Sugar]]</f>
        <v>7489.7208333333338</v>
      </c>
      <c r="CQ163" s="2">
        <f>Table834[[#This Row],[Waist]]*Table834[[#This Row],[Servings]]</f>
        <v>2892.5</v>
      </c>
      <c r="CR163" s="2">
        <f>Table834[[#This Row],[Waist]]*Table834[[#This Row],[Water]]</f>
        <v>44.5</v>
      </c>
      <c r="CS163" s="2">
        <f>Table834[[#This Row],[Waist]]*Table834[[#This Row],[Fat Calories]]</f>
        <v>29767.162499999999</v>
      </c>
    </row>
    <row r="164" spans="1:97" x14ac:dyDescent="0.25">
      <c r="A164" s="2">
        <v>255</v>
      </c>
      <c r="B164" s="2">
        <f>Table834[[#This Row],[Weight]]^2</f>
        <v>65025</v>
      </c>
      <c r="C164" s="2">
        <v>44.5</v>
      </c>
      <c r="D164" s="2">
        <f>Table834[[#This Row],[Waist]]^2</f>
        <v>1980.25</v>
      </c>
      <c r="E164" s="2">
        <v>16.5</v>
      </c>
      <c r="F164" s="2">
        <f>Table834[[#This Row],[Neck]]^2</f>
        <v>272.25</v>
      </c>
      <c r="G164" s="2">
        <v>97.3</v>
      </c>
      <c r="H164" s="2">
        <f>Table834[[#This Row],[Morning Body Temp]]^2</f>
        <v>9467.2899999999991</v>
      </c>
      <c r="I164" s="2">
        <v>133</v>
      </c>
      <c r="J164" s="2">
        <f>Table834[[#This Row],[Morning Systolic Pressure]]^2</f>
        <v>17689</v>
      </c>
      <c r="K164" s="2">
        <v>83</v>
      </c>
      <c r="L164" s="2">
        <f>Table834[[#This Row],[Morning Diastolic Pressure]]^2</f>
        <v>6889</v>
      </c>
      <c r="M164" s="2">
        <v>76</v>
      </c>
      <c r="N164" s="2">
        <f>Table834[[#This Row],[Morning Pulse]]^2</f>
        <v>5776</v>
      </c>
      <c r="O164" s="2">
        <v>97.8</v>
      </c>
      <c r="P164" s="2">
        <f>Table834[[#This Row],[Night Body Temp]]^2</f>
        <v>9564.84</v>
      </c>
      <c r="Q164" s="2">
        <v>134</v>
      </c>
      <c r="R164" s="2">
        <f>Table834[[#This Row],[Night Systolic Pressure]]^2</f>
        <v>17956</v>
      </c>
      <c r="S164" s="2">
        <v>77</v>
      </c>
      <c r="T164" s="2">
        <f>Table834[[#This Row],[Night Diastolic Pressure]]^2</f>
        <v>5929</v>
      </c>
      <c r="U164" s="2">
        <v>77</v>
      </c>
      <c r="V164" s="2">
        <f>Table834[[#This Row],[Night Pulse]]^2</f>
        <v>5929</v>
      </c>
      <c r="W164" s="2">
        <v>6</v>
      </c>
      <c r="X164" s="2">
        <f>Table834[[#This Row],[Sleep]]^2</f>
        <v>36</v>
      </c>
      <c r="Y164" s="2">
        <f t="shared" si="5"/>
        <v>36.584693877551018</v>
      </c>
      <c r="Z164" s="2">
        <f>Table834[[#This Row],[BMI]]^2</f>
        <v>1338.4398261141189</v>
      </c>
      <c r="AA164" s="2">
        <f t="shared" si="4"/>
        <v>31.997550455105717</v>
      </c>
      <c r="AB164" s="2">
        <f>Table834[[#This Row],[CBF]]^2</f>
        <v>1023.8432351270361</v>
      </c>
      <c r="AC164" s="2">
        <v>0</v>
      </c>
      <c r="AD164" s="2">
        <f>Table834[[#This Row],[Gym]]^2</f>
        <v>0</v>
      </c>
      <c r="AE164" s="2">
        <v>0</v>
      </c>
      <c r="AF164" s="2">
        <f>Table834[[#This Row],[Cardio]]^2</f>
        <v>0</v>
      </c>
      <c r="AG164" s="2">
        <v>4339.55</v>
      </c>
      <c r="AH164" s="2">
        <f>Table834[[#This Row],[Calories]]^2</f>
        <v>18831694.202500001</v>
      </c>
      <c r="AI164" s="2">
        <v>871.2</v>
      </c>
      <c r="AJ164" s="2">
        <f>Table834[[#This Row],[Carbs]]^2</f>
        <v>758989.44000000006</v>
      </c>
      <c r="AK164" s="2">
        <v>39.975000000000001</v>
      </c>
      <c r="AL164" s="2">
        <f>Table834[[#This Row],[Fat ]]^2</f>
        <v>1598.0006250000001</v>
      </c>
      <c r="AM164" s="2">
        <v>122.00000000000001</v>
      </c>
      <c r="AN164" s="2">
        <f>Table834[[#This Row],[Protein]]^2</f>
        <v>14884.000000000004</v>
      </c>
      <c r="AO164" s="2">
        <v>39.6</v>
      </c>
      <c r="AP164" s="2">
        <f>Table834[[#This Row],[Fiber]]^2</f>
        <v>1568.16</v>
      </c>
      <c r="AQ164" s="2">
        <v>751.32500000000005</v>
      </c>
      <c r="AR164" s="2">
        <f>Table834[[#This Row],[Sugar]]^2</f>
        <v>564489.25562500011</v>
      </c>
      <c r="AS164" s="2">
        <v>147</v>
      </c>
      <c r="AT164" s="2">
        <f>Table834[[#This Row],[Servings]]^2</f>
        <v>21609</v>
      </c>
      <c r="AU164" s="2">
        <v>0</v>
      </c>
      <c r="AV164" s="2">
        <f>Table834[[#This Row],[Water]]^2</f>
        <v>0</v>
      </c>
      <c r="AW164" s="2">
        <v>359.77499999999998</v>
      </c>
      <c r="AX164" s="2">
        <f>Table834[[#This Row],[Fat Calories]]^2</f>
        <v>129438.05062499999</v>
      </c>
      <c r="AY164" s="3">
        <f>Table834[[#This Row],[Weight]]*Table834[[#This Row],[Waist]]</f>
        <v>11347.5</v>
      </c>
      <c r="AZ164" s="4">
        <f>Table834[[#This Row],[Weight]]*Table834[[#This Row],[Neck]]</f>
        <v>4207.5</v>
      </c>
      <c r="BA164" s="4">
        <f>Table834[[#This Row],[Weight]]*Table834[[#This Row],[Morning Body Temp]]</f>
        <v>24811.5</v>
      </c>
      <c r="BB164" s="4">
        <f>Table834[[#This Row],[Weight]]*Table834[[#This Row],[Morning Systolic Pressure]]</f>
        <v>33915</v>
      </c>
      <c r="BC164" s="11">
        <f>Table834[[#This Row],[Weight]]*Table834[[#This Row],[Morning Diastolic Pressure]]</f>
        <v>21165</v>
      </c>
      <c r="BD164" s="2">
        <f>Table834[[#This Row],[Weight]]*Table834[[#This Row],[Morning Pulse]]</f>
        <v>19380</v>
      </c>
      <c r="BE164" s="2">
        <f>Table834[[#This Row],[Weight]]*Table834[[#This Row],[Night Body Temp]]</f>
        <v>24939</v>
      </c>
      <c r="BF164" s="2">
        <f>Table834[[#This Row],[Weight]]*Table834[[#This Row],[Night Systolic Pressure]]</f>
        <v>34170</v>
      </c>
      <c r="BG164" s="4">
        <f>Table83[[#This Row],[Weight]]*Table83[[#This Row],[Night Diastolic Pressure]]</f>
        <v>19635</v>
      </c>
      <c r="BH164" s="2">
        <f>Table834[[#This Row],[Weight]]*Table834[[#This Row],[Night Pulse]]</f>
        <v>19635</v>
      </c>
      <c r="BI164" s="2">
        <f>Table834[[#This Row],[Weight]]*Table834[[#This Row],[Sleep]]</f>
        <v>1530</v>
      </c>
      <c r="BJ164" s="2">
        <f>Table834[[#This Row],[Weight]]*Table834[[#This Row],[BMI]]</f>
        <v>9329.0969387755104</v>
      </c>
      <c r="BK164" s="2">
        <f>Table834[[#This Row],[Weight]]*Table834[[#This Row],[CBF]]</f>
        <v>8159.3753660519578</v>
      </c>
      <c r="BL164" s="2">
        <f>Table834[[#This Row],[Weight]]*Table834[[#This Row],[Gym]]</f>
        <v>0</v>
      </c>
      <c r="BM164" s="2">
        <f>Table834[[#This Row],[Weight]]*Table834[[#This Row],[Cardio]]</f>
        <v>0</v>
      </c>
      <c r="BN164" s="2">
        <f>Table834[[#This Row],[Weight]]*Table834[[#This Row],[Calories]]</f>
        <v>1106585.25</v>
      </c>
      <c r="BO164" s="2">
        <f>Table834[[#This Row],[Weight]]*Table834[[#This Row],[Carbs]]</f>
        <v>222156</v>
      </c>
      <c r="BP164" s="2">
        <f>Table834[[#This Row],[Weight]]*Table834[[#This Row],[Fat ]]</f>
        <v>10193.625</v>
      </c>
      <c r="BQ164" s="2">
        <f>Table834[[#This Row],[Weight]]*Table834[[#This Row],[Protein]]</f>
        <v>31110.000000000004</v>
      </c>
      <c r="BR164" s="2">
        <f>Table834[[#This Row],[Weight]]*Table834[[#This Row],[Fiber]]</f>
        <v>10098</v>
      </c>
      <c r="BS164" s="2">
        <f>Table834[[#This Row],[Weight]]*Table834[[#This Row],[Sugar]]</f>
        <v>191587.875</v>
      </c>
      <c r="BT164" s="2">
        <f>Table834[[#This Row],[Weight]]*Table834[[#This Row],[Servings]]</f>
        <v>37485</v>
      </c>
      <c r="BU164" s="2">
        <f>Table834[[#This Row],[Weight]]*Table834[[#This Row],[Water]]</f>
        <v>0</v>
      </c>
      <c r="BV164" s="2">
        <f>Table834[[#This Row],[Weight]]*Table834[[#This Row],[Fat Calories]]</f>
        <v>91742.625</v>
      </c>
      <c r="BW164" s="2">
        <f>Table834[[#This Row],[Waist]]*Table834[[#This Row],[Neck]]</f>
        <v>734.25</v>
      </c>
      <c r="BX164" s="2">
        <f>Table834[[#This Row],[Waist]]*Table834[[#This Row],[Morning Body Temp]]</f>
        <v>4329.8499999999995</v>
      </c>
      <c r="BY164" s="2">
        <f>Table834[[#This Row],[Waist]]*Table834[[#This Row],[Morning Systolic Pressure]]</f>
        <v>5918.5</v>
      </c>
      <c r="BZ164" s="2">
        <f>Table834[[#This Row],[Waist]]*Table834[[#This Row],[Morning Diastolic Pressure]]</f>
        <v>3693.5</v>
      </c>
      <c r="CA164" s="2">
        <f>Table834[[#This Row],[Waist]]*Table834[[#This Row],[Morning Pulse]]</f>
        <v>3382</v>
      </c>
      <c r="CB164" s="2">
        <f>Table834[[#This Row],[Waist]]*Table834[[#This Row],[Night Body Temp]]</f>
        <v>4352.0999999999995</v>
      </c>
      <c r="CC164" s="2">
        <f>Table834[[#This Row],[Waist]]*Table834[[#This Row],[Night Systolic Pressure]]</f>
        <v>5963</v>
      </c>
      <c r="CD164" s="4">
        <f>Table83[[#This Row],[Waist]]*Table83[[#This Row],[Night Diastolic Pressure]]</f>
        <v>3426.5</v>
      </c>
      <c r="CE164" s="2">
        <f>Table834[[#This Row],[Waist]]*Table834[[#This Row],[Night Pulse]]</f>
        <v>3426.5</v>
      </c>
      <c r="CF164" s="2">
        <f>Table834[[#This Row],[Waist]]*Table834[[#This Row],[Sleep]]</f>
        <v>267</v>
      </c>
      <c r="CG164" s="2">
        <f>Table834[[#This Row],[Waist]]*Table834[[#This Row],[BMI]]</f>
        <v>1628.0188775510203</v>
      </c>
      <c r="CH164" s="2">
        <f>Table834[[#This Row],[Waist]]*Table834[[#This Row],[CBF]]</f>
        <v>1423.8909952522044</v>
      </c>
      <c r="CI164" s="2">
        <f>Table834[[#This Row],[Waist]]*Table834[[#This Row],[Gym]]</f>
        <v>0</v>
      </c>
      <c r="CJ164" s="2">
        <f>Table834[[#This Row],[Waist]]*Table834[[#This Row],[Cardio]]</f>
        <v>0</v>
      </c>
      <c r="CK164" s="2">
        <f>Table834[[#This Row],[Waist]]*Table834[[#This Row],[Calories]]</f>
        <v>193109.97500000001</v>
      </c>
      <c r="CL164" s="2">
        <f>Table834[[#This Row],[Waist]]*Table834[[#This Row],[Carbs]]</f>
        <v>38768.400000000001</v>
      </c>
      <c r="CM164" s="2">
        <f>Table834[[#This Row],[Waist]]*Table834[[#This Row],[Fat ]]</f>
        <v>1778.8875</v>
      </c>
      <c r="CN164" s="2">
        <f>Table834[[#This Row],[Waist]]*Table834[[#This Row],[Protein]]</f>
        <v>5429.0000000000009</v>
      </c>
      <c r="CO164" s="2">
        <f>Table834[[#This Row],[Waist]]*Table834[[#This Row],[Fiber]]</f>
        <v>1762.2</v>
      </c>
      <c r="CP164" s="2">
        <f>Table834[[#This Row],[Waist]]*Table834[[#This Row],[Sugar]]</f>
        <v>33433.962500000001</v>
      </c>
      <c r="CQ164" s="2">
        <f>Table834[[#This Row],[Waist]]*Table834[[#This Row],[Servings]]</f>
        <v>6541.5</v>
      </c>
      <c r="CR164" s="2">
        <f>Table834[[#This Row],[Waist]]*Table834[[#This Row],[Water]]</f>
        <v>0</v>
      </c>
      <c r="CS164" s="2">
        <f>Table834[[#This Row],[Waist]]*Table834[[#This Row],[Fat Calories]]</f>
        <v>16009.987499999999</v>
      </c>
    </row>
    <row r="165" spans="1:97" x14ac:dyDescent="0.25">
      <c r="A165" s="2">
        <v>254.8</v>
      </c>
      <c r="B165" s="2">
        <f>Table834[[#This Row],[Weight]]^2</f>
        <v>64923.040000000008</v>
      </c>
      <c r="C165" s="2">
        <v>44.5</v>
      </c>
      <c r="D165" s="2">
        <f>Table834[[#This Row],[Waist]]^2</f>
        <v>1980.25</v>
      </c>
      <c r="E165" s="2">
        <v>16.5</v>
      </c>
      <c r="F165" s="2">
        <f>Table834[[#This Row],[Neck]]^2</f>
        <v>272.25</v>
      </c>
      <c r="G165" s="2">
        <v>95.9</v>
      </c>
      <c r="H165" s="2">
        <f>Table834[[#This Row],[Morning Body Temp]]^2</f>
        <v>9196.8100000000013</v>
      </c>
      <c r="I165" s="2">
        <v>127</v>
      </c>
      <c r="J165" s="2">
        <f>Table834[[#This Row],[Morning Systolic Pressure]]^2</f>
        <v>16129</v>
      </c>
      <c r="K165" s="2">
        <v>65</v>
      </c>
      <c r="L165" s="2">
        <f>Table834[[#This Row],[Morning Diastolic Pressure]]^2</f>
        <v>4225</v>
      </c>
      <c r="M165" s="2">
        <v>85</v>
      </c>
      <c r="N165" s="2">
        <f>Table834[[#This Row],[Morning Pulse]]^2</f>
        <v>7225</v>
      </c>
      <c r="O165" s="2">
        <v>97.3</v>
      </c>
      <c r="P165" s="2">
        <f>Table834[[#This Row],[Night Body Temp]]^2</f>
        <v>9467.2899999999991</v>
      </c>
      <c r="Q165" s="2">
        <v>129</v>
      </c>
      <c r="R165" s="2">
        <f>Table834[[#This Row],[Night Systolic Pressure]]^2</f>
        <v>16641</v>
      </c>
      <c r="S165" s="2">
        <v>76</v>
      </c>
      <c r="T165" s="2">
        <f>Table834[[#This Row],[Night Diastolic Pressure]]^2</f>
        <v>5776</v>
      </c>
      <c r="U165" s="2">
        <v>74</v>
      </c>
      <c r="V165" s="2">
        <f>Table834[[#This Row],[Night Pulse]]^2</f>
        <v>5476</v>
      </c>
      <c r="W165" s="2">
        <v>19</v>
      </c>
      <c r="X165" s="2">
        <f>Table834[[#This Row],[Sleep]]^2</f>
        <v>361</v>
      </c>
      <c r="Y165" s="2">
        <f t="shared" si="5"/>
        <v>36.556000000000004</v>
      </c>
      <c r="Z165" s="2">
        <f>Table834[[#This Row],[BMI]]^2</f>
        <v>1336.3411360000002</v>
      </c>
      <c r="AA165" s="2">
        <f t="shared" si="4"/>
        <v>31.997550455105717</v>
      </c>
      <c r="AB165" s="2">
        <f>Table834[[#This Row],[CBF]]^2</f>
        <v>1023.8432351270361</v>
      </c>
      <c r="AC165" s="2">
        <v>1</v>
      </c>
      <c r="AD165" s="2">
        <f>Table834[[#This Row],[Gym]]^2</f>
        <v>1</v>
      </c>
      <c r="AE165" s="2">
        <v>1</v>
      </c>
      <c r="AF165" s="2">
        <f>Table834[[#This Row],[Cardio]]^2</f>
        <v>1</v>
      </c>
      <c r="AG165" s="2">
        <v>2963.74</v>
      </c>
      <c r="AH165" s="2">
        <f>Table834[[#This Row],[Calories]]^2</f>
        <v>8783754.7875999995</v>
      </c>
      <c r="AI165" s="2">
        <v>434.82481481481477</v>
      </c>
      <c r="AJ165" s="2">
        <f>Table834[[#This Row],[Carbs]]^2</f>
        <v>189072.61957873797</v>
      </c>
      <c r="AK165" s="2">
        <v>88.898888888888891</v>
      </c>
      <c r="AL165" s="2">
        <f>Table834[[#This Row],[Fat ]]^2</f>
        <v>7903.0124456790127</v>
      </c>
      <c r="AM165" s="2">
        <v>107.02629629629629</v>
      </c>
      <c r="AN165" s="2">
        <f>Table834[[#This Row],[Protein]]^2</f>
        <v>11454.628098902605</v>
      </c>
      <c r="AO165" s="2">
        <v>14.964814814814813</v>
      </c>
      <c r="AP165" s="2">
        <f>Table834[[#This Row],[Fiber]]^2</f>
        <v>223.94568244170091</v>
      </c>
      <c r="AQ165" s="2">
        <v>305.36833333333334</v>
      </c>
      <c r="AR165" s="2">
        <f>Table834[[#This Row],[Sugar]]^2</f>
        <v>93249.819002777775</v>
      </c>
      <c r="AS165" s="2">
        <v>68</v>
      </c>
      <c r="AT165" s="2">
        <f>Table834[[#This Row],[Servings]]^2</f>
        <v>4624</v>
      </c>
      <c r="AU165" s="2">
        <v>1</v>
      </c>
      <c r="AV165" s="2">
        <f>Table834[[#This Row],[Water]]^2</f>
        <v>1</v>
      </c>
      <c r="AW165" s="2">
        <v>800.09</v>
      </c>
      <c r="AX165" s="2">
        <f>Table834[[#This Row],[Fat Calories]]^2</f>
        <v>640144.00810000009</v>
      </c>
      <c r="AY165" s="5">
        <f>Table834[[#This Row],[Weight]]*Table834[[#This Row],[Waist]]</f>
        <v>11338.6</v>
      </c>
      <c r="AZ165" s="6">
        <f>Table834[[#This Row],[Weight]]*Table834[[#This Row],[Neck]]</f>
        <v>4204.2</v>
      </c>
      <c r="BA165" s="6">
        <f>Table834[[#This Row],[Weight]]*Table834[[#This Row],[Morning Body Temp]]</f>
        <v>24435.320000000003</v>
      </c>
      <c r="BB165" s="6">
        <f>Table834[[#This Row],[Weight]]*Table834[[#This Row],[Morning Systolic Pressure]]</f>
        <v>32359.600000000002</v>
      </c>
      <c r="BC165" s="12">
        <f>Table834[[#This Row],[Weight]]*Table834[[#This Row],[Morning Diastolic Pressure]]</f>
        <v>16562</v>
      </c>
      <c r="BD165" s="2">
        <f>Table834[[#This Row],[Weight]]*Table834[[#This Row],[Morning Pulse]]</f>
        <v>21658</v>
      </c>
      <c r="BE165" s="2">
        <f>Table834[[#This Row],[Weight]]*Table834[[#This Row],[Night Body Temp]]</f>
        <v>24792.04</v>
      </c>
      <c r="BF165" s="2">
        <f>Table834[[#This Row],[Weight]]*Table834[[#This Row],[Night Systolic Pressure]]</f>
        <v>32869.200000000004</v>
      </c>
      <c r="BG165" s="4">
        <f>Table83[[#This Row],[Weight]]*Table83[[#This Row],[Night Diastolic Pressure]]</f>
        <v>19364.8</v>
      </c>
      <c r="BH165" s="2">
        <f>Table834[[#This Row],[Weight]]*Table834[[#This Row],[Night Pulse]]</f>
        <v>18855.2</v>
      </c>
      <c r="BI165" s="2">
        <f>Table834[[#This Row],[Weight]]*Table834[[#This Row],[Sleep]]</f>
        <v>4841.2</v>
      </c>
      <c r="BJ165" s="2">
        <f>Table834[[#This Row],[Weight]]*Table834[[#This Row],[BMI]]</f>
        <v>9314.4688000000024</v>
      </c>
      <c r="BK165" s="2">
        <f>Table834[[#This Row],[Weight]]*Table834[[#This Row],[CBF]]</f>
        <v>8152.9758559609372</v>
      </c>
      <c r="BL165" s="2">
        <f>Table834[[#This Row],[Weight]]*Table834[[#This Row],[Gym]]</f>
        <v>254.8</v>
      </c>
      <c r="BM165" s="2">
        <f>Table834[[#This Row],[Weight]]*Table834[[#This Row],[Cardio]]</f>
        <v>254.8</v>
      </c>
      <c r="BN165" s="2">
        <f>Table834[[#This Row],[Weight]]*Table834[[#This Row],[Calories]]</f>
        <v>755160.95199999993</v>
      </c>
      <c r="BO165" s="2">
        <f>Table834[[#This Row],[Weight]]*Table834[[#This Row],[Carbs]]</f>
        <v>110793.36281481481</v>
      </c>
      <c r="BP165" s="2">
        <f>Table834[[#This Row],[Weight]]*Table834[[#This Row],[Fat ]]</f>
        <v>22651.436888888889</v>
      </c>
      <c r="BQ165" s="2">
        <f>Table834[[#This Row],[Weight]]*Table834[[#This Row],[Protein]]</f>
        <v>27270.300296296296</v>
      </c>
      <c r="BR165" s="2">
        <f>Table834[[#This Row],[Weight]]*Table834[[#This Row],[Fiber]]</f>
        <v>3813.0348148148146</v>
      </c>
      <c r="BS165" s="2">
        <f>Table834[[#This Row],[Weight]]*Table834[[#This Row],[Sugar]]</f>
        <v>77807.851333333339</v>
      </c>
      <c r="BT165" s="2">
        <f>Table834[[#This Row],[Weight]]*Table834[[#This Row],[Servings]]</f>
        <v>17326.400000000001</v>
      </c>
      <c r="BU165" s="2">
        <f>Table834[[#This Row],[Weight]]*Table834[[#This Row],[Water]]</f>
        <v>254.8</v>
      </c>
      <c r="BV165" s="2">
        <f>Table834[[#This Row],[Weight]]*Table834[[#This Row],[Fat Calories]]</f>
        <v>203862.93200000003</v>
      </c>
      <c r="BW165" s="2">
        <f>Table834[[#This Row],[Waist]]*Table834[[#This Row],[Neck]]</f>
        <v>734.25</v>
      </c>
      <c r="BX165" s="2">
        <f>Table834[[#This Row],[Waist]]*Table834[[#This Row],[Morning Body Temp]]</f>
        <v>4267.55</v>
      </c>
      <c r="BY165" s="2">
        <f>Table834[[#This Row],[Waist]]*Table834[[#This Row],[Morning Systolic Pressure]]</f>
        <v>5651.5</v>
      </c>
      <c r="BZ165" s="2">
        <f>Table834[[#This Row],[Waist]]*Table834[[#This Row],[Morning Diastolic Pressure]]</f>
        <v>2892.5</v>
      </c>
      <c r="CA165" s="2">
        <f>Table834[[#This Row],[Waist]]*Table834[[#This Row],[Morning Pulse]]</f>
        <v>3782.5</v>
      </c>
      <c r="CB165" s="2">
        <f>Table834[[#This Row],[Waist]]*Table834[[#This Row],[Night Body Temp]]</f>
        <v>4329.8499999999995</v>
      </c>
      <c r="CC165" s="2">
        <f>Table834[[#This Row],[Waist]]*Table834[[#This Row],[Night Systolic Pressure]]</f>
        <v>5740.5</v>
      </c>
      <c r="CD165" s="4">
        <f>Table83[[#This Row],[Waist]]*Table83[[#This Row],[Night Diastolic Pressure]]</f>
        <v>3382</v>
      </c>
      <c r="CE165" s="2">
        <f>Table834[[#This Row],[Waist]]*Table834[[#This Row],[Night Pulse]]</f>
        <v>3293</v>
      </c>
      <c r="CF165" s="2">
        <f>Table834[[#This Row],[Waist]]*Table834[[#This Row],[Sleep]]</f>
        <v>845.5</v>
      </c>
      <c r="CG165" s="2">
        <f>Table834[[#This Row],[Waist]]*Table834[[#This Row],[BMI]]</f>
        <v>1626.7420000000002</v>
      </c>
      <c r="CH165" s="2">
        <f>Table834[[#This Row],[Waist]]*Table834[[#This Row],[CBF]]</f>
        <v>1423.8909952522044</v>
      </c>
      <c r="CI165" s="2">
        <f>Table834[[#This Row],[Waist]]*Table834[[#This Row],[Gym]]</f>
        <v>44.5</v>
      </c>
      <c r="CJ165" s="2">
        <f>Table834[[#This Row],[Waist]]*Table834[[#This Row],[Cardio]]</f>
        <v>44.5</v>
      </c>
      <c r="CK165" s="2">
        <f>Table834[[#This Row],[Waist]]*Table834[[#This Row],[Calories]]</f>
        <v>131886.43</v>
      </c>
      <c r="CL165" s="2">
        <f>Table834[[#This Row],[Waist]]*Table834[[#This Row],[Carbs]]</f>
        <v>19349.704259259259</v>
      </c>
      <c r="CM165" s="2">
        <f>Table834[[#This Row],[Waist]]*Table834[[#This Row],[Fat ]]</f>
        <v>3956.0005555555558</v>
      </c>
      <c r="CN165" s="2">
        <f>Table834[[#This Row],[Waist]]*Table834[[#This Row],[Protein]]</f>
        <v>4762.6701851851849</v>
      </c>
      <c r="CO165" s="2">
        <f>Table834[[#This Row],[Waist]]*Table834[[#This Row],[Fiber]]</f>
        <v>665.93425925925919</v>
      </c>
      <c r="CP165" s="2">
        <f>Table834[[#This Row],[Waist]]*Table834[[#This Row],[Sugar]]</f>
        <v>13588.890833333333</v>
      </c>
      <c r="CQ165" s="2">
        <f>Table834[[#This Row],[Waist]]*Table834[[#This Row],[Servings]]</f>
        <v>3026</v>
      </c>
      <c r="CR165" s="2">
        <f>Table834[[#This Row],[Waist]]*Table834[[#This Row],[Water]]</f>
        <v>44.5</v>
      </c>
      <c r="CS165" s="2">
        <f>Table834[[#This Row],[Waist]]*Table834[[#This Row],[Fat Calories]]</f>
        <v>35604.005000000005</v>
      </c>
    </row>
    <row r="166" spans="1:97" x14ac:dyDescent="0.25">
      <c r="A166" s="2">
        <v>251.8</v>
      </c>
      <c r="B166" s="2">
        <f>Table834[[#This Row],[Weight]]^2</f>
        <v>63403.240000000005</v>
      </c>
      <c r="C166" s="2">
        <v>44.5</v>
      </c>
      <c r="D166" s="2">
        <f>Table834[[#This Row],[Waist]]^2</f>
        <v>1980.25</v>
      </c>
      <c r="E166" s="2">
        <v>16.5</v>
      </c>
      <c r="F166" s="2">
        <f>Table834[[#This Row],[Neck]]^2</f>
        <v>272.25</v>
      </c>
      <c r="G166" s="2">
        <v>97.3</v>
      </c>
      <c r="H166" s="2">
        <f>Table834[[#This Row],[Morning Body Temp]]^2</f>
        <v>9467.2899999999991</v>
      </c>
      <c r="I166" s="2">
        <v>134</v>
      </c>
      <c r="J166" s="2">
        <f>Table834[[#This Row],[Morning Systolic Pressure]]^2</f>
        <v>17956</v>
      </c>
      <c r="K166" s="2">
        <v>79</v>
      </c>
      <c r="L166" s="2">
        <f>Table834[[#This Row],[Morning Diastolic Pressure]]^2</f>
        <v>6241</v>
      </c>
      <c r="M166" s="2">
        <v>74</v>
      </c>
      <c r="N166" s="2">
        <f>Table834[[#This Row],[Morning Pulse]]^2</f>
        <v>5476</v>
      </c>
      <c r="O166" s="2">
        <v>97.7</v>
      </c>
      <c r="P166" s="2">
        <f>Table834[[#This Row],[Night Body Temp]]^2</f>
        <v>9545.2900000000009</v>
      </c>
      <c r="Q166" s="2">
        <v>139</v>
      </c>
      <c r="R166" s="2">
        <f>Table834[[#This Row],[Night Systolic Pressure]]^2</f>
        <v>19321</v>
      </c>
      <c r="S166" s="2">
        <v>75</v>
      </c>
      <c r="T166" s="2">
        <f>Table834[[#This Row],[Night Diastolic Pressure]]^2</f>
        <v>5625</v>
      </c>
      <c r="U166" s="2">
        <v>77</v>
      </c>
      <c r="V166" s="2">
        <f>Table834[[#This Row],[Night Pulse]]^2</f>
        <v>5929</v>
      </c>
      <c r="W166" s="2">
        <v>6</v>
      </c>
      <c r="X166" s="2">
        <f>Table834[[#This Row],[Sleep]]^2</f>
        <v>36</v>
      </c>
      <c r="Y166" s="2">
        <f t="shared" si="5"/>
        <v>36.125591836734699</v>
      </c>
      <c r="Z166" s="2">
        <f>Table834[[#This Row],[BMI]]^2</f>
        <v>1305.0583855543528</v>
      </c>
      <c r="AA166" s="2">
        <f t="shared" si="4"/>
        <v>31.997550455105717</v>
      </c>
      <c r="AB166" s="2">
        <f>Table834[[#This Row],[CBF]]^2</f>
        <v>1023.8432351270361</v>
      </c>
      <c r="AC166" s="2">
        <v>0</v>
      </c>
      <c r="AD166" s="2">
        <f>Table834[[#This Row],[Gym]]^2</f>
        <v>0</v>
      </c>
      <c r="AE166" s="2">
        <v>0</v>
      </c>
      <c r="AF166" s="2">
        <f>Table834[[#This Row],[Cardio]]^2</f>
        <v>0</v>
      </c>
      <c r="AG166" s="2">
        <v>5194.74</v>
      </c>
      <c r="AH166" s="2">
        <f>Table834[[#This Row],[Calories]]^2</f>
        <v>26985323.667599998</v>
      </c>
      <c r="AI166" s="2">
        <v>666.82481481481477</v>
      </c>
      <c r="AJ166" s="2">
        <f>Table834[[#This Row],[Carbs]]^2</f>
        <v>444655.333652812</v>
      </c>
      <c r="AK166" s="2">
        <v>211.09888888888889</v>
      </c>
      <c r="AL166" s="2">
        <f>Table834[[#This Row],[Fat ]]^2</f>
        <v>44562.740890123459</v>
      </c>
      <c r="AM166" s="2">
        <v>157.4262962962963</v>
      </c>
      <c r="AN166" s="2">
        <f>Table834[[#This Row],[Protein]]^2</f>
        <v>24783.038765569276</v>
      </c>
      <c r="AO166" s="2">
        <v>39.664814814814818</v>
      </c>
      <c r="AP166" s="2">
        <f>Table834[[#This Row],[Fiber]]^2</f>
        <v>1573.2975342935531</v>
      </c>
      <c r="AQ166" s="2">
        <v>342.76833333333332</v>
      </c>
      <c r="AR166" s="2">
        <f>Table834[[#This Row],[Sugar]]^2</f>
        <v>117490.13033611111</v>
      </c>
      <c r="AS166" s="2">
        <v>59</v>
      </c>
      <c r="AT166" s="2">
        <f>Table834[[#This Row],[Servings]]^2</f>
        <v>3481</v>
      </c>
      <c r="AU166" s="2">
        <v>0</v>
      </c>
      <c r="AV166" s="2">
        <f>Table834[[#This Row],[Water]]^2</f>
        <v>0</v>
      </c>
      <c r="AW166" s="2">
        <v>1899.89</v>
      </c>
      <c r="AX166" s="2">
        <f>Table834[[#This Row],[Fat Calories]]^2</f>
        <v>3609582.0121000004</v>
      </c>
      <c r="AY166" s="3">
        <f>Table834[[#This Row],[Weight]]*Table834[[#This Row],[Waist]]</f>
        <v>11205.1</v>
      </c>
      <c r="AZ166" s="4">
        <f>Table834[[#This Row],[Weight]]*Table834[[#This Row],[Neck]]</f>
        <v>4154.7</v>
      </c>
      <c r="BA166" s="4">
        <f>Table834[[#This Row],[Weight]]*Table834[[#This Row],[Morning Body Temp]]</f>
        <v>24500.14</v>
      </c>
      <c r="BB166" s="4">
        <f>Table834[[#This Row],[Weight]]*Table834[[#This Row],[Morning Systolic Pressure]]</f>
        <v>33741.200000000004</v>
      </c>
      <c r="BC166" s="11">
        <f>Table834[[#This Row],[Weight]]*Table834[[#This Row],[Morning Diastolic Pressure]]</f>
        <v>19892.2</v>
      </c>
      <c r="BD166" s="2">
        <f>Table834[[#This Row],[Weight]]*Table834[[#This Row],[Morning Pulse]]</f>
        <v>18633.2</v>
      </c>
      <c r="BE166" s="2">
        <f>Table834[[#This Row],[Weight]]*Table834[[#This Row],[Night Body Temp]]</f>
        <v>24600.86</v>
      </c>
      <c r="BF166" s="2">
        <f>Table834[[#This Row],[Weight]]*Table834[[#This Row],[Night Systolic Pressure]]</f>
        <v>35000.200000000004</v>
      </c>
      <c r="BG166" s="4">
        <f>Table83[[#This Row],[Weight]]*Table83[[#This Row],[Night Diastolic Pressure]]</f>
        <v>18885</v>
      </c>
      <c r="BH166" s="2">
        <f>Table834[[#This Row],[Weight]]*Table834[[#This Row],[Night Pulse]]</f>
        <v>19388.600000000002</v>
      </c>
      <c r="BI166" s="2">
        <f>Table834[[#This Row],[Weight]]*Table834[[#This Row],[Sleep]]</f>
        <v>1510.8000000000002</v>
      </c>
      <c r="BJ166" s="2">
        <f>Table834[[#This Row],[Weight]]*Table834[[#This Row],[BMI]]</f>
        <v>9096.4240244897974</v>
      </c>
      <c r="BK166" s="2">
        <f>Table834[[#This Row],[Weight]]*Table834[[#This Row],[CBF]]</f>
        <v>8056.98320459562</v>
      </c>
      <c r="BL166" s="2">
        <f>Table834[[#This Row],[Weight]]*Table834[[#This Row],[Gym]]</f>
        <v>0</v>
      </c>
      <c r="BM166" s="2">
        <f>Table834[[#This Row],[Weight]]*Table834[[#This Row],[Cardio]]</f>
        <v>0</v>
      </c>
      <c r="BN166" s="2">
        <f>Table834[[#This Row],[Weight]]*Table834[[#This Row],[Calories]]</f>
        <v>1308035.5319999999</v>
      </c>
      <c r="BO166" s="2">
        <f>Table834[[#This Row],[Weight]]*Table834[[#This Row],[Carbs]]</f>
        <v>167906.48837037035</v>
      </c>
      <c r="BP166" s="2">
        <f>Table834[[#This Row],[Weight]]*Table834[[#This Row],[Fat ]]</f>
        <v>53154.700222222229</v>
      </c>
      <c r="BQ166" s="2">
        <f>Table834[[#This Row],[Weight]]*Table834[[#This Row],[Protein]]</f>
        <v>39639.941407407408</v>
      </c>
      <c r="BR166" s="2">
        <f>Table834[[#This Row],[Weight]]*Table834[[#This Row],[Fiber]]</f>
        <v>9987.6003703703718</v>
      </c>
      <c r="BS166" s="2">
        <f>Table834[[#This Row],[Weight]]*Table834[[#This Row],[Sugar]]</f>
        <v>86309.066333333336</v>
      </c>
      <c r="BT166" s="2">
        <f>Table834[[#This Row],[Weight]]*Table834[[#This Row],[Servings]]</f>
        <v>14856.2</v>
      </c>
      <c r="BU166" s="2">
        <f>Table834[[#This Row],[Weight]]*Table834[[#This Row],[Water]]</f>
        <v>0</v>
      </c>
      <c r="BV166" s="2">
        <f>Table834[[#This Row],[Weight]]*Table834[[#This Row],[Fat Calories]]</f>
        <v>478392.30200000003</v>
      </c>
      <c r="BW166" s="2">
        <f>Table834[[#This Row],[Waist]]*Table834[[#This Row],[Neck]]</f>
        <v>734.25</v>
      </c>
      <c r="BX166" s="2">
        <f>Table834[[#This Row],[Waist]]*Table834[[#This Row],[Morning Body Temp]]</f>
        <v>4329.8499999999995</v>
      </c>
      <c r="BY166" s="2">
        <f>Table834[[#This Row],[Waist]]*Table834[[#This Row],[Morning Systolic Pressure]]</f>
        <v>5963</v>
      </c>
      <c r="BZ166" s="2">
        <f>Table834[[#This Row],[Waist]]*Table834[[#This Row],[Morning Diastolic Pressure]]</f>
        <v>3515.5</v>
      </c>
      <c r="CA166" s="2">
        <f>Table834[[#This Row],[Waist]]*Table834[[#This Row],[Morning Pulse]]</f>
        <v>3293</v>
      </c>
      <c r="CB166" s="2">
        <f>Table834[[#This Row],[Waist]]*Table834[[#This Row],[Night Body Temp]]</f>
        <v>4347.6500000000005</v>
      </c>
      <c r="CC166" s="2">
        <f>Table834[[#This Row],[Waist]]*Table834[[#This Row],[Night Systolic Pressure]]</f>
        <v>6185.5</v>
      </c>
      <c r="CD166" s="4">
        <f>Table83[[#This Row],[Waist]]*Table83[[#This Row],[Night Diastolic Pressure]]</f>
        <v>3337.5</v>
      </c>
      <c r="CE166" s="2">
        <f>Table834[[#This Row],[Waist]]*Table834[[#This Row],[Night Pulse]]</f>
        <v>3426.5</v>
      </c>
      <c r="CF166" s="2">
        <f>Table834[[#This Row],[Waist]]*Table834[[#This Row],[Sleep]]</f>
        <v>267</v>
      </c>
      <c r="CG166" s="2">
        <f>Table834[[#This Row],[Waist]]*Table834[[#This Row],[BMI]]</f>
        <v>1607.588836734694</v>
      </c>
      <c r="CH166" s="2">
        <f>Table834[[#This Row],[Waist]]*Table834[[#This Row],[CBF]]</f>
        <v>1423.8909952522044</v>
      </c>
      <c r="CI166" s="2">
        <f>Table834[[#This Row],[Waist]]*Table834[[#This Row],[Gym]]</f>
        <v>0</v>
      </c>
      <c r="CJ166" s="2">
        <f>Table834[[#This Row],[Waist]]*Table834[[#This Row],[Cardio]]</f>
        <v>0</v>
      </c>
      <c r="CK166" s="2">
        <f>Table834[[#This Row],[Waist]]*Table834[[#This Row],[Calories]]</f>
        <v>231165.93</v>
      </c>
      <c r="CL166" s="2">
        <f>Table834[[#This Row],[Waist]]*Table834[[#This Row],[Carbs]]</f>
        <v>29673.704259259259</v>
      </c>
      <c r="CM166" s="2">
        <f>Table834[[#This Row],[Waist]]*Table834[[#This Row],[Fat ]]</f>
        <v>9393.9005555555559</v>
      </c>
      <c r="CN166" s="2">
        <f>Table834[[#This Row],[Waist]]*Table834[[#This Row],[Protein]]</f>
        <v>7005.4701851851851</v>
      </c>
      <c r="CO166" s="2">
        <f>Table834[[#This Row],[Waist]]*Table834[[#This Row],[Fiber]]</f>
        <v>1765.0842592592594</v>
      </c>
      <c r="CP166" s="2">
        <f>Table834[[#This Row],[Waist]]*Table834[[#This Row],[Sugar]]</f>
        <v>15253.190833333332</v>
      </c>
      <c r="CQ166" s="2">
        <f>Table834[[#This Row],[Waist]]*Table834[[#This Row],[Servings]]</f>
        <v>2625.5</v>
      </c>
      <c r="CR166" s="2">
        <f>Table834[[#This Row],[Waist]]*Table834[[#This Row],[Water]]</f>
        <v>0</v>
      </c>
      <c r="CS166" s="2">
        <f>Table834[[#This Row],[Waist]]*Table834[[#This Row],[Fat Calories]]</f>
        <v>84545.10500000001</v>
      </c>
    </row>
    <row r="167" spans="1:97" x14ac:dyDescent="0.25">
      <c r="A167" s="2">
        <v>257.39999999999998</v>
      </c>
      <c r="B167" s="2">
        <f>Table834[[#This Row],[Weight]]^2</f>
        <v>66254.759999999995</v>
      </c>
      <c r="C167" s="2">
        <v>45</v>
      </c>
      <c r="D167" s="2">
        <f>Table834[[#This Row],[Waist]]^2</f>
        <v>2025</v>
      </c>
      <c r="E167" s="2">
        <v>16.5</v>
      </c>
      <c r="F167" s="2">
        <f>Table834[[#This Row],[Neck]]^2</f>
        <v>272.25</v>
      </c>
      <c r="G167" s="2">
        <v>97.6</v>
      </c>
      <c r="H167" s="2">
        <f>Table834[[#This Row],[Morning Body Temp]]^2</f>
        <v>9525.7599999999984</v>
      </c>
      <c r="I167" s="2">
        <v>124</v>
      </c>
      <c r="J167" s="2">
        <f>Table834[[#This Row],[Morning Systolic Pressure]]^2</f>
        <v>15376</v>
      </c>
      <c r="K167" s="2">
        <v>70</v>
      </c>
      <c r="L167" s="2">
        <f>Table834[[#This Row],[Morning Diastolic Pressure]]^2</f>
        <v>4900</v>
      </c>
      <c r="M167" s="2">
        <v>68</v>
      </c>
      <c r="N167" s="2">
        <f>Table834[[#This Row],[Morning Pulse]]^2</f>
        <v>4624</v>
      </c>
      <c r="O167" s="2">
        <v>96.9</v>
      </c>
      <c r="P167" s="2">
        <f>Table834[[#This Row],[Night Body Temp]]^2</f>
        <v>9389.61</v>
      </c>
      <c r="Q167" s="2">
        <v>112</v>
      </c>
      <c r="R167" s="2">
        <f>Table834[[#This Row],[Night Systolic Pressure]]^2</f>
        <v>12544</v>
      </c>
      <c r="S167" s="2">
        <v>66</v>
      </c>
      <c r="T167" s="2">
        <f>Table834[[#This Row],[Night Diastolic Pressure]]^2</f>
        <v>4356</v>
      </c>
      <c r="U167" s="2">
        <v>70</v>
      </c>
      <c r="V167" s="2">
        <f>Table834[[#This Row],[Night Pulse]]^2</f>
        <v>4900</v>
      </c>
      <c r="W167" s="2">
        <v>8</v>
      </c>
      <c r="X167" s="2">
        <f>Table834[[#This Row],[Sleep]]^2</f>
        <v>64</v>
      </c>
      <c r="Y167" s="2">
        <f t="shared" si="5"/>
        <v>36.929020408163261</v>
      </c>
      <c r="Z167" s="2">
        <f>Table834[[#This Row],[BMI]]^2</f>
        <v>1363.7525483065385</v>
      </c>
      <c r="AA167" s="2">
        <f t="shared" si="4"/>
        <v>32.6586945886934</v>
      </c>
      <c r="AB167" s="2">
        <f>Table834[[#This Row],[CBF]]^2</f>
        <v>1066.5903322375516</v>
      </c>
      <c r="AC167" s="2">
        <v>0</v>
      </c>
      <c r="AD167" s="2">
        <f>Table834[[#This Row],[Gym]]^2</f>
        <v>0</v>
      </c>
      <c r="AE167" s="2">
        <v>0</v>
      </c>
      <c r="AF167" s="2">
        <f>Table834[[#This Row],[Cardio]]^2</f>
        <v>0</v>
      </c>
      <c r="AG167" s="2">
        <v>2174</v>
      </c>
      <c r="AH167" s="2">
        <f>Table834[[#This Row],[Calories]]^2</f>
        <v>4726276</v>
      </c>
      <c r="AI167" s="2">
        <v>437.6</v>
      </c>
      <c r="AJ167" s="2">
        <f>Table834[[#This Row],[Carbs]]^2</f>
        <v>191493.76000000001</v>
      </c>
      <c r="AK167" s="2">
        <v>142.5</v>
      </c>
      <c r="AL167" s="2">
        <f>Table834[[#This Row],[Fat ]]^2</f>
        <v>20306.25</v>
      </c>
      <c r="AM167" s="2">
        <v>47</v>
      </c>
      <c r="AN167" s="2">
        <f>Table834[[#This Row],[Protein]]^2</f>
        <v>2209</v>
      </c>
      <c r="AO167" s="2">
        <v>42</v>
      </c>
      <c r="AP167" s="2">
        <f>Table834[[#This Row],[Fiber]]^2</f>
        <v>1764</v>
      </c>
      <c r="AQ167" s="2">
        <v>321.39999999999998</v>
      </c>
      <c r="AR167" s="2">
        <f>Table834[[#This Row],[Sugar]]^2</f>
        <v>103297.95999999999</v>
      </c>
      <c r="AS167" s="2">
        <v>75</v>
      </c>
      <c r="AT167" s="2">
        <f>Table834[[#This Row],[Servings]]^2</f>
        <v>5625</v>
      </c>
      <c r="AU167" s="2">
        <v>0.75</v>
      </c>
      <c r="AV167" s="2">
        <f>Table834[[#This Row],[Water]]^2</f>
        <v>0.5625</v>
      </c>
      <c r="AW167" s="2">
        <v>1282.5</v>
      </c>
      <c r="AX167" s="2">
        <f>Table834[[#This Row],[Fat Calories]]^2</f>
        <v>1644806.25</v>
      </c>
      <c r="AY167" s="5">
        <f>Table834[[#This Row],[Weight]]*Table834[[#This Row],[Waist]]</f>
        <v>11582.999999999998</v>
      </c>
      <c r="AZ167" s="6">
        <f>Table834[[#This Row],[Weight]]*Table834[[#This Row],[Neck]]</f>
        <v>4247.0999999999995</v>
      </c>
      <c r="BA167" s="6">
        <f>Table834[[#This Row],[Weight]]*Table834[[#This Row],[Morning Body Temp]]</f>
        <v>25122.239999999998</v>
      </c>
      <c r="BB167" s="6">
        <f>Table834[[#This Row],[Weight]]*Table834[[#This Row],[Morning Systolic Pressure]]</f>
        <v>31917.599999999999</v>
      </c>
      <c r="BC167" s="12">
        <f>Table834[[#This Row],[Weight]]*Table834[[#This Row],[Morning Diastolic Pressure]]</f>
        <v>18018</v>
      </c>
      <c r="BD167" s="2">
        <f>Table834[[#This Row],[Weight]]*Table834[[#This Row],[Morning Pulse]]</f>
        <v>17503.199999999997</v>
      </c>
      <c r="BE167" s="2">
        <f>Table834[[#This Row],[Weight]]*Table834[[#This Row],[Night Body Temp]]</f>
        <v>24942.059999999998</v>
      </c>
      <c r="BF167" s="2">
        <f>Table834[[#This Row],[Weight]]*Table834[[#This Row],[Night Systolic Pressure]]</f>
        <v>28828.799999999996</v>
      </c>
      <c r="BG167" s="4">
        <f>Table83[[#This Row],[Weight]]*Table83[[#This Row],[Night Diastolic Pressure]]</f>
        <v>16988.399999999998</v>
      </c>
      <c r="BH167" s="2">
        <f>Table834[[#This Row],[Weight]]*Table834[[#This Row],[Night Pulse]]</f>
        <v>18018</v>
      </c>
      <c r="BI167" s="2">
        <f>Table834[[#This Row],[Weight]]*Table834[[#This Row],[Sleep]]</f>
        <v>2059.1999999999998</v>
      </c>
      <c r="BJ167" s="2">
        <f>Table834[[#This Row],[Weight]]*Table834[[#This Row],[BMI]]</f>
        <v>9505.5298530612217</v>
      </c>
      <c r="BK167" s="2">
        <f>Table834[[#This Row],[Weight]]*Table834[[#This Row],[CBF]]</f>
        <v>8406.3479871296804</v>
      </c>
      <c r="BL167" s="2">
        <f>Table834[[#This Row],[Weight]]*Table834[[#This Row],[Gym]]</f>
        <v>0</v>
      </c>
      <c r="BM167" s="2">
        <f>Table834[[#This Row],[Weight]]*Table834[[#This Row],[Cardio]]</f>
        <v>0</v>
      </c>
      <c r="BN167" s="2">
        <f>Table834[[#This Row],[Weight]]*Table834[[#This Row],[Calories]]</f>
        <v>559587.6</v>
      </c>
      <c r="BO167" s="2">
        <f>Table834[[#This Row],[Weight]]*Table834[[#This Row],[Carbs]]</f>
        <v>112638.23999999999</v>
      </c>
      <c r="BP167" s="2">
        <f>Table834[[#This Row],[Weight]]*Table834[[#This Row],[Fat ]]</f>
        <v>36679.5</v>
      </c>
      <c r="BQ167" s="2">
        <f>Table834[[#This Row],[Weight]]*Table834[[#This Row],[Protein]]</f>
        <v>12097.8</v>
      </c>
      <c r="BR167" s="2">
        <f>Table834[[#This Row],[Weight]]*Table834[[#This Row],[Fiber]]</f>
        <v>10810.8</v>
      </c>
      <c r="BS167" s="2">
        <f>Table834[[#This Row],[Weight]]*Table834[[#This Row],[Sugar]]</f>
        <v>82728.359999999986</v>
      </c>
      <c r="BT167" s="2">
        <f>Table834[[#This Row],[Weight]]*Table834[[#This Row],[Servings]]</f>
        <v>19305</v>
      </c>
      <c r="BU167" s="2">
        <f>Table834[[#This Row],[Weight]]*Table834[[#This Row],[Water]]</f>
        <v>193.04999999999998</v>
      </c>
      <c r="BV167" s="2">
        <f>Table834[[#This Row],[Weight]]*Table834[[#This Row],[Fat Calories]]</f>
        <v>330115.49999999994</v>
      </c>
      <c r="BW167" s="2">
        <f>Table834[[#This Row],[Waist]]*Table834[[#This Row],[Neck]]</f>
        <v>742.5</v>
      </c>
      <c r="BX167" s="2">
        <f>Table834[[#This Row],[Waist]]*Table834[[#This Row],[Morning Body Temp]]</f>
        <v>4392</v>
      </c>
      <c r="BY167" s="2">
        <f>Table834[[#This Row],[Waist]]*Table834[[#This Row],[Morning Systolic Pressure]]</f>
        <v>5580</v>
      </c>
      <c r="BZ167" s="2">
        <f>Table834[[#This Row],[Waist]]*Table834[[#This Row],[Morning Diastolic Pressure]]</f>
        <v>3150</v>
      </c>
      <c r="CA167" s="2">
        <f>Table834[[#This Row],[Waist]]*Table834[[#This Row],[Morning Pulse]]</f>
        <v>3060</v>
      </c>
      <c r="CB167" s="2">
        <f>Table834[[#This Row],[Waist]]*Table834[[#This Row],[Night Body Temp]]</f>
        <v>4360.5</v>
      </c>
      <c r="CC167" s="2">
        <f>Table834[[#This Row],[Waist]]*Table834[[#This Row],[Night Systolic Pressure]]</f>
        <v>5040</v>
      </c>
      <c r="CD167" s="4">
        <f>Table83[[#This Row],[Waist]]*Table83[[#This Row],[Night Diastolic Pressure]]</f>
        <v>2970</v>
      </c>
      <c r="CE167" s="2">
        <f>Table834[[#This Row],[Waist]]*Table834[[#This Row],[Night Pulse]]</f>
        <v>3150</v>
      </c>
      <c r="CF167" s="2">
        <f>Table834[[#This Row],[Waist]]*Table834[[#This Row],[Sleep]]</f>
        <v>360</v>
      </c>
      <c r="CG167" s="2">
        <f>Table834[[#This Row],[Waist]]*Table834[[#This Row],[BMI]]</f>
        <v>1661.8059183673467</v>
      </c>
      <c r="CH167" s="2">
        <f>Table834[[#This Row],[Waist]]*Table834[[#This Row],[CBF]]</f>
        <v>1469.641256491203</v>
      </c>
      <c r="CI167" s="2">
        <f>Table834[[#This Row],[Waist]]*Table834[[#This Row],[Gym]]</f>
        <v>0</v>
      </c>
      <c r="CJ167" s="2">
        <f>Table834[[#This Row],[Waist]]*Table834[[#This Row],[Cardio]]</f>
        <v>0</v>
      </c>
      <c r="CK167" s="2">
        <f>Table834[[#This Row],[Waist]]*Table834[[#This Row],[Calories]]</f>
        <v>97830</v>
      </c>
      <c r="CL167" s="2">
        <f>Table834[[#This Row],[Waist]]*Table834[[#This Row],[Carbs]]</f>
        <v>19692</v>
      </c>
      <c r="CM167" s="2">
        <f>Table834[[#This Row],[Waist]]*Table834[[#This Row],[Fat ]]</f>
        <v>6412.5</v>
      </c>
      <c r="CN167" s="2">
        <f>Table834[[#This Row],[Waist]]*Table834[[#This Row],[Protein]]</f>
        <v>2115</v>
      </c>
      <c r="CO167" s="2">
        <f>Table834[[#This Row],[Waist]]*Table834[[#This Row],[Fiber]]</f>
        <v>1890</v>
      </c>
      <c r="CP167" s="2">
        <f>Table834[[#This Row],[Waist]]*Table834[[#This Row],[Sugar]]</f>
        <v>14462.999999999998</v>
      </c>
      <c r="CQ167" s="2">
        <f>Table834[[#This Row],[Waist]]*Table834[[#This Row],[Servings]]</f>
        <v>3375</v>
      </c>
      <c r="CR167" s="2">
        <f>Table834[[#This Row],[Waist]]*Table834[[#This Row],[Water]]</f>
        <v>33.75</v>
      </c>
      <c r="CS167" s="2">
        <f>Table834[[#This Row],[Waist]]*Table834[[#This Row],[Fat Calories]]</f>
        <v>57712.5</v>
      </c>
    </row>
    <row r="168" spans="1:97" x14ac:dyDescent="0.25">
      <c r="A168" s="2">
        <v>255.8</v>
      </c>
      <c r="B168" s="2">
        <f>Table834[[#This Row],[Weight]]^2</f>
        <v>65433.640000000007</v>
      </c>
      <c r="C168" s="2">
        <v>45</v>
      </c>
      <c r="D168" s="2">
        <f>Table834[[#This Row],[Waist]]^2</f>
        <v>2025</v>
      </c>
      <c r="E168" s="2">
        <v>16.5</v>
      </c>
      <c r="F168" s="2">
        <f>Table834[[#This Row],[Neck]]^2</f>
        <v>272.25</v>
      </c>
      <c r="G168" s="2">
        <v>96.5</v>
      </c>
      <c r="H168" s="2">
        <f>Table834[[#This Row],[Morning Body Temp]]^2</f>
        <v>9312.25</v>
      </c>
      <c r="I168" s="2">
        <v>131</v>
      </c>
      <c r="J168" s="2">
        <f>Table834[[#This Row],[Morning Systolic Pressure]]^2</f>
        <v>17161</v>
      </c>
      <c r="K168" s="2">
        <v>76</v>
      </c>
      <c r="L168" s="2">
        <f>Table834[[#This Row],[Morning Diastolic Pressure]]^2</f>
        <v>5776</v>
      </c>
      <c r="M168" s="2">
        <v>56</v>
      </c>
      <c r="N168" s="2">
        <f>Table834[[#This Row],[Morning Pulse]]^2</f>
        <v>3136</v>
      </c>
      <c r="O168" s="2">
        <v>98.6</v>
      </c>
      <c r="P168" s="2">
        <f>Table834[[#This Row],[Night Body Temp]]^2</f>
        <v>9721.9599999999991</v>
      </c>
      <c r="Q168" s="2">
        <v>144</v>
      </c>
      <c r="R168" s="2">
        <f>Table834[[#This Row],[Night Systolic Pressure]]^2</f>
        <v>20736</v>
      </c>
      <c r="S168" s="2">
        <v>80</v>
      </c>
      <c r="T168" s="2">
        <f>Table834[[#This Row],[Night Diastolic Pressure]]^2</f>
        <v>6400</v>
      </c>
      <c r="U168" s="2">
        <v>77</v>
      </c>
      <c r="V168" s="2">
        <f>Table834[[#This Row],[Night Pulse]]^2</f>
        <v>5929</v>
      </c>
      <c r="W168" s="2">
        <v>8.5</v>
      </c>
      <c r="X168" s="2">
        <f>Table834[[#This Row],[Sleep]]^2</f>
        <v>72.25</v>
      </c>
      <c r="Y168" s="2">
        <f t="shared" si="5"/>
        <v>36.699469387755101</v>
      </c>
      <c r="Z168" s="2">
        <f>Table834[[#This Row],[BMI]]^2</f>
        <v>1346.8510533427739</v>
      </c>
      <c r="AA168" s="2">
        <f t="shared" si="4"/>
        <v>32.6586945886934</v>
      </c>
      <c r="AB168" s="2">
        <f>Table834[[#This Row],[CBF]]^2</f>
        <v>1066.5903322375516</v>
      </c>
      <c r="AC168" s="2">
        <v>0</v>
      </c>
      <c r="AD168" s="2">
        <f>Table834[[#This Row],[Gym]]^2</f>
        <v>0</v>
      </c>
      <c r="AE168" s="2">
        <v>0</v>
      </c>
      <c r="AF168" s="2">
        <f>Table834[[#This Row],[Cardio]]^2</f>
        <v>0</v>
      </c>
      <c r="AG168" s="2">
        <v>2046.3866666666668</v>
      </c>
      <c r="AH168" s="2">
        <f>Table834[[#This Row],[Calories]]^2</f>
        <v>4187698.3895111117</v>
      </c>
      <c r="AI168" s="2">
        <v>419.45266666666669</v>
      </c>
      <c r="AJ168" s="2">
        <f>Table834[[#This Row],[Carbs]]^2</f>
        <v>175940.53957377779</v>
      </c>
      <c r="AK168" s="2">
        <v>27.042999999999999</v>
      </c>
      <c r="AL168" s="2">
        <f>Table834[[#This Row],[Fat ]]^2</f>
        <v>731.323849</v>
      </c>
      <c r="AM168" s="2">
        <v>61.13600000000001</v>
      </c>
      <c r="AN168" s="2">
        <f>Table834[[#This Row],[Protein]]^2</f>
        <v>3737.6104960000011</v>
      </c>
      <c r="AO168" s="2">
        <v>36.448</v>
      </c>
      <c r="AP168" s="2">
        <f>Table834[[#This Row],[Fiber]]^2</f>
        <v>1328.4567039999999</v>
      </c>
      <c r="AQ168" s="2">
        <v>349.86566666666664</v>
      </c>
      <c r="AR168" s="2">
        <f>Table834[[#This Row],[Sugar]]^2</f>
        <v>122405.98471211109</v>
      </c>
      <c r="AS168" s="2">
        <v>102.94</v>
      </c>
      <c r="AT168" s="2">
        <f>Table834[[#This Row],[Servings]]^2</f>
        <v>10596.643599999999</v>
      </c>
      <c r="AU168" s="2">
        <v>1</v>
      </c>
      <c r="AV168" s="2">
        <f>Table834[[#This Row],[Water]]^2</f>
        <v>1</v>
      </c>
      <c r="AW168" s="2">
        <v>243.387</v>
      </c>
      <c r="AX168" s="2">
        <f>Table834[[#This Row],[Fat Calories]]^2</f>
        <v>59237.231768999998</v>
      </c>
      <c r="AY168" s="3">
        <f>Table834[[#This Row],[Weight]]*Table834[[#This Row],[Waist]]</f>
        <v>11511</v>
      </c>
      <c r="AZ168" s="4">
        <f>Table834[[#This Row],[Weight]]*Table834[[#This Row],[Neck]]</f>
        <v>4220.7</v>
      </c>
      <c r="BA168" s="4">
        <f>Table834[[#This Row],[Weight]]*Table834[[#This Row],[Morning Body Temp]]</f>
        <v>24684.7</v>
      </c>
      <c r="BB168" s="4">
        <f>Table834[[#This Row],[Weight]]*Table834[[#This Row],[Morning Systolic Pressure]]</f>
        <v>33509.800000000003</v>
      </c>
      <c r="BC168" s="11">
        <f>Table834[[#This Row],[Weight]]*Table834[[#This Row],[Morning Diastolic Pressure]]</f>
        <v>19440.8</v>
      </c>
      <c r="BD168" s="2">
        <f>Table834[[#This Row],[Weight]]*Table834[[#This Row],[Morning Pulse]]</f>
        <v>14324.800000000001</v>
      </c>
      <c r="BE168" s="2">
        <f>Table834[[#This Row],[Weight]]*Table834[[#This Row],[Night Body Temp]]</f>
        <v>25221.88</v>
      </c>
      <c r="BF168" s="2">
        <f>Table834[[#This Row],[Weight]]*Table834[[#This Row],[Night Systolic Pressure]]</f>
        <v>36835.200000000004</v>
      </c>
      <c r="BG168" s="4">
        <f>Table83[[#This Row],[Weight]]*Table83[[#This Row],[Night Diastolic Pressure]]</f>
        <v>20464</v>
      </c>
      <c r="BH168" s="2">
        <f>Table834[[#This Row],[Weight]]*Table834[[#This Row],[Night Pulse]]</f>
        <v>19696.600000000002</v>
      </c>
      <c r="BI168" s="2">
        <f>Table834[[#This Row],[Weight]]*Table834[[#This Row],[Sleep]]</f>
        <v>2174.3000000000002</v>
      </c>
      <c r="BJ168" s="2">
        <f>Table834[[#This Row],[Weight]]*Table834[[#This Row],[BMI]]</f>
        <v>9387.7242693877561</v>
      </c>
      <c r="BK168" s="2">
        <f>Table834[[#This Row],[Weight]]*Table834[[#This Row],[CBF]]</f>
        <v>8354.0940757877725</v>
      </c>
      <c r="BL168" s="2">
        <f>Table834[[#This Row],[Weight]]*Table834[[#This Row],[Gym]]</f>
        <v>0</v>
      </c>
      <c r="BM168" s="2">
        <f>Table834[[#This Row],[Weight]]*Table834[[#This Row],[Cardio]]</f>
        <v>0</v>
      </c>
      <c r="BN168" s="2">
        <f>Table834[[#This Row],[Weight]]*Table834[[#This Row],[Calories]]</f>
        <v>523465.70933333336</v>
      </c>
      <c r="BO168" s="2">
        <f>Table834[[#This Row],[Weight]]*Table834[[#This Row],[Carbs]]</f>
        <v>107295.99213333335</v>
      </c>
      <c r="BP168" s="2">
        <f>Table834[[#This Row],[Weight]]*Table834[[#This Row],[Fat ]]</f>
        <v>6917.5994000000001</v>
      </c>
      <c r="BQ168" s="2">
        <f>Table834[[#This Row],[Weight]]*Table834[[#This Row],[Protein]]</f>
        <v>15638.588800000003</v>
      </c>
      <c r="BR168" s="2">
        <f>Table834[[#This Row],[Weight]]*Table834[[#This Row],[Fiber]]</f>
        <v>9323.3984</v>
      </c>
      <c r="BS168" s="2">
        <f>Table834[[#This Row],[Weight]]*Table834[[#This Row],[Sugar]]</f>
        <v>89495.637533333327</v>
      </c>
      <c r="BT168" s="2">
        <f>Table834[[#This Row],[Weight]]*Table834[[#This Row],[Servings]]</f>
        <v>26332.052</v>
      </c>
      <c r="BU168" s="2">
        <f>Table834[[#This Row],[Weight]]*Table834[[#This Row],[Water]]</f>
        <v>255.8</v>
      </c>
      <c r="BV168" s="2">
        <f>Table834[[#This Row],[Weight]]*Table834[[#This Row],[Fat Calories]]</f>
        <v>62258.3946</v>
      </c>
      <c r="BW168" s="2">
        <f>Table834[[#This Row],[Waist]]*Table834[[#This Row],[Neck]]</f>
        <v>742.5</v>
      </c>
      <c r="BX168" s="2">
        <f>Table834[[#This Row],[Waist]]*Table834[[#This Row],[Morning Body Temp]]</f>
        <v>4342.5</v>
      </c>
      <c r="BY168" s="2">
        <f>Table834[[#This Row],[Waist]]*Table834[[#This Row],[Morning Systolic Pressure]]</f>
        <v>5895</v>
      </c>
      <c r="BZ168" s="2">
        <f>Table834[[#This Row],[Waist]]*Table834[[#This Row],[Morning Diastolic Pressure]]</f>
        <v>3420</v>
      </c>
      <c r="CA168" s="2">
        <f>Table834[[#This Row],[Waist]]*Table834[[#This Row],[Morning Pulse]]</f>
        <v>2520</v>
      </c>
      <c r="CB168" s="2">
        <f>Table834[[#This Row],[Waist]]*Table834[[#This Row],[Night Body Temp]]</f>
        <v>4437</v>
      </c>
      <c r="CC168" s="2">
        <f>Table834[[#This Row],[Waist]]*Table834[[#This Row],[Night Systolic Pressure]]</f>
        <v>6480</v>
      </c>
      <c r="CD168" s="4">
        <f>Table83[[#This Row],[Waist]]*Table83[[#This Row],[Night Diastolic Pressure]]</f>
        <v>3600</v>
      </c>
      <c r="CE168" s="2">
        <f>Table834[[#This Row],[Waist]]*Table834[[#This Row],[Night Pulse]]</f>
        <v>3465</v>
      </c>
      <c r="CF168" s="2">
        <f>Table834[[#This Row],[Waist]]*Table834[[#This Row],[Sleep]]</f>
        <v>382.5</v>
      </c>
      <c r="CG168" s="2">
        <f>Table834[[#This Row],[Waist]]*Table834[[#This Row],[BMI]]</f>
        <v>1651.4761224489796</v>
      </c>
      <c r="CH168" s="2">
        <f>Table834[[#This Row],[Waist]]*Table834[[#This Row],[CBF]]</f>
        <v>1469.641256491203</v>
      </c>
      <c r="CI168" s="2">
        <f>Table834[[#This Row],[Waist]]*Table834[[#This Row],[Gym]]</f>
        <v>0</v>
      </c>
      <c r="CJ168" s="2">
        <f>Table834[[#This Row],[Waist]]*Table834[[#This Row],[Cardio]]</f>
        <v>0</v>
      </c>
      <c r="CK168" s="2">
        <f>Table834[[#This Row],[Waist]]*Table834[[#This Row],[Calories]]</f>
        <v>92087.400000000009</v>
      </c>
      <c r="CL168" s="2">
        <f>Table834[[#This Row],[Waist]]*Table834[[#This Row],[Carbs]]</f>
        <v>18875.370000000003</v>
      </c>
      <c r="CM168" s="2">
        <f>Table834[[#This Row],[Waist]]*Table834[[#This Row],[Fat ]]</f>
        <v>1216.9349999999999</v>
      </c>
      <c r="CN168" s="2">
        <f>Table834[[#This Row],[Waist]]*Table834[[#This Row],[Protein]]</f>
        <v>2751.1200000000003</v>
      </c>
      <c r="CO168" s="2">
        <f>Table834[[#This Row],[Waist]]*Table834[[#This Row],[Fiber]]</f>
        <v>1640.16</v>
      </c>
      <c r="CP168" s="2">
        <f>Table834[[#This Row],[Waist]]*Table834[[#This Row],[Sugar]]</f>
        <v>15743.954999999998</v>
      </c>
      <c r="CQ168" s="2">
        <f>Table834[[#This Row],[Waist]]*Table834[[#This Row],[Servings]]</f>
        <v>4632.3</v>
      </c>
      <c r="CR168" s="2">
        <f>Table834[[#This Row],[Waist]]*Table834[[#This Row],[Water]]</f>
        <v>45</v>
      </c>
      <c r="CS168" s="2">
        <f>Table834[[#This Row],[Waist]]*Table834[[#This Row],[Fat Calories]]</f>
        <v>10952.415000000001</v>
      </c>
    </row>
    <row r="169" spans="1:97" x14ac:dyDescent="0.25">
      <c r="A169" s="2">
        <v>251.8</v>
      </c>
      <c r="B169" s="2">
        <f>Table834[[#This Row],[Weight]]^2</f>
        <v>63403.240000000005</v>
      </c>
      <c r="C169" s="2">
        <v>44.5</v>
      </c>
      <c r="D169" s="2">
        <f>Table834[[#This Row],[Waist]]^2</f>
        <v>1980.25</v>
      </c>
      <c r="E169" s="2">
        <v>16.5</v>
      </c>
      <c r="F169" s="2">
        <f>Table834[[#This Row],[Neck]]^2</f>
        <v>272.25</v>
      </c>
      <c r="G169" s="2">
        <v>96</v>
      </c>
      <c r="H169" s="2">
        <f>Table834[[#This Row],[Morning Body Temp]]^2</f>
        <v>9216</v>
      </c>
      <c r="I169" s="2">
        <v>140</v>
      </c>
      <c r="J169" s="2">
        <f>Table834[[#This Row],[Morning Systolic Pressure]]^2</f>
        <v>19600</v>
      </c>
      <c r="K169" s="2">
        <v>83</v>
      </c>
      <c r="L169" s="2">
        <f>Table834[[#This Row],[Morning Diastolic Pressure]]^2</f>
        <v>6889</v>
      </c>
      <c r="M169" s="2">
        <v>98</v>
      </c>
      <c r="N169" s="2">
        <f>Table834[[#This Row],[Morning Pulse]]^2</f>
        <v>9604</v>
      </c>
      <c r="O169" s="2">
        <v>97.1</v>
      </c>
      <c r="P169" s="2">
        <f>Table834[[#This Row],[Night Body Temp]]^2</f>
        <v>9428.409999999998</v>
      </c>
      <c r="Q169" s="2">
        <v>148</v>
      </c>
      <c r="R169" s="2">
        <f>Table834[[#This Row],[Night Systolic Pressure]]^2</f>
        <v>21904</v>
      </c>
      <c r="S169" s="2">
        <v>74</v>
      </c>
      <c r="T169" s="2">
        <f>Table834[[#This Row],[Night Diastolic Pressure]]^2</f>
        <v>5476</v>
      </c>
      <c r="U169" s="2">
        <v>71</v>
      </c>
      <c r="V169" s="2">
        <f>Table834[[#This Row],[Night Pulse]]^2</f>
        <v>5041</v>
      </c>
      <c r="W169" s="2">
        <v>0</v>
      </c>
      <c r="X169" s="2">
        <f>Table834[[#This Row],[Sleep]]^2</f>
        <v>0</v>
      </c>
      <c r="Y169" s="2">
        <f t="shared" si="5"/>
        <v>36.125591836734699</v>
      </c>
      <c r="Z169" s="2">
        <f>Table834[[#This Row],[BMI]]^2</f>
        <v>1305.0583855543528</v>
      </c>
      <c r="AA169" s="2">
        <f t="shared" si="4"/>
        <v>31.997550455105717</v>
      </c>
      <c r="AB169" s="2">
        <f>Table834[[#This Row],[CBF]]^2</f>
        <v>1023.8432351270361</v>
      </c>
      <c r="AC169" s="2">
        <v>0</v>
      </c>
      <c r="AD169" s="2">
        <f>Table834[[#This Row],[Gym]]^2</f>
        <v>0</v>
      </c>
      <c r="AE169" s="2">
        <v>0</v>
      </c>
      <c r="AF169" s="2">
        <f>Table834[[#This Row],[Cardio]]^2</f>
        <v>0</v>
      </c>
      <c r="AG169" s="2">
        <v>1417.494375</v>
      </c>
      <c r="AH169" s="2">
        <f>Table834[[#This Row],[Calories]]^2</f>
        <v>2009290.3031566406</v>
      </c>
      <c r="AI169" s="2">
        <v>267.525125</v>
      </c>
      <c r="AJ169" s="2">
        <f>Table834[[#This Row],[Carbs]]^2</f>
        <v>71569.692506265623</v>
      </c>
      <c r="AK169" s="2">
        <v>26.328375000000001</v>
      </c>
      <c r="AL169" s="2">
        <f>Table834[[#This Row],[Fat ]]^2</f>
        <v>693.18333014062512</v>
      </c>
      <c r="AM169" s="2">
        <v>33.312062499999996</v>
      </c>
      <c r="AN169" s="2">
        <f>Table834[[#This Row],[Protein]]^2</f>
        <v>1109.6935080039059</v>
      </c>
      <c r="AO169" s="2">
        <v>4.6653124999999998</v>
      </c>
      <c r="AP169" s="2">
        <f>Table834[[#This Row],[Fiber]]^2</f>
        <v>21.765140722656248</v>
      </c>
      <c r="AQ169" s="2">
        <v>158.741625</v>
      </c>
      <c r="AR169" s="2">
        <f>Table834[[#This Row],[Sugar]]^2</f>
        <v>25198.903507640625</v>
      </c>
      <c r="AS169" s="2">
        <v>17</v>
      </c>
      <c r="AT169" s="2">
        <f>Table834[[#This Row],[Servings]]^2</f>
        <v>289</v>
      </c>
      <c r="AU169" s="2">
        <v>1</v>
      </c>
      <c r="AV169" s="2">
        <f>Table834[[#This Row],[Water]]^2</f>
        <v>1</v>
      </c>
      <c r="AW169" s="2">
        <v>236.955375</v>
      </c>
      <c r="AX169" s="2">
        <f>Table834[[#This Row],[Fat Calories]]^2</f>
        <v>56147.84974139063</v>
      </c>
      <c r="AY169" s="5">
        <f>Table834[[#This Row],[Weight]]*Table834[[#This Row],[Waist]]</f>
        <v>11205.1</v>
      </c>
      <c r="AZ169" s="6">
        <f>Table834[[#This Row],[Weight]]*Table834[[#This Row],[Neck]]</f>
        <v>4154.7</v>
      </c>
      <c r="BA169" s="6">
        <f>Table834[[#This Row],[Weight]]*Table834[[#This Row],[Morning Body Temp]]</f>
        <v>24172.800000000003</v>
      </c>
      <c r="BB169" s="6">
        <f>Table834[[#This Row],[Weight]]*Table834[[#This Row],[Morning Systolic Pressure]]</f>
        <v>35252</v>
      </c>
      <c r="BC169" s="12">
        <f>Table834[[#This Row],[Weight]]*Table834[[#This Row],[Morning Diastolic Pressure]]</f>
        <v>20899.400000000001</v>
      </c>
      <c r="BD169" s="2">
        <f>Table834[[#This Row],[Weight]]*Table834[[#This Row],[Morning Pulse]]</f>
        <v>24676.400000000001</v>
      </c>
      <c r="BE169" s="2">
        <f>Table834[[#This Row],[Weight]]*Table834[[#This Row],[Night Body Temp]]</f>
        <v>24449.78</v>
      </c>
      <c r="BF169" s="2">
        <f>Table834[[#This Row],[Weight]]*Table834[[#This Row],[Night Systolic Pressure]]</f>
        <v>37266.400000000001</v>
      </c>
      <c r="BG169" s="4">
        <f>Table83[[#This Row],[Weight]]*Table83[[#This Row],[Night Diastolic Pressure]]</f>
        <v>18633.2</v>
      </c>
      <c r="BH169" s="2">
        <f>Table834[[#This Row],[Weight]]*Table834[[#This Row],[Night Pulse]]</f>
        <v>17877.8</v>
      </c>
      <c r="BI169" s="2">
        <f>Table834[[#This Row],[Weight]]*Table834[[#This Row],[Sleep]]</f>
        <v>0</v>
      </c>
      <c r="BJ169" s="2">
        <f>Table834[[#This Row],[Weight]]*Table834[[#This Row],[BMI]]</f>
        <v>9096.4240244897974</v>
      </c>
      <c r="BK169" s="2">
        <f>Table834[[#This Row],[Weight]]*Table834[[#This Row],[CBF]]</f>
        <v>8056.98320459562</v>
      </c>
      <c r="BL169" s="2">
        <f>Table834[[#This Row],[Weight]]*Table834[[#This Row],[Gym]]</f>
        <v>0</v>
      </c>
      <c r="BM169" s="2">
        <f>Table834[[#This Row],[Weight]]*Table834[[#This Row],[Cardio]]</f>
        <v>0</v>
      </c>
      <c r="BN169" s="2">
        <f>Table834[[#This Row],[Weight]]*Table834[[#This Row],[Calories]]</f>
        <v>356925.08362500003</v>
      </c>
      <c r="BO169" s="2">
        <f>Table834[[#This Row],[Weight]]*Table834[[#This Row],[Carbs]]</f>
        <v>67362.826475000009</v>
      </c>
      <c r="BP169" s="2">
        <f>Table834[[#This Row],[Weight]]*Table834[[#This Row],[Fat ]]</f>
        <v>6629.4848250000005</v>
      </c>
      <c r="BQ169" s="2">
        <f>Table834[[#This Row],[Weight]]*Table834[[#This Row],[Protein]]</f>
        <v>8387.9773374999986</v>
      </c>
      <c r="BR169" s="2">
        <f>Table834[[#This Row],[Weight]]*Table834[[#This Row],[Fiber]]</f>
        <v>1174.7256875</v>
      </c>
      <c r="BS169" s="2">
        <f>Table834[[#This Row],[Weight]]*Table834[[#This Row],[Sugar]]</f>
        <v>39971.141175000004</v>
      </c>
      <c r="BT169" s="2">
        <f>Table834[[#This Row],[Weight]]*Table834[[#This Row],[Servings]]</f>
        <v>4280.6000000000004</v>
      </c>
      <c r="BU169" s="2">
        <f>Table834[[#This Row],[Weight]]*Table834[[#This Row],[Water]]</f>
        <v>251.8</v>
      </c>
      <c r="BV169" s="2">
        <f>Table834[[#This Row],[Weight]]*Table834[[#This Row],[Fat Calories]]</f>
        <v>59665.363425000003</v>
      </c>
      <c r="BW169" s="2">
        <f>Table834[[#This Row],[Waist]]*Table834[[#This Row],[Neck]]</f>
        <v>734.25</v>
      </c>
      <c r="BX169" s="2">
        <f>Table834[[#This Row],[Waist]]*Table834[[#This Row],[Morning Body Temp]]</f>
        <v>4272</v>
      </c>
      <c r="BY169" s="2">
        <f>Table834[[#This Row],[Waist]]*Table834[[#This Row],[Morning Systolic Pressure]]</f>
        <v>6230</v>
      </c>
      <c r="BZ169" s="2">
        <f>Table834[[#This Row],[Waist]]*Table834[[#This Row],[Morning Diastolic Pressure]]</f>
        <v>3693.5</v>
      </c>
      <c r="CA169" s="2">
        <f>Table834[[#This Row],[Waist]]*Table834[[#This Row],[Morning Pulse]]</f>
        <v>4361</v>
      </c>
      <c r="CB169" s="2">
        <f>Table834[[#This Row],[Waist]]*Table834[[#This Row],[Night Body Temp]]</f>
        <v>4320.95</v>
      </c>
      <c r="CC169" s="2">
        <f>Table834[[#This Row],[Waist]]*Table834[[#This Row],[Night Systolic Pressure]]</f>
        <v>6586</v>
      </c>
      <c r="CD169" s="4">
        <f>Table83[[#This Row],[Waist]]*Table83[[#This Row],[Night Diastolic Pressure]]</f>
        <v>3293</v>
      </c>
      <c r="CE169" s="2">
        <f>Table834[[#This Row],[Waist]]*Table834[[#This Row],[Night Pulse]]</f>
        <v>3159.5</v>
      </c>
      <c r="CF169" s="2">
        <f>Table834[[#This Row],[Waist]]*Table834[[#This Row],[Sleep]]</f>
        <v>0</v>
      </c>
      <c r="CG169" s="2">
        <f>Table834[[#This Row],[Waist]]*Table834[[#This Row],[BMI]]</f>
        <v>1607.588836734694</v>
      </c>
      <c r="CH169" s="2">
        <f>Table834[[#This Row],[Waist]]*Table834[[#This Row],[CBF]]</f>
        <v>1423.8909952522044</v>
      </c>
      <c r="CI169" s="2">
        <f>Table834[[#This Row],[Waist]]*Table834[[#This Row],[Gym]]</f>
        <v>0</v>
      </c>
      <c r="CJ169" s="2">
        <f>Table834[[#This Row],[Waist]]*Table834[[#This Row],[Cardio]]</f>
        <v>0</v>
      </c>
      <c r="CK169" s="2">
        <f>Table834[[#This Row],[Waist]]*Table834[[#This Row],[Calories]]</f>
        <v>63078.4996875</v>
      </c>
      <c r="CL169" s="2">
        <f>Table834[[#This Row],[Waist]]*Table834[[#This Row],[Carbs]]</f>
        <v>11904.8680625</v>
      </c>
      <c r="CM169" s="2">
        <f>Table834[[#This Row],[Waist]]*Table834[[#This Row],[Fat ]]</f>
        <v>1171.6126875</v>
      </c>
      <c r="CN169" s="2">
        <f>Table834[[#This Row],[Waist]]*Table834[[#This Row],[Protein]]</f>
        <v>1482.3867812499998</v>
      </c>
      <c r="CO169" s="2">
        <f>Table834[[#This Row],[Waist]]*Table834[[#This Row],[Fiber]]</f>
        <v>207.60640624999999</v>
      </c>
      <c r="CP169" s="2">
        <f>Table834[[#This Row],[Waist]]*Table834[[#This Row],[Sugar]]</f>
        <v>7064.0023124999998</v>
      </c>
      <c r="CQ169" s="2">
        <f>Table834[[#This Row],[Waist]]*Table834[[#This Row],[Servings]]</f>
        <v>756.5</v>
      </c>
      <c r="CR169" s="2">
        <f>Table834[[#This Row],[Waist]]*Table834[[#This Row],[Water]]</f>
        <v>44.5</v>
      </c>
      <c r="CS169" s="2">
        <f>Table834[[#This Row],[Waist]]*Table834[[#This Row],[Fat Calories]]</f>
        <v>10544.514187500001</v>
      </c>
    </row>
    <row r="170" spans="1:97" x14ac:dyDescent="0.25">
      <c r="A170" s="2">
        <v>247.6</v>
      </c>
      <c r="B170" s="2">
        <f>Table834[[#This Row],[Weight]]^2</f>
        <v>61305.759999999995</v>
      </c>
      <c r="C170" s="2">
        <v>44.5</v>
      </c>
      <c r="D170" s="2">
        <f>Table834[[#This Row],[Waist]]^2</f>
        <v>1980.25</v>
      </c>
      <c r="E170" s="2">
        <v>16.5</v>
      </c>
      <c r="F170" s="2">
        <f>Table834[[#This Row],[Neck]]^2</f>
        <v>272.25</v>
      </c>
      <c r="G170" s="2">
        <v>100.1</v>
      </c>
      <c r="H170" s="2">
        <f>Table834[[#This Row],[Morning Body Temp]]^2</f>
        <v>10020.009999999998</v>
      </c>
      <c r="I170" s="2">
        <v>142</v>
      </c>
      <c r="J170" s="2">
        <f>Table834[[#This Row],[Morning Systolic Pressure]]^2</f>
        <v>20164</v>
      </c>
      <c r="K170" s="2">
        <v>82</v>
      </c>
      <c r="L170" s="2">
        <f>Table834[[#This Row],[Morning Diastolic Pressure]]^2</f>
        <v>6724</v>
      </c>
      <c r="M170" s="2">
        <v>99</v>
      </c>
      <c r="N170" s="2">
        <f>Table834[[#This Row],[Morning Pulse]]^2</f>
        <v>9801</v>
      </c>
      <c r="O170" s="2">
        <v>98.1</v>
      </c>
      <c r="P170" s="2">
        <f>Table834[[#This Row],[Night Body Temp]]^2</f>
        <v>9623.6099999999988</v>
      </c>
      <c r="Q170" s="2">
        <v>148</v>
      </c>
      <c r="R170" s="2">
        <f>Table834[[#This Row],[Night Systolic Pressure]]^2</f>
        <v>21904</v>
      </c>
      <c r="S170" s="2">
        <v>79</v>
      </c>
      <c r="T170" s="2">
        <f>Table834[[#This Row],[Night Diastolic Pressure]]^2</f>
        <v>6241</v>
      </c>
      <c r="U170" s="2">
        <v>74</v>
      </c>
      <c r="V170" s="2">
        <f>Table834[[#This Row],[Night Pulse]]^2</f>
        <v>5476</v>
      </c>
      <c r="W170" s="2">
        <v>16</v>
      </c>
      <c r="X170" s="2">
        <f>Table834[[#This Row],[Sleep]]^2</f>
        <v>256</v>
      </c>
      <c r="Y170" s="2">
        <f t="shared" si="5"/>
        <v>35.523020408163262</v>
      </c>
      <c r="Z170" s="2">
        <f>Table834[[#This Row],[BMI]]^2</f>
        <v>1261.8849789187836</v>
      </c>
      <c r="AA170" s="2">
        <f t="shared" si="4"/>
        <v>31.997550455105717</v>
      </c>
      <c r="AB170" s="2">
        <f>Table834[[#This Row],[CBF]]^2</f>
        <v>1023.8432351270361</v>
      </c>
      <c r="AC170" s="2">
        <v>0</v>
      </c>
      <c r="AD170" s="2">
        <f>Table834[[#This Row],[Gym]]^2</f>
        <v>0</v>
      </c>
      <c r="AE170" s="2">
        <v>0</v>
      </c>
      <c r="AF170" s="2">
        <f>Table834[[#This Row],[Cardio]]^2</f>
        <v>0</v>
      </c>
      <c r="AG170" s="2">
        <v>2175.2666666666664</v>
      </c>
      <c r="AH170" s="2">
        <f>Table834[[#This Row],[Calories]]^2</f>
        <v>4731785.07111111</v>
      </c>
      <c r="AI170" s="2">
        <v>376.66666666666669</v>
      </c>
      <c r="AJ170" s="2">
        <f>Table834[[#This Row],[Carbs]]^2</f>
        <v>141877.77777777778</v>
      </c>
      <c r="AK170" s="2">
        <v>45.075000000000003</v>
      </c>
      <c r="AL170" s="2">
        <f>Table834[[#This Row],[Fat ]]^2</f>
        <v>2031.7556250000002</v>
      </c>
      <c r="AM170" s="2">
        <v>74.750000000000014</v>
      </c>
      <c r="AN170" s="2">
        <f>Table834[[#This Row],[Protein]]^2</f>
        <v>5587.5625000000018</v>
      </c>
      <c r="AO170" s="2">
        <v>50.2</v>
      </c>
      <c r="AP170" s="2">
        <f>Table834[[#This Row],[Fiber]]^2</f>
        <v>2520.0400000000004</v>
      </c>
      <c r="AQ170" s="2">
        <v>273.8416666666667</v>
      </c>
      <c r="AR170" s="2">
        <f>Table834[[#This Row],[Sugar]]^2</f>
        <v>74989.258402777792</v>
      </c>
      <c r="AS170" s="2">
        <v>76.5</v>
      </c>
      <c r="AT170" s="2">
        <f>Table834[[#This Row],[Servings]]^2</f>
        <v>5852.25</v>
      </c>
      <c r="AU170" s="2">
        <v>0</v>
      </c>
      <c r="AV170" s="2">
        <f>Table834[[#This Row],[Water]]^2</f>
        <v>0</v>
      </c>
      <c r="AW170" s="2">
        <v>405.67500000000001</v>
      </c>
      <c r="AX170" s="2">
        <f>Table834[[#This Row],[Fat Calories]]^2</f>
        <v>164572.205625</v>
      </c>
      <c r="AY170" s="3">
        <f>Table834[[#This Row],[Weight]]*Table834[[#This Row],[Waist]]</f>
        <v>11018.199999999999</v>
      </c>
      <c r="AZ170" s="4">
        <f>Table834[[#This Row],[Weight]]*Table834[[#This Row],[Neck]]</f>
        <v>4085.4</v>
      </c>
      <c r="BA170" s="4">
        <f>Table834[[#This Row],[Weight]]*Table834[[#This Row],[Morning Body Temp]]</f>
        <v>24784.76</v>
      </c>
      <c r="BB170" s="4">
        <f>Table834[[#This Row],[Weight]]*Table834[[#This Row],[Morning Systolic Pressure]]</f>
        <v>35159.199999999997</v>
      </c>
      <c r="BC170" s="11">
        <f>Table834[[#This Row],[Weight]]*Table834[[#This Row],[Morning Diastolic Pressure]]</f>
        <v>20303.2</v>
      </c>
      <c r="BD170" s="2">
        <f>Table834[[#This Row],[Weight]]*Table834[[#This Row],[Morning Pulse]]</f>
        <v>24512.399999999998</v>
      </c>
      <c r="BE170" s="2">
        <f>Table834[[#This Row],[Weight]]*Table834[[#This Row],[Night Body Temp]]</f>
        <v>24289.559999999998</v>
      </c>
      <c r="BF170" s="2">
        <f>Table834[[#This Row],[Weight]]*Table834[[#This Row],[Night Systolic Pressure]]</f>
        <v>36644.799999999996</v>
      </c>
      <c r="BG170" s="4">
        <f>Table83[[#This Row],[Weight]]*Table83[[#This Row],[Night Diastolic Pressure]]</f>
        <v>19560.399999999998</v>
      </c>
      <c r="BH170" s="2">
        <f>Table834[[#This Row],[Weight]]*Table834[[#This Row],[Night Pulse]]</f>
        <v>18322.399999999998</v>
      </c>
      <c r="BI170" s="2">
        <f>Table834[[#This Row],[Weight]]*Table834[[#This Row],[Sleep]]</f>
        <v>3961.6</v>
      </c>
      <c r="BJ170" s="2">
        <f>Table834[[#This Row],[Weight]]*Table834[[#This Row],[BMI]]</f>
        <v>8795.4998530612229</v>
      </c>
      <c r="BK170" s="2">
        <f>Table834[[#This Row],[Weight]]*Table834[[#This Row],[CBF]]</f>
        <v>7922.5934926841755</v>
      </c>
      <c r="BL170" s="2">
        <f>Table834[[#This Row],[Weight]]*Table834[[#This Row],[Gym]]</f>
        <v>0</v>
      </c>
      <c r="BM170" s="2">
        <f>Table834[[#This Row],[Weight]]*Table834[[#This Row],[Cardio]]</f>
        <v>0</v>
      </c>
      <c r="BN170" s="2">
        <f>Table834[[#This Row],[Weight]]*Table834[[#This Row],[Calories]]</f>
        <v>538596.02666666661</v>
      </c>
      <c r="BO170" s="2">
        <f>Table834[[#This Row],[Weight]]*Table834[[#This Row],[Carbs]]</f>
        <v>93262.666666666672</v>
      </c>
      <c r="BP170" s="2">
        <f>Table834[[#This Row],[Weight]]*Table834[[#This Row],[Fat ]]</f>
        <v>11160.57</v>
      </c>
      <c r="BQ170" s="2">
        <f>Table834[[#This Row],[Weight]]*Table834[[#This Row],[Protein]]</f>
        <v>18508.100000000002</v>
      </c>
      <c r="BR170" s="2">
        <f>Table834[[#This Row],[Weight]]*Table834[[#This Row],[Fiber]]</f>
        <v>12429.52</v>
      </c>
      <c r="BS170" s="2">
        <f>Table834[[#This Row],[Weight]]*Table834[[#This Row],[Sugar]]</f>
        <v>67803.19666666667</v>
      </c>
      <c r="BT170" s="2">
        <f>Table834[[#This Row],[Weight]]*Table834[[#This Row],[Servings]]</f>
        <v>18941.399999999998</v>
      </c>
      <c r="BU170" s="2">
        <f>Table834[[#This Row],[Weight]]*Table834[[#This Row],[Water]]</f>
        <v>0</v>
      </c>
      <c r="BV170" s="2">
        <f>Table834[[#This Row],[Weight]]*Table834[[#This Row],[Fat Calories]]</f>
        <v>100445.13</v>
      </c>
      <c r="BW170" s="2">
        <f>Table834[[#This Row],[Waist]]*Table834[[#This Row],[Neck]]</f>
        <v>734.25</v>
      </c>
      <c r="BX170" s="2">
        <f>Table834[[#This Row],[Waist]]*Table834[[#This Row],[Morning Body Temp]]</f>
        <v>4454.45</v>
      </c>
      <c r="BY170" s="2">
        <f>Table834[[#This Row],[Waist]]*Table834[[#This Row],[Morning Systolic Pressure]]</f>
        <v>6319</v>
      </c>
      <c r="BZ170" s="2">
        <f>Table834[[#This Row],[Waist]]*Table834[[#This Row],[Morning Diastolic Pressure]]</f>
        <v>3649</v>
      </c>
      <c r="CA170" s="2">
        <f>Table834[[#This Row],[Waist]]*Table834[[#This Row],[Morning Pulse]]</f>
        <v>4405.5</v>
      </c>
      <c r="CB170" s="2">
        <f>Table834[[#This Row],[Waist]]*Table834[[#This Row],[Night Body Temp]]</f>
        <v>4365.45</v>
      </c>
      <c r="CC170" s="2">
        <f>Table834[[#This Row],[Waist]]*Table834[[#This Row],[Night Systolic Pressure]]</f>
        <v>6586</v>
      </c>
      <c r="CD170" s="4">
        <f>Table83[[#This Row],[Waist]]*Table83[[#This Row],[Night Diastolic Pressure]]</f>
        <v>3515.5</v>
      </c>
      <c r="CE170" s="2">
        <f>Table834[[#This Row],[Waist]]*Table834[[#This Row],[Night Pulse]]</f>
        <v>3293</v>
      </c>
      <c r="CF170" s="2">
        <f>Table834[[#This Row],[Waist]]*Table834[[#This Row],[Sleep]]</f>
        <v>712</v>
      </c>
      <c r="CG170" s="2">
        <f>Table834[[#This Row],[Waist]]*Table834[[#This Row],[BMI]]</f>
        <v>1580.7744081632652</v>
      </c>
      <c r="CH170" s="2">
        <f>Table834[[#This Row],[Waist]]*Table834[[#This Row],[CBF]]</f>
        <v>1423.8909952522044</v>
      </c>
      <c r="CI170" s="2">
        <f>Table834[[#This Row],[Waist]]*Table834[[#This Row],[Gym]]</f>
        <v>0</v>
      </c>
      <c r="CJ170" s="2">
        <f>Table834[[#This Row],[Waist]]*Table834[[#This Row],[Cardio]]</f>
        <v>0</v>
      </c>
      <c r="CK170" s="2">
        <f>Table834[[#This Row],[Waist]]*Table834[[#This Row],[Calories]]</f>
        <v>96799.366666666654</v>
      </c>
      <c r="CL170" s="2">
        <f>Table834[[#This Row],[Waist]]*Table834[[#This Row],[Carbs]]</f>
        <v>16761.666666666668</v>
      </c>
      <c r="CM170" s="2">
        <f>Table834[[#This Row],[Waist]]*Table834[[#This Row],[Fat ]]</f>
        <v>2005.8375000000001</v>
      </c>
      <c r="CN170" s="2">
        <f>Table834[[#This Row],[Waist]]*Table834[[#This Row],[Protein]]</f>
        <v>3326.3750000000005</v>
      </c>
      <c r="CO170" s="2">
        <f>Table834[[#This Row],[Waist]]*Table834[[#This Row],[Fiber]]</f>
        <v>2233.9</v>
      </c>
      <c r="CP170" s="2">
        <f>Table834[[#This Row],[Waist]]*Table834[[#This Row],[Sugar]]</f>
        <v>12185.954166666668</v>
      </c>
      <c r="CQ170" s="2">
        <f>Table834[[#This Row],[Waist]]*Table834[[#This Row],[Servings]]</f>
        <v>3404.25</v>
      </c>
      <c r="CR170" s="2">
        <f>Table834[[#This Row],[Waist]]*Table834[[#This Row],[Water]]</f>
        <v>0</v>
      </c>
      <c r="CS170" s="2">
        <f>Table834[[#This Row],[Waist]]*Table834[[#This Row],[Fat Calories]]</f>
        <v>18052.537500000002</v>
      </c>
    </row>
    <row r="171" spans="1:97" x14ac:dyDescent="0.25">
      <c r="A171" s="2">
        <v>248.8</v>
      </c>
      <c r="B171" s="2">
        <f>Table834[[#This Row],[Weight]]^2</f>
        <v>61901.440000000002</v>
      </c>
      <c r="C171" s="2">
        <v>44.5</v>
      </c>
      <c r="D171" s="2">
        <f>Table834[[#This Row],[Waist]]^2</f>
        <v>1980.25</v>
      </c>
      <c r="E171" s="2">
        <v>16.5</v>
      </c>
      <c r="F171" s="2">
        <f>Table834[[#This Row],[Neck]]^2</f>
        <v>272.25</v>
      </c>
      <c r="G171" s="2">
        <v>97.1</v>
      </c>
      <c r="H171" s="2">
        <f>Table834[[#This Row],[Morning Body Temp]]^2</f>
        <v>9428.409999999998</v>
      </c>
      <c r="I171" s="2">
        <v>127</v>
      </c>
      <c r="J171" s="2">
        <f>Table834[[#This Row],[Morning Systolic Pressure]]^2</f>
        <v>16129</v>
      </c>
      <c r="K171" s="2">
        <v>71</v>
      </c>
      <c r="L171" s="2">
        <f>Table834[[#This Row],[Morning Diastolic Pressure]]^2</f>
        <v>5041</v>
      </c>
      <c r="M171" s="2">
        <v>75</v>
      </c>
      <c r="N171" s="2">
        <f>Table834[[#This Row],[Morning Pulse]]^2</f>
        <v>5625</v>
      </c>
      <c r="O171" s="2">
        <v>97.1</v>
      </c>
      <c r="P171" s="2">
        <f>Table834[[#This Row],[Night Body Temp]]^2</f>
        <v>9428.409999999998</v>
      </c>
      <c r="Q171" s="2">
        <v>134</v>
      </c>
      <c r="R171" s="2">
        <f>Table834[[#This Row],[Night Systolic Pressure]]^2</f>
        <v>17956</v>
      </c>
      <c r="S171" s="2">
        <v>73</v>
      </c>
      <c r="T171" s="2">
        <f>Table834[[#This Row],[Night Diastolic Pressure]]^2</f>
        <v>5329</v>
      </c>
      <c r="U171" s="2">
        <v>73</v>
      </c>
      <c r="V171" s="2">
        <f>Table834[[#This Row],[Night Pulse]]^2</f>
        <v>5329</v>
      </c>
      <c r="W171" s="2">
        <v>10</v>
      </c>
      <c r="X171" s="2">
        <f>Table834[[#This Row],[Sleep]]^2</f>
        <v>100</v>
      </c>
      <c r="Y171" s="2">
        <f t="shared" si="5"/>
        <v>35.695183673469387</v>
      </c>
      <c r="Z171" s="2">
        <f>Table834[[#This Row],[BMI]]^2</f>
        <v>1274.1461374827154</v>
      </c>
      <c r="AA171" s="2">
        <f t="shared" si="4"/>
        <v>31.997550455105717</v>
      </c>
      <c r="AB171" s="2">
        <f>Table834[[#This Row],[CBF]]^2</f>
        <v>1023.8432351270361</v>
      </c>
      <c r="AC171" s="2">
        <v>0</v>
      </c>
      <c r="AD171" s="2">
        <f>Table834[[#This Row],[Gym]]^2</f>
        <v>0</v>
      </c>
      <c r="AE171" s="2">
        <v>0</v>
      </c>
      <c r="AF171" s="2">
        <f>Table834[[#This Row],[Cardio]]^2</f>
        <v>0</v>
      </c>
      <c r="AG171" s="2">
        <v>2027.547619047619</v>
      </c>
      <c r="AH171" s="2">
        <f>Table834[[#This Row],[Calories]]^2</f>
        <v>4110949.3475056691</v>
      </c>
      <c r="AI171" s="2">
        <v>304.3630952380953</v>
      </c>
      <c r="AJ171" s="2">
        <f>Table834[[#This Row],[Carbs]]^2</f>
        <v>92636.893742913875</v>
      </c>
      <c r="AK171" s="2">
        <v>60.359523809523822</v>
      </c>
      <c r="AL171" s="2">
        <f>Table834[[#This Row],[Fat ]]^2</f>
        <v>3643.2721145124733</v>
      </c>
      <c r="AM171" s="2">
        <v>76.157142857142873</v>
      </c>
      <c r="AN171" s="2">
        <f>Table834[[#This Row],[Protein]]^2</f>
        <v>5799.9104081632677</v>
      </c>
      <c r="AO171" s="2">
        <v>17.166666666666668</v>
      </c>
      <c r="AP171" s="2">
        <f>Table834[[#This Row],[Fiber]]^2</f>
        <v>294.69444444444446</v>
      </c>
      <c r="AQ171" s="2">
        <v>264.0654761904762</v>
      </c>
      <c r="AR171" s="2">
        <f>Table834[[#This Row],[Sugar]]^2</f>
        <v>69730.575715702958</v>
      </c>
      <c r="AS171" s="2">
        <v>66.5</v>
      </c>
      <c r="AT171" s="2">
        <f>Table834[[#This Row],[Servings]]^2</f>
        <v>4422.25</v>
      </c>
      <c r="AU171" s="2">
        <v>0</v>
      </c>
      <c r="AV171" s="2">
        <f>Table834[[#This Row],[Water]]^2</f>
        <v>0</v>
      </c>
      <c r="AW171" s="2">
        <v>543.23571428571427</v>
      </c>
      <c r="AX171" s="2">
        <f>Table834[[#This Row],[Fat Calories]]^2</f>
        <v>295105.04127551016</v>
      </c>
      <c r="AY171" s="5">
        <f>Table834[[#This Row],[Weight]]*Table834[[#This Row],[Waist]]</f>
        <v>11071.6</v>
      </c>
      <c r="AZ171" s="6">
        <f>Table834[[#This Row],[Weight]]*Table834[[#This Row],[Neck]]</f>
        <v>4105.2</v>
      </c>
      <c r="BA171" s="6">
        <f>Table834[[#This Row],[Weight]]*Table834[[#This Row],[Morning Body Temp]]</f>
        <v>24158.48</v>
      </c>
      <c r="BB171" s="6">
        <f>Table834[[#This Row],[Weight]]*Table834[[#This Row],[Morning Systolic Pressure]]</f>
        <v>31597.600000000002</v>
      </c>
      <c r="BC171" s="12">
        <f>Table834[[#This Row],[Weight]]*Table834[[#This Row],[Morning Diastolic Pressure]]</f>
        <v>17664.8</v>
      </c>
      <c r="BD171" s="2">
        <f>Table834[[#This Row],[Weight]]*Table834[[#This Row],[Morning Pulse]]</f>
        <v>18660</v>
      </c>
      <c r="BE171" s="2">
        <f>Table834[[#This Row],[Weight]]*Table834[[#This Row],[Night Body Temp]]</f>
        <v>24158.48</v>
      </c>
      <c r="BF171" s="2">
        <f>Table834[[#This Row],[Weight]]*Table834[[#This Row],[Night Systolic Pressure]]</f>
        <v>33339.200000000004</v>
      </c>
      <c r="BG171" s="4">
        <f>Table83[[#This Row],[Weight]]*Table83[[#This Row],[Night Diastolic Pressure]]</f>
        <v>18162.400000000001</v>
      </c>
      <c r="BH171" s="2">
        <f>Table834[[#This Row],[Weight]]*Table834[[#This Row],[Night Pulse]]</f>
        <v>18162.400000000001</v>
      </c>
      <c r="BI171" s="2">
        <f>Table834[[#This Row],[Weight]]*Table834[[#This Row],[Sleep]]</f>
        <v>2488</v>
      </c>
      <c r="BJ171" s="2">
        <f>Table834[[#This Row],[Weight]]*Table834[[#This Row],[BMI]]</f>
        <v>8880.9616979591847</v>
      </c>
      <c r="BK171" s="2">
        <f>Table834[[#This Row],[Weight]]*Table834[[#This Row],[CBF]]</f>
        <v>7960.9905532303028</v>
      </c>
      <c r="BL171" s="2">
        <f>Table834[[#This Row],[Weight]]*Table834[[#This Row],[Gym]]</f>
        <v>0</v>
      </c>
      <c r="BM171" s="2">
        <f>Table834[[#This Row],[Weight]]*Table834[[#This Row],[Cardio]]</f>
        <v>0</v>
      </c>
      <c r="BN171" s="2">
        <f>Table834[[#This Row],[Weight]]*Table834[[#This Row],[Calories]]</f>
        <v>504453.84761904762</v>
      </c>
      <c r="BO171" s="2">
        <f>Table834[[#This Row],[Weight]]*Table834[[#This Row],[Carbs]]</f>
        <v>75725.538095238109</v>
      </c>
      <c r="BP171" s="2">
        <f>Table834[[#This Row],[Weight]]*Table834[[#This Row],[Fat ]]</f>
        <v>15017.449523809528</v>
      </c>
      <c r="BQ171" s="2">
        <f>Table834[[#This Row],[Weight]]*Table834[[#This Row],[Protein]]</f>
        <v>18947.897142857146</v>
      </c>
      <c r="BR171" s="2">
        <f>Table834[[#This Row],[Weight]]*Table834[[#This Row],[Fiber]]</f>
        <v>4271.0666666666675</v>
      </c>
      <c r="BS171" s="2">
        <f>Table834[[#This Row],[Weight]]*Table834[[#This Row],[Sugar]]</f>
        <v>65699.490476190476</v>
      </c>
      <c r="BT171" s="2">
        <f>Table834[[#This Row],[Weight]]*Table834[[#This Row],[Servings]]</f>
        <v>16545.2</v>
      </c>
      <c r="BU171" s="2">
        <f>Table834[[#This Row],[Weight]]*Table834[[#This Row],[Water]]</f>
        <v>0</v>
      </c>
      <c r="BV171" s="2">
        <f>Table834[[#This Row],[Weight]]*Table834[[#This Row],[Fat Calories]]</f>
        <v>135157.04571428572</v>
      </c>
      <c r="BW171" s="2">
        <f>Table834[[#This Row],[Waist]]*Table834[[#This Row],[Neck]]</f>
        <v>734.25</v>
      </c>
      <c r="BX171" s="2">
        <f>Table834[[#This Row],[Waist]]*Table834[[#This Row],[Morning Body Temp]]</f>
        <v>4320.95</v>
      </c>
      <c r="BY171" s="2">
        <f>Table834[[#This Row],[Waist]]*Table834[[#This Row],[Morning Systolic Pressure]]</f>
        <v>5651.5</v>
      </c>
      <c r="BZ171" s="2">
        <f>Table834[[#This Row],[Waist]]*Table834[[#This Row],[Morning Diastolic Pressure]]</f>
        <v>3159.5</v>
      </c>
      <c r="CA171" s="2">
        <f>Table834[[#This Row],[Waist]]*Table834[[#This Row],[Morning Pulse]]</f>
        <v>3337.5</v>
      </c>
      <c r="CB171" s="2">
        <f>Table834[[#This Row],[Waist]]*Table834[[#This Row],[Night Body Temp]]</f>
        <v>4320.95</v>
      </c>
      <c r="CC171" s="2">
        <f>Table834[[#This Row],[Waist]]*Table834[[#This Row],[Night Systolic Pressure]]</f>
        <v>5963</v>
      </c>
      <c r="CD171" s="4">
        <f>Table83[[#This Row],[Waist]]*Table83[[#This Row],[Night Diastolic Pressure]]</f>
        <v>3248.5</v>
      </c>
      <c r="CE171" s="2">
        <f>Table834[[#This Row],[Waist]]*Table834[[#This Row],[Night Pulse]]</f>
        <v>3248.5</v>
      </c>
      <c r="CF171" s="2">
        <f>Table834[[#This Row],[Waist]]*Table834[[#This Row],[Sleep]]</f>
        <v>445</v>
      </c>
      <c r="CG171" s="2">
        <f>Table834[[#This Row],[Waist]]*Table834[[#This Row],[BMI]]</f>
        <v>1588.4356734693877</v>
      </c>
      <c r="CH171" s="2">
        <f>Table834[[#This Row],[Waist]]*Table834[[#This Row],[CBF]]</f>
        <v>1423.8909952522044</v>
      </c>
      <c r="CI171" s="2">
        <f>Table834[[#This Row],[Waist]]*Table834[[#This Row],[Gym]]</f>
        <v>0</v>
      </c>
      <c r="CJ171" s="2">
        <f>Table834[[#This Row],[Waist]]*Table834[[#This Row],[Cardio]]</f>
        <v>0</v>
      </c>
      <c r="CK171" s="2">
        <f>Table834[[#This Row],[Waist]]*Table834[[#This Row],[Calories]]</f>
        <v>90225.869047619053</v>
      </c>
      <c r="CL171" s="2">
        <f>Table834[[#This Row],[Waist]]*Table834[[#This Row],[Carbs]]</f>
        <v>13544.15773809524</v>
      </c>
      <c r="CM171" s="2">
        <f>Table834[[#This Row],[Waist]]*Table834[[#This Row],[Fat ]]</f>
        <v>2685.99880952381</v>
      </c>
      <c r="CN171" s="2">
        <f>Table834[[#This Row],[Waist]]*Table834[[#This Row],[Protein]]</f>
        <v>3388.9928571428577</v>
      </c>
      <c r="CO171" s="2">
        <f>Table834[[#This Row],[Waist]]*Table834[[#This Row],[Fiber]]</f>
        <v>763.91666666666674</v>
      </c>
      <c r="CP171" s="2">
        <f>Table834[[#This Row],[Waist]]*Table834[[#This Row],[Sugar]]</f>
        <v>11750.913690476191</v>
      </c>
      <c r="CQ171" s="2">
        <f>Table834[[#This Row],[Waist]]*Table834[[#This Row],[Servings]]</f>
        <v>2959.25</v>
      </c>
      <c r="CR171" s="2">
        <f>Table834[[#This Row],[Waist]]*Table834[[#This Row],[Water]]</f>
        <v>0</v>
      </c>
      <c r="CS171" s="2">
        <f>Table834[[#This Row],[Waist]]*Table834[[#This Row],[Fat Calories]]</f>
        <v>24173.989285714284</v>
      </c>
    </row>
    <row r="172" spans="1:97" x14ac:dyDescent="0.25">
      <c r="A172" s="2">
        <v>249.8</v>
      </c>
      <c r="B172" s="2">
        <f>Table834[[#This Row],[Weight]]^2</f>
        <v>62400.040000000008</v>
      </c>
      <c r="C172" s="2">
        <v>44.5</v>
      </c>
      <c r="D172" s="2">
        <f>Table834[[#This Row],[Waist]]^2</f>
        <v>1980.25</v>
      </c>
      <c r="E172" s="2">
        <v>16.5</v>
      </c>
      <c r="F172" s="2">
        <f>Table834[[#This Row],[Neck]]^2</f>
        <v>272.25</v>
      </c>
      <c r="G172" s="2">
        <v>96.8</v>
      </c>
      <c r="H172" s="2">
        <f>Table834[[#This Row],[Morning Body Temp]]^2</f>
        <v>9370.24</v>
      </c>
      <c r="I172" s="2">
        <v>140</v>
      </c>
      <c r="J172" s="2">
        <f>Table834[[#This Row],[Morning Systolic Pressure]]^2</f>
        <v>19600</v>
      </c>
      <c r="K172" s="2">
        <v>86</v>
      </c>
      <c r="L172" s="2">
        <f>Table834[[#This Row],[Morning Diastolic Pressure]]^2</f>
        <v>7396</v>
      </c>
      <c r="M172" s="2">
        <v>83</v>
      </c>
      <c r="N172" s="2">
        <f>Table834[[#This Row],[Morning Pulse]]^2</f>
        <v>6889</v>
      </c>
      <c r="O172" s="2">
        <v>97.2</v>
      </c>
      <c r="P172" s="2">
        <f>Table834[[#This Row],[Night Body Temp]]^2</f>
        <v>9447.84</v>
      </c>
      <c r="Q172" s="2">
        <v>135</v>
      </c>
      <c r="R172" s="2">
        <f>Table834[[#This Row],[Night Systolic Pressure]]^2</f>
        <v>18225</v>
      </c>
      <c r="S172" s="2">
        <v>79</v>
      </c>
      <c r="T172" s="2">
        <f>Table834[[#This Row],[Night Diastolic Pressure]]^2</f>
        <v>6241</v>
      </c>
      <c r="U172" s="2">
        <v>75</v>
      </c>
      <c r="V172" s="2">
        <f>Table834[[#This Row],[Night Pulse]]^2</f>
        <v>5625</v>
      </c>
      <c r="W172" s="2">
        <v>8</v>
      </c>
      <c r="X172" s="2">
        <f>Table834[[#This Row],[Sleep]]^2</f>
        <v>64</v>
      </c>
      <c r="Y172" s="2">
        <f t="shared" si="5"/>
        <v>35.838653061224491</v>
      </c>
      <c r="Z172" s="2">
        <f>Table834[[#This Row],[BMI]]^2</f>
        <v>1284.4090532428156</v>
      </c>
      <c r="AA172" s="2">
        <f t="shared" si="4"/>
        <v>31.997550455105717</v>
      </c>
      <c r="AB172" s="2">
        <f>Table834[[#This Row],[CBF]]^2</f>
        <v>1023.8432351270361</v>
      </c>
      <c r="AC172" s="2">
        <v>0</v>
      </c>
      <c r="AD172" s="2">
        <f>Table834[[#This Row],[Gym]]^2</f>
        <v>0</v>
      </c>
      <c r="AE172" s="2">
        <v>0</v>
      </c>
      <c r="AF172" s="2">
        <f>Table834[[#This Row],[Cardio]]^2</f>
        <v>0</v>
      </c>
      <c r="AG172" s="2">
        <v>3443.7610416666666</v>
      </c>
      <c r="AH172" s="2">
        <f>Table834[[#This Row],[Calories]]^2</f>
        <v>11859490.112101085</v>
      </c>
      <c r="AI172" s="2">
        <v>644.09179166666672</v>
      </c>
      <c r="AJ172" s="2">
        <f>Table834[[#This Row],[Carbs]]^2</f>
        <v>414854.23609237681</v>
      </c>
      <c r="AK172" s="2">
        <v>66.703374999999994</v>
      </c>
      <c r="AL172" s="2">
        <f>Table834[[#This Row],[Fat ]]^2</f>
        <v>4449.3402363906243</v>
      </c>
      <c r="AM172" s="2">
        <v>93.162062500000019</v>
      </c>
      <c r="AN172" s="2">
        <f>Table834[[#This Row],[Protein]]^2</f>
        <v>8679.1698892539098</v>
      </c>
      <c r="AO172" s="2">
        <v>55.165312499999999</v>
      </c>
      <c r="AP172" s="2">
        <f>Table834[[#This Row],[Fiber]]^2</f>
        <v>3043.2117032226561</v>
      </c>
      <c r="AQ172" s="2">
        <v>506.0832916666667</v>
      </c>
      <c r="AR172" s="2">
        <f>Table834[[#This Row],[Sugar]]^2</f>
        <v>256120.29810416844</v>
      </c>
      <c r="AS172" s="2">
        <v>126</v>
      </c>
      <c r="AT172" s="2">
        <f>Table834[[#This Row],[Servings]]^2</f>
        <v>15876</v>
      </c>
      <c r="AU172" s="2">
        <v>0</v>
      </c>
      <c r="AV172" s="2">
        <f>Table834[[#This Row],[Water]]^2</f>
        <v>0</v>
      </c>
      <c r="AW172" s="2">
        <v>600.330375</v>
      </c>
      <c r="AX172" s="2">
        <f>Table834[[#This Row],[Fat Calories]]^2</f>
        <v>360396.55914764066</v>
      </c>
      <c r="AY172" s="3">
        <f>Table834[[#This Row],[Weight]]*Table834[[#This Row],[Waist]]</f>
        <v>11116.1</v>
      </c>
      <c r="AZ172" s="4">
        <f>Table834[[#This Row],[Weight]]*Table834[[#This Row],[Neck]]</f>
        <v>4121.7</v>
      </c>
      <c r="BA172" s="4">
        <f>Table834[[#This Row],[Weight]]*Table834[[#This Row],[Morning Body Temp]]</f>
        <v>24180.639999999999</v>
      </c>
      <c r="BB172" s="4">
        <f>Table834[[#This Row],[Weight]]*Table834[[#This Row],[Morning Systolic Pressure]]</f>
        <v>34972</v>
      </c>
      <c r="BC172" s="11">
        <f>Table834[[#This Row],[Weight]]*Table834[[#This Row],[Morning Diastolic Pressure]]</f>
        <v>21482.799999999999</v>
      </c>
      <c r="BD172" s="2">
        <f>Table834[[#This Row],[Weight]]*Table834[[#This Row],[Morning Pulse]]</f>
        <v>20733.400000000001</v>
      </c>
      <c r="BE172" s="2">
        <f>Table834[[#This Row],[Weight]]*Table834[[#This Row],[Night Body Temp]]</f>
        <v>24280.560000000001</v>
      </c>
      <c r="BF172" s="2">
        <f>Table834[[#This Row],[Weight]]*Table834[[#This Row],[Night Systolic Pressure]]</f>
        <v>33723</v>
      </c>
      <c r="BG172" s="4">
        <f>Table83[[#This Row],[Weight]]*Table83[[#This Row],[Night Diastolic Pressure]]</f>
        <v>19734.2</v>
      </c>
      <c r="BH172" s="2">
        <f>Table834[[#This Row],[Weight]]*Table834[[#This Row],[Night Pulse]]</f>
        <v>18735</v>
      </c>
      <c r="BI172" s="2">
        <f>Table834[[#This Row],[Weight]]*Table834[[#This Row],[Sleep]]</f>
        <v>1998.4</v>
      </c>
      <c r="BJ172" s="2">
        <f>Table834[[#This Row],[Weight]]*Table834[[#This Row],[BMI]]</f>
        <v>8952.4955346938787</v>
      </c>
      <c r="BK172" s="2">
        <f>Table834[[#This Row],[Weight]]*Table834[[#This Row],[CBF]]</f>
        <v>7992.9881036854085</v>
      </c>
      <c r="BL172" s="2">
        <f>Table834[[#This Row],[Weight]]*Table834[[#This Row],[Gym]]</f>
        <v>0</v>
      </c>
      <c r="BM172" s="2">
        <f>Table834[[#This Row],[Weight]]*Table834[[#This Row],[Cardio]]</f>
        <v>0</v>
      </c>
      <c r="BN172" s="2">
        <f>Table834[[#This Row],[Weight]]*Table834[[#This Row],[Calories]]</f>
        <v>860251.5082083334</v>
      </c>
      <c r="BO172" s="2">
        <f>Table834[[#This Row],[Weight]]*Table834[[#This Row],[Carbs]]</f>
        <v>160894.12955833334</v>
      </c>
      <c r="BP172" s="2">
        <f>Table834[[#This Row],[Weight]]*Table834[[#This Row],[Fat ]]</f>
        <v>16662.503075000001</v>
      </c>
      <c r="BQ172" s="2">
        <f>Table834[[#This Row],[Weight]]*Table834[[#This Row],[Protein]]</f>
        <v>23271.883212500004</v>
      </c>
      <c r="BR172" s="2">
        <f>Table834[[#This Row],[Weight]]*Table834[[#This Row],[Fiber]]</f>
        <v>13780.295062500001</v>
      </c>
      <c r="BS172" s="2">
        <f>Table834[[#This Row],[Weight]]*Table834[[#This Row],[Sugar]]</f>
        <v>126419.60625833334</v>
      </c>
      <c r="BT172" s="2">
        <f>Table834[[#This Row],[Weight]]*Table834[[#This Row],[Servings]]</f>
        <v>31474.800000000003</v>
      </c>
      <c r="BU172" s="2">
        <f>Table834[[#This Row],[Weight]]*Table834[[#This Row],[Water]]</f>
        <v>0</v>
      </c>
      <c r="BV172" s="2">
        <f>Table834[[#This Row],[Weight]]*Table834[[#This Row],[Fat Calories]]</f>
        <v>149962.52767500002</v>
      </c>
      <c r="BW172" s="2">
        <f>Table834[[#This Row],[Waist]]*Table834[[#This Row],[Neck]]</f>
        <v>734.25</v>
      </c>
      <c r="BX172" s="2">
        <f>Table834[[#This Row],[Waist]]*Table834[[#This Row],[Morning Body Temp]]</f>
        <v>4307.5999999999995</v>
      </c>
      <c r="BY172" s="2">
        <f>Table834[[#This Row],[Waist]]*Table834[[#This Row],[Morning Systolic Pressure]]</f>
        <v>6230</v>
      </c>
      <c r="BZ172" s="2">
        <f>Table834[[#This Row],[Waist]]*Table834[[#This Row],[Morning Diastolic Pressure]]</f>
        <v>3827</v>
      </c>
      <c r="CA172" s="2">
        <f>Table834[[#This Row],[Waist]]*Table834[[#This Row],[Morning Pulse]]</f>
        <v>3693.5</v>
      </c>
      <c r="CB172" s="2">
        <f>Table834[[#This Row],[Waist]]*Table834[[#This Row],[Night Body Temp]]</f>
        <v>4325.4000000000005</v>
      </c>
      <c r="CC172" s="2">
        <f>Table834[[#This Row],[Waist]]*Table834[[#This Row],[Night Systolic Pressure]]</f>
        <v>6007.5</v>
      </c>
      <c r="CD172" s="4">
        <f>Table83[[#This Row],[Waist]]*Table83[[#This Row],[Night Diastolic Pressure]]</f>
        <v>3515.5</v>
      </c>
      <c r="CE172" s="2">
        <f>Table834[[#This Row],[Waist]]*Table834[[#This Row],[Night Pulse]]</f>
        <v>3337.5</v>
      </c>
      <c r="CF172" s="2">
        <f>Table834[[#This Row],[Waist]]*Table834[[#This Row],[Sleep]]</f>
        <v>356</v>
      </c>
      <c r="CG172" s="2">
        <f>Table834[[#This Row],[Waist]]*Table834[[#This Row],[BMI]]</f>
        <v>1594.8200612244898</v>
      </c>
      <c r="CH172" s="2">
        <f>Table834[[#This Row],[Waist]]*Table834[[#This Row],[CBF]]</f>
        <v>1423.8909952522044</v>
      </c>
      <c r="CI172" s="2">
        <f>Table834[[#This Row],[Waist]]*Table834[[#This Row],[Gym]]</f>
        <v>0</v>
      </c>
      <c r="CJ172" s="2">
        <f>Table834[[#This Row],[Waist]]*Table834[[#This Row],[Cardio]]</f>
        <v>0</v>
      </c>
      <c r="CK172" s="2">
        <f>Table834[[#This Row],[Waist]]*Table834[[#This Row],[Calories]]</f>
        <v>153247.36635416668</v>
      </c>
      <c r="CL172" s="2">
        <f>Table834[[#This Row],[Waist]]*Table834[[#This Row],[Carbs]]</f>
        <v>28662.084729166669</v>
      </c>
      <c r="CM172" s="2">
        <f>Table834[[#This Row],[Waist]]*Table834[[#This Row],[Fat ]]</f>
        <v>2968.3001874999995</v>
      </c>
      <c r="CN172" s="2">
        <f>Table834[[#This Row],[Waist]]*Table834[[#This Row],[Protein]]</f>
        <v>4145.711781250001</v>
      </c>
      <c r="CO172" s="2">
        <f>Table834[[#This Row],[Waist]]*Table834[[#This Row],[Fiber]]</f>
        <v>2454.85640625</v>
      </c>
      <c r="CP172" s="2">
        <f>Table834[[#This Row],[Waist]]*Table834[[#This Row],[Sugar]]</f>
        <v>22520.706479166667</v>
      </c>
      <c r="CQ172" s="2">
        <f>Table834[[#This Row],[Waist]]*Table834[[#This Row],[Servings]]</f>
        <v>5607</v>
      </c>
      <c r="CR172" s="2">
        <f>Table834[[#This Row],[Waist]]*Table834[[#This Row],[Water]]</f>
        <v>0</v>
      </c>
      <c r="CS172" s="2">
        <f>Table834[[#This Row],[Waist]]*Table834[[#This Row],[Fat Calories]]</f>
        <v>26714.701687500001</v>
      </c>
    </row>
    <row r="173" spans="1:97" x14ac:dyDescent="0.25">
      <c r="A173" s="2">
        <v>250.6</v>
      </c>
      <c r="B173" s="2">
        <f>Table834[[#This Row],[Weight]]^2</f>
        <v>62800.36</v>
      </c>
      <c r="C173" s="2">
        <v>44.5</v>
      </c>
      <c r="D173" s="2">
        <f>Table834[[#This Row],[Waist]]^2</f>
        <v>1980.25</v>
      </c>
      <c r="E173" s="2">
        <v>16.5</v>
      </c>
      <c r="F173" s="2">
        <f>Table834[[#This Row],[Neck]]^2</f>
        <v>272.25</v>
      </c>
      <c r="G173" s="2">
        <v>97.3</v>
      </c>
      <c r="H173" s="2">
        <f>Table834[[#This Row],[Morning Body Temp]]^2</f>
        <v>9467.2899999999991</v>
      </c>
      <c r="I173" s="2">
        <v>136</v>
      </c>
      <c r="J173" s="2">
        <f>Table834[[#This Row],[Morning Systolic Pressure]]^2</f>
        <v>18496</v>
      </c>
      <c r="K173" s="2">
        <v>82</v>
      </c>
      <c r="L173" s="2">
        <f>Table834[[#This Row],[Morning Diastolic Pressure]]^2</f>
        <v>6724</v>
      </c>
      <c r="M173" s="2">
        <v>73</v>
      </c>
      <c r="N173" s="2">
        <f>Table834[[#This Row],[Morning Pulse]]^2</f>
        <v>5329</v>
      </c>
      <c r="O173" s="2">
        <v>96.9</v>
      </c>
      <c r="P173" s="2">
        <f>Table834[[#This Row],[Night Body Temp]]^2</f>
        <v>9389.61</v>
      </c>
      <c r="Q173" s="2">
        <v>129</v>
      </c>
      <c r="R173" s="2">
        <f>Table834[[#This Row],[Night Systolic Pressure]]^2</f>
        <v>16641</v>
      </c>
      <c r="S173" s="2">
        <v>71</v>
      </c>
      <c r="T173" s="2">
        <f>Table834[[#This Row],[Night Diastolic Pressure]]^2</f>
        <v>5041</v>
      </c>
      <c r="U173" s="2">
        <v>71</v>
      </c>
      <c r="V173" s="2">
        <f>Table834[[#This Row],[Night Pulse]]^2</f>
        <v>5041</v>
      </c>
      <c r="W173" s="2">
        <v>10</v>
      </c>
      <c r="X173" s="2">
        <f>Table834[[#This Row],[Sleep]]^2</f>
        <v>100</v>
      </c>
      <c r="Y173" s="2">
        <f t="shared" si="5"/>
        <v>35.953428571428574</v>
      </c>
      <c r="Z173" s="2">
        <f>Table834[[#This Row],[BMI]]^2</f>
        <v>1292.6490260408166</v>
      </c>
      <c r="AA173" s="2">
        <f t="shared" si="4"/>
        <v>31.997550455105717</v>
      </c>
      <c r="AB173" s="2">
        <f>Table834[[#This Row],[CBF]]^2</f>
        <v>1023.8432351270361</v>
      </c>
      <c r="AC173" s="2">
        <v>0</v>
      </c>
      <c r="AD173" s="2">
        <f>Table834[[#This Row],[Gym]]^2</f>
        <v>0</v>
      </c>
      <c r="AE173" s="2">
        <v>0</v>
      </c>
      <c r="AF173" s="2">
        <f>Table834[[#This Row],[Cardio]]^2</f>
        <v>0</v>
      </c>
      <c r="AG173" s="2">
        <v>3056.2666666666664</v>
      </c>
      <c r="AH173" s="2">
        <f>Table834[[#This Row],[Calories]]^2</f>
        <v>9340765.9377777763</v>
      </c>
      <c r="AI173" s="2">
        <v>601.56666666666661</v>
      </c>
      <c r="AJ173" s="2">
        <f>Table834[[#This Row],[Carbs]]^2</f>
        <v>361882.45444444439</v>
      </c>
      <c r="AK173" s="2">
        <v>50.875</v>
      </c>
      <c r="AL173" s="2">
        <f>Table834[[#This Row],[Fat ]]^2</f>
        <v>2588.265625</v>
      </c>
      <c r="AM173" s="2">
        <v>76.850000000000009</v>
      </c>
      <c r="AN173" s="2">
        <f>Table834[[#This Row],[Protein]]^2</f>
        <v>5905.9225000000015</v>
      </c>
      <c r="AO173" s="2">
        <v>53.5</v>
      </c>
      <c r="AP173" s="2">
        <f>Table834[[#This Row],[Fiber]]^2</f>
        <v>2862.25</v>
      </c>
      <c r="AQ173" s="2">
        <v>500.3416666666667</v>
      </c>
      <c r="AR173" s="2">
        <f>Table834[[#This Row],[Sugar]]^2</f>
        <v>250341.7834027778</v>
      </c>
      <c r="AS173" s="2">
        <v>125</v>
      </c>
      <c r="AT173" s="2">
        <f>Table834[[#This Row],[Servings]]^2</f>
        <v>15625</v>
      </c>
      <c r="AU173" s="2">
        <v>0</v>
      </c>
      <c r="AV173" s="2">
        <f>Table834[[#This Row],[Water]]^2</f>
        <v>0</v>
      </c>
      <c r="AW173" s="2">
        <v>457.875</v>
      </c>
      <c r="AX173" s="2">
        <f>Table834[[#This Row],[Fat Calories]]^2</f>
        <v>209649.515625</v>
      </c>
      <c r="AY173" s="5">
        <f>Table834[[#This Row],[Weight]]*Table834[[#This Row],[Waist]]</f>
        <v>11151.699999999999</v>
      </c>
      <c r="AZ173" s="6">
        <f>Table834[[#This Row],[Weight]]*Table834[[#This Row],[Neck]]</f>
        <v>4134.8999999999996</v>
      </c>
      <c r="BA173" s="6">
        <f>Table834[[#This Row],[Weight]]*Table834[[#This Row],[Morning Body Temp]]</f>
        <v>24383.379999999997</v>
      </c>
      <c r="BB173" s="6">
        <f>Table834[[#This Row],[Weight]]*Table834[[#This Row],[Morning Systolic Pressure]]</f>
        <v>34081.599999999999</v>
      </c>
      <c r="BC173" s="12">
        <f>Table834[[#This Row],[Weight]]*Table834[[#This Row],[Morning Diastolic Pressure]]</f>
        <v>20549.2</v>
      </c>
      <c r="BD173" s="2">
        <f>Table834[[#This Row],[Weight]]*Table834[[#This Row],[Morning Pulse]]</f>
        <v>18293.8</v>
      </c>
      <c r="BE173" s="2">
        <f>Table834[[#This Row],[Weight]]*Table834[[#This Row],[Night Body Temp]]</f>
        <v>24283.14</v>
      </c>
      <c r="BF173" s="2">
        <f>Table834[[#This Row],[Weight]]*Table834[[#This Row],[Night Systolic Pressure]]</f>
        <v>32327.399999999998</v>
      </c>
      <c r="BG173" s="4">
        <f>Table83[[#This Row],[Weight]]*Table83[[#This Row],[Night Diastolic Pressure]]</f>
        <v>17792.599999999999</v>
      </c>
      <c r="BH173" s="2">
        <f>Table834[[#This Row],[Weight]]*Table834[[#This Row],[Night Pulse]]</f>
        <v>17792.599999999999</v>
      </c>
      <c r="BI173" s="2">
        <f>Table834[[#This Row],[Weight]]*Table834[[#This Row],[Sleep]]</f>
        <v>2506</v>
      </c>
      <c r="BJ173" s="2">
        <f>Table834[[#This Row],[Weight]]*Table834[[#This Row],[BMI]]</f>
        <v>9009.9292000000005</v>
      </c>
      <c r="BK173" s="2">
        <f>Table834[[#This Row],[Weight]]*Table834[[#This Row],[CBF]]</f>
        <v>8018.5861440494928</v>
      </c>
      <c r="BL173" s="2">
        <f>Table834[[#This Row],[Weight]]*Table834[[#This Row],[Gym]]</f>
        <v>0</v>
      </c>
      <c r="BM173" s="2">
        <f>Table834[[#This Row],[Weight]]*Table834[[#This Row],[Cardio]]</f>
        <v>0</v>
      </c>
      <c r="BN173" s="2">
        <f>Table834[[#This Row],[Weight]]*Table834[[#This Row],[Calories]]</f>
        <v>765900.42666666664</v>
      </c>
      <c r="BO173" s="2">
        <f>Table834[[#This Row],[Weight]]*Table834[[#This Row],[Carbs]]</f>
        <v>150752.60666666666</v>
      </c>
      <c r="BP173" s="2">
        <f>Table834[[#This Row],[Weight]]*Table834[[#This Row],[Fat ]]</f>
        <v>12749.275</v>
      </c>
      <c r="BQ173" s="2">
        <f>Table834[[#This Row],[Weight]]*Table834[[#This Row],[Protein]]</f>
        <v>19258.61</v>
      </c>
      <c r="BR173" s="2">
        <f>Table834[[#This Row],[Weight]]*Table834[[#This Row],[Fiber]]</f>
        <v>13407.1</v>
      </c>
      <c r="BS173" s="2">
        <f>Table834[[#This Row],[Weight]]*Table834[[#This Row],[Sugar]]</f>
        <v>125385.62166666667</v>
      </c>
      <c r="BT173" s="2">
        <f>Table834[[#This Row],[Weight]]*Table834[[#This Row],[Servings]]</f>
        <v>31325</v>
      </c>
      <c r="BU173" s="2">
        <f>Table834[[#This Row],[Weight]]*Table834[[#This Row],[Water]]</f>
        <v>0</v>
      </c>
      <c r="BV173" s="2">
        <f>Table834[[#This Row],[Weight]]*Table834[[#This Row],[Fat Calories]]</f>
        <v>114743.47499999999</v>
      </c>
      <c r="BW173" s="2">
        <f>Table834[[#This Row],[Waist]]*Table834[[#This Row],[Neck]]</f>
        <v>734.25</v>
      </c>
      <c r="BX173" s="2">
        <f>Table834[[#This Row],[Waist]]*Table834[[#This Row],[Morning Body Temp]]</f>
        <v>4329.8499999999995</v>
      </c>
      <c r="BY173" s="2">
        <f>Table834[[#This Row],[Waist]]*Table834[[#This Row],[Morning Systolic Pressure]]</f>
        <v>6052</v>
      </c>
      <c r="BZ173" s="2">
        <f>Table834[[#This Row],[Waist]]*Table834[[#This Row],[Morning Diastolic Pressure]]</f>
        <v>3649</v>
      </c>
      <c r="CA173" s="2">
        <f>Table834[[#This Row],[Waist]]*Table834[[#This Row],[Morning Pulse]]</f>
        <v>3248.5</v>
      </c>
      <c r="CB173" s="2">
        <f>Table834[[#This Row],[Waist]]*Table834[[#This Row],[Night Body Temp]]</f>
        <v>4312.05</v>
      </c>
      <c r="CC173" s="2">
        <f>Table834[[#This Row],[Waist]]*Table834[[#This Row],[Night Systolic Pressure]]</f>
        <v>5740.5</v>
      </c>
      <c r="CD173" s="4">
        <f>Table83[[#This Row],[Waist]]*Table83[[#This Row],[Night Diastolic Pressure]]</f>
        <v>3159.5</v>
      </c>
      <c r="CE173" s="2">
        <f>Table834[[#This Row],[Waist]]*Table834[[#This Row],[Night Pulse]]</f>
        <v>3159.5</v>
      </c>
      <c r="CF173" s="2">
        <f>Table834[[#This Row],[Waist]]*Table834[[#This Row],[Sleep]]</f>
        <v>445</v>
      </c>
      <c r="CG173" s="2">
        <f>Table834[[#This Row],[Waist]]*Table834[[#This Row],[BMI]]</f>
        <v>1599.9275714285716</v>
      </c>
      <c r="CH173" s="2">
        <f>Table834[[#This Row],[Waist]]*Table834[[#This Row],[CBF]]</f>
        <v>1423.8909952522044</v>
      </c>
      <c r="CI173" s="2">
        <f>Table834[[#This Row],[Waist]]*Table834[[#This Row],[Gym]]</f>
        <v>0</v>
      </c>
      <c r="CJ173" s="2">
        <f>Table834[[#This Row],[Waist]]*Table834[[#This Row],[Cardio]]</f>
        <v>0</v>
      </c>
      <c r="CK173" s="2">
        <f>Table834[[#This Row],[Waist]]*Table834[[#This Row],[Calories]]</f>
        <v>136003.86666666667</v>
      </c>
      <c r="CL173" s="2">
        <f>Table834[[#This Row],[Waist]]*Table834[[#This Row],[Carbs]]</f>
        <v>26769.716666666664</v>
      </c>
      <c r="CM173" s="2">
        <f>Table834[[#This Row],[Waist]]*Table834[[#This Row],[Fat ]]</f>
        <v>2263.9375</v>
      </c>
      <c r="CN173" s="2">
        <f>Table834[[#This Row],[Waist]]*Table834[[#This Row],[Protein]]</f>
        <v>3419.8250000000003</v>
      </c>
      <c r="CO173" s="2">
        <f>Table834[[#This Row],[Waist]]*Table834[[#This Row],[Fiber]]</f>
        <v>2380.75</v>
      </c>
      <c r="CP173" s="2">
        <f>Table834[[#This Row],[Waist]]*Table834[[#This Row],[Sugar]]</f>
        <v>22265.204166666666</v>
      </c>
      <c r="CQ173" s="2">
        <f>Table834[[#This Row],[Waist]]*Table834[[#This Row],[Servings]]</f>
        <v>5562.5</v>
      </c>
      <c r="CR173" s="2">
        <f>Table834[[#This Row],[Waist]]*Table834[[#This Row],[Water]]</f>
        <v>0</v>
      </c>
      <c r="CS173" s="2">
        <f>Table834[[#This Row],[Waist]]*Table834[[#This Row],[Fat Calories]]</f>
        <v>20375.4375</v>
      </c>
    </row>
    <row r="174" spans="1:97" x14ac:dyDescent="0.25">
      <c r="A174" s="2">
        <v>252</v>
      </c>
      <c r="B174" s="2">
        <f>Table834[[#This Row],[Weight]]^2</f>
        <v>63504</v>
      </c>
      <c r="C174" s="2">
        <v>44.5</v>
      </c>
      <c r="D174" s="2">
        <f>Table834[[#This Row],[Waist]]^2</f>
        <v>1980.25</v>
      </c>
      <c r="E174" s="2">
        <v>16.5</v>
      </c>
      <c r="F174" s="2">
        <f>Table834[[#This Row],[Neck]]^2</f>
        <v>272.25</v>
      </c>
      <c r="G174" s="2">
        <v>96.6</v>
      </c>
      <c r="H174" s="2">
        <f>Table834[[#This Row],[Morning Body Temp]]^2</f>
        <v>9331.56</v>
      </c>
      <c r="I174" s="2">
        <v>128</v>
      </c>
      <c r="J174" s="2">
        <f>Table834[[#This Row],[Morning Systolic Pressure]]^2</f>
        <v>16384</v>
      </c>
      <c r="K174" s="2">
        <v>74</v>
      </c>
      <c r="L174" s="2">
        <f>Table834[[#This Row],[Morning Diastolic Pressure]]^2</f>
        <v>5476</v>
      </c>
      <c r="M174" s="2">
        <v>73</v>
      </c>
      <c r="N174" s="2">
        <f>Table834[[#This Row],[Morning Pulse]]^2</f>
        <v>5329</v>
      </c>
      <c r="O174" s="2">
        <v>97.7</v>
      </c>
      <c r="P174" s="2">
        <f>Table834[[#This Row],[Night Body Temp]]^2</f>
        <v>9545.2900000000009</v>
      </c>
      <c r="Q174" s="2">
        <v>140</v>
      </c>
      <c r="R174" s="2">
        <f>Table834[[#This Row],[Night Systolic Pressure]]^2</f>
        <v>19600</v>
      </c>
      <c r="S174" s="2">
        <v>78</v>
      </c>
      <c r="T174" s="2">
        <f>Table834[[#This Row],[Night Diastolic Pressure]]^2</f>
        <v>6084</v>
      </c>
      <c r="U174" s="2">
        <v>68</v>
      </c>
      <c r="V174" s="2">
        <f>Table834[[#This Row],[Night Pulse]]^2</f>
        <v>4624</v>
      </c>
      <c r="W174" s="2">
        <v>8</v>
      </c>
      <c r="X174" s="2">
        <f>Table834[[#This Row],[Sleep]]^2</f>
        <v>64</v>
      </c>
      <c r="Y174" s="2">
        <f t="shared" si="5"/>
        <v>36.154285714285713</v>
      </c>
      <c r="Z174" s="2">
        <f>Table834[[#This Row],[BMI]]^2</f>
        <v>1307.1323755102039</v>
      </c>
      <c r="AA174" s="2">
        <f t="shared" si="4"/>
        <v>31.997550455105717</v>
      </c>
      <c r="AB174" s="2">
        <f>Table834[[#This Row],[CBF]]^2</f>
        <v>1023.8432351270361</v>
      </c>
      <c r="AC174" s="2">
        <v>0</v>
      </c>
      <c r="AD174" s="2">
        <f>Table834[[#This Row],[Gym]]^2</f>
        <v>0</v>
      </c>
      <c r="AE174" s="2">
        <v>0</v>
      </c>
      <c r="AF174" s="2">
        <f>Table834[[#This Row],[Cardio]]^2</f>
        <v>0</v>
      </c>
      <c r="AG174" s="2">
        <v>6201.5</v>
      </c>
      <c r="AH174" s="2">
        <f>Table834[[#This Row],[Calories]]^2</f>
        <v>38458602.25</v>
      </c>
      <c r="AI174" s="2">
        <v>872.35</v>
      </c>
      <c r="AJ174" s="2">
        <f>Table834[[#This Row],[Carbs]]^2</f>
        <v>760994.52250000008</v>
      </c>
      <c r="AK174" s="2">
        <v>224.2</v>
      </c>
      <c r="AL174" s="2">
        <f>Table834[[#This Row],[Fat ]]^2</f>
        <v>50265.639999999992</v>
      </c>
      <c r="AM174" s="2">
        <v>190.4</v>
      </c>
      <c r="AN174" s="2">
        <f>Table834[[#This Row],[Protein]]^2</f>
        <v>36252.160000000003</v>
      </c>
      <c r="AO174" s="2">
        <v>37.200000000000003</v>
      </c>
      <c r="AP174" s="2">
        <f>Table834[[#This Row],[Fiber]]^2</f>
        <v>1383.8400000000001</v>
      </c>
      <c r="AQ174" s="2">
        <v>508</v>
      </c>
      <c r="AR174" s="2">
        <f>Table834[[#This Row],[Sugar]]^2</f>
        <v>258064</v>
      </c>
      <c r="AS174" s="2">
        <v>84.75</v>
      </c>
      <c r="AT174" s="2">
        <f>Table834[[#This Row],[Servings]]^2</f>
        <v>7182.5625</v>
      </c>
      <c r="AU174" s="2">
        <v>1</v>
      </c>
      <c r="AV174" s="2">
        <f>Table834[[#This Row],[Water]]^2</f>
        <v>1</v>
      </c>
      <c r="AW174" s="2">
        <v>2017.8</v>
      </c>
      <c r="AX174" s="2">
        <f>Table834[[#This Row],[Fat Calories]]^2</f>
        <v>4071516.84</v>
      </c>
      <c r="AY174" s="3">
        <f>Table834[[#This Row],[Weight]]*Table834[[#This Row],[Waist]]</f>
        <v>11214</v>
      </c>
      <c r="AZ174" s="4">
        <f>Table834[[#This Row],[Weight]]*Table834[[#This Row],[Neck]]</f>
        <v>4158</v>
      </c>
      <c r="BA174" s="4">
        <f>Table834[[#This Row],[Weight]]*Table834[[#This Row],[Morning Body Temp]]</f>
        <v>24343.199999999997</v>
      </c>
      <c r="BB174" s="4">
        <f>Table834[[#This Row],[Weight]]*Table834[[#This Row],[Morning Systolic Pressure]]</f>
        <v>32256</v>
      </c>
      <c r="BC174" s="11">
        <f>Table834[[#This Row],[Weight]]*Table834[[#This Row],[Morning Diastolic Pressure]]</f>
        <v>18648</v>
      </c>
      <c r="BD174" s="2">
        <f>Table834[[#This Row],[Weight]]*Table834[[#This Row],[Morning Pulse]]</f>
        <v>18396</v>
      </c>
      <c r="BE174" s="2">
        <f>Table834[[#This Row],[Weight]]*Table834[[#This Row],[Night Body Temp]]</f>
        <v>24620.400000000001</v>
      </c>
      <c r="BF174" s="2">
        <f>Table834[[#This Row],[Weight]]*Table834[[#This Row],[Night Systolic Pressure]]</f>
        <v>35280</v>
      </c>
      <c r="BG174" s="4">
        <f>Table83[[#This Row],[Weight]]*Table83[[#This Row],[Night Diastolic Pressure]]</f>
        <v>19656</v>
      </c>
      <c r="BH174" s="2">
        <f>Table834[[#This Row],[Weight]]*Table834[[#This Row],[Night Pulse]]</f>
        <v>17136</v>
      </c>
      <c r="BI174" s="2">
        <f>Table834[[#This Row],[Weight]]*Table834[[#This Row],[Sleep]]</f>
        <v>2016</v>
      </c>
      <c r="BJ174" s="2">
        <f>Table834[[#This Row],[Weight]]*Table834[[#This Row],[BMI]]</f>
        <v>9110.8799999999992</v>
      </c>
      <c r="BK174" s="2">
        <f>Table834[[#This Row],[Weight]]*Table834[[#This Row],[CBF]]</f>
        <v>8063.3827146866406</v>
      </c>
      <c r="BL174" s="2">
        <f>Table834[[#This Row],[Weight]]*Table834[[#This Row],[Gym]]</f>
        <v>0</v>
      </c>
      <c r="BM174" s="2">
        <f>Table834[[#This Row],[Weight]]*Table834[[#This Row],[Cardio]]</f>
        <v>0</v>
      </c>
      <c r="BN174" s="2">
        <f>Table834[[#This Row],[Weight]]*Table834[[#This Row],[Calories]]</f>
        <v>1562778</v>
      </c>
      <c r="BO174" s="2">
        <f>Table834[[#This Row],[Weight]]*Table834[[#This Row],[Carbs]]</f>
        <v>219832.2</v>
      </c>
      <c r="BP174" s="2">
        <f>Table834[[#This Row],[Weight]]*Table834[[#This Row],[Fat ]]</f>
        <v>56498.399999999994</v>
      </c>
      <c r="BQ174" s="2">
        <f>Table834[[#This Row],[Weight]]*Table834[[#This Row],[Protein]]</f>
        <v>47980.800000000003</v>
      </c>
      <c r="BR174" s="2">
        <f>Table834[[#This Row],[Weight]]*Table834[[#This Row],[Fiber]]</f>
        <v>9374.4000000000015</v>
      </c>
      <c r="BS174" s="2">
        <f>Table834[[#This Row],[Weight]]*Table834[[#This Row],[Sugar]]</f>
        <v>128016</v>
      </c>
      <c r="BT174" s="2">
        <f>Table834[[#This Row],[Weight]]*Table834[[#This Row],[Servings]]</f>
        <v>21357</v>
      </c>
      <c r="BU174" s="2">
        <f>Table834[[#This Row],[Weight]]*Table834[[#This Row],[Water]]</f>
        <v>252</v>
      </c>
      <c r="BV174" s="2">
        <f>Table834[[#This Row],[Weight]]*Table834[[#This Row],[Fat Calories]]</f>
        <v>508485.6</v>
      </c>
      <c r="BW174" s="2">
        <f>Table834[[#This Row],[Waist]]*Table834[[#This Row],[Neck]]</f>
        <v>734.25</v>
      </c>
      <c r="BX174" s="2">
        <f>Table834[[#This Row],[Waist]]*Table834[[#This Row],[Morning Body Temp]]</f>
        <v>4298.7</v>
      </c>
      <c r="BY174" s="2">
        <f>Table834[[#This Row],[Waist]]*Table834[[#This Row],[Morning Systolic Pressure]]</f>
        <v>5696</v>
      </c>
      <c r="BZ174" s="2">
        <f>Table834[[#This Row],[Waist]]*Table834[[#This Row],[Morning Diastolic Pressure]]</f>
        <v>3293</v>
      </c>
      <c r="CA174" s="2">
        <f>Table834[[#This Row],[Waist]]*Table834[[#This Row],[Morning Pulse]]</f>
        <v>3248.5</v>
      </c>
      <c r="CB174" s="2">
        <f>Table834[[#This Row],[Waist]]*Table834[[#This Row],[Night Body Temp]]</f>
        <v>4347.6500000000005</v>
      </c>
      <c r="CC174" s="2">
        <f>Table834[[#This Row],[Waist]]*Table834[[#This Row],[Night Systolic Pressure]]</f>
        <v>6230</v>
      </c>
      <c r="CD174" s="4">
        <f>Table83[[#This Row],[Waist]]*Table83[[#This Row],[Night Diastolic Pressure]]</f>
        <v>3471</v>
      </c>
      <c r="CE174" s="2">
        <f>Table834[[#This Row],[Waist]]*Table834[[#This Row],[Night Pulse]]</f>
        <v>3026</v>
      </c>
      <c r="CF174" s="2">
        <f>Table834[[#This Row],[Waist]]*Table834[[#This Row],[Sleep]]</f>
        <v>356</v>
      </c>
      <c r="CG174" s="2">
        <f>Table834[[#This Row],[Waist]]*Table834[[#This Row],[BMI]]</f>
        <v>1608.8657142857141</v>
      </c>
      <c r="CH174" s="2">
        <f>Table834[[#This Row],[Waist]]*Table834[[#This Row],[CBF]]</f>
        <v>1423.8909952522044</v>
      </c>
      <c r="CI174" s="2">
        <f>Table834[[#This Row],[Waist]]*Table834[[#This Row],[Gym]]</f>
        <v>0</v>
      </c>
      <c r="CJ174" s="2">
        <f>Table834[[#This Row],[Waist]]*Table834[[#This Row],[Cardio]]</f>
        <v>0</v>
      </c>
      <c r="CK174" s="2">
        <f>Table834[[#This Row],[Waist]]*Table834[[#This Row],[Calories]]</f>
        <v>275966.75</v>
      </c>
      <c r="CL174" s="2">
        <f>Table834[[#This Row],[Waist]]*Table834[[#This Row],[Carbs]]</f>
        <v>38819.575000000004</v>
      </c>
      <c r="CM174" s="2">
        <f>Table834[[#This Row],[Waist]]*Table834[[#This Row],[Fat ]]</f>
        <v>9976.9</v>
      </c>
      <c r="CN174" s="2">
        <f>Table834[[#This Row],[Waist]]*Table834[[#This Row],[Protein]]</f>
        <v>8472.8000000000011</v>
      </c>
      <c r="CO174" s="2">
        <f>Table834[[#This Row],[Waist]]*Table834[[#This Row],[Fiber]]</f>
        <v>1655.4</v>
      </c>
      <c r="CP174" s="2">
        <f>Table834[[#This Row],[Waist]]*Table834[[#This Row],[Sugar]]</f>
        <v>22606</v>
      </c>
      <c r="CQ174" s="2">
        <f>Table834[[#This Row],[Waist]]*Table834[[#This Row],[Servings]]</f>
        <v>3771.375</v>
      </c>
      <c r="CR174" s="2">
        <f>Table834[[#This Row],[Waist]]*Table834[[#This Row],[Water]]</f>
        <v>44.5</v>
      </c>
      <c r="CS174" s="2">
        <f>Table834[[#This Row],[Waist]]*Table834[[#This Row],[Fat Calories]]</f>
        <v>89792.099999999991</v>
      </c>
    </row>
    <row r="175" spans="1:97" x14ac:dyDescent="0.25">
      <c r="A175" s="2">
        <v>255.6</v>
      </c>
      <c r="B175" s="2">
        <f>Table834[[#This Row],[Weight]]^2</f>
        <v>65331.360000000001</v>
      </c>
      <c r="C175" s="2">
        <v>44.5</v>
      </c>
      <c r="D175" s="2">
        <f>Table834[[#This Row],[Waist]]^2</f>
        <v>1980.25</v>
      </c>
      <c r="E175" s="2">
        <v>16.5</v>
      </c>
      <c r="F175" s="2">
        <f>Table834[[#This Row],[Neck]]^2</f>
        <v>272.25</v>
      </c>
      <c r="G175" s="2">
        <v>97.1</v>
      </c>
      <c r="H175" s="2">
        <f>Table834[[#This Row],[Morning Body Temp]]^2</f>
        <v>9428.409999999998</v>
      </c>
      <c r="I175" s="2">
        <v>133</v>
      </c>
      <c r="J175" s="2">
        <f>Table834[[#This Row],[Morning Systolic Pressure]]^2</f>
        <v>17689</v>
      </c>
      <c r="K175" s="2">
        <v>78</v>
      </c>
      <c r="L175" s="2">
        <f>Table834[[#This Row],[Morning Diastolic Pressure]]^2</f>
        <v>6084</v>
      </c>
      <c r="M175" s="2">
        <v>78</v>
      </c>
      <c r="N175" s="2">
        <f>Table834[[#This Row],[Morning Pulse]]^2</f>
        <v>6084</v>
      </c>
      <c r="O175" s="2">
        <v>96.9</v>
      </c>
      <c r="P175" s="2">
        <f>Table834[[#This Row],[Night Body Temp]]^2</f>
        <v>9389.61</v>
      </c>
      <c r="Q175" s="2">
        <v>124</v>
      </c>
      <c r="R175" s="2">
        <f>Table834[[#This Row],[Night Systolic Pressure]]^2</f>
        <v>15376</v>
      </c>
      <c r="S175" s="2">
        <v>74</v>
      </c>
      <c r="T175" s="2">
        <f>Table834[[#This Row],[Night Diastolic Pressure]]^2</f>
        <v>5476</v>
      </c>
      <c r="U175" s="2">
        <v>73</v>
      </c>
      <c r="V175" s="2">
        <f>Table834[[#This Row],[Night Pulse]]^2</f>
        <v>5329</v>
      </c>
      <c r="W175" s="2">
        <v>4</v>
      </c>
      <c r="X175" s="2">
        <f>Table834[[#This Row],[Sleep]]^2</f>
        <v>16</v>
      </c>
      <c r="Y175" s="2">
        <f t="shared" si="5"/>
        <v>36.670775510204081</v>
      </c>
      <c r="Z175" s="2">
        <f>Table834[[#This Row],[BMI]]^2</f>
        <v>1344.7457765197832</v>
      </c>
      <c r="AA175" s="2">
        <f t="shared" si="4"/>
        <v>31.997550455105717</v>
      </c>
      <c r="AB175" s="2">
        <f>Table834[[#This Row],[CBF]]^2</f>
        <v>1023.8432351270361</v>
      </c>
      <c r="AC175" s="2">
        <v>0</v>
      </c>
      <c r="AD175" s="2">
        <f>Table834[[#This Row],[Gym]]^2</f>
        <v>0</v>
      </c>
      <c r="AE175" s="2">
        <v>0</v>
      </c>
      <c r="AF175" s="2">
        <f>Table834[[#This Row],[Cardio]]^2</f>
        <v>0</v>
      </c>
      <c r="AG175" s="2">
        <v>3067.041994047619</v>
      </c>
      <c r="AH175" s="2">
        <f>Table834[[#This Row],[Calories]]^2</f>
        <v>9406746.5932515953</v>
      </c>
      <c r="AI175" s="2">
        <v>431.28822023809528</v>
      </c>
      <c r="AJ175" s="2">
        <f>Table834[[#This Row],[Carbs]]^2</f>
        <v>186009.52891614378</v>
      </c>
      <c r="AK175" s="2">
        <v>109.68789880952382</v>
      </c>
      <c r="AL175" s="2">
        <f>Table834[[#This Row],[Fat ]]^2</f>
        <v>12031.435145248337</v>
      </c>
      <c r="AM175" s="2">
        <v>97.969205357142869</v>
      </c>
      <c r="AN175" s="2">
        <f>Table834[[#This Row],[Protein]]^2</f>
        <v>9597.9651983100302</v>
      </c>
      <c r="AO175" s="2">
        <v>7.3319791666666667</v>
      </c>
      <c r="AP175" s="2">
        <f>Table834[[#This Row],[Fiber]]^2</f>
        <v>53.75791850043403</v>
      </c>
      <c r="AQ175" s="2">
        <v>312.70710119047618</v>
      </c>
      <c r="AR175" s="2">
        <f>Table834[[#This Row],[Sugar]]^2</f>
        <v>97785.731134950707</v>
      </c>
      <c r="AS175" s="2">
        <v>55</v>
      </c>
      <c r="AT175" s="2">
        <f>Table834[[#This Row],[Servings]]^2</f>
        <v>3025</v>
      </c>
      <c r="AU175" s="2">
        <v>0</v>
      </c>
      <c r="AV175" s="2">
        <f>Table834[[#This Row],[Water]]^2</f>
        <v>0</v>
      </c>
      <c r="AW175" s="2">
        <v>987.19108928571427</v>
      </c>
      <c r="AX175" s="2">
        <f>Table834[[#This Row],[Fat Calories]]^2</f>
        <v>974546.24676511507</v>
      </c>
      <c r="AY175" s="5">
        <f>Table834[[#This Row],[Weight]]*Table834[[#This Row],[Waist]]</f>
        <v>11374.199999999999</v>
      </c>
      <c r="AZ175" s="6">
        <f>Table834[[#This Row],[Weight]]*Table834[[#This Row],[Neck]]</f>
        <v>4217.3999999999996</v>
      </c>
      <c r="BA175" s="6">
        <f>Table834[[#This Row],[Weight]]*Table834[[#This Row],[Morning Body Temp]]</f>
        <v>24818.76</v>
      </c>
      <c r="BB175" s="6">
        <f>Table834[[#This Row],[Weight]]*Table834[[#This Row],[Morning Systolic Pressure]]</f>
        <v>33994.799999999996</v>
      </c>
      <c r="BC175" s="12">
        <f>Table834[[#This Row],[Weight]]*Table834[[#This Row],[Morning Diastolic Pressure]]</f>
        <v>19936.8</v>
      </c>
      <c r="BD175" s="2">
        <f>Table834[[#This Row],[Weight]]*Table834[[#This Row],[Morning Pulse]]</f>
        <v>19936.8</v>
      </c>
      <c r="BE175" s="2">
        <f>Table834[[#This Row],[Weight]]*Table834[[#This Row],[Night Body Temp]]</f>
        <v>24767.64</v>
      </c>
      <c r="BF175" s="2">
        <f>Table834[[#This Row],[Weight]]*Table834[[#This Row],[Night Systolic Pressure]]</f>
        <v>31694.399999999998</v>
      </c>
      <c r="BG175" s="4">
        <f>Table83[[#This Row],[Weight]]*Table83[[#This Row],[Night Diastolic Pressure]]</f>
        <v>18914.399999999998</v>
      </c>
      <c r="BH175" s="2">
        <f>Table834[[#This Row],[Weight]]*Table834[[#This Row],[Night Pulse]]</f>
        <v>18658.8</v>
      </c>
      <c r="BI175" s="2">
        <f>Table834[[#This Row],[Weight]]*Table834[[#This Row],[Sleep]]</f>
        <v>1022.4</v>
      </c>
      <c r="BJ175" s="2">
        <f>Table834[[#This Row],[Weight]]*Table834[[#This Row],[BMI]]</f>
        <v>9373.0502204081622</v>
      </c>
      <c r="BK175" s="2">
        <f>Table834[[#This Row],[Weight]]*Table834[[#This Row],[CBF]]</f>
        <v>8178.5738963250215</v>
      </c>
      <c r="BL175" s="2">
        <f>Table834[[#This Row],[Weight]]*Table834[[#This Row],[Gym]]</f>
        <v>0</v>
      </c>
      <c r="BM175" s="2">
        <f>Table834[[#This Row],[Weight]]*Table834[[#This Row],[Cardio]]</f>
        <v>0</v>
      </c>
      <c r="BN175" s="2">
        <f>Table834[[#This Row],[Weight]]*Table834[[#This Row],[Calories]]</f>
        <v>783935.93367857137</v>
      </c>
      <c r="BO175" s="2">
        <f>Table834[[#This Row],[Weight]]*Table834[[#This Row],[Carbs]]</f>
        <v>110237.26909285715</v>
      </c>
      <c r="BP175" s="2">
        <f>Table834[[#This Row],[Weight]]*Table834[[#This Row],[Fat ]]</f>
        <v>28036.226935714287</v>
      </c>
      <c r="BQ175" s="2">
        <f>Table834[[#This Row],[Weight]]*Table834[[#This Row],[Protein]]</f>
        <v>25040.928889285718</v>
      </c>
      <c r="BR175" s="2">
        <f>Table834[[#This Row],[Weight]]*Table834[[#This Row],[Fiber]]</f>
        <v>1874.0538750000001</v>
      </c>
      <c r="BS175" s="2">
        <f>Table834[[#This Row],[Weight]]*Table834[[#This Row],[Sugar]]</f>
        <v>79927.935064285717</v>
      </c>
      <c r="BT175" s="2">
        <f>Table834[[#This Row],[Weight]]*Table834[[#This Row],[Servings]]</f>
        <v>14058</v>
      </c>
      <c r="BU175" s="2">
        <f>Table834[[#This Row],[Weight]]*Table834[[#This Row],[Water]]</f>
        <v>0</v>
      </c>
      <c r="BV175" s="2">
        <f>Table834[[#This Row],[Weight]]*Table834[[#This Row],[Fat Calories]]</f>
        <v>252326.04242142857</v>
      </c>
      <c r="BW175" s="2">
        <f>Table834[[#This Row],[Waist]]*Table834[[#This Row],[Neck]]</f>
        <v>734.25</v>
      </c>
      <c r="BX175" s="2">
        <f>Table834[[#This Row],[Waist]]*Table834[[#This Row],[Morning Body Temp]]</f>
        <v>4320.95</v>
      </c>
      <c r="BY175" s="2">
        <f>Table834[[#This Row],[Waist]]*Table834[[#This Row],[Morning Systolic Pressure]]</f>
        <v>5918.5</v>
      </c>
      <c r="BZ175" s="2">
        <f>Table834[[#This Row],[Waist]]*Table834[[#This Row],[Morning Diastolic Pressure]]</f>
        <v>3471</v>
      </c>
      <c r="CA175" s="2">
        <f>Table834[[#This Row],[Waist]]*Table834[[#This Row],[Morning Pulse]]</f>
        <v>3471</v>
      </c>
      <c r="CB175" s="2">
        <f>Table834[[#This Row],[Waist]]*Table834[[#This Row],[Night Body Temp]]</f>
        <v>4312.05</v>
      </c>
      <c r="CC175" s="2">
        <f>Table834[[#This Row],[Waist]]*Table834[[#This Row],[Night Systolic Pressure]]</f>
        <v>5518</v>
      </c>
      <c r="CD175" s="4">
        <f>Table83[[#This Row],[Waist]]*Table83[[#This Row],[Night Diastolic Pressure]]</f>
        <v>3293</v>
      </c>
      <c r="CE175" s="2">
        <f>Table834[[#This Row],[Waist]]*Table834[[#This Row],[Night Pulse]]</f>
        <v>3248.5</v>
      </c>
      <c r="CF175" s="2">
        <f>Table834[[#This Row],[Waist]]*Table834[[#This Row],[Sleep]]</f>
        <v>178</v>
      </c>
      <c r="CG175" s="2">
        <f>Table834[[#This Row],[Waist]]*Table834[[#This Row],[BMI]]</f>
        <v>1631.8495102040815</v>
      </c>
      <c r="CH175" s="2">
        <f>Table834[[#This Row],[Waist]]*Table834[[#This Row],[CBF]]</f>
        <v>1423.8909952522044</v>
      </c>
      <c r="CI175" s="2">
        <f>Table834[[#This Row],[Waist]]*Table834[[#This Row],[Gym]]</f>
        <v>0</v>
      </c>
      <c r="CJ175" s="2">
        <f>Table834[[#This Row],[Waist]]*Table834[[#This Row],[Cardio]]</f>
        <v>0</v>
      </c>
      <c r="CK175" s="2">
        <f>Table834[[#This Row],[Waist]]*Table834[[#This Row],[Calories]]</f>
        <v>136483.36873511906</v>
      </c>
      <c r="CL175" s="2">
        <f>Table834[[#This Row],[Waist]]*Table834[[#This Row],[Carbs]]</f>
        <v>19192.325800595241</v>
      </c>
      <c r="CM175" s="2">
        <f>Table834[[#This Row],[Waist]]*Table834[[#This Row],[Fat ]]</f>
        <v>4881.1114970238095</v>
      </c>
      <c r="CN175" s="2">
        <f>Table834[[#This Row],[Waist]]*Table834[[#This Row],[Protein]]</f>
        <v>4359.6296383928575</v>
      </c>
      <c r="CO175" s="2">
        <f>Table834[[#This Row],[Waist]]*Table834[[#This Row],[Fiber]]</f>
        <v>326.27307291666665</v>
      </c>
      <c r="CP175" s="2">
        <f>Table834[[#This Row],[Waist]]*Table834[[#This Row],[Sugar]]</f>
        <v>13915.466002976191</v>
      </c>
      <c r="CQ175" s="2">
        <f>Table834[[#This Row],[Waist]]*Table834[[#This Row],[Servings]]</f>
        <v>2447.5</v>
      </c>
      <c r="CR175" s="2">
        <f>Table834[[#This Row],[Waist]]*Table834[[#This Row],[Water]]</f>
        <v>0</v>
      </c>
      <c r="CS175" s="2">
        <f>Table834[[#This Row],[Waist]]*Table834[[#This Row],[Fat Calories]]</f>
        <v>43930.003473214289</v>
      </c>
    </row>
    <row r="176" spans="1:97" x14ac:dyDescent="0.25">
      <c r="A176" s="2">
        <v>252.6</v>
      </c>
      <c r="B176" s="2">
        <f>Table834[[#This Row],[Weight]]^2</f>
        <v>63806.759999999995</v>
      </c>
      <c r="C176" s="2">
        <v>44.5</v>
      </c>
      <c r="D176" s="2">
        <f>Table834[[#This Row],[Waist]]^2</f>
        <v>1980.25</v>
      </c>
      <c r="E176" s="2">
        <v>16.5</v>
      </c>
      <c r="F176" s="2">
        <f>Table834[[#This Row],[Neck]]^2</f>
        <v>272.25</v>
      </c>
      <c r="G176" s="2">
        <v>96.5</v>
      </c>
      <c r="H176" s="2">
        <f>Table834[[#This Row],[Morning Body Temp]]^2</f>
        <v>9312.25</v>
      </c>
      <c r="I176" s="2">
        <v>132</v>
      </c>
      <c r="J176" s="2">
        <f>Table834[[#This Row],[Morning Systolic Pressure]]^2</f>
        <v>17424</v>
      </c>
      <c r="K176" s="2">
        <v>80</v>
      </c>
      <c r="L176" s="2">
        <f>Table834[[#This Row],[Morning Diastolic Pressure]]^2</f>
        <v>6400</v>
      </c>
      <c r="M176" s="2">
        <v>64</v>
      </c>
      <c r="N176" s="2">
        <f>Table834[[#This Row],[Morning Pulse]]^2</f>
        <v>4096</v>
      </c>
      <c r="O176" s="2">
        <v>97.8</v>
      </c>
      <c r="P176" s="2">
        <f>Table834[[#This Row],[Night Body Temp]]^2</f>
        <v>9564.84</v>
      </c>
      <c r="Q176" s="2">
        <v>153</v>
      </c>
      <c r="R176" s="2">
        <f>Table834[[#This Row],[Night Systolic Pressure]]^2</f>
        <v>23409</v>
      </c>
      <c r="S176" s="2">
        <v>85</v>
      </c>
      <c r="T176" s="2">
        <f>Table834[[#This Row],[Night Diastolic Pressure]]^2</f>
        <v>7225</v>
      </c>
      <c r="U176" s="2">
        <v>76</v>
      </c>
      <c r="V176" s="2">
        <f>Table834[[#This Row],[Night Pulse]]^2</f>
        <v>5776</v>
      </c>
      <c r="W176" s="2">
        <v>12</v>
      </c>
      <c r="X176" s="2">
        <f>Table834[[#This Row],[Sleep]]^2</f>
        <v>144</v>
      </c>
      <c r="Y176" s="2">
        <f t="shared" si="5"/>
        <v>36.240367346938775</v>
      </c>
      <c r="Z176" s="2">
        <f>Table834[[#This Row],[BMI]]^2</f>
        <v>1313.3642254410663</v>
      </c>
      <c r="AA176" s="2">
        <f t="shared" si="4"/>
        <v>31.997550455105717</v>
      </c>
      <c r="AB176" s="2">
        <f>Table834[[#This Row],[CBF]]^2</f>
        <v>1023.8432351270361</v>
      </c>
      <c r="AC176" s="2">
        <v>0</v>
      </c>
      <c r="AD176" s="2">
        <f>Table834[[#This Row],[Gym]]^2</f>
        <v>0</v>
      </c>
      <c r="AE176" s="2">
        <v>0</v>
      </c>
      <c r="AF176" s="2">
        <f>Table834[[#This Row],[Cardio]]^2</f>
        <v>0</v>
      </c>
      <c r="AG176" s="2">
        <v>2795.8586607142856</v>
      </c>
      <c r="AH176" s="2">
        <f>Table834[[#This Row],[Calories]]^2</f>
        <v>7816825.650691079</v>
      </c>
      <c r="AI176" s="2">
        <v>317.82588690476189</v>
      </c>
      <c r="AJ176" s="2">
        <f>Table834[[#This Row],[Carbs]]^2</f>
        <v>101013.29438679849</v>
      </c>
      <c r="AK176" s="2">
        <v>104.82789880952382</v>
      </c>
      <c r="AL176" s="2">
        <f>Table834[[#This Row],[Fat ]]^2</f>
        <v>10988.888368819764</v>
      </c>
      <c r="AM176" s="2">
        <v>149.84720535714285</v>
      </c>
      <c r="AN176" s="2">
        <f>Table834[[#This Row],[Protein]]^2</f>
        <v>22454.184953345743</v>
      </c>
      <c r="AO176" s="2">
        <v>39.250979166666667</v>
      </c>
      <c r="AP176" s="2">
        <f>Table834[[#This Row],[Fiber]]^2</f>
        <v>1540.6393655421007</v>
      </c>
      <c r="AQ176" s="2">
        <v>199.63276785714285</v>
      </c>
      <c r="AR176" s="2">
        <f>Table834[[#This Row],[Sugar]]^2</f>
        <v>39853.242002303887</v>
      </c>
      <c r="AS176" s="2">
        <v>77.11</v>
      </c>
      <c r="AT176" s="2">
        <f>Table834[[#This Row],[Servings]]^2</f>
        <v>5945.9520999999995</v>
      </c>
      <c r="AU176" s="2">
        <v>0.5</v>
      </c>
      <c r="AV176" s="2">
        <f>Table834[[#This Row],[Water]]^2</f>
        <v>0.25</v>
      </c>
      <c r="AW176" s="2">
        <v>943.45108928571426</v>
      </c>
      <c r="AX176" s="2">
        <f>Table834[[#This Row],[Fat Calories]]^2</f>
        <v>890099.95787440077</v>
      </c>
      <c r="AY176" s="3">
        <f>Table834[[#This Row],[Weight]]*Table834[[#This Row],[Waist]]</f>
        <v>11240.699999999999</v>
      </c>
      <c r="AZ176" s="4">
        <f>Table834[[#This Row],[Weight]]*Table834[[#This Row],[Neck]]</f>
        <v>4167.8999999999996</v>
      </c>
      <c r="BA176" s="4">
        <f>Table834[[#This Row],[Weight]]*Table834[[#This Row],[Morning Body Temp]]</f>
        <v>24375.899999999998</v>
      </c>
      <c r="BB176" s="4">
        <f>Table834[[#This Row],[Weight]]*Table834[[#This Row],[Morning Systolic Pressure]]</f>
        <v>33343.199999999997</v>
      </c>
      <c r="BC176" s="11">
        <f>Table834[[#This Row],[Weight]]*Table834[[#This Row],[Morning Diastolic Pressure]]</f>
        <v>20208</v>
      </c>
      <c r="BD176" s="2">
        <f>Table834[[#This Row],[Weight]]*Table834[[#This Row],[Morning Pulse]]</f>
        <v>16166.4</v>
      </c>
      <c r="BE176" s="2">
        <f>Table834[[#This Row],[Weight]]*Table834[[#This Row],[Night Body Temp]]</f>
        <v>24704.28</v>
      </c>
      <c r="BF176" s="2">
        <f>Table834[[#This Row],[Weight]]*Table834[[#This Row],[Night Systolic Pressure]]</f>
        <v>38647.799999999996</v>
      </c>
      <c r="BG176" s="4">
        <f>Table83[[#This Row],[Weight]]*Table83[[#This Row],[Night Diastolic Pressure]]</f>
        <v>21471</v>
      </c>
      <c r="BH176" s="2">
        <f>Table834[[#This Row],[Weight]]*Table834[[#This Row],[Night Pulse]]</f>
        <v>19197.599999999999</v>
      </c>
      <c r="BI176" s="2">
        <f>Table834[[#This Row],[Weight]]*Table834[[#This Row],[Sleep]]</f>
        <v>3031.2</v>
      </c>
      <c r="BJ176" s="2">
        <f>Table834[[#This Row],[Weight]]*Table834[[#This Row],[BMI]]</f>
        <v>9154.3167918367344</v>
      </c>
      <c r="BK176" s="2">
        <f>Table834[[#This Row],[Weight]]*Table834[[#This Row],[CBF]]</f>
        <v>8082.5812449597042</v>
      </c>
      <c r="BL176" s="2">
        <f>Table834[[#This Row],[Weight]]*Table834[[#This Row],[Gym]]</f>
        <v>0</v>
      </c>
      <c r="BM176" s="2">
        <f>Table834[[#This Row],[Weight]]*Table834[[#This Row],[Cardio]]</f>
        <v>0</v>
      </c>
      <c r="BN176" s="2">
        <f>Table834[[#This Row],[Weight]]*Table834[[#This Row],[Calories]]</f>
        <v>706233.89769642858</v>
      </c>
      <c r="BO176" s="2">
        <f>Table834[[#This Row],[Weight]]*Table834[[#This Row],[Carbs]]</f>
        <v>80282.819032142856</v>
      </c>
      <c r="BP176" s="2">
        <f>Table834[[#This Row],[Weight]]*Table834[[#This Row],[Fat ]]</f>
        <v>26479.527239285715</v>
      </c>
      <c r="BQ176" s="2">
        <f>Table834[[#This Row],[Weight]]*Table834[[#This Row],[Protein]]</f>
        <v>37851.404073214282</v>
      </c>
      <c r="BR176" s="2">
        <f>Table834[[#This Row],[Weight]]*Table834[[#This Row],[Fiber]]</f>
        <v>9914.7973375000001</v>
      </c>
      <c r="BS176" s="2">
        <f>Table834[[#This Row],[Weight]]*Table834[[#This Row],[Sugar]]</f>
        <v>50427.237160714285</v>
      </c>
      <c r="BT176" s="2">
        <f>Table834[[#This Row],[Weight]]*Table834[[#This Row],[Servings]]</f>
        <v>19477.986000000001</v>
      </c>
      <c r="BU176" s="2">
        <f>Table834[[#This Row],[Weight]]*Table834[[#This Row],[Water]]</f>
        <v>126.3</v>
      </c>
      <c r="BV176" s="2">
        <f>Table834[[#This Row],[Weight]]*Table834[[#This Row],[Fat Calories]]</f>
        <v>238315.74515357142</v>
      </c>
      <c r="BW176" s="2">
        <f>Table834[[#This Row],[Waist]]*Table834[[#This Row],[Neck]]</f>
        <v>734.25</v>
      </c>
      <c r="BX176" s="2">
        <f>Table834[[#This Row],[Waist]]*Table834[[#This Row],[Morning Body Temp]]</f>
        <v>4294.25</v>
      </c>
      <c r="BY176" s="2">
        <f>Table834[[#This Row],[Waist]]*Table834[[#This Row],[Morning Systolic Pressure]]</f>
        <v>5874</v>
      </c>
      <c r="BZ176" s="2">
        <f>Table834[[#This Row],[Waist]]*Table834[[#This Row],[Morning Diastolic Pressure]]</f>
        <v>3560</v>
      </c>
      <c r="CA176" s="2">
        <f>Table834[[#This Row],[Waist]]*Table834[[#This Row],[Morning Pulse]]</f>
        <v>2848</v>
      </c>
      <c r="CB176" s="2">
        <f>Table834[[#This Row],[Waist]]*Table834[[#This Row],[Night Body Temp]]</f>
        <v>4352.0999999999995</v>
      </c>
      <c r="CC176" s="2">
        <f>Table834[[#This Row],[Waist]]*Table834[[#This Row],[Night Systolic Pressure]]</f>
        <v>6808.5</v>
      </c>
      <c r="CD176" s="4">
        <f>Table83[[#This Row],[Waist]]*Table83[[#This Row],[Night Diastolic Pressure]]</f>
        <v>3782.5</v>
      </c>
      <c r="CE176" s="2">
        <f>Table834[[#This Row],[Waist]]*Table834[[#This Row],[Night Pulse]]</f>
        <v>3382</v>
      </c>
      <c r="CF176" s="2">
        <f>Table834[[#This Row],[Waist]]*Table834[[#This Row],[Sleep]]</f>
        <v>534</v>
      </c>
      <c r="CG176" s="2">
        <f>Table834[[#This Row],[Waist]]*Table834[[#This Row],[BMI]]</f>
        <v>1612.6963469387756</v>
      </c>
      <c r="CH176" s="2">
        <f>Table834[[#This Row],[Waist]]*Table834[[#This Row],[CBF]]</f>
        <v>1423.8909952522044</v>
      </c>
      <c r="CI176" s="2">
        <f>Table834[[#This Row],[Waist]]*Table834[[#This Row],[Gym]]</f>
        <v>0</v>
      </c>
      <c r="CJ176" s="2">
        <f>Table834[[#This Row],[Waist]]*Table834[[#This Row],[Cardio]]</f>
        <v>0</v>
      </c>
      <c r="CK176" s="2">
        <f>Table834[[#This Row],[Waist]]*Table834[[#This Row],[Calories]]</f>
        <v>124415.71040178571</v>
      </c>
      <c r="CL176" s="2">
        <f>Table834[[#This Row],[Waist]]*Table834[[#This Row],[Carbs]]</f>
        <v>14143.251967261904</v>
      </c>
      <c r="CM176" s="2">
        <f>Table834[[#This Row],[Waist]]*Table834[[#This Row],[Fat ]]</f>
        <v>4664.84149702381</v>
      </c>
      <c r="CN176" s="2">
        <f>Table834[[#This Row],[Waist]]*Table834[[#This Row],[Protein]]</f>
        <v>6668.2006383928574</v>
      </c>
      <c r="CO176" s="2">
        <f>Table834[[#This Row],[Waist]]*Table834[[#This Row],[Fiber]]</f>
        <v>1746.6685729166668</v>
      </c>
      <c r="CP176" s="2">
        <f>Table834[[#This Row],[Waist]]*Table834[[#This Row],[Sugar]]</f>
        <v>8883.6581696428566</v>
      </c>
      <c r="CQ176" s="2">
        <f>Table834[[#This Row],[Waist]]*Table834[[#This Row],[Servings]]</f>
        <v>3431.395</v>
      </c>
      <c r="CR176" s="2">
        <f>Table834[[#This Row],[Waist]]*Table834[[#This Row],[Water]]</f>
        <v>22.25</v>
      </c>
      <c r="CS176" s="2">
        <f>Table834[[#This Row],[Waist]]*Table834[[#This Row],[Fat Calories]]</f>
        <v>41983.573473214288</v>
      </c>
    </row>
    <row r="177" spans="1:97" x14ac:dyDescent="0.25">
      <c r="A177" s="2">
        <v>252.4</v>
      </c>
      <c r="B177" s="2">
        <f>Table834[[#This Row],[Weight]]^2</f>
        <v>63705.760000000002</v>
      </c>
      <c r="C177" s="2">
        <v>44.5</v>
      </c>
      <c r="D177" s="2">
        <f>Table834[[#This Row],[Waist]]^2</f>
        <v>1980.25</v>
      </c>
      <c r="E177" s="2">
        <v>16.5</v>
      </c>
      <c r="F177" s="2">
        <f>Table834[[#This Row],[Neck]]^2</f>
        <v>272.25</v>
      </c>
      <c r="G177" s="2">
        <v>97.6</v>
      </c>
      <c r="H177" s="2">
        <f>Table834[[#This Row],[Morning Body Temp]]^2</f>
        <v>9525.7599999999984</v>
      </c>
      <c r="I177" s="2">
        <v>148</v>
      </c>
      <c r="J177" s="2">
        <f>Table834[[#This Row],[Morning Systolic Pressure]]^2</f>
        <v>21904</v>
      </c>
      <c r="K177" s="2">
        <v>83</v>
      </c>
      <c r="L177" s="2">
        <f>Table834[[#This Row],[Morning Diastolic Pressure]]^2</f>
        <v>6889</v>
      </c>
      <c r="M177" s="2">
        <v>72</v>
      </c>
      <c r="N177" s="2">
        <f>Table834[[#This Row],[Morning Pulse]]^2</f>
        <v>5184</v>
      </c>
      <c r="O177" s="2">
        <v>96.2</v>
      </c>
      <c r="P177" s="2">
        <f>Table834[[#This Row],[Night Body Temp]]^2</f>
        <v>9254.44</v>
      </c>
      <c r="Q177" s="2">
        <v>123</v>
      </c>
      <c r="R177" s="2">
        <f>Table834[[#This Row],[Night Systolic Pressure]]^2</f>
        <v>15129</v>
      </c>
      <c r="S177" s="2">
        <v>69</v>
      </c>
      <c r="T177" s="2">
        <f>Table834[[#This Row],[Night Diastolic Pressure]]^2</f>
        <v>4761</v>
      </c>
      <c r="U177" s="2">
        <v>67</v>
      </c>
      <c r="V177" s="2">
        <f>Table834[[#This Row],[Night Pulse]]^2</f>
        <v>4489</v>
      </c>
      <c r="W177" s="2">
        <v>8</v>
      </c>
      <c r="X177" s="2">
        <f>Table834[[#This Row],[Sleep]]^2</f>
        <v>64</v>
      </c>
      <c r="Y177" s="2">
        <f t="shared" si="5"/>
        <v>36.211673469387755</v>
      </c>
      <c r="Z177" s="2">
        <f>Table834[[#This Row],[BMI]]^2</f>
        <v>1311.285295453561</v>
      </c>
      <c r="AA177" s="2">
        <f t="shared" si="4"/>
        <v>31.997550455105717</v>
      </c>
      <c r="AB177" s="2">
        <f>Table834[[#This Row],[CBF]]^2</f>
        <v>1023.8432351270361</v>
      </c>
      <c r="AC177" s="2">
        <v>1</v>
      </c>
      <c r="AD177" s="2">
        <f>Table834[[#This Row],[Gym]]^2</f>
        <v>1</v>
      </c>
      <c r="AE177" s="2">
        <v>0</v>
      </c>
      <c r="AF177" s="2">
        <f>Table834[[#This Row],[Cardio]]^2</f>
        <v>0</v>
      </c>
      <c r="AG177" s="2">
        <v>2490.5476190476193</v>
      </c>
      <c r="AH177" s="2">
        <f>Table834[[#This Row],[Calories]]^2</f>
        <v>6202827.4427437652</v>
      </c>
      <c r="AI177" s="2">
        <v>300.51309523809522</v>
      </c>
      <c r="AJ177" s="2">
        <f>Table834[[#This Row],[Carbs]]^2</f>
        <v>90308.120409580486</v>
      </c>
      <c r="AK177" s="2">
        <v>97.509523809523827</v>
      </c>
      <c r="AL177" s="2">
        <f>Table834[[#This Row],[Fat ]]^2</f>
        <v>9508.1072335600948</v>
      </c>
      <c r="AM177" s="2">
        <v>109.70714285714286</v>
      </c>
      <c r="AN177" s="2">
        <f>Table834[[#This Row],[Protein]]^2</f>
        <v>12035.657193877551</v>
      </c>
      <c r="AO177" s="2">
        <v>8.6666666666666661</v>
      </c>
      <c r="AP177" s="2">
        <f>Table834[[#This Row],[Fiber]]^2</f>
        <v>75.1111111111111</v>
      </c>
      <c r="AQ177" s="2">
        <v>236.3154761904762</v>
      </c>
      <c r="AR177" s="2">
        <f>Table834[[#This Row],[Sugar]]^2</f>
        <v>55845.004287131524</v>
      </c>
      <c r="AS177" s="2">
        <v>77</v>
      </c>
      <c r="AT177" s="2">
        <f>Table834[[#This Row],[Servings]]^2</f>
        <v>5929</v>
      </c>
      <c r="AU177" s="2">
        <v>1</v>
      </c>
      <c r="AV177" s="2">
        <f>Table834[[#This Row],[Water]]^2</f>
        <v>1</v>
      </c>
      <c r="AW177" s="2">
        <v>877.58571428571429</v>
      </c>
      <c r="AX177" s="2">
        <f>Table834[[#This Row],[Fat Calories]]^2</f>
        <v>770156.68591836735</v>
      </c>
      <c r="AY177" s="5">
        <f>Table834[[#This Row],[Weight]]*Table834[[#This Row],[Waist]]</f>
        <v>11231.800000000001</v>
      </c>
      <c r="AZ177" s="6">
        <f>Table834[[#This Row],[Weight]]*Table834[[#This Row],[Neck]]</f>
        <v>4164.6000000000004</v>
      </c>
      <c r="BA177" s="6">
        <f>Table834[[#This Row],[Weight]]*Table834[[#This Row],[Morning Body Temp]]</f>
        <v>24634.239999999998</v>
      </c>
      <c r="BB177" s="6">
        <f>Table834[[#This Row],[Weight]]*Table834[[#This Row],[Morning Systolic Pressure]]</f>
        <v>37355.200000000004</v>
      </c>
      <c r="BC177" s="12">
        <f>Table834[[#This Row],[Weight]]*Table834[[#This Row],[Morning Diastolic Pressure]]</f>
        <v>20949.2</v>
      </c>
      <c r="BD177" s="2">
        <f>Table834[[#This Row],[Weight]]*Table834[[#This Row],[Morning Pulse]]</f>
        <v>18172.8</v>
      </c>
      <c r="BE177" s="2">
        <f>Table834[[#This Row],[Weight]]*Table834[[#This Row],[Night Body Temp]]</f>
        <v>24280.880000000001</v>
      </c>
      <c r="BF177" s="2">
        <f>Table834[[#This Row],[Weight]]*Table834[[#This Row],[Night Systolic Pressure]]</f>
        <v>31045.200000000001</v>
      </c>
      <c r="BG177" s="4">
        <f>Table83[[#This Row],[Weight]]*Table83[[#This Row],[Night Diastolic Pressure]]</f>
        <v>17415.600000000002</v>
      </c>
      <c r="BH177" s="2">
        <f>Table834[[#This Row],[Weight]]*Table834[[#This Row],[Night Pulse]]</f>
        <v>16910.8</v>
      </c>
      <c r="BI177" s="2">
        <f>Table834[[#This Row],[Weight]]*Table834[[#This Row],[Sleep]]</f>
        <v>2019.2</v>
      </c>
      <c r="BJ177" s="2">
        <f>Table834[[#This Row],[Weight]]*Table834[[#This Row],[BMI]]</f>
        <v>9139.8263836734695</v>
      </c>
      <c r="BK177" s="2">
        <f>Table834[[#This Row],[Weight]]*Table834[[#This Row],[CBF]]</f>
        <v>8076.1817348686827</v>
      </c>
      <c r="BL177" s="2">
        <f>Table834[[#This Row],[Weight]]*Table834[[#This Row],[Gym]]</f>
        <v>252.4</v>
      </c>
      <c r="BM177" s="2">
        <f>Table834[[#This Row],[Weight]]*Table834[[#This Row],[Cardio]]</f>
        <v>0</v>
      </c>
      <c r="BN177" s="2">
        <f>Table834[[#This Row],[Weight]]*Table834[[#This Row],[Calories]]</f>
        <v>628614.21904761915</v>
      </c>
      <c r="BO177" s="2">
        <f>Table834[[#This Row],[Weight]]*Table834[[#This Row],[Carbs]]</f>
        <v>75849.50523809524</v>
      </c>
      <c r="BP177" s="2">
        <f>Table834[[#This Row],[Weight]]*Table834[[#This Row],[Fat ]]</f>
        <v>24611.403809523814</v>
      </c>
      <c r="BQ177" s="2">
        <f>Table834[[#This Row],[Weight]]*Table834[[#This Row],[Protein]]</f>
        <v>27690.082857142857</v>
      </c>
      <c r="BR177" s="2">
        <f>Table834[[#This Row],[Weight]]*Table834[[#This Row],[Fiber]]</f>
        <v>2187.4666666666667</v>
      </c>
      <c r="BS177" s="2">
        <f>Table834[[#This Row],[Weight]]*Table834[[#This Row],[Sugar]]</f>
        <v>59646.026190476194</v>
      </c>
      <c r="BT177" s="2">
        <f>Table834[[#This Row],[Weight]]*Table834[[#This Row],[Servings]]</f>
        <v>19434.8</v>
      </c>
      <c r="BU177" s="2">
        <f>Table834[[#This Row],[Weight]]*Table834[[#This Row],[Water]]</f>
        <v>252.4</v>
      </c>
      <c r="BV177" s="2">
        <f>Table834[[#This Row],[Weight]]*Table834[[#This Row],[Fat Calories]]</f>
        <v>221502.6342857143</v>
      </c>
      <c r="BW177" s="2">
        <f>Table834[[#This Row],[Waist]]*Table834[[#This Row],[Neck]]</f>
        <v>734.25</v>
      </c>
      <c r="BX177" s="2">
        <f>Table834[[#This Row],[Waist]]*Table834[[#This Row],[Morning Body Temp]]</f>
        <v>4343.2</v>
      </c>
      <c r="BY177" s="2">
        <f>Table834[[#This Row],[Waist]]*Table834[[#This Row],[Morning Systolic Pressure]]</f>
        <v>6586</v>
      </c>
      <c r="BZ177" s="2">
        <f>Table834[[#This Row],[Waist]]*Table834[[#This Row],[Morning Diastolic Pressure]]</f>
        <v>3693.5</v>
      </c>
      <c r="CA177" s="2">
        <f>Table834[[#This Row],[Waist]]*Table834[[#This Row],[Morning Pulse]]</f>
        <v>3204</v>
      </c>
      <c r="CB177" s="2">
        <f>Table834[[#This Row],[Waist]]*Table834[[#This Row],[Night Body Temp]]</f>
        <v>4280.9000000000005</v>
      </c>
      <c r="CC177" s="2">
        <f>Table834[[#This Row],[Waist]]*Table834[[#This Row],[Night Systolic Pressure]]</f>
        <v>5473.5</v>
      </c>
      <c r="CD177" s="4">
        <f>Table83[[#This Row],[Waist]]*Table83[[#This Row],[Night Diastolic Pressure]]</f>
        <v>3070.5</v>
      </c>
      <c r="CE177" s="2">
        <f>Table834[[#This Row],[Waist]]*Table834[[#This Row],[Night Pulse]]</f>
        <v>2981.5</v>
      </c>
      <c r="CF177" s="2">
        <f>Table834[[#This Row],[Waist]]*Table834[[#This Row],[Sleep]]</f>
        <v>356</v>
      </c>
      <c r="CG177" s="2">
        <f>Table834[[#This Row],[Waist]]*Table834[[#This Row],[BMI]]</f>
        <v>1611.419469387755</v>
      </c>
      <c r="CH177" s="2">
        <f>Table834[[#This Row],[Waist]]*Table834[[#This Row],[CBF]]</f>
        <v>1423.8909952522044</v>
      </c>
      <c r="CI177" s="2">
        <f>Table834[[#This Row],[Waist]]*Table834[[#This Row],[Gym]]</f>
        <v>44.5</v>
      </c>
      <c r="CJ177" s="2">
        <f>Table834[[#This Row],[Waist]]*Table834[[#This Row],[Cardio]]</f>
        <v>0</v>
      </c>
      <c r="CK177" s="2">
        <f>Table834[[#This Row],[Waist]]*Table834[[#This Row],[Calories]]</f>
        <v>110829.36904761905</v>
      </c>
      <c r="CL177" s="2">
        <f>Table834[[#This Row],[Waist]]*Table834[[#This Row],[Carbs]]</f>
        <v>13372.832738095238</v>
      </c>
      <c r="CM177" s="2">
        <f>Table834[[#This Row],[Waist]]*Table834[[#This Row],[Fat ]]</f>
        <v>4339.1738095238106</v>
      </c>
      <c r="CN177" s="2">
        <f>Table834[[#This Row],[Waist]]*Table834[[#This Row],[Protein]]</f>
        <v>4881.9678571428567</v>
      </c>
      <c r="CO177" s="2">
        <f>Table834[[#This Row],[Waist]]*Table834[[#This Row],[Fiber]]</f>
        <v>385.66666666666663</v>
      </c>
      <c r="CP177" s="2">
        <f>Table834[[#This Row],[Waist]]*Table834[[#This Row],[Sugar]]</f>
        <v>10516.038690476191</v>
      </c>
      <c r="CQ177" s="2">
        <f>Table834[[#This Row],[Waist]]*Table834[[#This Row],[Servings]]</f>
        <v>3426.5</v>
      </c>
      <c r="CR177" s="2">
        <f>Table834[[#This Row],[Waist]]*Table834[[#This Row],[Water]]</f>
        <v>44.5</v>
      </c>
      <c r="CS177" s="2">
        <f>Table834[[#This Row],[Waist]]*Table834[[#This Row],[Fat Calories]]</f>
        <v>39052.564285714288</v>
      </c>
    </row>
    <row r="178" spans="1:97" x14ac:dyDescent="0.25">
      <c r="A178" s="2">
        <v>251</v>
      </c>
      <c r="B178" s="2">
        <f>Table834[[#This Row],[Weight]]^2</f>
        <v>63001</v>
      </c>
      <c r="C178" s="2">
        <v>44</v>
      </c>
      <c r="D178" s="2">
        <f>Table834[[#This Row],[Waist]]^2</f>
        <v>1936</v>
      </c>
      <c r="E178" s="2">
        <v>16.5</v>
      </c>
      <c r="F178" s="2">
        <f>Table834[[#This Row],[Neck]]^2</f>
        <v>272.25</v>
      </c>
      <c r="G178" s="2">
        <v>96.9</v>
      </c>
      <c r="H178" s="2">
        <f>Table834[[#This Row],[Morning Body Temp]]^2</f>
        <v>9389.61</v>
      </c>
      <c r="I178" s="2">
        <v>136</v>
      </c>
      <c r="J178" s="2">
        <f>Table834[[#This Row],[Morning Systolic Pressure]]^2</f>
        <v>18496</v>
      </c>
      <c r="K178" s="2">
        <v>74</v>
      </c>
      <c r="L178" s="2">
        <f>Table834[[#This Row],[Morning Diastolic Pressure]]^2</f>
        <v>5476</v>
      </c>
      <c r="M178" s="2">
        <v>69</v>
      </c>
      <c r="N178" s="2">
        <f>Table834[[#This Row],[Morning Pulse]]^2</f>
        <v>4761</v>
      </c>
      <c r="O178" s="2">
        <v>97</v>
      </c>
      <c r="P178" s="2">
        <f>Table834[[#This Row],[Night Body Temp]]^2</f>
        <v>9409</v>
      </c>
      <c r="Q178" s="2">
        <v>124</v>
      </c>
      <c r="R178" s="2">
        <f>Table834[[#This Row],[Night Systolic Pressure]]^2</f>
        <v>15376</v>
      </c>
      <c r="S178" s="2">
        <v>66</v>
      </c>
      <c r="T178" s="2">
        <f>Table834[[#This Row],[Night Diastolic Pressure]]^2</f>
        <v>4356</v>
      </c>
      <c r="U178" s="2">
        <v>67</v>
      </c>
      <c r="V178" s="2">
        <f>Table834[[#This Row],[Night Pulse]]^2</f>
        <v>4489</v>
      </c>
      <c r="W178" s="2">
        <v>8</v>
      </c>
      <c r="X178" s="2">
        <f>Table834[[#This Row],[Sleep]]^2</f>
        <v>64</v>
      </c>
      <c r="Y178" s="2">
        <f t="shared" si="5"/>
        <v>36.010816326530609</v>
      </c>
      <c r="Z178" s="2">
        <f>Table834[[#This Row],[BMI]]^2</f>
        <v>1296.7788925031234</v>
      </c>
      <c r="AA178" s="2">
        <f t="shared" si="4"/>
        <v>31.324493175702337</v>
      </c>
      <c r="AB178" s="2">
        <f>Table834[[#This Row],[CBF]]^2</f>
        <v>981.2238727146223</v>
      </c>
      <c r="AC178" s="2">
        <v>1</v>
      </c>
      <c r="AD178" s="2">
        <f>Table834[[#This Row],[Gym]]^2</f>
        <v>1</v>
      </c>
      <c r="AE178" s="2">
        <v>0</v>
      </c>
      <c r="AF178" s="2">
        <f>Table834[[#This Row],[Cardio]]^2</f>
        <v>0</v>
      </c>
      <c r="AG178" s="2">
        <v>2392.6666666666665</v>
      </c>
      <c r="AH178" s="2">
        <f>Table834[[#This Row],[Calories]]^2</f>
        <v>5724853.7777777771</v>
      </c>
      <c r="AI178" s="2">
        <v>267.20166666666665</v>
      </c>
      <c r="AJ178" s="2">
        <f>Table834[[#This Row],[Carbs]]^2</f>
        <v>71396.730669444441</v>
      </c>
      <c r="AK178" s="2">
        <v>97.130000000000024</v>
      </c>
      <c r="AL178" s="2">
        <f>Table834[[#This Row],[Fat ]]^2</f>
        <v>9434.2369000000053</v>
      </c>
      <c r="AM178" s="2">
        <v>125.02500000000002</v>
      </c>
      <c r="AN178" s="2">
        <f>Table834[[#This Row],[Protein]]^2</f>
        <v>15631.250625000004</v>
      </c>
      <c r="AO178" s="2">
        <v>43.9</v>
      </c>
      <c r="AP178" s="2">
        <f>Table834[[#This Row],[Fiber]]^2</f>
        <v>1927.2099999999998</v>
      </c>
      <c r="AQ178" s="2">
        <v>112.82166666666666</v>
      </c>
      <c r="AR178" s="2">
        <f>Table834[[#This Row],[Sugar]]^2</f>
        <v>12728.728469444442</v>
      </c>
      <c r="AS178" s="2">
        <v>37.299999999999997</v>
      </c>
      <c r="AT178" s="2">
        <f>Table834[[#This Row],[Servings]]^2</f>
        <v>1391.2899999999997</v>
      </c>
      <c r="AU178" s="2">
        <v>1</v>
      </c>
      <c r="AV178" s="2">
        <f>Table834[[#This Row],[Water]]^2</f>
        <v>1</v>
      </c>
      <c r="AW178" s="2">
        <v>874.17</v>
      </c>
      <c r="AX178" s="2">
        <f>Table834[[#This Row],[Fat Calories]]^2</f>
        <v>764173.18889999995</v>
      </c>
      <c r="AY178" s="3">
        <f>Table834[[#This Row],[Weight]]*Table834[[#This Row],[Waist]]</f>
        <v>11044</v>
      </c>
      <c r="AZ178" s="4">
        <f>Table834[[#This Row],[Weight]]*Table834[[#This Row],[Neck]]</f>
        <v>4141.5</v>
      </c>
      <c r="BA178" s="4">
        <f>Table834[[#This Row],[Weight]]*Table834[[#This Row],[Morning Body Temp]]</f>
        <v>24321.9</v>
      </c>
      <c r="BB178" s="4">
        <f>Table834[[#This Row],[Weight]]*Table834[[#This Row],[Morning Systolic Pressure]]</f>
        <v>34136</v>
      </c>
      <c r="BC178" s="11">
        <f>Table834[[#This Row],[Weight]]*Table834[[#This Row],[Morning Diastolic Pressure]]</f>
        <v>18574</v>
      </c>
      <c r="BD178" s="2">
        <f>Table834[[#This Row],[Weight]]*Table834[[#This Row],[Morning Pulse]]</f>
        <v>17319</v>
      </c>
      <c r="BE178" s="2">
        <f>Table834[[#This Row],[Weight]]*Table834[[#This Row],[Night Body Temp]]</f>
        <v>24347</v>
      </c>
      <c r="BF178" s="2">
        <f>Table834[[#This Row],[Weight]]*Table834[[#This Row],[Night Systolic Pressure]]</f>
        <v>31124</v>
      </c>
      <c r="BG178" s="4">
        <f>Table83[[#This Row],[Weight]]*Table83[[#This Row],[Night Diastolic Pressure]]</f>
        <v>16566</v>
      </c>
      <c r="BH178" s="2">
        <f>Table834[[#This Row],[Weight]]*Table834[[#This Row],[Night Pulse]]</f>
        <v>16817</v>
      </c>
      <c r="BI178" s="2">
        <f>Table834[[#This Row],[Weight]]*Table834[[#This Row],[Sleep]]</f>
        <v>2008</v>
      </c>
      <c r="BJ178" s="2">
        <f>Table834[[#This Row],[Weight]]*Table834[[#This Row],[BMI]]</f>
        <v>9038.7148979591821</v>
      </c>
      <c r="BK178" s="2">
        <f>Table834[[#This Row],[Weight]]*Table834[[#This Row],[CBF]]</f>
        <v>7862.4477871012868</v>
      </c>
      <c r="BL178" s="2">
        <f>Table834[[#This Row],[Weight]]*Table834[[#This Row],[Gym]]</f>
        <v>251</v>
      </c>
      <c r="BM178" s="2">
        <f>Table834[[#This Row],[Weight]]*Table834[[#This Row],[Cardio]]</f>
        <v>0</v>
      </c>
      <c r="BN178" s="2">
        <f>Table834[[#This Row],[Weight]]*Table834[[#This Row],[Calories]]</f>
        <v>600559.33333333326</v>
      </c>
      <c r="BO178" s="2">
        <f>Table834[[#This Row],[Weight]]*Table834[[#This Row],[Carbs]]</f>
        <v>67067.618333333332</v>
      </c>
      <c r="BP178" s="2">
        <f>Table834[[#This Row],[Weight]]*Table834[[#This Row],[Fat ]]</f>
        <v>24379.630000000005</v>
      </c>
      <c r="BQ178" s="2">
        <f>Table834[[#This Row],[Weight]]*Table834[[#This Row],[Protein]]</f>
        <v>31381.275000000005</v>
      </c>
      <c r="BR178" s="2">
        <f>Table834[[#This Row],[Weight]]*Table834[[#This Row],[Fiber]]</f>
        <v>11018.9</v>
      </c>
      <c r="BS178" s="2">
        <f>Table834[[#This Row],[Weight]]*Table834[[#This Row],[Sugar]]</f>
        <v>28318.238333333331</v>
      </c>
      <c r="BT178" s="2">
        <f>Table834[[#This Row],[Weight]]*Table834[[#This Row],[Servings]]</f>
        <v>9362.2999999999993</v>
      </c>
      <c r="BU178" s="2">
        <f>Table834[[#This Row],[Weight]]*Table834[[#This Row],[Water]]</f>
        <v>251</v>
      </c>
      <c r="BV178" s="2">
        <f>Table834[[#This Row],[Weight]]*Table834[[#This Row],[Fat Calories]]</f>
        <v>219416.66999999998</v>
      </c>
      <c r="BW178" s="2">
        <f>Table834[[#This Row],[Waist]]*Table834[[#This Row],[Neck]]</f>
        <v>726</v>
      </c>
      <c r="BX178" s="2">
        <f>Table834[[#This Row],[Waist]]*Table834[[#This Row],[Morning Body Temp]]</f>
        <v>4263.6000000000004</v>
      </c>
      <c r="BY178" s="2">
        <f>Table834[[#This Row],[Waist]]*Table834[[#This Row],[Morning Systolic Pressure]]</f>
        <v>5984</v>
      </c>
      <c r="BZ178" s="2">
        <f>Table834[[#This Row],[Waist]]*Table834[[#This Row],[Morning Diastolic Pressure]]</f>
        <v>3256</v>
      </c>
      <c r="CA178" s="2">
        <f>Table834[[#This Row],[Waist]]*Table834[[#This Row],[Morning Pulse]]</f>
        <v>3036</v>
      </c>
      <c r="CB178" s="2">
        <f>Table834[[#This Row],[Waist]]*Table834[[#This Row],[Night Body Temp]]</f>
        <v>4268</v>
      </c>
      <c r="CC178" s="2">
        <f>Table834[[#This Row],[Waist]]*Table834[[#This Row],[Night Systolic Pressure]]</f>
        <v>5456</v>
      </c>
      <c r="CD178" s="4">
        <f>Table83[[#This Row],[Waist]]*Table83[[#This Row],[Night Diastolic Pressure]]</f>
        <v>2904</v>
      </c>
      <c r="CE178" s="2">
        <f>Table834[[#This Row],[Waist]]*Table834[[#This Row],[Night Pulse]]</f>
        <v>2948</v>
      </c>
      <c r="CF178" s="2">
        <f>Table834[[#This Row],[Waist]]*Table834[[#This Row],[Sleep]]</f>
        <v>352</v>
      </c>
      <c r="CG178" s="2">
        <f>Table834[[#This Row],[Waist]]*Table834[[#This Row],[BMI]]</f>
        <v>1584.4759183673468</v>
      </c>
      <c r="CH178" s="2">
        <f>Table834[[#This Row],[Waist]]*Table834[[#This Row],[CBF]]</f>
        <v>1378.2776997309029</v>
      </c>
      <c r="CI178" s="2">
        <f>Table834[[#This Row],[Waist]]*Table834[[#This Row],[Gym]]</f>
        <v>44</v>
      </c>
      <c r="CJ178" s="2">
        <f>Table834[[#This Row],[Waist]]*Table834[[#This Row],[Cardio]]</f>
        <v>0</v>
      </c>
      <c r="CK178" s="2">
        <f>Table834[[#This Row],[Waist]]*Table834[[#This Row],[Calories]]</f>
        <v>105277.33333333333</v>
      </c>
      <c r="CL178" s="2">
        <f>Table834[[#This Row],[Waist]]*Table834[[#This Row],[Carbs]]</f>
        <v>11756.873333333333</v>
      </c>
      <c r="CM178" s="2">
        <f>Table834[[#This Row],[Waist]]*Table834[[#This Row],[Fat ]]</f>
        <v>4273.7200000000012</v>
      </c>
      <c r="CN178" s="2">
        <f>Table834[[#This Row],[Waist]]*Table834[[#This Row],[Protein]]</f>
        <v>5501.1000000000013</v>
      </c>
      <c r="CO178" s="2">
        <f>Table834[[#This Row],[Waist]]*Table834[[#This Row],[Fiber]]</f>
        <v>1931.6</v>
      </c>
      <c r="CP178" s="2">
        <f>Table834[[#This Row],[Waist]]*Table834[[#This Row],[Sugar]]</f>
        <v>4964.1533333333327</v>
      </c>
      <c r="CQ178" s="2">
        <f>Table834[[#This Row],[Waist]]*Table834[[#This Row],[Servings]]</f>
        <v>1641.1999999999998</v>
      </c>
      <c r="CR178" s="2">
        <f>Table834[[#This Row],[Waist]]*Table834[[#This Row],[Water]]</f>
        <v>44</v>
      </c>
      <c r="CS178" s="2">
        <f>Table834[[#This Row],[Waist]]*Table834[[#This Row],[Fat Calories]]</f>
        <v>38463.479999999996</v>
      </c>
    </row>
    <row r="179" spans="1:97" x14ac:dyDescent="0.25">
      <c r="A179" s="2">
        <v>251.2</v>
      </c>
      <c r="B179" s="2">
        <f>Table834[[#This Row],[Weight]]^2</f>
        <v>63101.439999999995</v>
      </c>
      <c r="C179" s="2">
        <v>44</v>
      </c>
      <c r="D179" s="2">
        <f>Table834[[#This Row],[Waist]]^2</f>
        <v>1936</v>
      </c>
      <c r="E179" s="2">
        <v>16.5</v>
      </c>
      <c r="F179" s="2">
        <f>Table834[[#This Row],[Neck]]^2</f>
        <v>272.25</v>
      </c>
      <c r="G179" s="2">
        <v>96.4</v>
      </c>
      <c r="H179" s="2">
        <f>Table834[[#This Row],[Morning Body Temp]]^2</f>
        <v>9292.9600000000009</v>
      </c>
      <c r="I179" s="2">
        <v>117</v>
      </c>
      <c r="J179" s="2">
        <f>Table834[[#This Row],[Morning Systolic Pressure]]^2</f>
        <v>13689</v>
      </c>
      <c r="K179" s="2">
        <v>68</v>
      </c>
      <c r="L179" s="2">
        <f>Table834[[#This Row],[Morning Diastolic Pressure]]^2</f>
        <v>4624</v>
      </c>
      <c r="M179" s="2">
        <v>67</v>
      </c>
      <c r="N179" s="2">
        <f>Table834[[#This Row],[Morning Pulse]]^2</f>
        <v>4489</v>
      </c>
      <c r="O179" s="2">
        <v>96.9</v>
      </c>
      <c r="P179" s="2">
        <f>Table834[[#This Row],[Night Body Temp]]^2</f>
        <v>9389.61</v>
      </c>
      <c r="Q179" s="2">
        <v>116</v>
      </c>
      <c r="R179" s="2">
        <f>Table834[[#This Row],[Night Systolic Pressure]]^2</f>
        <v>13456</v>
      </c>
      <c r="S179" s="2">
        <v>75</v>
      </c>
      <c r="T179" s="2">
        <f>Table834[[#This Row],[Night Diastolic Pressure]]^2</f>
        <v>5625</v>
      </c>
      <c r="U179" s="2">
        <v>67</v>
      </c>
      <c r="V179" s="2">
        <f>Table834[[#This Row],[Night Pulse]]^2</f>
        <v>4489</v>
      </c>
      <c r="W179" s="2">
        <v>6.5</v>
      </c>
      <c r="X179" s="2">
        <f>Table834[[#This Row],[Sleep]]^2</f>
        <v>42.25</v>
      </c>
      <c r="Y179" s="2">
        <f t="shared" si="5"/>
        <v>36.03951020408163</v>
      </c>
      <c r="Z179" s="2">
        <f>Table834[[#This Row],[BMI]]^2</f>
        <v>1298.846295750104</v>
      </c>
      <c r="AA179" s="2">
        <f t="shared" si="4"/>
        <v>31.324493175702337</v>
      </c>
      <c r="AB179" s="2">
        <f>Table834[[#This Row],[CBF]]^2</f>
        <v>981.2238727146223</v>
      </c>
      <c r="AC179" s="2">
        <v>1</v>
      </c>
      <c r="AD179" s="2">
        <f>Table834[[#This Row],[Gym]]^2</f>
        <v>1</v>
      </c>
      <c r="AE179" s="2">
        <v>1</v>
      </c>
      <c r="AF179" s="2">
        <f>Table834[[#This Row],[Cardio]]^2</f>
        <v>1</v>
      </c>
      <c r="AG179" s="2">
        <v>1220.4000000000001</v>
      </c>
      <c r="AH179" s="2">
        <f>Table834[[#This Row],[Calories]]^2</f>
        <v>1489376.1600000001</v>
      </c>
      <c r="AI179" s="2">
        <v>224.97499999999999</v>
      </c>
      <c r="AJ179" s="2">
        <f>Table834[[#This Row],[Carbs]]^2</f>
        <v>50613.750625000001</v>
      </c>
      <c r="AK179" s="2">
        <v>30.3</v>
      </c>
      <c r="AL179" s="2">
        <f>Table834[[#This Row],[Fat ]]^2</f>
        <v>918.09</v>
      </c>
      <c r="AM179" s="2">
        <v>27.274999999999999</v>
      </c>
      <c r="AN179" s="2">
        <f>Table834[[#This Row],[Protein]]^2</f>
        <v>743.92562499999997</v>
      </c>
      <c r="AO179" s="2">
        <v>28.349999999999998</v>
      </c>
      <c r="AP179" s="2">
        <f>Table834[[#This Row],[Fiber]]^2</f>
        <v>803.72249999999985</v>
      </c>
      <c r="AQ179" s="2">
        <v>169.50000000000003</v>
      </c>
      <c r="AR179" s="2">
        <f>Table834[[#This Row],[Sugar]]^2</f>
        <v>28730.250000000011</v>
      </c>
      <c r="AS179" s="2">
        <v>65</v>
      </c>
      <c r="AT179" s="2">
        <f>Table834[[#This Row],[Servings]]^2</f>
        <v>4225</v>
      </c>
      <c r="AU179" s="2">
        <v>1</v>
      </c>
      <c r="AV179" s="2">
        <f>Table834[[#This Row],[Water]]^2</f>
        <v>1</v>
      </c>
      <c r="AW179" s="2">
        <v>272.7</v>
      </c>
      <c r="AX179" s="2">
        <f>Table834[[#This Row],[Fat Calories]]^2</f>
        <v>74365.289999999994</v>
      </c>
      <c r="AY179" s="5">
        <f>Table834[[#This Row],[Weight]]*Table834[[#This Row],[Waist]]</f>
        <v>11052.8</v>
      </c>
      <c r="AZ179" s="6">
        <f>Table834[[#This Row],[Weight]]*Table834[[#This Row],[Neck]]</f>
        <v>4144.8</v>
      </c>
      <c r="BA179" s="6">
        <f>Table834[[#This Row],[Weight]]*Table834[[#This Row],[Morning Body Temp]]</f>
        <v>24215.68</v>
      </c>
      <c r="BB179" s="6">
        <f>Table834[[#This Row],[Weight]]*Table834[[#This Row],[Morning Systolic Pressure]]</f>
        <v>29390.399999999998</v>
      </c>
      <c r="BC179" s="12">
        <f>Table834[[#This Row],[Weight]]*Table834[[#This Row],[Morning Diastolic Pressure]]</f>
        <v>17081.599999999999</v>
      </c>
      <c r="BD179" s="2">
        <f>Table834[[#This Row],[Weight]]*Table834[[#This Row],[Morning Pulse]]</f>
        <v>16830.399999999998</v>
      </c>
      <c r="BE179" s="2">
        <f>Table834[[#This Row],[Weight]]*Table834[[#This Row],[Night Body Temp]]</f>
        <v>24341.279999999999</v>
      </c>
      <c r="BF179" s="2">
        <f>Table834[[#This Row],[Weight]]*Table834[[#This Row],[Night Systolic Pressure]]</f>
        <v>29139.199999999997</v>
      </c>
      <c r="BG179" s="4">
        <f>Table83[[#This Row],[Weight]]*Table83[[#This Row],[Night Diastolic Pressure]]</f>
        <v>18840</v>
      </c>
      <c r="BH179" s="2">
        <f>Table834[[#This Row],[Weight]]*Table834[[#This Row],[Night Pulse]]</f>
        <v>16830.399999999998</v>
      </c>
      <c r="BI179" s="2">
        <f>Table834[[#This Row],[Weight]]*Table834[[#This Row],[Sleep]]</f>
        <v>1632.8</v>
      </c>
      <c r="BJ179" s="2">
        <f>Table834[[#This Row],[Weight]]*Table834[[#This Row],[BMI]]</f>
        <v>9053.1249632653053</v>
      </c>
      <c r="BK179" s="2">
        <f>Table834[[#This Row],[Weight]]*Table834[[#This Row],[CBF]]</f>
        <v>7868.7126857364265</v>
      </c>
      <c r="BL179" s="2">
        <f>Table834[[#This Row],[Weight]]*Table834[[#This Row],[Gym]]</f>
        <v>251.2</v>
      </c>
      <c r="BM179" s="2">
        <f>Table834[[#This Row],[Weight]]*Table834[[#This Row],[Cardio]]</f>
        <v>251.2</v>
      </c>
      <c r="BN179" s="2">
        <f>Table834[[#This Row],[Weight]]*Table834[[#This Row],[Calories]]</f>
        <v>306564.47999999998</v>
      </c>
      <c r="BO179" s="2">
        <f>Table834[[#This Row],[Weight]]*Table834[[#This Row],[Carbs]]</f>
        <v>56513.719999999994</v>
      </c>
      <c r="BP179" s="2">
        <f>Table834[[#This Row],[Weight]]*Table834[[#This Row],[Fat ]]</f>
        <v>7611.36</v>
      </c>
      <c r="BQ179" s="2">
        <f>Table834[[#This Row],[Weight]]*Table834[[#This Row],[Protein]]</f>
        <v>6851.48</v>
      </c>
      <c r="BR179" s="2">
        <f>Table834[[#This Row],[Weight]]*Table834[[#This Row],[Fiber]]</f>
        <v>7121.5199999999995</v>
      </c>
      <c r="BS179" s="2">
        <f>Table834[[#This Row],[Weight]]*Table834[[#This Row],[Sugar]]</f>
        <v>42578.400000000009</v>
      </c>
      <c r="BT179" s="2">
        <f>Table834[[#This Row],[Weight]]*Table834[[#This Row],[Servings]]</f>
        <v>16328</v>
      </c>
      <c r="BU179" s="2">
        <f>Table834[[#This Row],[Weight]]*Table834[[#This Row],[Water]]</f>
        <v>251.2</v>
      </c>
      <c r="BV179" s="2">
        <f>Table834[[#This Row],[Weight]]*Table834[[#This Row],[Fat Calories]]</f>
        <v>68502.239999999991</v>
      </c>
      <c r="BW179" s="2">
        <f>Table834[[#This Row],[Waist]]*Table834[[#This Row],[Neck]]</f>
        <v>726</v>
      </c>
      <c r="BX179" s="2">
        <f>Table834[[#This Row],[Waist]]*Table834[[#This Row],[Morning Body Temp]]</f>
        <v>4241.6000000000004</v>
      </c>
      <c r="BY179" s="2">
        <f>Table834[[#This Row],[Waist]]*Table834[[#This Row],[Morning Systolic Pressure]]</f>
        <v>5148</v>
      </c>
      <c r="BZ179" s="2">
        <f>Table834[[#This Row],[Waist]]*Table834[[#This Row],[Morning Diastolic Pressure]]</f>
        <v>2992</v>
      </c>
      <c r="CA179" s="2">
        <f>Table834[[#This Row],[Waist]]*Table834[[#This Row],[Morning Pulse]]</f>
        <v>2948</v>
      </c>
      <c r="CB179" s="2">
        <f>Table834[[#This Row],[Waist]]*Table834[[#This Row],[Night Body Temp]]</f>
        <v>4263.6000000000004</v>
      </c>
      <c r="CC179" s="2">
        <f>Table834[[#This Row],[Waist]]*Table834[[#This Row],[Night Systolic Pressure]]</f>
        <v>5104</v>
      </c>
      <c r="CD179" s="4">
        <f>Table83[[#This Row],[Waist]]*Table83[[#This Row],[Night Diastolic Pressure]]</f>
        <v>3300</v>
      </c>
      <c r="CE179" s="2">
        <f>Table834[[#This Row],[Waist]]*Table834[[#This Row],[Night Pulse]]</f>
        <v>2948</v>
      </c>
      <c r="CF179" s="2">
        <f>Table834[[#This Row],[Waist]]*Table834[[#This Row],[Sleep]]</f>
        <v>286</v>
      </c>
      <c r="CG179" s="2">
        <f>Table834[[#This Row],[Waist]]*Table834[[#This Row],[BMI]]</f>
        <v>1585.7384489795918</v>
      </c>
      <c r="CH179" s="2">
        <f>Table834[[#This Row],[Waist]]*Table834[[#This Row],[CBF]]</f>
        <v>1378.2776997309029</v>
      </c>
      <c r="CI179" s="2">
        <f>Table834[[#This Row],[Waist]]*Table834[[#This Row],[Gym]]</f>
        <v>44</v>
      </c>
      <c r="CJ179" s="2">
        <f>Table834[[#This Row],[Waist]]*Table834[[#This Row],[Cardio]]</f>
        <v>44</v>
      </c>
      <c r="CK179" s="2">
        <f>Table834[[#This Row],[Waist]]*Table834[[#This Row],[Calories]]</f>
        <v>53697.600000000006</v>
      </c>
      <c r="CL179" s="2">
        <f>Table834[[#This Row],[Waist]]*Table834[[#This Row],[Carbs]]</f>
        <v>9898.9</v>
      </c>
      <c r="CM179" s="2">
        <f>Table834[[#This Row],[Waist]]*Table834[[#This Row],[Fat ]]</f>
        <v>1333.2</v>
      </c>
      <c r="CN179" s="2">
        <f>Table834[[#This Row],[Waist]]*Table834[[#This Row],[Protein]]</f>
        <v>1200.0999999999999</v>
      </c>
      <c r="CO179" s="2">
        <f>Table834[[#This Row],[Waist]]*Table834[[#This Row],[Fiber]]</f>
        <v>1247.3999999999999</v>
      </c>
      <c r="CP179" s="2">
        <f>Table834[[#This Row],[Waist]]*Table834[[#This Row],[Sugar]]</f>
        <v>7458.0000000000009</v>
      </c>
      <c r="CQ179" s="2">
        <f>Table834[[#This Row],[Waist]]*Table834[[#This Row],[Servings]]</f>
        <v>2860</v>
      </c>
      <c r="CR179" s="2">
        <f>Table834[[#This Row],[Waist]]*Table834[[#This Row],[Water]]</f>
        <v>44</v>
      </c>
      <c r="CS179" s="2">
        <f>Table834[[#This Row],[Waist]]*Table834[[#This Row],[Fat Calories]]</f>
        <v>11998.8</v>
      </c>
    </row>
    <row r="180" spans="1:97" x14ac:dyDescent="0.25">
      <c r="A180" s="2">
        <v>252.4</v>
      </c>
      <c r="B180" s="2">
        <f>Table834[[#This Row],[Weight]]^2</f>
        <v>63705.760000000002</v>
      </c>
      <c r="C180" s="2">
        <v>44</v>
      </c>
      <c r="D180" s="2">
        <f>Table834[[#This Row],[Waist]]^2</f>
        <v>1936</v>
      </c>
      <c r="E180" s="2">
        <v>16.5</v>
      </c>
      <c r="F180" s="2">
        <f>Table834[[#This Row],[Neck]]^2</f>
        <v>272.25</v>
      </c>
      <c r="G180" s="2">
        <v>96.9</v>
      </c>
      <c r="H180" s="2">
        <f>Table834[[#This Row],[Morning Body Temp]]^2</f>
        <v>9389.61</v>
      </c>
      <c r="I180" s="2">
        <v>141</v>
      </c>
      <c r="J180" s="2">
        <f>Table834[[#This Row],[Morning Systolic Pressure]]^2</f>
        <v>19881</v>
      </c>
      <c r="K180" s="2">
        <v>80</v>
      </c>
      <c r="L180" s="2">
        <f>Table834[[#This Row],[Morning Diastolic Pressure]]^2</f>
        <v>6400</v>
      </c>
      <c r="M180" s="2">
        <v>68</v>
      </c>
      <c r="N180" s="2">
        <f>Table834[[#This Row],[Morning Pulse]]^2</f>
        <v>4624</v>
      </c>
      <c r="O180" s="2">
        <v>98.3</v>
      </c>
      <c r="P180" s="2">
        <f>Table834[[#This Row],[Night Body Temp]]^2</f>
        <v>9662.89</v>
      </c>
      <c r="Q180" s="2">
        <v>138</v>
      </c>
      <c r="R180" s="2">
        <f>Table834[[#This Row],[Night Systolic Pressure]]^2</f>
        <v>19044</v>
      </c>
      <c r="S180" s="2">
        <v>75</v>
      </c>
      <c r="T180" s="2">
        <f>Table834[[#This Row],[Night Diastolic Pressure]]^2</f>
        <v>5625</v>
      </c>
      <c r="U180" s="2">
        <v>84</v>
      </c>
      <c r="V180" s="2">
        <f>Table834[[#This Row],[Night Pulse]]^2</f>
        <v>7056</v>
      </c>
      <c r="W180" s="2">
        <v>9</v>
      </c>
      <c r="X180" s="2">
        <f>Table834[[#This Row],[Sleep]]^2</f>
        <v>81</v>
      </c>
      <c r="Y180" s="2">
        <f t="shared" si="5"/>
        <v>36.211673469387755</v>
      </c>
      <c r="Z180" s="2">
        <f>Table834[[#This Row],[BMI]]^2</f>
        <v>1311.285295453561</v>
      </c>
      <c r="AA180" s="2">
        <f t="shared" si="4"/>
        <v>31.324493175702337</v>
      </c>
      <c r="AB180" s="2">
        <f>Table834[[#This Row],[CBF]]^2</f>
        <v>981.2238727146223</v>
      </c>
      <c r="AC180" s="2">
        <v>0</v>
      </c>
      <c r="AD180" s="2">
        <f>Table834[[#This Row],[Gym]]^2</f>
        <v>0</v>
      </c>
      <c r="AE180" s="2">
        <v>0</v>
      </c>
      <c r="AF180" s="2">
        <f>Table834[[#This Row],[Cardio]]^2</f>
        <v>0</v>
      </c>
      <c r="AG180" s="2">
        <v>4894.0476190476193</v>
      </c>
      <c r="AH180" s="2">
        <f>Table834[[#This Row],[Calories]]^2</f>
        <v>23951702.09750567</v>
      </c>
      <c r="AI180" s="2">
        <v>812.71309523809532</v>
      </c>
      <c r="AJ180" s="2">
        <f>Table834[[#This Row],[Carbs]]^2</f>
        <v>660502.57517148543</v>
      </c>
      <c r="AK180" s="2">
        <v>145.65952380952382</v>
      </c>
      <c r="AL180" s="2">
        <f>Table834[[#This Row],[Fat ]]^2</f>
        <v>21216.696876417238</v>
      </c>
      <c r="AM180" s="2">
        <v>118.25714285714287</v>
      </c>
      <c r="AN180" s="2">
        <f>Table834[[#This Row],[Protein]]^2</f>
        <v>13984.751836734697</v>
      </c>
      <c r="AO180" s="2">
        <v>13.466666666666667</v>
      </c>
      <c r="AP180" s="2">
        <f>Table834[[#This Row],[Fiber]]^2</f>
        <v>181.35111111111112</v>
      </c>
      <c r="AQ180" s="2">
        <v>607.8654761904761</v>
      </c>
      <c r="AR180" s="2">
        <f>Table834[[#This Row],[Sugar]]^2</f>
        <v>369500.43714427424</v>
      </c>
      <c r="AS180" s="2">
        <v>82.75</v>
      </c>
      <c r="AT180" s="2">
        <f>Table834[[#This Row],[Servings]]^2</f>
        <v>6847.5625</v>
      </c>
      <c r="AU180" s="2">
        <v>1</v>
      </c>
      <c r="AV180" s="2">
        <f>Table834[[#This Row],[Water]]^2</f>
        <v>1</v>
      </c>
      <c r="AW180" s="2">
        <v>1310.9357142857143</v>
      </c>
      <c r="AX180" s="2">
        <f>Table834[[#This Row],[Fat Calories]]^2</f>
        <v>1718552.4469897959</v>
      </c>
      <c r="AY180" s="3">
        <f>Table834[[#This Row],[Weight]]*Table834[[#This Row],[Waist]]</f>
        <v>11105.6</v>
      </c>
      <c r="AZ180" s="4">
        <f>Table834[[#This Row],[Weight]]*Table834[[#This Row],[Neck]]</f>
        <v>4164.6000000000004</v>
      </c>
      <c r="BA180" s="4">
        <f>Table834[[#This Row],[Weight]]*Table834[[#This Row],[Morning Body Temp]]</f>
        <v>24457.56</v>
      </c>
      <c r="BB180" s="4">
        <f>Table834[[#This Row],[Weight]]*Table834[[#This Row],[Morning Systolic Pressure]]</f>
        <v>35588.400000000001</v>
      </c>
      <c r="BC180" s="11">
        <f>Table834[[#This Row],[Weight]]*Table834[[#This Row],[Morning Diastolic Pressure]]</f>
        <v>20192</v>
      </c>
      <c r="BD180" s="2">
        <f>Table834[[#This Row],[Weight]]*Table834[[#This Row],[Morning Pulse]]</f>
        <v>17163.2</v>
      </c>
      <c r="BE180" s="2">
        <f>Table834[[#This Row],[Weight]]*Table834[[#This Row],[Night Body Temp]]</f>
        <v>24810.92</v>
      </c>
      <c r="BF180" s="2">
        <f>Table834[[#This Row],[Weight]]*Table834[[#This Row],[Night Systolic Pressure]]</f>
        <v>34831.200000000004</v>
      </c>
      <c r="BG180" s="4">
        <f>Table83[[#This Row],[Weight]]*Table83[[#This Row],[Night Diastolic Pressure]]</f>
        <v>18930</v>
      </c>
      <c r="BH180" s="2">
        <f>Table834[[#This Row],[Weight]]*Table834[[#This Row],[Night Pulse]]</f>
        <v>21201.600000000002</v>
      </c>
      <c r="BI180" s="2">
        <f>Table834[[#This Row],[Weight]]*Table834[[#This Row],[Sleep]]</f>
        <v>2271.6</v>
      </c>
      <c r="BJ180" s="2">
        <f>Table834[[#This Row],[Weight]]*Table834[[#This Row],[BMI]]</f>
        <v>9139.8263836734695</v>
      </c>
      <c r="BK180" s="2">
        <f>Table834[[#This Row],[Weight]]*Table834[[#This Row],[CBF]]</f>
        <v>7906.3020775472696</v>
      </c>
      <c r="BL180" s="2">
        <f>Table834[[#This Row],[Weight]]*Table834[[#This Row],[Gym]]</f>
        <v>0</v>
      </c>
      <c r="BM180" s="2">
        <f>Table834[[#This Row],[Weight]]*Table834[[#This Row],[Cardio]]</f>
        <v>0</v>
      </c>
      <c r="BN180" s="2">
        <f>Table834[[#This Row],[Weight]]*Table834[[#This Row],[Calories]]</f>
        <v>1235257.6190476192</v>
      </c>
      <c r="BO180" s="2">
        <f>Table834[[#This Row],[Weight]]*Table834[[#This Row],[Carbs]]</f>
        <v>205128.78523809527</v>
      </c>
      <c r="BP180" s="2">
        <f>Table834[[#This Row],[Weight]]*Table834[[#This Row],[Fat ]]</f>
        <v>36764.463809523812</v>
      </c>
      <c r="BQ180" s="2">
        <f>Table834[[#This Row],[Weight]]*Table834[[#This Row],[Protein]]</f>
        <v>29848.102857142861</v>
      </c>
      <c r="BR180" s="2">
        <f>Table834[[#This Row],[Weight]]*Table834[[#This Row],[Fiber]]</f>
        <v>3398.9866666666667</v>
      </c>
      <c r="BS180" s="2">
        <f>Table834[[#This Row],[Weight]]*Table834[[#This Row],[Sugar]]</f>
        <v>153425.24619047617</v>
      </c>
      <c r="BT180" s="2">
        <f>Table834[[#This Row],[Weight]]*Table834[[#This Row],[Servings]]</f>
        <v>20886.100000000002</v>
      </c>
      <c r="BU180" s="2">
        <f>Table834[[#This Row],[Weight]]*Table834[[#This Row],[Water]]</f>
        <v>252.4</v>
      </c>
      <c r="BV180" s="2">
        <f>Table834[[#This Row],[Weight]]*Table834[[#This Row],[Fat Calories]]</f>
        <v>330880.17428571428</v>
      </c>
      <c r="BW180" s="2">
        <f>Table834[[#This Row],[Waist]]*Table834[[#This Row],[Neck]]</f>
        <v>726</v>
      </c>
      <c r="BX180" s="2">
        <f>Table834[[#This Row],[Waist]]*Table834[[#This Row],[Morning Body Temp]]</f>
        <v>4263.6000000000004</v>
      </c>
      <c r="BY180" s="2">
        <f>Table834[[#This Row],[Waist]]*Table834[[#This Row],[Morning Systolic Pressure]]</f>
        <v>6204</v>
      </c>
      <c r="BZ180" s="2">
        <f>Table834[[#This Row],[Waist]]*Table834[[#This Row],[Morning Diastolic Pressure]]</f>
        <v>3520</v>
      </c>
      <c r="CA180" s="2">
        <f>Table834[[#This Row],[Waist]]*Table834[[#This Row],[Morning Pulse]]</f>
        <v>2992</v>
      </c>
      <c r="CB180" s="2">
        <f>Table834[[#This Row],[Waist]]*Table834[[#This Row],[Night Body Temp]]</f>
        <v>4325.2</v>
      </c>
      <c r="CC180" s="2">
        <f>Table834[[#This Row],[Waist]]*Table834[[#This Row],[Night Systolic Pressure]]</f>
        <v>6072</v>
      </c>
      <c r="CD180" s="4">
        <f>Table83[[#This Row],[Waist]]*Table83[[#This Row],[Night Diastolic Pressure]]</f>
        <v>3300</v>
      </c>
      <c r="CE180" s="2">
        <f>Table834[[#This Row],[Waist]]*Table834[[#This Row],[Night Pulse]]</f>
        <v>3696</v>
      </c>
      <c r="CF180" s="2">
        <f>Table834[[#This Row],[Waist]]*Table834[[#This Row],[Sleep]]</f>
        <v>396</v>
      </c>
      <c r="CG180" s="2">
        <f>Table834[[#This Row],[Waist]]*Table834[[#This Row],[BMI]]</f>
        <v>1593.3136326530612</v>
      </c>
      <c r="CH180" s="2">
        <f>Table834[[#This Row],[Waist]]*Table834[[#This Row],[CBF]]</f>
        <v>1378.2776997309029</v>
      </c>
      <c r="CI180" s="2">
        <f>Table834[[#This Row],[Waist]]*Table834[[#This Row],[Gym]]</f>
        <v>0</v>
      </c>
      <c r="CJ180" s="2">
        <f>Table834[[#This Row],[Waist]]*Table834[[#This Row],[Cardio]]</f>
        <v>0</v>
      </c>
      <c r="CK180" s="2">
        <f>Table834[[#This Row],[Waist]]*Table834[[#This Row],[Calories]]</f>
        <v>215338.09523809524</v>
      </c>
      <c r="CL180" s="2">
        <f>Table834[[#This Row],[Waist]]*Table834[[#This Row],[Carbs]]</f>
        <v>35759.376190476192</v>
      </c>
      <c r="CM180" s="2">
        <f>Table834[[#This Row],[Waist]]*Table834[[#This Row],[Fat ]]</f>
        <v>6409.0190476190483</v>
      </c>
      <c r="CN180" s="2">
        <f>Table834[[#This Row],[Waist]]*Table834[[#This Row],[Protein]]</f>
        <v>5203.3142857142866</v>
      </c>
      <c r="CO180" s="2">
        <f>Table834[[#This Row],[Waist]]*Table834[[#This Row],[Fiber]]</f>
        <v>592.5333333333333</v>
      </c>
      <c r="CP180" s="2">
        <f>Table834[[#This Row],[Waist]]*Table834[[#This Row],[Sugar]]</f>
        <v>26746.080952380948</v>
      </c>
      <c r="CQ180" s="2">
        <f>Table834[[#This Row],[Waist]]*Table834[[#This Row],[Servings]]</f>
        <v>3641</v>
      </c>
      <c r="CR180" s="2">
        <f>Table834[[#This Row],[Waist]]*Table834[[#This Row],[Water]]</f>
        <v>44</v>
      </c>
      <c r="CS180" s="2">
        <f>Table834[[#This Row],[Waist]]*Table834[[#This Row],[Fat Calories]]</f>
        <v>57681.171428571426</v>
      </c>
    </row>
    <row r="181" spans="1:97" x14ac:dyDescent="0.25">
      <c r="A181" s="2">
        <v>254</v>
      </c>
      <c r="B181" s="2">
        <f>Table834[[#This Row],[Weight]]^2</f>
        <v>64516</v>
      </c>
      <c r="C181" s="2">
        <v>44.5</v>
      </c>
      <c r="D181" s="2">
        <f>Table834[[#This Row],[Waist]]^2</f>
        <v>1980.25</v>
      </c>
      <c r="E181" s="2">
        <v>16.5</v>
      </c>
      <c r="F181" s="2">
        <f>Table834[[#This Row],[Neck]]^2</f>
        <v>272.25</v>
      </c>
      <c r="G181" s="2">
        <v>96.5</v>
      </c>
      <c r="H181" s="2">
        <f>Table834[[#This Row],[Morning Body Temp]]^2</f>
        <v>9312.25</v>
      </c>
      <c r="I181" s="2">
        <v>142</v>
      </c>
      <c r="J181" s="2">
        <f>Table834[[#This Row],[Morning Systolic Pressure]]^2</f>
        <v>20164</v>
      </c>
      <c r="K181" s="2">
        <v>81</v>
      </c>
      <c r="L181" s="2">
        <f>Table834[[#This Row],[Morning Diastolic Pressure]]^2</f>
        <v>6561</v>
      </c>
      <c r="M181" s="2">
        <v>69</v>
      </c>
      <c r="N181" s="2">
        <f>Table834[[#This Row],[Morning Pulse]]^2</f>
        <v>4761</v>
      </c>
      <c r="O181" s="2">
        <v>97.3</v>
      </c>
      <c r="P181" s="2">
        <f>Table834[[#This Row],[Night Body Temp]]^2</f>
        <v>9467.2899999999991</v>
      </c>
      <c r="Q181" s="2">
        <v>135</v>
      </c>
      <c r="R181" s="2">
        <f>Table834[[#This Row],[Night Systolic Pressure]]^2</f>
        <v>18225</v>
      </c>
      <c r="S181" s="2">
        <v>83</v>
      </c>
      <c r="T181" s="2">
        <f>Table834[[#This Row],[Night Diastolic Pressure]]^2</f>
        <v>6889</v>
      </c>
      <c r="U181" s="2">
        <v>76</v>
      </c>
      <c r="V181" s="2">
        <f>Table834[[#This Row],[Night Pulse]]^2</f>
        <v>5776</v>
      </c>
      <c r="W181" s="2">
        <v>7.5</v>
      </c>
      <c r="X181" s="2">
        <f>Table834[[#This Row],[Sleep]]^2</f>
        <v>56.25</v>
      </c>
      <c r="Y181" s="2">
        <f t="shared" si="5"/>
        <v>36.441224489795914</v>
      </c>
      <c r="Z181" s="2">
        <f>Table834[[#This Row],[BMI]]^2</f>
        <v>1327.9628423157014</v>
      </c>
      <c r="AA181" s="2">
        <f t="shared" si="4"/>
        <v>31.997550455105717</v>
      </c>
      <c r="AB181" s="2">
        <f>Table834[[#This Row],[CBF]]^2</f>
        <v>1023.8432351270361</v>
      </c>
      <c r="AC181" s="2">
        <v>1</v>
      </c>
      <c r="AD181" s="2">
        <f>Table834[[#This Row],[Gym]]^2</f>
        <v>1</v>
      </c>
      <c r="AE181" s="2">
        <v>0</v>
      </c>
      <c r="AF181" s="2">
        <f>Table834[[#This Row],[Cardio]]^2</f>
        <v>0</v>
      </c>
      <c r="AG181" s="2">
        <v>2821.5142857142855</v>
      </c>
      <c r="AH181" s="2">
        <f>Table834[[#This Row],[Calories]]^2</f>
        <v>7960942.8644897947</v>
      </c>
      <c r="AI181" s="2">
        <v>486.04285714285714</v>
      </c>
      <c r="AJ181" s="2">
        <f>Table834[[#This Row],[Carbs]]^2</f>
        <v>236237.65897959183</v>
      </c>
      <c r="AK181" s="2">
        <v>65.01428571428572</v>
      </c>
      <c r="AL181" s="2">
        <f>Table834[[#This Row],[Fat ]]^2</f>
        <v>4226.8573469387766</v>
      </c>
      <c r="AM181" s="2">
        <v>95.200000000000017</v>
      </c>
      <c r="AN181" s="2">
        <f>Table834[[#This Row],[Protein]]^2</f>
        <v>9063.0400000000027</v>
      </c>
      <c r="AO181" s="2">
        <v>10.97142857142857</v>
      </c>
      <c r="AP181" s="2">
        <f>Table834[[#This Row],[Fiber]]^2</f>
        <v>120.37224489795915</v>
      </c>
      <c r="AQ181" s="2">
        <v>293.90000000000003</v>
      </c>
      <c r="AR181" s="2">
        <f>Table834[[#This Row],[Sugar]]^2</f>
        <v>86377.210000000021</v>
      </c>
      <c r="AS181" s="2">
        <v>83</v>
      </c>
      <c r="AT181" s="2">
        <f>Table834[[#This Row],[Servings]]^2</f>
        <v>6889</v>
      </c>
      <c r="AU181" s="2">
        <v>1</v>
      </c>
      <c r="AV181" s="2">
        <f>Table834[[#This Row],[Water]]^2</f>
        <v>1</v>
      </c>
      <c r="AW181" s="2">
        <v>585.12857142857138</v>
      </c>
      <c r="AX181" s="2">
        <f>Table834[[#This Row],[Fat Calories]]^2</f>
        <v>342375.44510204077</v>
      </c>
      <c r="AY181" s="5">
        <f>Table834[[#This Row],[Weight]]*Table834[[#This Row],[Waist]]</f>
        <v>11303</v>
      </c>
      <c r="AZ181" s="6">
        <f>Table834[[#This Row],[Weight]]*Table834[[#This Row],[Neck]]</f>
        <v>4191</v>
      </c>
      <c r="BA181" s="6">
        <f>Table834[[#This Row],[Weight]]*Table834[[#This Row],[Morning Body Temp]]</f>
        <v>24511</v>
      </c>
      <c r="BB181" s="6">
        <f>Table834[[#This Row],[Weight]]*Table834[[#This Row],[Morning Systolic Pressure]]</f>
        <v>36068</v>
      </c>
      <c r="BC181" s="12">
        <f>Table834[[#This Row],[Weight]]*Table834[[#This Row],[Morning Diastolic Pressure]]</f>
        <v>20574</v>
      </c>
      <c r="BD181" s="2">
        <f>Table834[[#This Row],[Weight]]*Table834[[#This Row],[Morning Pulse]]</f>
        <v>17526</v>
      </c>
      <c r="BE181" s="2">
        <f>Table834[[#This Row],[Weight]]*Table834[[#This Row],[Night Body Temp]]</f>
        <v>24714.2</v>
      </c>
      <c r="BF181" s="2">
        <f>Table834[[#This Row],[Weight]]*Table834[[#This Row],[Night Systolic Pressure]]</f>
        <v>34290</v>
      </c>
      <c r="BG181" s="4">
        <f>Table83[[#This Row],[Weight]]*Table83[[#This Row],[Night Diastolic Pressure]]</f>
        <v>21082</v>
      </c>
      <c r="BH181" s="2">
        <f>Table834[[#This Row],[Weight]]*Table834[[#This Row],[Night Pulse]]</f>
        <v>19304</v>
      </c>
      <c r="BI181" s="2">
        <f>Table834[[#This Row],[Weight]]*Table834[[#This Row],[Sleep]]</f>
        <v>1905</v>
      </c>
      <c r="BJ181" s="2">
        <f>Table834[[#This Row],[Weight]]*Table834[[#This Row],[BMI]]</f>
        <v>9256.0710204081624</v>
      </c>
      <c r="BK181" s="2">
        <f>Table834[[#This Row],[Weight]]*Table834[[#This Row],[CBF]]</f>
        <v>8127.3778155968521</v>
      </c>
      <c r="BL181" s="2">
        <f>Table834[[#This Row],[Weight]]*Table834[[#This Row],[Gym]]</f>
        <v>254</v>
      </c>
      <c r="BM181" s="2">
        <f>Table834[[#This Row],[Weight]]*Table834[[#This Row],[Cardio]]</f>
        <v>0</v>
      </c>
      <c r="BN181" s="2">
        <f>Table834[[#This Row],[Weight]]*Table834[[#This Row],[Calories]]</f>
        <v>716664.62857142847</v>
      </c>
      <c r="BO181" s="2">
        <f>Table834[[#This Row],[Weight]]*Table834[[#This Row],[Carbs]]</f>
        <v>123454.88571428572</v>
      </c>
      <c r="BP181" s="2">
        <f>Table834[[#This Row],[Weight]]*Table834[[#This Row],[Fat ]]</f>
        <v>16513.628571428573</v>
      </c>
      <c r="BQ181" s="2">
        <f>Table834[[#This Row],[Weight]]*Table834[[#This Row],[Protein]]</f>
        <v>24180.800000000003</v>
      </c>
      <c r="BR181" s="2">
        <f>Table834[[#This Row],[Weight]]*Table834[[#This Row],[Fiber]]</f>
        <v>2786.7428571428568</v>
      </c>
      <c r="BS181" s="2">
        <f>Table834[[#This Row],[Weight]]*Table834[[#This Row],[Sugar]]</f>
        <v>74650.600000000006</v>
      </c>
      <c r="BT181" s="2">
        <f>Table834[[#This Row],[Weight]]*Table834[[#This Row],[Servings]]</f>
        <v>21082</v>
      </c>
      <c r="BU181" s="2">
        <f>Table834[[#This Row],[Weight]]*Table834[[#This Row],[Water]]</f>
        <v>254</v>
      </c>
      <c r="BV181" s="2">
        <f>Table834[[#This Row],[Weight]]*Table834[[#This Row],[Fat Calories]]</f>
        <v>148622.65714285712</v>
      </c>
      <c r="BW181" s="2">
        <f>Table834[[#This Row],[Waist]]*Table834[[#This Row],[Neck]]</f>
        <v>734.25</v>
      </c>
      <c r="BX181" s="2">
        <f>Table834[[#This Row],[Waist]]*Table834[[#This Row],[Morning Body Temp]]</f>
        <v>4294.25</v>
      </c>
      <c r="BY181" s="2">
        <f>Table834[[#This Row],[Waist]]*Table834[[#This Row],[Morning Systolic Pressure]]</f>
        <v>6319</v>
      </c>
      <c r="BZ181" s="2">
        <f>Table834[[#This Row],[Waist]]*Table834[[#This Row],[Morning Diastolic Pressure]]</f>
        <v>3604.5</v>
      </c>
      <c r="CA181" s="2">
        <f>Table834[[#This Row],[Waist]]*Table834[[#This Row],[Morning Pulse]]</f>
        <v>3070.5</v>
      </c>
      <c r="CB181" s="2">
        <f>Table834[[#This Row],[Waist]]*Table834[[#This Row],[Night Body Temp]]</f>
        <v>4329.8499999999995</v>
      </c>
      <c r="CC181" s="2">
        <f>Table834[[#This Row],[Waist]]*Table834[[#This Row],[Night Systolic Pressure]]</f>
        <v>6007.5</v>
      </c>
      <c r="CD181" s="4">
        <f>Table83[[#This Row],[Waist]]*Table83[[#This Row],[Night Diastolic Pressure]]</f>
        <v>3693.5</v>
      </c>
      <c r="CE181" s="2">
        <f>Table834[[#This Row],[Waist]]*Table834[[#This Row],[Night Pulse]]</f>
        <v>3382</v>
      </c>
      <c r="CF181" s="2">
        <f>Table834[[#This Row],[Waist]]*Table834[[#This Row],[Sleep]]</f>
        <v>333.75</v>
      </c>
      <c r="CG181" s="2">
        <f>Table834[[#This Row],[Waist]]*Table834[[#This Row],[BMI]]</f>
        <v>1621.6344897959182</v>
      </c>
      <c r="CH181" s="2">
        <f>Table834[[#This Row],[Waist]]*Table834[[#This Row],[CBF]]</f>
        <v>1423.8909952522044</v>
      </c>
      <c r="CI181" s="2">
        <f>Table834[[#This Row],[Waist]]*Table834[[#This Row],[Gym]]</f>
        <v>44.5</v>
      </c>
      <c r="CJ181" s="2">
        <f>Table834[[#This Row],[Waist]]*Table834[[#This Row],[Cardio]]</f>
        <v>0</v>
      </c>
      <c r="CK181" s="2">
        <f>Table834[[#This Row],[Waist]]*Table834[[#This Row],[Calories]]</f>
        <v>125557.3857142857</v>
      </c>
      <c r="CL181" s="2">
        <f>Table834[[#This Row],[Waist]]*Table834[[#This Row],[Carbs]]</f>
        <v>21628.907142857144</v>
      </c>
      <c r="CM181" s="2">
        <f>Table834[[#This Row],[Waist]]*Table834[[#This Row],[Fat ]]</f>
        <v>2893.1357142857146</v>
      </c>
      <c r="CN181" s="2">
        <f>Table834[[#This Row],[Waist]]*Table834[[#This Row],[Protein]]</f>
        <v>4236.4000000000005</v>
      </c>
      <c r="CO181" s="2">
        <f>Table834[[#This Row],[Waist]]*Table834[[#This Row],[Fiber]]</f>
        <v>488.22857142857134</v>
      </c>
      <c r="CP181" s="2">
        <f>Table834[[#This Row],[Waist]]*Table834[[#This Row],[Sugar]]</f>
        <v>13078.550000000001</v>
      </c>
      <c r="CQ181" s="2">
        <f>Table834[[#This Row],[Waist]]*Table834[[#This Row],[Servings]]</f>
        <v>3693.5</v>
      </c>
      <c r="CR181" s="2">
        <f>Table834[[#This Row],[Waist]]*Table834[[#This Row],[Water]]</f>
        <v>44.5</v>
      </c>
      <c r="CS181" s="2">
        <f>Table834[[#This Row],[Waist]]*Table834[[#This Row],[Fat Calories]]</f>
        <v>26038.221428571425</v>
      </c>
    </row>
    <row r="182" spans="1:97" x14ac:dyDescent="0.25">
      <c r="A182" s="2">
        <v>253.8</v>
      </c>
      <c r="B182" s="2">
        <f>Table834[[#This Row],[Weight]]^2</f>
        <v>64414.44</v>
      </c>
      <c r="C182" s="2">
        <v>44.5</v>
      </c>
      <c r="D182" s="2">
        <f>Table834[[#This Row],[Waist]]^2</f>
        <v>1980.25</v>
      </c>
      <c r="E182" s="2">
        <v>16.5</v>
      </c>
      <c r="F182" s="2">
        <f>Table834[[#This Row],[Neck]]^2</f>
        <v>272.25</v>
      </c>
      <c r="G182" s="2">
        <v>97</v>
      </c>
      <c r="H182" s="2">
        <f>Table834[[#This Row],[Morning Body Temp]]^2</f>
        <v>9409</v>
      </c>
      <c r="I182" s="2">
        <v>129</v>
      </c>
      <c r="J182" s="2">
        <f>Table834[[#This Row],[Morning Systolic Pressure]]^2</f>
        <v>16641</v>
      </c>
      <c r="K182" s="2">
        <v>76</v>
      </c>
      <c r="L182" s="2">
        <f>Table834[[#This Row],[Morning Diastolic Pressure]]^2</f>
        <v>5776</v>
      </c>
      <c r="M182" s="2">
        <v>64</v>
      </c>
      <c r="N182" s="2">
        <f>Table834[[#This Row],[Morning Pulse]]^2</f>
        <v>4096</v>
      </c>
      <c r="O182" s="2">
        <v>97.9</v>
      </c>
      <c r="P182" s="2">
        <f>Table834[[#This Row],[Night Body Temp]]^2</f>
        <v>9584.4100000000017</v>
      </c>
      <c r="Q182" s="2">
        <v>123</v>
      </c>
      <c r="R182" s="2">
        <f>Table834[[#This Row],[Night Systolic Pressure]]^2</f>
        <v>15129</v>
      </c>
      <c r="S182" s="2">
        <v>73</v>
      </c>
      <c r="T182" s="2">
        <f>Table834[[#This Row],[Night Diastolic Pressure]]^2</f>
        <v>5329</v>
      </c>
      <c r="U182" s="2">
        <v>78</v>
      </c>
      <c r="V182" s="2">
        <f>Table834[[#This Row],[Night Pulse]]^2</f>
        <v>6084</v>
      </c>
      <c r="W182" s="2">
        <v>10</v>
      </c>
      <c r="X182" s="2">
        <f>Table834[[#This Row],[Sleep]]^2</f>
        <v>100</v>
      </c>
      <c r="Y182" s="2">
        <f t="shared" si="5"/>
        <v>36.4125306122449</v>
      </c>
      <c r="Z182" s="2">
        <f>Table834[[#This Row],[BMI]]^2</f>
        <v>1325.8723855876719</v>
      </c>
      <c r="AA182" s="2">
        <f t="shared" si="4"/>
        <v>31.997550455105717</v>
      </c>
      <c r="AB182" s="2">
        <f>Table834[[#This Row],[CBF]]^2</f>
        <v>1023.8432351270361</v>
      </c>
      <c r="AC182" s="2">
        <v>0</v>
      </c>
      <c r="AD182" s="2">
        <f>Table834[[#This Row],[Gym]]^2</f>
        <v>0</v>
      </c>
      <c r="AE182" s="2">
        <v>0</v>
      </c>
      <c r="AF182" s="2">
        <f>Table834[[#This Row],[Cardio]]^2</f>
        <v>0</v>
      </c>
      <c r="AG182" s="2">
        <v>2853.2666666666664</v>
      </c>
      <c r="AH182" s="2">
        <f>Table834[[#This Row],[Calories]]^2</f>
        <v>8141130.6711111097</v>
      </c>
      <c r="AI182" s="2">
        <v>408.86666666666667</v>
      </c>
      <c r="AJ182" s="2">
        <f>Table834[[#This Row],[Carbs]]^2</f>
        <v>167171.95111111112</v>
      </c>
      <c r="AK182" s="2">
        <v>105.075</v>
      </c>
      <c r="AL182" s="2">
        <f>Table834[[#This Row],[Fat ]]^2</f>
        <v>11040.755625</v>
      </c>
      <c r="AM182" s="2">
        <v>106.25000000000001</v>
      </c>
      <c r="AN182" s="2">
        <f>Table834[[#This Row],[Protein]]^2</f>
        <v>11289.062500000004</v>
      </c>
      <c r="AO182" s="2">
        <v>47.7</v>
      </c>
      <c r="AP182" s="2">
        <f>Table834[[#This Row],[Fiber]]^2</f>
        <v>2275.2900000000004</v>
      </c>
      <c r="AQ182" s="2">
        <v>241.64166666666668</v>
      </c>
      <c r="AR182" s="2">
        <f>Table834[[#This Row],[Sugar]]^2</f>
        <v>58390.695069444453</v>
      </c>
      <c r="AS182" s="2">
        <v>79</v>
      </c>
      <c r="AT182" s="2">
        <f>Table834[[#This Row],[Servings]]^2</f>
        <v>6241</v>
      </c>
      <c r="AU182" s="2">
        <v>2</v>
      </c>
      <c r="AV182" s="2">
        <f>Table834[[#This Row],[Water]]^2</f>
        <v>4</v>
      </c>
      <c r="AW182" s="2">
        <v>945.67499999999995</v>
      </c>
      <c r="AX182" s="2">
        <f>Table834[[#This Row],[Fat Calories]]^2</f>
        <v>894301.20562499994</v>
      </c>
      <c r="AY182" s="3">
        <f>Table834[[#This Row],[Weight]]*Table834[[#This Row],[Waist]]</f>
        <v>11294.1</v>
      </c>
      <c r="AZ182" s="4">
        <f>Table834[[#This Row],[Weight]]*Table834[[#This Row],[Neck]]</f>
        <v>4187.7</v>
      </c>
      <c r="BA182" s="4">
        <f>Table834[[#This Row],[Weight]]*Table834[[#This Row],[Morning Body Temp]]</f>
        <v>24618.600000000002</v>
      </c>
      <c r="BB182" s="4">
        <f>Table834[[#This Row],[Weight]]*Table834[[#This Row],[Morning Systolic Pressure]]</f>
        <v>32740.2</v>
      </c>
      <c r="BC182" s="11">
        <f>Table834[[#This Row],[Weight]]*Table834[[#This Row],[Morning Diastolic Pressure]]</f>
        <v>19288.8</v>
      </c>
      <c r="BD182" s="2">
        <f>Table834[[#This Row],[Weight]]*Table834[[#This Row],[Morning Pulse]]</f>
        <v>16243.2</v>
      </c>
      <c r="BE182" s="2">
        <f>Table834[[#This Row],[Weight]]*Table834[[#This Row],[Night Body Temp]]</f>
        <v>24847.020000000004</v>
      </c>
      <c r="BF182" s="2">
        <f>Table834[[#This Row],[Weight]]*Table834[[#This Row],[Night Systolic Pressure]]</f>
        <v>31217.4</v>
      </c>
      <c r="BG182" s="4">
        <f>Table83[[#This Row],[Weight]]*Table83[[#This Row],[Night Diastolic Pressure]]</f>
        <v>18527.400000000001</v>
      </c>
      <c r="BH182" s="2">
        <f>Table834[[#This Row],[Weight]]*Table834[[#This Row],[Night Pulse]]</f>
        <v>19796.400000000001</v>
      </c>
      <c r="BI182" s="2">
        <f>Table834[[#This Row],[Weight]]*Table834[[#This Row],[Sleep]]</f>
        <v>2538</v>
      </c>
      <c r="BJ182" s="2">
        <f>Table834[[#This Row],[Weight]]*Table834[[#This Row],[BMI]]</f>
        <v>9241.5002693877559</v>
      </c>
      <c r="BK182" s="2">
        <f>Table834[[#This Row],[Weight]]*Table834[[#This Row],[CBF]]</f>
        <v>8120.9783055058315</v>
      </c>
      <c r="BL182" s="2">
        <f>Table834[[#This Row],[Weight]]*Table834[[#This Row],[Gym]]</f>
        <v>0</v>
      </c>
      <c r="BM182" s="2">
        <f>Table834[[#This Row],[Weight]]*Table834[[#This Row],[Cardio]]</f>
        <v>0</v>
      </c>
      <c r="BN182" s="2">
        <f>Table834[[#This Row],[Weight]]*Table834[[#This Row],[Calories]]</f>
        <v>724159.08</v>
      </c>
      <c r="BO182" s="2">
        <f>Table834[[#This Row],[Weight]]*Table834[[#This Row],[Carbs]]</f>
        <v>103770.36</v>
      </c>
      <c r="BP182" s="2">
        <f>Table834[[#This Row],[Weight]]*Table834[[#This Row],[Fat ]]</f>
        <v>26668.035000000003</v>
      </c>
      <c r="BQ182" s="2">
        <f>Table834[[#This Row],[Weight]]*Table834[[#This Row],[Protein]]</f>
        <v>26966.250000000004</v>
      </c>
      <c r="BR182" s="2">
        <f>Table834[[#This Row],[Weight]]*Table834[[#This Row],[Fiber]]</f>
        <v>12106.260000000002</v>
      </c>
      <c r="BS182" s="2">
        <f>Table834[[#This Row],[Weight]]*Table834[[#This Row],[Sugar]]</f>
        <v>61328.655000000006</v>
      </c>
      <c r="BT182" s="2">
        <f>Table834[[#This Row],[Weight]]*Table834[[#This Row],[Servings]]</f>
        <v>20050.2</v>
      </c>
      <c r="BU182" s="2">
        <f>Table834[[#This Row],[Weight]]*Table834[[#This Row],[Water]]</f>
        <v>507.6</v>
      </c>
      <c r="BV182" s="2">
        <f>Table834[[#This Row],[Weight]]*Table834[[#This Row],[Fat Calories]]</f>
        <v>240012.315</v>
      </c>
      <c r="BW182" s="2">
        <f>Table834[[#This Row],[Waist]]*Table834[[#This Row],[Neck]]</f>
        <v>734.25</v>
      </c>
      <c r="BX182" s="2">
        <f>Table834[[#This Row],[Waist]]*Table834[[#This Row],[Morning Body Temp]]</f>
        <v>4316.5</v>
      </c>
      <c r="BY182" s="2">
        <f>Table834[[#This Row],[Waist]]*Table834[[#This Row],[Morning Systolic Pressure]]</f>
        <v>5740.5</v>
      </c>
      <c r="BZ182" s="2">
        <f>Table834[[#This Row],[Waist]]*Table834[[#This Row],[Morning Diastolic Pressure]]</f>
        <v>3382</v>
      </c>
      <c r="CA182" s="2">
        <f>Table834[[#This Row],[Waist]]*Table834[[#This Row],[Morning Pulse]]</f>
        <v>2848</v>
      </c>
      <c r="CB182" s="2">
        <f>Table834[[#This Row],[Waist]]*Table834[[#This Row],[Night Body Temp]]</f>
        <v>4356.55</v>
      </c>
      <c r="CC182" s="2">
        <f>Table834[[#This Row],[Waist]]*Table834[[#This Row],[Night Systolic Pressure]]</f>
        <v>5473.5</v>
      </c>
      <c r="CD182" s="4">
        <f>Table83[[#This Row],[Waist]]*Table83[[#This Row],[Night Diastolic Pressure]]</f>
        <v>3248.5</v>
      </c>
      <c r="CE182" s="2">
        <f>Table834[[#This Row],[Waist]]*Table834[[#This Row],[Night Pulse]]</f>
        <v>3471</v>
      </c>
      <c r="CF182" s="2">
        <f>Table834[[#This Row],[Waist]]*Table834[[#This Row],[Sleep]]</f>
        <v>445</v>
      </c>
      <c r="CG182" s="2">
        <f>Table834[[#This Row],[Waist]]*Table834[[#This Row],[BMI]]</f>
        <v>1620.3576122448981</v>
      </c>
      <c r="CH182" s="2">
        <f>Table834[[#This Row],[Waist]]*Table834[[#This Row],[CBF]]</f>
        <v>1423.8909952522044</v>
      </c>
      <c r="CI182" s="2">
        <f>Table834[[#This Row],[Waist]]*Table834[[#This Row],[Gym]]</f>
        <v>0</v>
      </c>
      <c r="CJ182" s="2">
        <f>Table834[[#This Row],[Waist]]*Table834[[#This Row],[Cardio]]</f>
        <v>0</v>
      </c>
      <c r="CK182" s="2">
        <f>Table834[[#This Row],[Waist]]*Table834[[#This Row],[Calories]]</f>
        <v>126970.36666666665</v>
      </c>
      <c r="CL182" s="2">
        <f>Table834[[#This Row],[Waist]]*Table834[[#This Row],[Carbs]]</f>
        <v>18194.566666666666</v>
      </c>
      <c r="CM182" s="2">
        <f>Table834[[#This Row],[Waist]]*Table834[[#This Row],[Fat ]]</f>
        <v>4675.8375000000005</v>
      </c>
      <c r="CN182" s="2">
        <f>Table834[[#This Row],[Waist]]*Table834[[#This Row],[Protein]]</f>
        <v>4728.1250000000009</v>
      </c>
      <c r="CO182" s="2">
        <f>Table834[[#This Row],[Waist]]*Table834[[#This Row],[Fiber]]</f>
        <v>2122.65</v>
      </c>
      <c r="CP182" s="2">
        <f>Table834[[#This Row],[Waist]]*Table834[[#This Row],[Sugar]]</f>
        <v>10753.054166666667</v>
      </c>
      <c r="CQ182" s="2">
        <f>Table834[[#This Row],[Waist]]*Table834[[#This Row],[Servings]]</f>
        <v>3515.5</v>
      </c>
      <c r="CR182" s="2">
        <f>Table834[[#This Row],[Waist]]*Table834[[#This Row],[Water]]</f>
        <v>89</v>
      </c>
      <c r="CS182" s="2">
        <f>Table834[[#This Row],[Waist]]*Table834[[#This Row],[Fat Calories]]</f>
        <v>42082.537499999999</v>
      </c>
    </row>
    <row r="183" spans="1:97" x14ac:dyDescent="0.25">
      <c r="A183" s="2">
        <v>254.8</v>
      </c>
      <c r="B183" s="2">
        <f>Table834[[#This Row],[Weight]]^2</f>
        <v>64923.040000000008</v>
      </c>
      <c r="C183" s="2">
        <v>45</v>
      </c>
      <c r="D183" s="2">
        <f>Table834[[#This Row],[Waist]]^2</f>
        <v>2025</v>
      </c>
      <c r="E183" s="2">
        <v>16.5</v>
      </c>
      <c r="F183" s="2">
        <f>Table834[[#This Row],[Neck]]^2</f>
        <v>272.25</v>
      </c>
      <c r="G183" s="2">
        <v>98</v>
      </c>
      <c r="H183" s="2">
        <f>Table834[[#This Row],[Morning Body Temp]]^2</f>
        <v>9604</v>
      </c>
      <c r="I183" s="2">
        <v>125</v>
      </c>
      <c r="J183" s="2">
        <f>Table834[[#This Row],[Morning Systolic Pressure]]^2</f>
        <v>15625</v>
      </c>
      <c r="K183" s="2">
        <v>79</v>
      </c>
      <c r="L183" s="2">
        <f>Table834[[#This Row],[Morning Diastolic Pressure]]^2</f>
        <v>6241</v>
      </c>
      <c r="M183" s="2">
        <v>76</v>
      </c>
      <c r="N183" s="2">
        <f>Table834[[#This Row],[Morning Pulse]]^2</f>
        <v>5776</v>
      </c>
      <c r="O183" s="2">
        <v>97.6</v>
      </c>
      <c r="P183" s="2">
        <f>Table834[[#This Row],[Night Body Temp]]^2</f>
        <v>9525.7599999999984</v>
      </c>
      <c r="Q183" s="2">
        <v>129</v>
      </c>
      <c r="R183" s="2">
        <f>Table834[[#This Row],[Night Systolic Pressure]]^2</f>
        <v>16641</v>
      </c>
      <c r="S183" s="2">
        <v>71</v>
      </c>
      <c r="T183" s="2">
        <f>Table834[[#This Row],[Night Diastolic Pressure]]^2</f>
        <v>5041</v>
      </c>
      <c r="U183" s="2">
        <v>72</v>
      </c>
      <c r="V183" s="2">
        <f>Table834[[#This Row],[Night Pulse]]^2</f>
        <v>5184</v>
      </c>
      <c r="W183" s="2">
        <v>11</v>
      </c>
      <c r="X183" s="2">
        <f>Table834[[#This Row],[Sleep]]^2</f>
        <v>121</v>
      </c>
      <c r="Y183" s="2">
        <f t="shared" si="5"/>
        <v>36.556000000000004</v>
      </c>
      <c r="Z183" s="2">
        <f>Table834[[#This Row],[BMI]]^2</f>
        <v>1336.3411360000002</v>
      </c>
      <c r="AA183" s="2">
        <f t="shared" si="4"/>
        <v>32.6586945886934</v>
      </c>
      <c r="AB183" s="2">
        <f>Table834[[#This Row],[CBF]]^2</f>
        <v>1066.5903322375516</v>
      </c>
      <c r="AC183" s="2">
        <v>1</v>
      </c>
      <c r="AD183" s="2">
        <f>Table834[[#This Row],[Gym]]^2</f>
        <v>1</v>
      </c>
      <c r="AE183" s="2">
        <v>0</v>
      </c>
      <c r="AF183" s="2">
        <f>Table834[[#This Row],[Cardio]]^2</f>
        <v>0</v>
      </c>
      <c r="AG183" s="2">
        <v>1625.2666666666667</v>
      </c>
      <c r="AH183" s="2">
        <f>Table834[[#This Row],[Calories]]^2</f>
        <v>2641491.7377777779</v>
      </c>
      <c r="AI183" s="2">
        <v>146.31666666666666</v>
      </c>
      <c r="AJ183" s="2">
        <f>Table834[[#This Row],[Carbs]]^2</f>
        <v>21408.566944444443</v>
      </c>
      <c r="AK183" s="2">
        <v>87.275000000000006</v>
      </c>
      <c r="AL183" s="2">
        <f>Table834[[#This Row],[Fat ]]^2</f>
        <v>7616.9256250000008</v>
      </c>
      <c r="AM183" s="2">
        <v>87.6</v>
      </c>
      <c r="AN183" s="2">
        <f>Table834[[#This Row],[Protein]]^2</f>
        <v>7673.7599999999993</v>
      </c>
      <c r="AO183" s="2">
        <v>44.599999999999994</v>
      </c>
      <c r="AP183" s="2">
        <f>Table834[[#This Row],[Fiber]]^2</f>
        <v>1989.1599999999994</v>
      </c>
      <c r="AQ183" s="2">
        <v>34.091666666666669</v>
      </c>
      <c r="AR183" s="2">
        <f>Table834[[#This Row],[Sugar]]^2</f>
        <v>1162.2417361111113</v>
      </c>
      <c r="AS183" s="2">
        <v>25</v>
      </c>
      <c r="AT183" s="2">
        <f>Table834[[#This Row],[Servings]]^2</f>
        <v>625</v>
      </c>
      <c r="AU183" s="2">
        <v>2</v>
      </c>
      <c r="AV183" s="2">
        <f>Table834[[#This Row],[Water]]^2</f>
        <v>4</v>
      </c>
      <c r="AW183" s="2">
        <v>785.47500000000002</v>
      </c>
      <c r="AX183" s="2">
        <f>Table834[[#This Row],[Fat Calories]]^2</f>
        <v>616970.97562500008</v>
      </c>
      <c r="AY183" s="5">
        <f>Table834[[#This Row],[Weight]]*Table834[[#This Row],[Waist]]</f>
        <v>11466</v>
      </c>
      <c r="AZ183" s="6">
        <f>Table834[[#This Row],[Weight]]*Table834[[#This Row],[Neck]]</f>
        <v>4204.2</v>
      </c>
      <c r="BA183" s="6">
        <f>Table834[[#This Row],[Weight]]*Table834[[#This Row],[Morning Body Temp]]</f>
        <v>24970.400000000001</v>
      </c>
      <c r="BB183" s="6">
        <f>Table834[[#This Row],[Weight]]*Table834[[#This Row],[Morning Systolic Pressure]]</f>
        <v>31850</v>
      </c>
      <c r="BC183" s="12">
        <f>Table834[[#This Row],[Weight]]*Table834[[#This Row],[Morning Diastolic Pressure]]</f>
        <v>20129.2</v>
      </c>
      <c r="BD183" s="2">
        <f>Table834[[#This Row],[Weight]]*Table834[[#This Row],[Morning Pulse]]</f>
        <v>19364.8</v>
      </c>
      <c r="BE183" s="2">
        <f>Table834[[#This Row],[Weight]]*Table834[[#This Row],[Night Body Temp]]</f>
        <v>24868.48</v>
      </c>
      <c r="BF183" s="2">
        <f>Table834[[#This Row],[Weight]]*Table834[[#This Row],[Night Systolic Pressure]]</f>
        <v>32869.200000000004</v>
      </c>
      <c r="BG183" s="4">
        <f>Table83[[#This Row],[Weight]]*Table83[[#This Row],[Night Diastolic Pressure]]</f>
        <v>18090.8</v>
      </c>
      <c r="BH183" s="2">
        <f>Table834[[#This Row],[Weight]]*Table834[[#This Row],[Night Pulse]]</f>
        <v>18345.600000000002</v>
      </c>
      <c r="BI183" s="2">
        <f>Table834[[#This Row],[Weight]]*Table834[[#This Row],[Sleep]]</f>
        <v>2802.8</v>
      </c>
      <c r="BJ183" s="2">
        <f>Table834[[#This Row],[Weight]]*Table834[[#This Row],[BMI]]</f>
        <v>9314.4688000000024</v>
      </c>
      <c r="BK183" s="2">
        <f>Table834[[#This Row],[Weight]]*Table834[[#This Row],[CBF]]</f>
        <v>8321.4353811990786</v>
      </c>
      <c r="BL183" s="2">
        <f>Table834[[#This Row],[Weight]]*Table834[[#This Row],[Gym]]</f>
        <v>254.8</v>
      </c>
      <c r="BM183" s="2">
        <f>Table834[[#This Row],[Weight]]*Table834[[#This Row],[Cardio]]</f>
        <v>0</v>
      </c>
      <c r="BN183" s="2">
        <f>Table834[[#This Row],[Weight]]*Table834[[#This Row],[Calories]]</f>
        <v>414117.94666666666</v>
      </c>
      <c r="BO183" s="2">
        <f>Table834[[#This Row],[Weight]]*Table834[[#This Row],[Carbs]]</f>
        <v>37281.486666666664</v>
      </c>
      <c r="BP183" s="2">
        <f>Table834[[#This Row],[Weight]]*Table834[[#This Row],[Fat ]]</f>
        <v>22237.670000000002</v>
      </c>
      <c r="BQ183" s="2">
        <f>Table834[[#This Row],[Weight]]*Table834[[#This Row],[Protein]]</f>
        <v>22320.48</v>
      </c>
      <c r="BR183" s="2">
        <f>Table834[[#This Row],[Weight]]*Table834[[#This Row],[Fiber]]</f>
        <v>11364.08</v>
      </c>
      <c r="BS183" s="2">
        <f>Table834[[#This Row],[Weight]]*Table834[[#This Row],[Sugar]]</f>
        <v>8686.5566666666673</v>
      </c>
      <c r="BT183" s="2">
        <f>Table834[[#This Row],[Weight]]*Table834[[#This Row],[Servings]]</f>
        <v>6370</v>
      </c>
      <c r="BU183" s="2">
        <f>Table834[[#This Row],[Weight]]*Table834[[#This Row],[Water]]</f>
        <v>509.6</v>
      </c>
      <c r="BV183" s="2">
        <f>Table834[[#This Row],[Weight]]*Table834[[#This Row],[Fat Calories]]</f>
        <v>200139.03000000003</v>
      </c>
      <c r="BW183" s="2">
        <f>Table834[[#This Row],[Waist]]*Table834[[#This Row],[Neck]]</f>
        <v>742.5</v>
      </c>
      <c r="BX183" s="2">
        <f>Table834[[#This Row],[Waist]]*Table834[[#This Row],[Morning Body Temp]]</f>
        <v>4410</v>
      </c>
      <c r="BY183" s="2">
        <f>Table834[[#This Row],[Waist]]*Table834[[#This Row],[Morning Systolic Pressure]]</f>
        <v>5625</v>
      </c>
      <c r="BZ183" s="2">
        <f>Table834[[#This Row],[Waist]]*Table834[[#This Row],[Morning Diastolic Pressure]]</f>
        <v>3555</v>
      </c>
      <c r="CA183" s="2">
        <f>Table834[[#This Row],[Waist]]*Table834[[#This Row],[Morning Pulse]]</f>
        <v>3420</v>
      </c>
      <c r="CB183" s="2">
        <f>Table834[[#This Row],[Waist]]*Table834[[#This Row],[Night Body Temp]]</f>
        <v>4392</v>
      </c>
      <c r="CC183" s="2">
        <f>Table834[[#This Row],[Waist]]*Table834[[#This Row],[Night Systolic Pressure]]</f>
        <v>5805</v>
      </c>
      <c r="CD183" s="4">
        <f>Table83[[#This Row],[Waist]]*Table83[[#This Row],[Night Diastolic Pressure]]</f>
        <v>3195</v>
      </c>
      <c r="CE183" s="2">
        <f>Table834[[#This Row],[Waist]]*Table834[[#This Row],[Night Pulse]]</f>
        <v>3240</v>
      </c>
      <c r="CF183" s="2">
        <f>Table834[[#This Row],[Waist]]*Table834[[#This Row],[Sleep]]</f>
        <v>495</v>
      </c>
      <c r="CG183" s="2">
        <f>Table834[[#This Row],[Waist]]*Table834[[#This Row],[BMI]]</f>
        <v>1645.0200000000002</v>
      </c>
      <c r="CH183" s="2">
        <f>Table834[[#This Row],[Waist]]*Table834[[#This Row],[CBF]]</f>
        <v>1469.641256491203</v>
      </c>
      <c r="CI183" s="2">
        <f>Table834[[#This Row],[Waist]]*Table834[[#This Row],[Gym]]</f>
        <v>45</v>
      </c>
      <c r="CJ183" s="2">
        <f>Table834[[#This Row],[Waist]]*Table834[[#This Row],[Cardio]]</f>
        <v>0</v>
      </c>
      <c r="CK183" s="2">
        <f>Table834[[#This Row],[Waist]]*Table834[[#This Row],[Calories]]</f>
        <v>73137</v>
      </c>
      <c r="CL183" s="2">
        <f>Table834[[#This Row],[Waist]]*Table834[[#This Row],[Carbs]]</f>
        <v>6584.25</v>
      </c>
      <c r="CM183" s="2">
        <f>Table834[[#This Row],[Waist]]*Table834[[#This Row],[Fat ]]</f>
        <v>3927.3750000000005</v>
      </c>
      <c r="CN183" s="2">
        <f>Table834[[#This Row],[Waist]]*Table834[[#This Row],[Protein]]</f>
        <v>3941.9999999999995</v>
      </c>
      <c r="CO183" s="2">
        <f>Table834[[#This Row],[Waist]]*Table834[[#This Row],[Fiber]]</f>
        <v>2006.9999999999998</v>
      </c>
      <c r="CP183" s="2">
        <f>Table834[[#This Row],[Waist]]*Table834[[#This Row],[Sugar]]</f>
        <v>1534.125</v>
      </c>
      <c r="CQ183" s="2">
        <f>Table834[[#This Row],[Waist]]*Table834[[#This Row],[Servings]]</f>
        <v>1125</v>
      </c>
      <c r="CR183" s="2">
        <f>Table834[[#This Row],[Waist]]*Table834[[#This Row],[Water]]</f>
        <v>90</v>
      </c>
      <c r="CS183" s="2">
        <f>Table834[[#This Row],[Waist]]*Table834[[#This Row],[Fat Calories]]</f>
        <v>35346.375</v>
      </c>
    </row>
    <row r="184" spans="1:97" x14ac:dyDescent="0.25">
      <c r="A184" s="2">
        <v>253.8</v>
      </c>
      <c r="B184" s="2">
        <f>Table834[[#This Row],[Weight]]^2</f>
        <v>64414.44</v>
      </c>
      <c r="C184" s="2">
        <v>45</v>
      </c>
      <c r="D184" s="2">
        <f>Table834[[#This Row],[Waist]]^2</f>
        <v>2025</v>
      </c>
      <c r="E184" s="2">
        <v>16.5</v>
      </c>
      <c r="F184" s="2">
        <f>Table834[[#This Row],[Neck]]^2</f>
        <v>272.25</v>
      </c>
      <c r="G184" s="2">
        <v>98.5</v>
      </c>
      <c r="H184" s="2">
        <f>Table834[[#This Row],[Morning Body Temp]]^2</f>
        <v>9702.25</v>
      </c>
      <c r="I184" s="2">
        <v>134</v>
      </c>
      <c r="J184" s="2">
        <f>Table834[[#This Row],[Morning Systolic Pressure]]^2</f>
        <v>17956</v>
      </c>
      <c r="K184" s="2">
        <v>81</v>
      </c>
      <c r="L184" s="2">
        <f>Table834[[#This Row],[Morning Diastolic Pressure]]^2</f>
        <v>6561</v>
      </c>
      <c r="M184" s="2">
        <v>83</v>
      </c>
      <c r="N184" s="2">
        <f>Table834[[#This Row],[Morning Pulse]]^2</f>
        <v>6889</v>
      </c>
      <c r="O184" s="2">
        <v>97.4</v>
      </c>
      <c r="P184" s="2">
        <f>Table834[[#This Row],[Night Body Temp]]^2</f>
        <v>9486.76</v>
      </c>
      <c r="Q184" s="2">
        <v>120</v>
      </c>
      <c r="R184" s="2">
        <f>Table834[[#This Row],[Night Systolic Pressure]]^2</f>
        <v>14400</v>
      </c>
      <c r="S184" s="2">
        <v>65</v>
      </c>
      <c r="T184" s="2">
        <f>Table834[[#This Row],[Night Diastolic Pressure]]^2</f>
        <v>4225</v>
      </c>
      <c r="U184" s="2">
        <v>72</v>
      </c>
      <c r="V184" s="2">
        <f>Table834[[#This Row],[Night Pulse]]^2</f>
        <v>5184</v>
      </c>
      <c r="W184" s="2">
        <v>7</v>
      </c>
      <c r="X184" s="2">
        <f>Table834[[#This Row],[Sleep]]^2</f>
        <v>49</v>
      </c>
      <c r="Y184" s="2">
        <f t="shared" si="5"/>
        <v>36.4125306122449</v>
      </c>
      <c r="Z184" s="2">
        <f>Table834[[#This Row],[BMI]]^2</f>
        <v>1325.8723855876719</v>
      </c>
      <c r="AA184" s="2">
        <f t="shared" si="4"/>
        <v>32.6586945886934</v>
      </c>
      <c r="AB184" s="2">
        <f>Table834[[#This Row],[CBF]]^2</f>
        <v>1066.5903322375516</v>
      </c>
      <c r="AC184" s="2">
        <v>1</v>
      </c>
      <c r="AD184" s="2">
        <f>Table834[[#This Row],[Gym]]^2</f>
        <v>1</v>
      </c>
      <c r="AE184" s="2">
        <v>0</v>
      </c>
      <c r="AF184" s="2">
        <f>Table834[[#This Row],[Cardio]]^2</f>
        <v>0</v>
      </c>
      <c r="AG184" s="2">
        <v>3921.0125595238096</v>
      </c>
      <c r="AH184" s="2">
        <f>Table834[[#This Row],[Calories]]^2</f>
        <v>15374339.491943456</v>
      </c>
      <c r="AI184" s="2">
        <v>470.13834523809527</v>
      </c>
      <c r="AJ184" s="2">
        <f>Table834[[#This Row],[Carbs]]^2</f>
        <v>221030.06366321445</v>
      </c>
      <c r="AK184" s="2">
        <v>163.58889285714284</v>
      </c>
      <c r="AL184" s="2">
        <f>Table834[[#This Row],[Fat ]]^2</f>
        <v>26761.325866225758</v>
      </c>
      <c r="AM184" s="2">
        <v>169.024125</v>
      </c>
      <c r="AN184" s="2">
        <f>Table834[[#This Row],[Protein]]^2</f>
        <v>28569.154832015625</v>
      </c>
      <c r="AO184" s="2">
        <v>55.516339285714288</v>
      </c>
      <c r="AP184" s="2">
        <f>Table834[[#This Row],[Fiber]]^2</f>
        <v>3082.0639276865436</v>
      </c>
      <c r="AQ184" s="2">
        <v>241.87491666666668</v>
      </c>
      <c r="AR184" s="2">
        <f>Table834[[#This Row],[Sugar]]^2</f>
        <v>58503.475312506947</v>
      </c>
      <c r="AS184" s="2">
        <v>81</v>
      </c>
      <c r="AT184" s="2">
        <f>Table834[[#This Row],[Servings]]^2</f>
        <v>6561</v>
      </c>
      <c r="AU184" s="2">
        <v>2</v>
      </c>
      <c r="AV184" s="2">
        <f>Table834[[#This Row],[Water]]^2</f>
        <v>4</v>
      </c>
      <c r="AW184" s="2">
        <v>1472.3000357142857</v>
      </c>
      <c r="AX184" s="2">
        <f>Table834[[#This Row],[Fat Calories]]^2</f>
        <v>2167667.3951642872</v>
      </c>
      <c r="AY184" s="3">
        <f>Table834[[#This Row],[Weight]]*Table834[[#This Row],[Waist]]</f>
        <v>11421</v>
      </c>
      <c r="AZ184" s="4">
        <f>Table834[[#This Row],[Weight]]*Table834[[#This Row],[Neck]]</f>
        <v>4187.7</v>
      </c>
      <c r="BA184" s="4">
        <f>Table834[[#This Row],[Weight]]*Table834[[#This Row],[Morning Body Temp]]</f>
        <v>24999.300000000003</v>
      </c>
      <c r="BB184" s="4">
        <f>Table834[[#This Row],[Weight]]*Table834[[#This Row],[Morning Systolic Pressure]]</f>
        <v>34009.200000000004</v>
      </c>
      <c r="BC184" s="11">
        <f>Table834[[#This Row],[Weight]]*Table834[[#This Row],[Morning Diastolic Pressure]]</f>
        <v>20557.8</v>
      </c>
      <c r="BD184" s="2">
        <f>Table834[[#This Row],[Weight]]*Table834[[#This Row],[Morning Pulse]]</f>
        <v>21065.4</v>
      </c>
      <c r="BE184" s="2">
        <f>Table834[[#This Row],[Weight]]*Table834[[#This Row],[Night Body Temp]]</f>
        <v>24720.120000000003</v>
      </c>
      <c r="BF184" s="2">
        <f>Table834[[#This Row],[Weight]]*Table834[[#This Row],[Night Systolic Pressure]]</f>
        <v>30456</v>
      </c>
      <c r="BG184" s="4">
        <f>Table83[[#This Row],[Weight]]*Table83[[#This Row],[Night Diastolic Pressure]]</f>
        <v>16497</v>
      </c>
      <c r="BH184" s="2">
        <f>Table834[[#This Row],[Weight]]*Table834[[#This Row],[Night Pulse]]</f>
        <v>18273.600000000002</v>
      </c>
      <c r="BI184" s="2">
        <f>Table834[[#This Row],[Weight]]*Table834[[#This Row],[Sleep]]</f>
        <v>1776.6000000000001</v>
      </c>
      <c r="BJ184" s="2">
        <f>Table834[[#This Row],[Weight]]*Table834[[#This Row],[BMI]]</f>
        <v>9241.5002693877559</v>
      </c>
      <c r="BK184" s="2">
        <f>Table834[[#This Row],[Weight]]*Table834[[#This Row],[CBF]]</f>
        <v>8288.7766866103848</v>
      </c>
      <c r="BL184" s="2">
        <f>Table834[[#This Row],[Weight]]*Table834[[#This Row],[Gym]]</f>
        <v>253.8</v>
      </c>
      <c r="BM184" s="2">
        <f>Table834[[#This Row],[Weight]]*Table834[[#This Row],[Cardio]]</f>
        <v>0</v>
      </c>
      <c r="BN184" s="2">
        <f>Table834[[#This Row],[Weight]]*Table834[[#This Row],[Calories]]</f>
        <v>995152.98760714289</v>
      </c>
      <c r="BO184" s="2">
        <f>Table834[[#This Row],[Weight]]*Table834[[#This Row],[Carbs]]</f>
        <v>119321.11202142859</v>
      </c>
      <c r="BP184" s="2">
        <f>Table834[[#This Row],[Weight]]*Table834[[#This Row],[Fat ]]</f>
        <v>41518.861007142856</v>
      </c>
      <c r="BQ184" s="2">
        <f>Table834[[#This Row],[Weight]]*Table834[[#This Row],[Protein]]</f>
        <v>42898.322925</v>
      </c>
      <c r="BR184" s="2">
        <f>Table834[[#This Row],[Weight]]*Table834[[#This Row],[Fiber]]</f>
        <v>14090.046910714287</v>
      </c>
      <c r="BS184" s="2">
        <f>Table834[[#This Row],[Weight]]*Table834[[#This Row],[Sugar]]</f>
        <v>61387.853850000007</v>
      </c>
      <c r="BT184" s="2">
        <f>Table834[[#This Row],[Weight]]*Table834[[#This Row],[Servings]]</f>
        <v>20557.8</v>
      </c>
      <c r="BU184" s="2">
        <f>Table834[[#This Row],[Weight]]*Table834[[#This Row],[Water]]</f>
        <v>507.6</v>
      </c>
      <c r="BV184" s="2">
        <f>Table834[[#This Row],[Weight]]*Table834[[#This Row],[Fat Calories]]</f>
        <v>373669.74906428572</v>
      </c>
      <c r="BW184" s="2">
        <f>Table834[[#This Row],[Waist]]*Table834[[#This Row],[Neck]]</f>
        <v>742.5</v>
      </c>
      <c r="BX184" s="2">
        <f>Table834[[#This Row],[Waist]]*Table834[[#This Row],[Morning Body Temp]]</f>
        <v>4432.5</v>
      </c>
      <c r="BY184" s="2">
        <f>Table834[[#This Row],[Waist]]*Table834[[#This Row],[Morning Systolic Pressure]]</f>
        <v>6030</v>
      </c>
      <c r="BZ184" s="2">
        <f>Table834[[#This Row],[Waist]]*Table834[[#This Row],[Morning Diastolic Pressure]]</f>
        <v>3645</v>
      </c>
      <c r="CA184" s="2">
        <f>Table834[[#This Row],[Waist]]*Table834[[#This Row],[Morning Pulse]]</f>
        <v>3735</v>
      </c>
      <c r="CB184" s="2">
        <f>Table834[[#This Row],[Waist]]*Table834[[#This Row],[Night Body Temp]]</f>
        <v>4383</v>
      </c>
      <c r="CC184" s="2">
        <f>Table834[[#This Row],[Waist]]*Table834[[#This Row],[Night Systolic Pressure]]</f>
        <v>5400</v>
      </c>
      <c r="CD184" s="4">
        <f>Table83[[#This Row],[Waist]]*Table83[[#This Row],[Night Diastolic Pressure]]</f>
        <v>2925</v>
      </c>
      <c r="CE184" s="2">
        <f>Table834[[#This Row],[Waist]]*Table834[[#This Row],[Night Pulse]]</f>
        <v>3240</v>
      </c>
      <c r="CF184" s="2">
        <f>Table834[[#This Row],[Waist]]*Table834[[#This Row],[Sleep]]</f>
        <v>315</v>
      </c>
      <c r="CG184" s="2">
        <f>Table834[[#This Row],[Waist]]*Table834[[#This Row],[BMI]]</f>
        <v>1638.5638775510206</v>
      </c>
      <c r="CH184" s="2">
        <f>Table834[[#This Row],[Waist]]*Table834[[#This Row],[CBF]]</f>
        <v>1469.641256491203</v>
      </c>
      <c r="CI184" s="2">
        <f>Table834[[#This Row],[Waist]]*Table834[[#This Row],[Gym]]</f>
        <v>45</v>
      </c>
      <c r="CJ184" s="2">
        <f>Table834[[#This Row],[Waist]]*Table834[[#This Row],[Cardio]]</f>
        <v>0</v>
      </c>
      <c r="CK184" s="2">
        <f>Table834[[#This Row],[Waist]]*Table834[[#This Row],[Calories]]</f>
        <v>176445.56517857144</v>
      </c>
      <c r="CL184" s="2">
        <f>Table834[[#This Row],[Waist]]*Table834[[#This Row],[Carbs]]</f>
        <v>21156.225535714286</v>
      </c>
      <c r="CM184" s="2">
        <f>Table834[[#This Row],[Waist]]*Table834[[#This Row],[Fat ]]</f>
        <v>7361.5001785714276</v>
      </c>
      <c r="CN184" s="2">
        <f>Table834[[#This Row],[Waist]]*Table834[[#This Row],[Protein]]</f>
        <v>7606.0856249999997</v>
      </c>
      <c r="CO184" s="2">
        <f>Table834[[#This Row],[Waist]]*Table834[[#This Row],[Fiber]]</f>
        <v>2498.2352678571428</v>
      </c>
      <c r="CP184" s="2">
        <f>Table834[[#This Row],[Waist]]*Table834[[#This Row],[Sugar]]</f>
        <v>10884.37125</v>
      </c>
      <c r="CQ184" s="2">
        <f>Table834[[#This Row],[Waist]]*Table834[[#This Row],[Servings]]</f>
        <v>3645</v>
      </c>
      <c r="CR184" s="2">
        <f>Table834[[#This Row],[Waist]]*Table834[[#This Row],[Water]]</f>
        <v>90</v>
      </c>
      <c r="CS184" s="2">
        <f>Table834[[#This Row],[Waist]]*Table834[[#This Row],[Fat Calories]]</f>
        <v>66253.501607142854</v>
      </c>
    </row>
    <row r="185" spans="1:97" x14ac:dyDescent="0.25">
      <c r="A185" s="2">
        <v>253</v>
      </c>
      <c r="B185" s="2">
        <f>Table834[[#This Row],[Weight]]^2</f>
        <v>64009</v>
      </c>
      <c r="C185" s="2">
        <v>45</v>
      </c>
      <c r="D185" s="2">
        <f>Table834[[#This Row],[Waist]]^2</f>
        <v>2025</v>
      </c>
      <c r="E185" s="2">
        <v>16.5</v>
      </c>
      <c r="F185" s="2">
        <f>Table834[[#This Row],[Neck]]^2</f>
        <v>272.25</v>
      </c>
      <c r="G185" s="2">
        <v>98</v>
      </c>
      <c r="H185" s="2">
        <f>Table834[[#This Row],[Morning Body Temp]]^2</f>
        <v>9604</v>
      </c>
      <c r="I185" s="2">
        <v>119</v>
      </c>
      <c r="J185" s="2">
        <f>Table834[[#This Row],[Morning Systolic Pressure]]^2</f>
        <v>14161</v>
      </c>
      <c r="K185" s="2">
        <v>74</v>
      </c>
      <c r="L185" s="2">
        <f>Table834[[#This Row],[Morning Diastolic Pressure]]^2</f>
        <v>5476</v>
      </c>
      <c r="M185" s="2">
        <v>75</v>
      </c>
      <c r="N185" s="2">
        <f>Table834[[#This Row],[Morning Pulse]]^2</f>
        <v>5625</v>
      </c>
      <c r="O185" s="2">
        <v>97.6</v>
      </c>
      <c r="P185" s="2">
        <f>Table834[[#This Row],[Night Body Temp]]^2</f>
        <v>9525.7599999999984</v>
      </c>
      <c r="Q185" s="2">
        <v>125</v>
      </c>
      <c r="R185" s="2">
        <f>Table834[[#This Row],[Night Systolic Pressure]]^2</f>
        <v>15625</v>
      </c>
      <c r="S185" s="2">
        <v>73</v>
      </c>
      <c r="T185" s="2">
        <f>Table834[[#This Row],[Night Diastolic Pressure]]^2</f>
        <v>5329</v>
      </c>
      <c r="U185" s="2">
        <v>71</v>
      </c>
      <c r="V185" s="2">
        <f>Table834[[#This Row],[Night Pulse]]^2</f>
        <v>5041</v>
      </c>
      <c r="W185" s="2">
        <v>9</v>
      </c>
      <c r="X185" s="2">
        <f>Table834[[#This Row],[Sleep]]^2</f>
        <v>81</v>
      </c>
      <c r="Y185" s="2">
        <f t="shared" si="5"/>
        <v>36.297755102040817</v>
      </c>
      <c r="Z185" s="2">
        <f>Table834[[#This Row],[BMI]]^2</f>
        <v>1317.5270254477302</v>
      </c>
      <c r="AA185" s="2">
        <f t="shared" si="4"/>
        <v>32.6586945886934</v>
      </c>
      <c r="AB185" s="2">
        <f>Table834[[#This Row],[CBF]]^2</f>
        <v>1066.5903322375516</v>
      </c>
      <c r="AC185" s="2">
        <v>1</v>
      </c>
      <c r="AD185" s="2">
        <f>Table834[[#This Row],[Gym]]^2</f>
        <v>1</v>
      </c>
      <c r="AE185" s="2">
        <v>0</v>
      </c>
      <c r="AF185" s="2">
        <f>Table834[[#This Row],[Cardio]]^2</f>
        <v>0</v>
      </c>
      <c r="AG185" s="2">
        <v>2820.7610416666666</v>
      </c>
      <c r="AH185" s="2">
        <f>Table834[[#This Row],[Calories]]^2</f>
        <v>7956692.854184418</v>
      </c>
      <c r="AI185" s="2">
        <v>399.39179166666668</v>
      </c>
      <c r="AJ185" s="2">
        <f>Table834[[#This Row],[Carbs]]^2</f>
        <v>159513.80325071007</v>
      </c>
      <c r="AK185" s="2">
        <v>103.903375</v>
      </c>
      <c r="AL185" s="2">
        <f>Table834[[#This Row],[Fat ]]^2</f>
        <v>10795.911336390624</v>
      </c>
      <c r="AM185" s="2">
        <v>108.56206250000002</v>
      </c>
      <c r="AN185" s="2">
        <f>Table834[[#This Row],[Protein]]^2</f>
        <v>11785.721414253912</v>
      </c>
      <c r="AO185" s="2">
        <v>42.365312500000002</v>
      </c>
      <c r="AP185" s="2">
        <f>Table834[[#This Row],[Fiber]]^2</f>
        <v>1794.8197032226565</v>
      </c>
      <c r="AQ185" s="2">
        <v>245.88329166666668</v>
      </c>
      <c r="AR185" s="2">
        <f>Table834[[#This Row],[Sugar]]^2</f>
        <v>60458.593120835074</v>
      </c>
      <c r="AS185" s="2">
        <v>82</v>
      </c>
      <c r="AT185" s="2">
        <f>Table834[[#This Row],[Servings]]^2</f>
        <v>6724</v>
      </c>
      <c r="AU185" s="2">
        <v>1.5</v>
      </c>
      <c r="AV185" s="2">
        <f>Table834[[#This Row],[Water]]^2</f>
        <v>2.25</v>
      </c>
      <c r="AW185" s="2">
        <v>935.13037499999996</v>
      </c>
      <c r="AX185" s="2">
        <f>Table834[[#This Row],[Fat Calories]]^2</f>
        <v>874468.81824764051</v>
      </c>
      <c r="AY185" s="5">
        <f>Table834[[#This Row],[Weight]]*Table834[[#This Row],[Waist]]</f>
        <v>11385</v>
      </c>
      <c r="AZ185" s="6">
        <f>Table834[[#This Row],[Weight]]*Table834[[#This Row],[Neck]]</f>
        <v>4174.5</v>
      </c>
      <c r="BA185" s="6">
        <f>Table834[[#This Row],[Weight]]*Table834[[#This Row],[Morning Body Temp]]</f>
        <v>24794</v>
      </c>
      <c r="BB185" s="6">
        <f>Table834[[#This Row],[Weight]]*Table834[[#This Row],[Morning Systolic Pressure]]</f>
        <v>30107</v>
      </c>
      <c r="BC185" s="12">
        <f>Table834[[#This Row],[Weight]]*Table834[[#This Row],[Morning Diastolic Pressure]]</f>
        <v>18722</v>
      </c>
      <c r="BD185" s="2">
        <f>Table834[[#This Row],[Weight]]*Table834[[#This Row],[Morning Pulse]]</f>
        <v>18975</v>
      </c>
      <c r="BE185" s="2">
        <f>Table834[[#This Row],[Weight]]*Table834[[#This Row],[Night Body Temp]]</f>
        <v>24692.799999999999</v>
      </c>
      <c r="BF185" s="2">
        <f>Table834[[#This Row],[Weight]]*Table834[[#This Row],[Night Systolic Pressure]]</f>
        <v>31625</v>
      </c>
      <c r="BG185" s="4">
        <f>Table83[[#This Row],[Weight]]*Table83[[#This Row],[Night Diastolic Pressure]]</f>
        <v>18469</v>
      </c>
      <c r="BH185" s="2">
        <f>Table834[[#This Row],[Weight]]*Table834[[#This Row],[Night Pulse]]</f>
        <v>17963</v>
      </c>
      <c r="BI185" s="2">
        <f>Table834[[#This Row],[Weight]]*Table834[[#This Row],[Sleep]]</f>
        <v>2277</v>
      </c>
      <c r="BJ185" s="2">
        <f>Table834[[#This Row],[Weight]]*Table834[[#This Row],[BMI]]</f>
        <v>9183.3320408163272</v>
      </c>
      <c r="BK185" s="2">
        <f>Table834[[#This Row],[Weight]]*Table834[[#This Row],[CBF]]</f>
        <v>8262.6497309394308</v>
      </c>
      <c r="BL185" s="2">
        <f>Table834[[#This Row],[Weight]]*Table834[[#This Row],[Gym]]</f>
        <v>253</v>
      </c>
      <c r="BM185" s="2">
        <f>Table834[[#This Row],[Weight]]*Table834[[#This Row],[Cardio]]</f>
        <v>0</v>
      </c>
      <c r="BN185" s="2">
        <f>Table834[[#This Row],[Weight]]*Table834[[#This Row],[Calories]]</f>
        <v>713652.5435416667</v>
      </c>
      <c r="BO185" s="2">
        <f>Table834[[#This Row],[Weight]]*Table834[[#This Row],[Carbs]]</f>
        <v>101046.12329166666</v>
      </c>
      <c r="BP185" s="2">
        <f>Table834[[#This Row],[Weight]]*Table834[[#This Row],[Fat ]]</f>
        <v>26287.553874999998</v>
      </c>
      <c r="BQ185" s="2">
        <f>Table834[[#This Row],[Weight]]*Table834[[#This Row],[Protein]]</f>
        <v>27466.201812500007</v>
      </c>
      <c r="BR185" s="2">
        <f>Table834[[#This Row],[Weight]]*Table834[[#This Row],[Fiber]]</f>
        <v>10718.4240625</v>
      </c>
      <c r="BS185" s="2">
        <f>Table834[[#This Row],[Weight]]*Table834[[#This Row],[Sugar]]</f>
        <v>62208.472791666667</v>
      </c>
      <c r="BT185" s="2">
        <f>Table834[[#This Row],[Weight]]*Table834[[#This Row],[Servings]]</f>
        <v>20746</v>
      </c>
      <c r="BU185" s="2">
        <f>Table834[[#This Row],[Weight]]*Table834[[#This Row],[Water]]</f>
        <v>379.5</v>
      </c>
      <c r="BV185" s="2">
        <f>Table834[[#This Row],[Weight]]*Table834[[#This Row],[Fat Calories]]</f>
        <v>236587.98487499999</v>
      </c>
      <c r="BW185" s="2">
        <f>Table834[[#This Row],[Waist]]*Table834[[#This Row],[Neck]]</f>
        <v>742.5</v>
      </c>
      <c r="BX185" s="2">
        <f>Table834[[#This Row],[Waist]]*Table834[[#This Row],[Morning Body Temp]]</f>
        <v>4410</v>
      </c>
      <c r="BY185" s="2">
        <f>Table834[[#This Row],[Waist]]*Table834[[#This Row],[Morning Systolic Pressure]]</f>
        <v>5355</v>
      </c>
      <c r="BZ185" s="2">
        <f>Table834[[#This Row],[Waist]]*Table834[[#This Row],[Morning Diastolic Pressure]]</f>
        <v>3330</v>
      </c>
      <c r="CA185" s="2">
        <f>Table834[[#This Row],[Waist]]*Table834[[#This Row],[Morning Pulse]]</f>
        <v>3375</v>
      </c>
      <c r="CB185" s="2">
        <f>Table834[[#This Row],[Waist]]*Table834[[#This Row],[Night Body Temp]]</f>
        <v>4392</v>
      </c>
      <c r="CC185" s="2">
        <f>Table834[[#This Row],[Waist]]*Table834[[#This Row],[Night Systolic Pressure]]</f>
        <v>5625</v>
      </c>
      <c r="CD185" s="4">
        <f>Table83[[#This Row],[Waist]]*Table83[[#This Row],[Night Diastolic Pressure]]</f>
        <v>3285</v>
      </c>
      <c r="CE185" s="2">
        <f>Table834[[#This Row],[Waist]]*Table834[[#This Row],[Night Pulse]]</f>
        <v>3195</v>
      </c>
      <c r="CF185" s="2">
        <f>Table834[[#This Row],[Waist]]*Table834[[#This Row],[Sleep]]</f>
        <v>405</v>
      </c>
      <c r="CG185" s="2">
        <f>Table834[[#This Row],[Waist]]*Table834[[#This Row],[BMI]]</f>
        <v>1633.3989795918367</v>
      </c>
      <c r="CH185" s="2">
        <f>Table834[[#This Row],[Waist]]*Table834[[#This Row],[CBF]]</f>
        <v>1469.641256491203</v>
      </c>
      <c r="CI185" s="2">
        <f>Table834[[#This Row],[Waist]]*Table834[[#This Row],[Gym]]</f>
        <v>45</v>
      </c>
      <c r="CJ185" s="2">
        <f>Table834[[#This Row],[Waist]]*Table834[[#This Row],[Cardio]]</f>
        <v>0</v>
      </c>
      <c r="CK185" s="2">
        <f>Table834[[#This Row],[Waist]]*Table834[[#This Row],[Calories]]</f>
        <v>126934.246875</v>
      </c>
      <c r="CL185" s="2">
        <f>Table834[[#This Row],[Waist]]*Table834[[#This Row],[Carbs]]</f>
        <v>17972.630625000002</v>
      </c>
      <c r="CM185" s="2">
        <f>Table834[[#This Row],[Waist]]*Table834[[#This Row],[Fat ]]</f>
        <v>4675.6518749999996</v>
      </c>
      <c r="CN185" s="2">
        <f>Table834[[#This Row],[Waist]]*Table834[[#This Row],[Protein]]</f>
        <v>4885.2928125000008</v>
      </c>
      <c r="CO185" s="2">
        <f>Table834[[#This Row],[Waist]]*Table834[[#This Row],[Fiber]]</f>
        <v>1906.4390625000001</v>
      </c>
      <c r="CP185" s="2">
        <f>Table834[[#This Row],[Waist]]*Table834[[#This Row],[Sugar]]</f>
        <v>11064.748125</v>
      </c>
      <c r="CQ185" s="2">
        <f>Table834[[#This Row],[Waist]]*Table834[[#This Row],[Servings]]</f>
        <v>3690</v>
      </c>
      <c r="CR185" s="2">
        <f>Table834[[#This Row],[Waist]]*Table834[[#This Row],[Water]]</f>
        <v>67.5</v>
      </c>
      <c r="CS185" s="2">
        <f>Table834[[#This Row],[Waist]]*Table834[[#This Row],[Fat Calories]]</f>
        <v>42080.866875</v>
      </c>
    </row>
    <row r="186" spans="1:97" x14ac:dyDescent="0.25">
      <c r="A186" s="2">
        <v>252.4</v>
      </c>
      <c r="B186" s="2">
        <f>Table834[[#This Row],[Weight]]^2</f>
        <v>63705.760000000002</v>
      </c>
      <c r="C186" s="2">
        <v>45</v>
      </c>
      <c r="D186" s="2">
        <f>Table834[[#This Row],[Waist]]^2</f>
        <v>2025</v>
      </c>
      <c r="E186" s="2">
        <v>16.5</v>
      </c>
      <c r="F186" s="2">
        <f>Table834[[#This Row],[Neck]]^2</f>
        <v>272.25</v>
      </c>
      <c r="G186" s="2">
        <v>97.1</v>
      </c>
      <c r="H186" s="2">
        <f>Table834[[#This Row],[Morning Body Temp]]^2</f>
        <v>9428.409999999998</v>
      </c>
      <c r="I186" s="2">
        <v>135</v>
      </c>
      <c r="J186" s="2">
        <f>Table834[[#This Row],[Morning Systolic Pressure]]^2</f>
        <v>18225</v>
      </c>
      <c r="K186" s="2">
        <v>78</v>
      </c>
      <c r="L186" s="2">
        <f>Table834[[#This Row],[Morning Diastolic Pressure]]^2</f>
        <v>6084</v>
      </c>
      <c r="M186" s="2">
        <v>69</v>
      </c>
      <c r="N186" s="2">
        <f>Table834[[#This Row],[Morning Pulse]]^2</f>
        <v>4761</v>
      </c>
      <c r="O186" s="2">
        <v>96.6</v>
      </c>
      <c r="P186" s="2">
        <f>Table834[[#This Row],[Night Body Temp]]^2</f>
        <v>9331.56</v>
      </c>
      <c r="Q186" s="2">
        <v>114</v>
      </c>
      <c r="R186" s="2">
        <f>Table834[[#This Row],[Night Systolic Pressure]]^2</f>
        <v>12996</v>
      </c>
      <c r="S186" s="2">
        <v>70</v>
      </c>
      <c r="T186" s="2">
        <f>Table834[[#This Row],[Night Diastolic Pressure]]^2</f>
        <v>4900</v>
      </c>
      <c r="U186" s="2">
        <v>59</v>
      </c>
      <c r="V186" s="2">
        <f>Table834[[#This Row],[Night Pulse]]^2</f>
        <v>3481</v>
      </c>
      <c r="W186" s="2">
        <v>7.5</v>
      </c>
      <c r="X186" s="2">
        <f>Table834[[#This Row],[Sleep]]^2</f>
        <v>56.25</v>
      </c>
      <c r="Y186" s="2">
        <f t="shared" si="5"/>
        <v>36.211673469387755</v>
      </c>
      <c r="Z186" s="2">
        <f>Table834[[#This Row],[BMI]]^2</f>
        <v>1311.285295453561</v>
      </c>
      <c r="AA186" s="2">
        <f t="shared" si="4"/>
        <v>32.6586945886934</v>
      </c>
      <c r="AB186" s="2">
        <f>Table834[[#This Row],[CBF]]^2</f>
        <v>1066.5903322375516</v>
      </c>
      <c r="AC186" s="2">
        <v>1</v>
      </c>
      <c r="AD186" s="2">
        <f>Table834[[#This Row],[Gym]]^2</f>
        <v>1</v>
      </c>
      <c r="AE186" s="2">
        <v>0</v>
      </c>
      <c r="AF186" s="2">
        <f>Table834[[#This Row],[Cardio]]^2</f>
        <v>0</v>
      </c>
      <c r="AG186" s="2">
        <v>1694.2666666666667</v>
      </c>
      <c r="AH186" s="2">
        <f>Table834[[#This Row],[Calories]]^2</f>
        <v>2870539.5377777778</v>
      </c>
      <c r="AI186" s="2">
        <v>165.76666666666668</v>
      </c>
      <c r="AJ186" s="2">
        <f>Table834[[#This Row],[Carbs]]^2</f>
        <v>27478.587777777782</v>
      </c>
      <c r="AK186" s="2">
        <v>91.875000000000014</v>
      </c>
      <c r="AL186" s="2">
        <f>Table834[[#This Row],[Fat ]]^2</f>
        <v>8441.0156250000018</v>
      </c>
      <c r="AM186" s="2">
        <v>75.450000000000017</v>
      </c>
      <c r="AN186" s="2">
        <f>Table834[[#This Row],[Protein]]^2</f>
        <v>5692.7025000000021</v>
      </c>
      <c r="AO186" s="2">
        <v>43.8</v>
      </c>
      <c r="AP186" s="2">
        <f>Table834[[#This Row],[Fiber]]^2</f>
        <v>1918.4399999999998</v>
      </c>
      <c r="AQ186" s="2">
        <v>27.741666666666667</v>
      </c>
      <c r="AR186" s="2">
        <f>Table834[[#This Row],[Sugar]]^2</f>
        <v>769.60006944444444</v>
      </c>
      <c r="AS186" s="2">
        <v>26</v>
      </c>
      <c r="AT186" s="2">
        <f>Table834[[#This Row],[Servings]]^2</f>
        <v>676</v>
      </c>
      <c r="AU186" s="2">
        <v>2.5</v>
      </c>
      <c r="AV186" s="2">
        <f>Table834[[#This Row],[Water]]^2</f>
        <v>6.25</v>
      </c>
      <c r="AW186" s="2">
        <v>826.875</v>
      </c>
      <c r="AX186" s="2">
        <f>Table834[[#This Row],[Fat Calories]]^2</f>
        <v>683722.265625</v>
      </c>
      <c r="AY186" s="3">
        <f>Table834[[#This Row],[Weight]]*Table834[[#This Row],[Waist]]</f>
        <v>11358</v>
      </c>
      <c r="AZ186" s="4">
        <f>Table834[[#This Row],[Weight]]*Table834[[#This Row],[Neck]]</f>
        <v>4164.6000000000004</v>
      </c>
      <c r="BA186" s="4">
        <f>Table834[[#This Row],[Weight]]*Table834[[#This Row],[Morning Body Temp]]</f>
        <v>24508.04</v>
      </c>
      <c r="BB186" s="4">
        <f>Table834[[#This Row],[Weight]]*Table834[[#This Row],[Morning Systolic Pressure]]</f>
        <v>34074</v>
      </c>
      <c r="BC186" s="11">
        <f>Table834[[#This Row],[Weight]]*Table834[[#This Row],[Morning Diastolic Pressure]]</f>
        <v>19687.2</v>
      </c>
      <c r="BD186" s="2">
        <f>Table834[[#This Row],[Weight]]*Table834[[#This Row],[Morning Pulse]]</f>
        <v>17415.600000000002</v>
      </c>
      <c r="BE186" s="2">
        <f>Table834[[#This Row],[Weight]]*Table834[[#This Row],[Night Body Temp]]</f>
        <v>24381.84</v>
      </c>
      <c r="BF186" s="2">
        <f>Table834[[#This Row],[Weight]]*Table834[[#This Row],[Night Systolic Pressure]]</f>
        <v>28773.600000000002</v>
      </c>
      <c r="BG186" s="4">
        <f>Table83[[#This Row],[Weight]]*Table83[[#This Row],[Night Diastolic Pressure]]</f>
        <v>17668</v>
      </c>
      <c r="BH186" s="2">
        <f>Table834[[#This Row],[Weight]]*Table834[[#This Row],[Night Pulse]]</f>
        <v>14891.6</v>
      </c>
      <c r="BI186" s="2">
        <f>Table834[[#This Row],[Weight]]*Table834[[#This Row],[Sleep]]</f>
        <v>1893</v>
      </c>
      <c r="BJ186" s="2">
        <f>Table834[[#This Row],[Weight]]*Table834[[#This Row],[BMI]]</f>
        <v>9139.8263836734695</v>
      </c>
      <c r="BK186" s="2">
        <f>Table834[[#This Row],[Weight]]*Table834[[#This Row],[CBF]]</f>
        <v>8243.0545141862149</v>
      </c>
      <c r="BL186" s="2">
        <f>Table834[[#This Row],[Weight]]*Table834[[#This Row],[Gym]]</f>
        <v>252.4</v>
      </c>
      <c r="BM186" s="2">
        <f>Table834[[#This Row],[Weight]]*Table834[[#This Row],[Cardio]]</f>
        <v>0</v>
      </c>
      <c r="BN186" s="2">
        <f>Table834[[#This Row],[Weight]]*Table834[[#This Row],[Calories]]</f>
        <v>427632.90666666668</v>
      </c>
      <c r="BO186" s="2">
        <f>Table834[[#This Row],[Weight]]*Table834[[#This Row],[Carbs]]</f>
        <v>41839.506666666668</v>
      </c>
      <c r="BP186" s="2">
        <f>Table834[[#This Row],[Weight]]*Table834[[#This Row],[Fat ]]</f>
        <v>23189.250000000004</v>
      </c>
      <c r="BQ186" s="2">
        <f>Table834[[#This Row],[Weight]]*Table834[[#This Row],[Protein]]</f>
        <v>19043.580000000005</v>
      </c>
      <c r="BR186" s="2">
        <f>Table834[[#This Row],[Weight]]*Table834[[#This Row],[Fiber]]</f>
        <v>11055.119999999999</v>
      </c>
      <c r="BS186" s="2">
        <f>Table834[[#This Row],[Weight]]*Table834[[#This Row],[Sugar]]</f>
        <v>7001.9966666666669</v>
      </c>
      <c r="BT186" s="2">
        <f>Table834[[#This Row],[Weight]]*Table834[[#This Row],[Servings]]</f>
        <v>6562.4000000000005</v>
      </c>
      <c r="BU186" s="2">
        <f>Table834[[#This Row],[Weight]]*Table834[[#This Row],[Water]]</f>
        <v>631</v>
      </c>
      <c r="BV186" s="2">
        <f>Table834[[#This Row],[Weight]]*Table834[[#This Row],[Fat Calories]]</f>
        <v>208703.25</v>
      </c>
      <c r="BW186" s="2">
        <f>Table834[[#This Row],[Waist]]*Table834[[#This Row],[Neck]]</f>
        <v>742.5</v>
      </c>
      <c r="BX186" s="2">
        <f>Table834[[#This Row],[Waist]]*Table834[[#This Row],[Morning Body Temp]]</f>
        <v>4369.5</v>
      </c>
      <c r="BY186" s="2">
        <f>Table834[[#This Row],[Waist]]*Table834[[#This Row],[Morning Systolic Pressure]]</f>
        <v>6075</v>
      </c>
      <c r="BZ186" s="2">
        <f>Table834[[#This Row],[Waist]]*Table834[[#This Row],[Morning Diastolic Pressure]]</f>
        <v>3510</v>
      </c>
      <c r="CA186" s="2">
        <f>Table834[[#This Row],[Waist]]*Table834[[#This Row],[Morning Pulse]]</f>
        <v>3105</v>
      </c>
      <c r="CB186" s="2">
        <f>Table834[[#This Row],[Waist]]*Table834[[#This Row],[Night Body Temp]]</f>
        <v>4347</v>
      </c>
      <c r="CC186" s="2">
        <f>Table834[[#This Row],[Waist]]*Table834[[#This Row],[Night Systolic Pressure]]</f>
        <v>5130</v>
      </c>
      <c r="CD186" s="4">
        <f>Table83[[#This Row],[Waist]]*Table83[[#This Row],[Night Diastolic Pressure]]</f>
        <v>3150</v>
      </c>
      <c r="CE186" s="2">
        <f>Table834[[#This Row],[Waist]]*Table834[[#This Row],[Night Pulse]]</f>
        <v>2655</v>
      </c>
      <c r="CF186" s="2">
        <f>Table834[[#This Row],[Waist]]*Table834[[#This Row],[Sleep]]</f>
        <v>337.5</v>
      </c>
      <c r="CG186" s="2">
        <f>Table834[[#This Row],[Waist]]*Table834[[#This Row],[BMI]]</f>
        <v>1629.5253061224489</v>
      </c>
      <c r="CH186" s="2">
        <f>Table834[[#This Row],[Waist]]*Table834[[#This Row],[CBF]]</f>
        <v>1469.641256491203</v>
      </c>
      <c r="CI186" s="2">
        <f>Table834[[#This Row],[Waist]]*Table834[[#This Row],[Gym]]</f>
        <v>45</v>
      </c>
      <c r="CJ186" s="2">
        <f>Table834[[#This Row],[Waist]]*Table834[[#This Row],[Cardio]]</f>
        <v>0</v>
      </c>
      <c r="CK186" s="2">
        <f>Table834[[#This Row],[Waist]]*Table834[[#This Row],[Calories]]</f>
        <v>76242</v>
      </c>
      <c r="CL186" s="2">
        <f>Table834[[#This Row],[Waist]]*Table834[[#This Row],[Carbs]]</f>
        <v>7459.5000000000009</v>
      </c>
      <c r="CM186" s="2">
        <f>Table834[[#This Row],[Waist]]*Table834[[#This Row],[Fat ]]</f>
        <v>4134.3750000000009</v>
      </c>
      <c r="CN186" s="2">
        <f>Table834[[#This Row],[Waist]]*Table834[[#This Row],[Protein]]</f>
        <v>3395.2500000000009</v>
      </c>
      <c r="CO186" s="2">
        <f>Table834[[#This Row],[Waist]]*Table834[[#This Row],[Fiber]]</f>
        <v>1970.9999999999998</v>
      </c>
      <c r="CP186" s="2">
        <f>Table834[[#This Row],[Waist]]*Table834[[#This Row],[Sugar]]</f>
        <v>1248.375</v>
      </c>
      <c r="CQ186" s="2">
        <f>Table834[[#This Row],[Waist]]*Table834[[#This Row],[Servings]]</f>
        <v>1170</v>
      </c>
      <c r="CR186" s="2">
        <f>Table834[[#This Row],[Waist]]*Table834[[#This Row],[Water]]</f>
        <v>112.5</v>
      </c>
      <c r="CS186" s="2">
        <f>Table834[[#This Row],[Waist]]*Table834[[#This Row],[Fat Calories]]</f>
        <v>37209.375</v>
      </c>
    </row>
    <row r="187" spans="1:97" x14ac:dyDescent="0.25">
      <c r="A187" s="2">
        <v>254</v>
      </c>
      <c r="B187" s="2">
        <f>Table834[[#This Row],[Weight]]^2</f>
        <v>64516</v>
      </c>
      <c r="C187" s="2">
        <v>44.5</v>
      </c>
      <c r="D187" s="2">
        <f>Table834[[#This Row],[Waist]]^2</f>
        <v>1980.25</v>
      </c>
      <c r="E187" s="2">
        <v>16.5</v>
      </c>
      <c r="F187" s="2">
        <f>Table834[[#This Row],[Neck]]^2</f>
        <v>272.25</v>
      </c>
      <c r="G187" s="2">
        <v>96.6</v>
      </c>
      <c r="H187" s="2">
        <f>Table834[[#This Row],[Morning Body Temp]]^2</f>
        <v>9331.56</v>
      </c>
      <c r="I187" s="2">
        <v>144</v>
      </c>
      <c r="J187" s="2">
        <f>Table834[[#This Row],[Morning Systolic Pressure]]^2</f>
        <v>20736</v>
      </c>
      <c r="K187" s="2">
        <v>79</v>
      </c>
      <c r="L187" s="2">
        <f>Table834[[#This Row],[Morning Diastolic Pressure]]^2</f>
        <v>6241</v>
      </c>
      <c r="M187" s="2">
        <v>73</v>
      </c>
      <c r="N187" s="2">
        <f>Table834[[#This Row],[Morning Pulse]]^2</f>
        <v>5329</v>
      </c>
      <c r="O187" s="2">
        <v>97.6</v>
      </c>
      <c r="P187" s="2">
        <f>Table834[[#This Row],[Night Body Temp]]^2</f>
        <v>9525.7599999999984</v>
      </c>
      <c r="Q187" s="2">
        <v>146</v>
      </c>
      <c r="R187" s="2">
        <f>Table834[[#This Row],[Night Systolic Pressure]]^2</f>
        <v>21316</v>
      </c>
      <c r="S187" s="2">
        <v>78</v>
      </c>
      <c r="T187" s="2">
        <f>Table834[[#This Row],[Night Diastolic Pressure]]^2</f>
        <v>6084</v>
      </c>
      <c r="U187" s="2">
        <v>73</v>
      </c>
      <c r="V187" s="2">
        <f>Table834[[#This Row],[Night Pulse]]^2</f>
        <v>5329</v>
      </c>
      <c r="W187" s="2">
        <v>8</v>
      </c>
      <c r="X187" s="2">
        <f>Table834[[#This Row],[Sleep]]^2</f>
        <v>64</v>
      </c>
      <c r="Y187" s="2">
        <f t="shared" si="5"/>
        <v>36.441224489795914</v>
      </c>
      <c r="Z187" s="2">
        <f>Table834[[#This Row],[BMI]]^2</f>
        <v>1327.9628423157014</v>
      </c>
      <c r="AA187" s="2">
        <f t="shared" si="4"/>
        <v>31.997550455105717</v>
      </c>
      <c r="AB187" s="2">
        <f>Table834[[#This Row],[CBF]]^2</f>
        <v>1023.8432351270361</v>
      </c>
      <c r="AC187" s="2">
        <v>1</v>
      </c>
      <c r="AD187" s="2">
        <f>Table834[[#This Row],[Gym]]^2</f>
        <v>1</v>
      </c>
      <c r="AE187" s="2">
        <v>0</v>
      </c>
      <c r="AF187" s="2">
        <f>Table834[[#This Row],[Cardio]]^2</f>
        <v>0</v>
      </c>
      <c r="AG187" s="2">
        <v>963.26666666666665</v>
      </c>
      <c r="AH187" s="2">
        <f>Table834[[#This Row],[Calories]]^2</f>
        <v>927882.67111111106</v>
      </c>
      <c r="AI187" s="2">
        <v>112.86666666666666</v>
      </c>
      <c r="AJ187" s="2">
        <f>Table834[[#This Row],[Carbs]]^2</f>
        <v>12738.884444444442</v>
      </c>
      <c r="AK187" s="2">
        <v>35.075000000000003</v>
      </c>
      <c r="AL187" s="2">
        <f>Table834[[#This Row],[Fat ]]^2</f>
        <v>1230.2556250000002</v>
      </c>
      <c r="AM187" s="2">
        <v>66.250000000000014</v>
      </c>
      <c r="AN187" s="2">
        <f>Table834[[#This Row],[Protein]]^2</f>
        <v>4389.0625000000018</v>
      </c>
      <c r="AO187" s="2">
        <v>36.700000000000003</v>
      </c>
      <c r="AP187" s="2">
        <f>Table834[[#This Row],[Fiber]]^2</f>
        <v>1346.89</v>
      </c>
      <c r="AQ187" s="2">
        <v>22.141666666666666</v>
      </c>
      <c r="AR187" s="2">
        <f>Table834[[#This Row],[Sugar]]^2</f>
        <v>490.25340277777775</v>
      </c>
      <c r="AS187" s="2">
        <v>19</v>
      </c>
      <c r="AT187" s="2">
        <f>Table834[[#This Row],[Servings]]^2</f>
        <v>361</v>
      </c>
      <c r="AU187" s="2">
        <v>1.5</v>
      </c>
      <c r="AV187" s="2">
        <f>Table834[[#This Row],[Water]]^2</f>
        <v>2.25</v>
      </c>
      <c r="AW187" s="2">
        <v>315.67500000000001</v>
      </c>
      <c r="AX187" s="2">
        <f>Table834[[#This Row],[Fat Calories]]^2</f>
        <v>99650.705625000002</v>
      </c>
      <c r="AY187" s="5">
        <f>Table834[[#This Row],[Weight]]*Table834[[#This Row],[Waist]]</f>
        <v>11303</v>
      </c>
      <c r="AZ187" s="6">
        <f>Table834[[#This Row],[Weight]]*Table834[[#This Row],[Neck]]</f>
        <v>4191</v>
      </c>
      <c r="BA187" s="6">
        <f>Table834[[#This Row],[Weight]]*Table834[[#This Row],[Morning Body Temp]]</f>
        <v>24536.399999999998</v>
      </c>
      <c r="BB187" s="6">
        <f>Table834[[#This Row],[Weight]]*Table834[[#This Row],[Morning Systolic Pressure]]</f>
        <v>36576</v>
      </c>
      <c r="BC187" s="12">
        <f>Table834[[#This Row],[Weight]]*Table834[[#This Row],[Morning Diastolic Pressure]]</f>
        <v>20066</v>
      </c>
      <c r="BD187" s="2">
        <f>Table834[[#This Row],[Weight]]*Table834[[#This Row],[Morning Pulse]]</f>
        <v>18542</v>
      </c>
      <c r="BE187" s="2">
        <f>Table834[[#This Row],[Weight]]*Table834[[#This Row],[Night Body Temp]]</f>
        <v>24790.399999999998</v>
      </c>
      <c r="BF187" s="2">
        <f>Table834[[#This Row],[Weight]]*Table834[[#This Row],[Night Systolic Pressure]]</f>
        <v>37084</v>
      </c>
      <c r="BG187" s="4">
        <f>Table83[[#This Row],[Weight]]*Table83[[#This Row],[Night Diastolic Pressure]]</f>
        <v>19812</v>
      </c>
      <c r="BH187" s="2">
        <f>Table834[[#This Row],[Weight]]*Table834[[#This Row],[Night Pulse]]</f>
        <v>18542</v>
      </c>
      <c r="BI187" s="2">
        <f>Table834[[#This Row],[Weight]]*Table834[[#This Row],[Sleep]]</f>
        <v>2032</v>
      </c>
      <c r="BJ187" s="2">
        <f>Table834[[#This Row],[Weight]]*Table834[[#This Row],[BMI]]</f>
        <v>9256.0710204081624</v>
      </c>
      <c r="BK187" s="2">
        <f>Table834[[#This Row],[Weight]]*Table834[[#This Row],[CBF]]</f>
        <v>8127.3778155968521</v>
      </c>
      <c r="BL187" s="2">
        <f>Table834[[#This Row],[Weight]]*Table834[[#This Row],[Gym]]</f>
        <v>254</v>
      </c>
      <c r="BM187" s="2">
        <f>Table834[[#This Row],[Weight]]*Table834[[#This Row],[Cardio]]</f>
        <v>0</v>
      </c>
      <c r="BN187" s="2">
        <f>Table834[[#This Row],[Weight]]*Table834[[#This Row],[Calories]]</f>
        <v>244669.73333333334</v>
      </c>
      <c r="BO187" s="2">
        <f>Table834[[#This Row],[Weight]]*Table834[[#This Row],[Carbs]]</f>
        <v>28668.133333333331</v>
      </c>
      <c r="BP187" s="2">
        <f>Table834[[#This Row],[Weight]]*Table834[[#This Row],[Fat ]]</f>
        <v>8909.0500000000011</v>
      </c>
      <c r="BQ187" s="2">
        <f>Table834[[#This Row],[Weight]]*Table834[[#This Row],[Protein]]</f>
        <v>16827.500000000004</v>
      </c>
      <c r="BR187" s="2">
        <f>Table834[[#This Row],[Weight]]*Table834[[#This Row],[Fiber]]</f>
        <v>9321.8000000000011</v>
      </c>
      <c r="BS187" s="2">
        <f>Table834[[#This Row],[Weight]]*Table834[[#This Row],[Sugar]]</f>
        <v>5623.9833333333327</v>
      </c>
      <c r="BT187" s="2">
        <f>Table834[[#This Row],[Weight]]*Table834[[#This Row],[Servings]]</f>
        <v>4826</v>
      </c>
      <c r="BU187" s="2">
        <f>Table834[[#This Row],[Weight]]*Table834[[#This Row],[Water]]</f>
        <v>381</v>
      </c>
      <c r="BV187" s="2">
        <f>Table834[[#This Row],[Weight]]*Table834[[#This Row],[Fat Calories]]</f>
        <v>80181.45</v>
      </c>
      <c r="BW187" s="2">
        <f>Table834[[#This Row],[Waist]]*Table834[[#This Row],[Neck]]</f>
        <v>734.25</v>
      </c>
      <c r="BX187" s="2">
        <f>Table834[[#This Row],[Waist]]*Table834[[#This Row],[Morning Body Temp]]</f>
        <v>4298.7</v>
      </c>
      <c r="BY187" s="2">
        <f>Table834[[#This Row],[Waist]]*Table834[[#This Row],[Morning Systolic Pressure]]</f>
        <v>6408</v>
      </c>
      <c r="BZ187" s="2">
        <f>Table834[[#This Row],[Waist]]*Table834[[#This Row],[Morning Diastolic Pressure]]</f>
        <v>3515.5</v>
      </c>
      <c r="CA187" s="2">
        <f>Table834[[#This Row],[Waist]]*Table834[[#This Row],[Morning Pulse]]</f>
        <v>3248.5</v>
      </c>
      <c r="CB187" s="2">
        <f>Table834[[#This Row],[Waist]]*Table834[[#This Row],[Night Body Temp]]</f>
        <v>4343.2</v>
      </c>
      <c r="CC187" s="2">
        <f>Table834[[#This Row],[Waist]]*Table834[[#This Row],[Night Systolic Pressure]]</f>
        <v>6497</v>
      </c>
      <c r="CD187" s="4">
        <f>Table83[[#This Row],[Waist]]*Table83[[#This Row],[Night Diastolic Pressure]]</f>
        <v>3471</v>
      </c>
      <c r="CE187" s="2">
        <f>Table834[[#This Row],[Waist]]*Table834[[#This Row],[Night Pulse]]</f>
        <v>3248.5</v>
      </c>
      <c r="CF187" s="2">
        <f>Table834[[#This Row],[Waist]]*Table834[[#This Row],[Sleep]]</f>
        <v>356</v>
      </c>
      <c r="CG187" s="2">
        <f>Table834[[#This Row],[Waist]]*Table834[[#This Row],[BMI]]</f>
        <v>1621.6344897959182</v>
      </c>
      <c r="CH187" s="2">
        <f>Table834[[#This Row],[Waist]]*Table834[[#This Row],[CBF]]</f>
        <v>1423.8909952522044</v>
      </c>
      <c r="CI187" s="2">
        <f>Table834[[#This Row],[Waist]]*Table834[[#This Row],[Gym]]</f>
        <v>44.5</v>
      </c>
      <c r="CJ187" s="2">
        <f>Table834[[#This Row],[Waist]]*Table834[[#This Row],[Cardio]]</f>
        <v>0</v>
      </c>
      <c r="CK187" s="2">
        <f>Table834[[#This Row],[Waist]]*Table834[[#This Row],[Calories]]</f>
        <v>42865.366666666669</v>
      </c>
      <c r="CL187" s="2">
        <f>Table834[[#This Row],[Waist]]*Table834[[#This Row],[Carbs]]</f>
        <v>5022.5666666666666</v>
      </c>
      <c r="CM187" s="2">
        <f>Table834[[#This Row],[Waist]]*Table834[[#This Row],[Fat ]]</f>
        <v>1560.8375000000001</v>
      </c>
      <c r="CN187" s="2">
        <f>Table834[[#This Row],[Waist]]*Table834[[#This Row],[Protein]]</f>
        <v>2948.1250000000005</v>
      </c>
      <c r="CO187" s="2">
        <f>Table834[[#This Row],[Waist]]*Table834[[#This Row],[Fiber]]</f>
        <v>1633.15</v>
      </c>
      <c r="CP187" s="2">
        <f>Table834[[#This Row],[Waist]]*Table834[[#This Row],[Sugar]]</f>
        <v>985.30416666666667</v>
      </c>
      <c r="CQ187" s="2">
        <f>Table834[[#This Row],[Waist]]*Table834[[#This Row],[Servings]]</f>
        <v>845.5</v>
      </c>
      <c r="CR187" s="2">
        <f>Table834[[#This Row],[Waist]]*Table834[[#This Row],[Water]]</f>
        <v>66.75</v>
      </c>
      <c r="CS187" s="2">
        <f>Table834[[#This Row],[Waist]]*Table834[[#This Row],[Fat Calories]]</f>
        <v>14047.5375</v>
      </c>
    </row>
    <row r="188" spans="1:97" x14ac:dyDescent="0.25">
      <c r="A188" s="2">
        <v>252.4</v>
      </c>
      <c r="B188" s="2">
        <f>Table834[[#This Row],[Weight]]^2</f>
        <v>63705.760000000002</v>
      </c>
      <c r="C188" s="2">
        <v>44.5</v>
      </c>
      <c r="D188" s="2">
        <f>Table834[[#This Row],[Waist]]^2</f>
        <v>1980.25</v>
      </c>
      <c r="E188" s="2">
        <v>16.5</v>
      </c>
      <c r="F188" s="2">
        <f>Table834[[#This Row],[Neck]]^2</f>
        <v>272.25</v>
      </c>
      <c r="G188" s="2">
        <v>96.9</v>
      </c>
      <c r="H188" s="2">
        <f>Table834[[#This Row],[Morning Body Temp]]^2</f>
        <v>9389.61</v>
      </c>
      <c r="I188" s="2">
        <v>140</v>
      </c>
      <c r="J188" s="2">
        <f>Table834[[#This Row],[Morning Systolic Pressure]]^2</f>
        <v>19600</v>
      </c>
      <c r="K188" s="2">
        <v>81</v>
      </c>
      <c r="L188" s="2">
        <f>Table834[[#This Row],[Morning Diastolic Pressure]]^2</f>
        <v>6561</v>
      </c>
      <c r="M188" s="2">
        <v>74</v>
      </c>
      <c r="N188" s="2">
        <f>Table834[[#This Row],[Morning Pulse]]^2</f>
        <v>5476</v>
      </c>
      <c r="O188" s="2">
        <v>97.6</v>
      </c>
      <c r="P188" s="2">
        <f>Table834[[#This Row],[Night Body Temp]]^2</f>
        <v>9525.7599999999984</v>
      </c>
      <c r="Q188" s="2">
        <v>129</v>
      </c>
      <c r="R188" s="2">
        <f>Table834[[#This Row],[Night Systolic Pressure]]^2</f>
        <v>16641</v>
      </c>
      <c r="S188" s="2">
        <v>72</v>
      </c>
      <c r="T188" s="2">
        <f>Table834[[#This Row],[Night Diastolic Pressure]]^2</f>
        <v>5184</v>
      </c>
      <c r="U188" s="2">
        <v>74</v>
      </c>
      <c r="V188" s="2">
        <f>Table834[[#This Row],[Night Pulse]]^2</f>
        <v>5476</v>
      </c>
      <c r="W188" s="2">
        <v>0</v>
      </c>
      <c r="X188" s="2">
        <f>Table834[[#This Row],[Sleep]]^2</f>
        <v>0</v>
      </c>
      <c r="Y188" s="2">
        <f t="shared" si="5"/>
        <v>36.211673469387755</v>
      </c>
      <c r="Z188" s="2">
        <f>Table834[[#This Row],[BMI]]^2</f>
        <v>1311.285295453561</v>
      </c>
      <c r="AA188" s="2">
        <f t="shared" si="4"/>
        <v>31.997550455105717</v>
      </c>
      <c r="AB188" s="2">
        <f>Table834[[#This Row],[CBF]]^2</f>
        <v>1023.8432351270361</v>
      </c>
      <c r="AC188" s="2">
        <v>0</v>
      </c>
      <c r="AD188" s="2">
        <f>Table834[[#This Row],[Gym]]^2</f>
        <v>0</v>
      </c>
      <c r="AE188" s="2">
        <v>1</v>
      </c>
      <c r="AF188" s="2">
        <f>Table834[[#This Row],[Cardio]]^2</f>
        <v>1</v>
      </c>
      <c r="AG188" s="2">
        <v>2564.7571428571428</v>
      </c>
      <c r="AH188" s="2">
        <f>Table834[[#This Row],[Calories]]^2</f>
        <v>6577979.2018367341</v>
      </c>
      <c r="AI188" s="2">
        <v>445.17142857142858</v>
      </c>
      <c r="AJ188" s="2">
        <f>Table834[[#This Row],[Carbs]]^2</f>
        <v>198177.60081632654</v>
      </c>
      <c r="AK188" s="2">
        <v>71.357142857142861</v>
      </c>
      <c r="AL188" s="2">
        <f>Table834[[#This Row],[Fat ]]^2</f>
        <v>5091.8418367346949</v>
      </c>
      <c r="AM188" s="2">
        <v>51.800000000000004</v>
      </c>
      <c r="AN188" s="2">
        <f>Table834[[#This Row],[Protein]]^2</f>
        <v>2683.2400000000002</v>
      </c>
      <c r="AO188" s="2">
        <v>6.0857142857142854</v>
      </c>
      <c r="AP188" s="2">
        <f>Table834[[#This Row],[Fiber]]^2</f>
        <v>37.035918367346937</v>
      </c>
      <c r="AQ188" s="2">
        <v>314.5</v>
      </c>
      <c r="AR188" s="2">
        <f>Table834[[#This Row],[Sugar]]^2</f>
        <v>98910.25</v>
      </c>
      <c r="AS188" s="2">
        <v>51</v>
      </c>
      <c r="AT188" s="2">
        <f>Table834[[#This Row],[Servings]]^2</f>
        <v>2601</v>
      </c>
      <c r="AU188" s="2">
        <v>1</v>
      </c>
      <c r="AV188" s="2">
        <f>Table834[[#This Row],[Water]]^2</f>
        <v>1</v>
      </c>
      <c r="AW188" s="2">
        <v>642.21428571428567</v>
      </c>
      <c r="AX188" s="2">
        <f>Table834[[#This Row],[Fat Calories]]^2</f>
        <v>412439.18877551012</v>
      </c>
      <c r="AY188" s="3">
        <f>Table834[[#This Row],[Weight]]*Table834[[#This Row],[Waist]]</f>
        <v>11231.800000000001</v>
      </c>
      <c r="AZ188" s="4">
        <f>Table834[[#This Row],[Weight]]*Table834[[#This Row],[Neck]]</f>
        <v>4164.6000000000004</v>
      </c>
      <c r="BA188" s="4">
        <f>Table834[[#This Row],[Weight]]*Table834[[#This Row],[Morning Body Temp]]</f>
        <v>24457.56</v>
      </c>
      <c r="BB188" s="4">
        <f>Table834[[#This Row],[Weight]]*Table834[[#This Row],[Morning Systolic Pressure]]</f>
        <v>35336</v>
      </c>
      <c r="BC188" s="11">
        <f>Table834[[#This Row],[Weight]]*Table834[[#This Row],[Morning Diastolic Pressure]]</f>
        <v>20444.400000000001</v>
      </c>
      <c r="BD188" s="2">
        <f>Table834[[#This Row],[Weight]]*Table834[[#This Row],[Morning Pulse]]</f>
        <v>18677.600000000002</v>
      </c>
      <c r="BE188" s="2">
        <f>Table834[[#This Row],[Weight]]*Table834[[#This Row],[Night Body Temp]]</f>
        <v>24634.239999999998</v>
      </c>
      <c r="BF188" s="2">
        <f>Table834[[#This Row],[Weight]]*Table834[[#This Row],[Night Systolic Pressure]]</f>
        <v>32559.600000000002</v>
      </c>
      <c r="BG188" s="4">
        <f>Table83[[#This Row],[Weight]]*Table83[[#This Row],[Night Diastolic Pressure]]</f>
        <v>18172.8</v>
      </c>
      <c r="BH188" s="2">
        <f>Table834[[#This Row],[Weight]]*Table834[[#This Row],[Night Pulse]]</f>
        <v>18677.600000000002</v>
      </c>
      <c r="BI188" s="2">
        <f>Table834[[#This Row],[Weight]]*Table834[[#This Row],[Sleep]]</f>
        <v>0</v>
      </c>
      <c r="BJ188" s="2">
        <f>Table834[[#This Row],[Weight]]*Table834[[#This Row],[BMI]]</f>
        <v>9139.8263836734695</v>
      </c>
      <c r="BK188" s="2">
        <f>Table834[[#This Row],[Weight]]*Table834[[#This Row],[CBF]]</f>
        <v>8076.1817348686827</v>
      </c>
      <c r="BL188" s="2">
        <f>Table834[[#This Row],[Weight]]*Table834[[#This Row],[Gym]]</f>
        <v>0</v>
      </c>
      <c r="BM188" s="2">
        <f>Table834[[#This Row],[Weight]]*Table834[[#This Row],[Cardio]]</f>
        <v>252.4</v>
      </c>
      <c r="BN188" s="2">
        <f>Table834[[#This Row],[Weight]]*Table834[[#This Row],[Calories]]</f>
        <v>647344.7028571429</v>
      </c>
      <c r="BO188" s="2">
        <f>Table834[[#This Row],[Weight]]*Table834[[#This Row],[Carbs]]</f>
        <v>112361.26857142858</v>
      </c>
      <c r="BP188" s="2">
        <f>Table834[[#This Row],[Weight]]*Table834[[#This Row],[Fat ]]</f>
        <v>18010.54285714286</v>
      </c>
      <c r="BQ188" s="2">
        <f>Table834[[#This Row],[Weight]]*Table834[[#This Row],[Protein]]</f>
        <v>13074.320000000002</v>
      </c>
      <c r="BR188" s="2">
        <f>Table834[[#This Row],[Weight]]*Table834[[#This Row],[Fiber]]</f>
        <v>1536.0342857142857</v>
      </c>
      <c r="BS188" s="2">
        <f>Table834[[#This Row],[Weight]]*Table834[[#This Row],[Sugar]]</f>
        <v>79379.8</v>
      </c>
      <c r="BT188" s="2">
        <f>Table834[[#This Row],[Weight]]*Table834[[#This Row],[Servings]]</f>
        <v>12872.4</v>
      </c>
      <c r="BU188" s="2">
        <f>Table834[[#This Row],[Weight]]*Table834[[#This Row],[Water]]</f>
        <v>252.4</v>
      </c>
      <c r="BV188" s="2">
        <f>Table834[[#This Row],[Weight]]*Table834[[#This Row],[Fat Calories]]</f>
        <v>162094.88571428572</v>
      </c>
      <c r="BW188" s="2">
        <f>Table834[[#This Row],[Waist]]*Table834[[#This Row],[Neck]]</f>
        <v>734.25</v>
      </c>
      <c r="BX188" s="2">
        <f>Table834[[#This Row],[Waist]]*Table834[[#This Row],[Morning Body Temp]]</f>
        <v>4312.05</v>
      </c>
      <c r="BY188" s="2">
        <f>Table834[[#This Row],[Waist]]*Table834[[#This Row],[Morning Systolic Pressure]]</f>
        <v>6230</v>
      </c>
      <c r="BZ188" s="2">
        <f>Table834[[#This Row],[Waist]]*Table834[[#This Row],[Morning Diastolic Pressure]]</f>
        <v>3604.5</v>
      </c>
      <c r="CA188" s="2">
        <f>Table834[[#This Row],[Waist]]*Table834[[#This Row],[Morning Pulse]]</f>
        <v>3293</v>
      </c>
      <c r="CB188" s="2">
        <f>Table834[[#This Row],[Waist]]*Table834[[#This Row],[Night Body Temp]]</f>
        <v>4343.2</v>
      </c>
      <c r="CC188" s="2">
        <f>Table834[[#This Row],[Waist]]*Table834[[#This Row],[Night Systolic Pressure]]</f>
        <v>5740.5</v>
      </c>
      <c r="CD188" s="4">
        <f>Table83[[#This Row],[Waist]]*Table83[[#This Row],[Night Diastolic Pressure]]</f>
        <v>3204</v>
      </c>
      <c r="CE188" s="2">
        <f>Table834[[#This Row],[Waist]]*Table834[[#This Row],[Night Pulse]]</f>
        <v>3293</v>
      </c>
      <c r="CF188" s="2">
        <f>Table834[[#This Row],[Waist]]*Table834[[#This Row],[Sleep]]</f>
        <v>0</v>
      </c>
      <c r="CG188" s="2">
        <f>Table834[[#This Row],[Waist]]*Table834[[#This Row],[BMI]]</f>
        <v>1611.419469387755</v>
      </c>
      <c r="CH188" s="2">
        <f>Table834[[#This Row],[Waist]]*Table834[[#This Row],[CBF]]</f>
        <v>1423.8909952522044</v>
      </c>
      <c r="CI188" s="2">
        <f>Table834[[#This Row],[Waist]]*Table834[[#This Row],[Gym]]</f>
        <v>0</v>
      </c>
      <c r="CJ188" s="2">
        <f>Table834[[#This Row],[Waist]]*Table834[[#This Row],[Cardio]]</f>
        <v>44.5</v>
      </c>
      <c r="CK188" s="2">
        <f>Table834[[#This Row],[Waist]]*Table834[[#This Row],[Calories]]</f>
        <v>114131.69285714286</v>
      </c>
      <c r="CL188" s="2">
        <f>Table834[[#This Row],[Waist]]*Table834[[#This Row],[Carbs]]</f>
        <v>19810.128571428573</v>
      </c>
      <c r="CM188" s="2">
        <f>Table834[[#This Row],[Waist]]*Table834[[#This Row],[Fat ]]</f>
        <v>3175.3928571428573</v>
      </c>
      <c r="CN188" s="2">
        <f>Table834[[#This Row],[Waist]]*Table834[[#This Row],[Protein]]</f>
        <v>2305.1000000000004</v>
      </c>
      <c r="CO188" s="2">
        <f>Table834[[#This Row],[Waist]]*Table834[[#This Row],[Fiber]]</f>
        <v>270.81428571428569</v>
      </c>
      <c r="CP188" s="2">
        <f>Table834[[#This Row],[Waist]]*Table834[[#This Row],[Sugar]]</f>
        <v>13995.25</v>
      </c>
      <c r="CQ188" s="2">
        <f>Table834[[#This Row],[Waist]]*Table834[[#This Row],[Servings]]</f>
        <v>2269.5</v>
      </c>
      <c r="CR188" s="2">
        <f>Table834[[#This Row],[Waist]]*Table834[[#This Row],[Water]]</f>
        <v>44.5</v>
      </c>
      <c r="CS188" s="2">
        <f>Table834[[#This Row],[Waist]]*Table834[[#This Row],[Fat Calories]]</f>
        <v>28578.535714285714</v>
      </c>
    </row>
    <row r="189" spans="1:97" x14ac:dyDescent="0.25">
      <c r="A189" s="2">
        <v>252</v>
      </c>
      <c r="B189" s="2">
        <f>Table834[[#This Row],[Weight]]^2</f>
        <v>63504</v>
      </c>
      <c r="C189" s="2">
        <v>44.5</v>
      </c>
      <c r="D189" s="2">
        <f>Table834[[#This Row],[Waist]]^2</f>
        <v>1980.25</v>
      </c>
      <c r="E189" s="2">
        <v>16.5</v>
      </c>
      <c r="F189" s="2">
        <f>Table834[[#This Row],[Neck]]^2</f>
        <v>272.25</v>
      </c>
      <c r="G189" s="2">
        <v>97.3</v>
      </c>
      <c r="H189" s="2">
        <f>Table834[[#This Row],[Morning Body Temp]]^2</f>
        <v>9467.2899999999991</v>
      </c>
      <c r="I189" s="2">
        <v>132</v>
      </c>
      <c r="J189" s="2">
        <f>Table834[[#This Row],[Morning Systolic Pressure]]^2</f>
        <v>17424</v>
      </c>
      <c r="K189" s="2">
        <v>78</v>
      </c>
      <c r="L189" s="2">
        <f>Table834[[#This Row],[Morning Diastolic Pressure]]^2</f>
        <v>6084</v>
      </c>
      <c r="M189" s="2">
        <v>73</v>
      </c>
      <c r="N189" s="2">
        <f>Table834[[#This Row],[Morning Pulse]]^2</f>
        <v>5329</v>
      </c>
      <c r="O189" s="2">
        <v>97.2</v>
      </c>
      <c r="P189" s="2">
        <f>Table834[[#This Row],[Night Body Temp]]^2</f>
        <v>9447.84</v>
      </c>
      <c r="Q189" s="2">
        <v>145</v>
      </c>
      <c r="R189" s="2">
        <f>Table834[[#This Row],[Night Systolic Pressure]]^2</f>
        <v>21025</v>
      </c>
      <c r="S189" s="2">
        <v>73</v>
      </c>
      <c r="T189" s="2">
        <f>Table834[[#This Row],[Night Diastolic Pressure]]^2</f>
        <v>5329</v>
      </c>
      <c r="U189" s="2">
        <v>76</v>
      </c>
      <c r="V189" s="2">
        <f>Table834[[#This Row],[Night Pulse]]^2</f>
        <v>5776</v>
      </c>
      <c r="W189" s="2">
        <v>7.5</v>
      </c>
      <c r="X189" s="2">
        <f>Table834[[#This Row],[Sleep]]^2</f>
        <v>56.25</v>
      </c>
      <c r="Y189" s="2">
        <f t="shared" si="5"/>
        <v>36.154285714285713</v>
      </c>
      <c r="Z189" s="2">
        <f>Table834[[#This Row],[BMI]]^2</f>
        <v>1307.1323755102039</v>
      </c>
      <c r="AA189" s="2">
        <f t="shared" si="4"/>
        <v>31.997550455105717</v>
      </c>
      <c r="AB189" s="2">
        <f>Table834[[#This Row],[CBF]]^2</f>
        <v>1023.8432351270361</v>
      </c>
      <c r="AC189" s="2">
        <v>0</v>
      </c>
      <c r="AD189" s="2">
        <f>Table834[[#This Row],[Gym]]^2</f>
        <v>0</v>
      </c>
      <c r="AE189" s="2">
        <v>1</v>
      </c>
      <c r="AF189" s="2">
        <f>Table834[[#This Row],[Cardio]]^2</f>
        <v>1</v>
      </c>
      <c r="AG189" s="2">
        <v>3749.5142857142855</v>
      </c>
      <c r="AH189" s="2">
        <f>Table834[[#This Row],[Calories]]^2</f>
        <v>14058857.378775509</v>
      </c>
      <c r="AI189" s="2">
        <v>587.79285714285709</v>
      </c>
      <c r="AJ189" s="2">
        <f>Table834[[#This Row],[Carbs]]^2</f>
        <v>345500.44290816318</v>
      </c>
      <c r="AK189" s="2">
        <v>122.51428571428572</v>
      </c>
      <c r="AL189" s="2">
        <f>Table834[[#This Row],[Fat ]]^2</f>
        <v>15009.750204081634</v>
      </c>
      <c r="AM189" s="2">
        <v>103.75000000000001</v>
      </c>
      <c r="AN189" s="2">
        <f>Table834[[#This Row],[Protein]]^2</f>
        <v>10764.062500000004</v>
      </c>
      <c r="AO189" s="2">
        <v>13.87142857142857</v>
      </c>
      <c r="AP189" s="2">
        <f>Table834[[#This Row],[Fiber]]^2</f>
        <v>192.41653061224486</v>
      </c>
      <c r="AQ189" s="2">
        <v>399.6</v>
      </c>
      <c r="AR189" s="2">
        <f>Table834[[#This Row],[Sugar]]^2</f>
        <v>159680.16000000003</v>
      </c>
      <c r="AS189" s="2">
        <v>117</v>
      </c>
      <c r="AT189" s="2">
        <f>Table834[[#This Row],[Servings]]^2</f>
        <v>13689</v>
      </c>
      <c r="AU189" s="2">
        <v>1</v>
      </c>
      <c r="AV189" s="2">
        <f>Table834[[#This Row],[Water]]^2</f>
        <v>1</v>
      </c>
      <c r="AW189" s="2">
        <v>1102.6285714285714</v>
      </c>
      <c r="AX189" s="2">
        <f>Table834[[#This Row],[Fat Calories]]^2</f>
        <v>1215789.766530612</v>
      </c>
      <c r="AY189" s="5">
        <f>Table834[[#This Row],[Weight]]*Table834[[#This Row],[Waist]]</f>
        <v>11214</v>
      </c>
      <c r="AZ189" s="6">
        <f>Table834[[#This Row],[Weight]]*Table834[[#This Row],[Neck]]</f>
        <v>4158</v>
      </c>
      <c r="BA189" s="6">
        <f>Table834[[#This Row],[Weight]]*Table834[[#This Row],[Morning Body Temp]]</f>
        <v>24519.599999999999</v>
      </c>
      <c r="BB189" s="6">
        <f>Table834[[#This Row],[Weight]]*Table834[[#This Row],[Morning Systolic Pressure]]</f>
        <v>33264</v>
      </c>
      <c r="BC189" s="12">
        <f>Table834[[#This Row],[Weight]]*Table834[[#This Row],[Morning Diastolic Pressure]]</f>
        <v>19656</v>
      </c>
      <c r="BD189" s="2">
        <f>Table834[[#This Row],[Weight]]*Table834[[#This Row],[Morning Pulse]]</f>
        <v>18396</v>
      </c>
      <c r="BE189" s="2">
        <f>Table834[[#This Row],[Weight]]*Table834[[#This Row],[Night Body Temp]]</f>
        <v>24494.400000000001</v>
      </c>
      <c r="BF189" s="2">
        <f>Table834[[#This Row],[Weight]]*Table834[[#This Row],[Night Systolic Pressure]]</f>
        <v>36540</v>
      </c>
      <c r="BG189" s="4">
        <f>Table83[[#This Row],[Weight]]*Table83[[#This Row],[Night Diastolic Pressure]]</f>
        <v>18396</v>
      </c>
      <c r="BH189" s="2">
        <f>Table834[[#This Row],[Weight]]*Table834[[#This Row],[Night Pulse]]</f>
        <v>19152</v>
      </c>
      <c r="BI189" s="2">
        <f>Table834[[#This Row],[Weight]]*Table834[[#This Row],[Sleep]]</f>
        <v>1890</v>
      </c>
      <c r="BJ189" s="2">
        <f>Table834[[#This Row],[Weight]]*Table834[[#This Row],[BMI]]</f>
        <v>9110.8799999999992</v>
      </c>
      <c r="BK189" s="2">
        <f>Table834[[#This Row],[Weight]]*Table834[[#This Row],[CBF]]</f>
        <v>8063.3827146866406</v>
      </c>
      <c r="BL189" s="2">
        <f>Table834[[#This Row],[Weight]]*Table834[[#This Row],[Gym]]</f>
        <v>0</v>
      </c>
      <c r="BM189" s="2">
        <f>Table834[[#This Row],[Weight]]*Table834[[#This Row],[Cardio]]</f>
        <v>252</v>
      </c>
      <c r="BN189" s="2">
        <f>Table834[[#This Row],[Weight]]*Table834[[#This Row],[Calories]]</f>
        <v>944877.6</v>
      </c>
      <c r="BO189" s="2">
        <f>Table834[[#This Row],[Weight]]*Table834[[#This Row],[Carbs]]</f>
        <v>148123.79999999999</v>
      </c>
      <c r="BP189" s="2">
        <f>Table834[[#This Row],[Weight]]*Table834[[#This Row],[Fat ]]</f>
        <v>30873.600000000002</v>
      </c>
      <c r="BQ189" s="2">
        <f>Table834[[#This Row],[Weight]]*Table834[[#This Row],[Protein]]</f>
        <v>26145.000000000004</v>
      </c>
      <c r="BR189" s="2">
        <f>Table834[[#This Row],[Weight]]*Table834[[#This Row],[Fiber]]</f>
        <v>3495.5999999999995</v>
      </c>
      <c r="BS189" s="2">
        <f>Table834[[#This Row],[Weight]]*Table834[[#This Row],[Sugar]]</f>
        <v>100699.20000000001</v>
      </c>
      <c r="BT189" s="2">
        <f>Table834[[#This Row],[Weight]]*Table834[[#This Row],[Servings]]</f>
        <v>29484</v>
      </c>
      <c r="BU189" s="2">
        <f>Table834[[#This Row],[Weight]]*Table834[[#This Row],[Water]]</f>
        <v>252</v>
      </c>
      <c r="BV189" s="2">
        <f>Table834[[#This Row],[Weight]]*Table834[[#This Row],[Fat Calories]]</f>
        <v>277862.39999999997</v>
      </c>
      <c r="BW189" s="2">
        <f>Table834[[#This Row],[Waist]]*Table834[[#This Row],[Neck]]</f>
        <v>734.25</v>
      </c>
      <c r="BX189" s="2">
        <f>Table834[[#This Row],[Waist]]*Table834[[#This Row],[Morning Body Temp]]</f>
        <v>4329.8499999999995</v>
      </c>
      <c r="BY189" s="2">
        <f>Table834[[#This Row],[Waist]]*Table834[[#This Row],[Morning Systolic Pressure]]</f>
        <v>5874</v>
      </c>
      <c r="BZ189" s="2">
        <f>Table834[[#This Row],[Waist]]*Table834[[#This Row],[Morning Diastolic Pressure]]</f>
        <v>3471</v>
      </c>
      <c r="CA189" s="2">
        <f>Table834[[#This Row],[Waist]]*Table834[[#This Row],[Morning Pulse]]</f>
        <v>3248.5</v>
      </c>
      <c r="CB189" s="2">
        <f>Table834[[#This Row],[Waist]]*Table834[[#This Row],[Night Body Temp]]</f>
        <v>4325.4000000000005</v>
      </c>
      <c r="CC189" s="2">
        <f>Table834[[#This Row],[Waist]]*Table834[[#This Row],[Night Systolic Pressure]]</f>
        <v>6452.5</v>
      </c>
      <c r="CD189" s="4">
        <f>Table83[[#This Row],[Waist]]*Table83[[#This Row],[Night Diastolic Pressure]]</f>
        <v>3248.5</v>
      </c>
      <c r="CE189" s="2">
        <f>Table834[[#This Row],[Waist]]*Table834[[#This Row],[Night Pulse]]</f>
        <v>3382</v>
      </c>
      <c r="CF189" s="2">
        <f>Table834[[#This Row],[Waist]]*Table834[[#This Row],[Sleep]]</f>
        <v>333.75</v>
      </c>
      <c r="CG189" s="2">
        <f>Table834[[#This Row],[Waist]]*Table834[[#This Row],[BMI]]</f>
        <v>1608.8657142857141</v>
      </c>
      <c r="CH189" s="2">
        <f>Table834[[#This Row],[Waist]]*Table834[[#This Row],[CBF]]</f>
        <v>1423.8909952522044</v>
      </c>
      <c r="CI189" s="2">
        <f>Table834[[#This Row],[Waist]]*Table834[[#This Row],[Gym]]</f>
        <v>0</v>
      </c>
      <c r="CJ189" s="2">
        <f>Table834[[#This Row],[Waist]]*Table834[[#This Row],[Cardio]]</f>
        <v>44.5</v>
      </c>
      <c r="CK189" s="2">
        <f>Table834[[#This Row],[Waist]]*Table834[[#This Row],[Calories]]</f>
        <v>166853.38571428572</v>
      </c>
      <c r="CL189" s="2">
        <f>Table834[[#This Row],[Waist]]*Table834[[#This Row],[Carbs]]</f>
        <v>26156.782142857141</v>
      </c>
      <c r="CM189" s="2">
        <f>Table834[[#This Row],[Waist]]*Table834[[#This Row],[Fat ]]</f>
        <v>5451.8857142857141</v>
      </c>
      <c r="CN189" s="2">
        <f>Table834[[#This Row],[Waist]]*Table834[[#This Row],[Protein]]</f>
        <v>4616.8750000000009</v>
      </c>
      <c r="CO189" s="2">
        <f>Table834[[#This Row],[Waist]]*Table834[[#This Row],[Fiber]]</f>
        <v>617.27857142857135</v>
      </c>
      <c r="CP189" s="2">
        <f>Table834[[#This Row],[Waist]]*Table834[[#This Row],[Sugar]]</f>
        <v>17782.2</v>
      </c>
      <c r="CQ189" s="2">
        <f>Table834[[#This Row],[Waist]]*Table834[[#This Row],[Servings]]</f>
        <v>5206.5</v>
      </c>
      <c r="CR189" s="2">
        <f>Table834[[#This Row],[Waist]]*Table834[[#This Row],[Water]]</f>
        <v>44.5</v>
      </c>
      <c r="CS189" s="2">
        <f>Table834[[#This Row],[Waist]]*Table834[[#This Row],[Fat Calories]]</f>
        <v>49066.971428571429</v>
      </c>
    </row>
    <row r="190" spans="1:97" x14ac:dyDescent="0.25">
      <c r="A190" s="2">
        <v>253</v>
      </c>
      <c r="B190" s="2">
        <f>Table834[[#This Row],[Weight]]^2</f>
        <v>64009</v>
      </c>
      <c r="C190" s="2">
        <v>44.5</v>
      </c>
      <c r="D190" s="2">
        <f>Table834[[#This Row],[Waist]]^2</f>
        <v>1980.25</v>
      </c>
      <c r="E190" s="2">
        <v>16.5</v>
      </c>
      <c r="F190" s="2">
        <f>Table834[[#This Row],[Neck]]^2</f>
        <v>272.25</v>
      </c>
      <c r="G190" s="2">
        <v>96</v>
      </c>
      <c r="H190" s="2">
        <f>Table834[[#This Row],[Morning Body Temp]]^2</f>
        <v>9216</v>
      </c>
      <c r="I190" s="2">
        <v>117</v>
      </c>
      <c r="J190" s="2">
        <f>Table834[[#This Row],[Morning Systolic Pressure]]^2</f>
        <v>13689</v>
      </c>
      <c r="K190" s="2">
        <v>78</v>
      </c>
      <c r="L190" s="2">
        <f>Table834[[#This Row],[Morning Diastolic Pressure]]^2</f>
        <v>6084</v>
      </c>
      <c r="M190" s="2">
        <v>78</v>
      </c>
      <c r="N190" s="2">
        <f>Table834[[#This Row],[Morning Pulse]]^2</f>
        <v>6084</v>
      </c>
      <c r="O190" s="2">
        <v>97.1</v>
      </c>
      <c r="P190" s="2">
        <f>Table834[[#This Row],[Night Body Temp]]^2</f>
        <v>9428.409999999998</v>
      </c>
      <c r="Q190" s="2">
        <v>140</v>
      </c>
      <c r="R190" s="2">
        <f>Table834[[#This Row],[Night Systolic Pressure]]^2</f>
        <v>19600</v>
      </c>
      <c r="S190" s="2">
        <v>63</v>
      </c>
      <c r="T190" s="2">
        <f>Table834[[#This Row],[Night Diastolic Pressure]]^2</f>
        <v>3969</v>
      </c>
      <c r="U190" s="2">
        <v>68</v>
      </c>
      <c r="V190" s="2">
        <f>Table834[[#This Row],[Night Pulse]]^2</f>
        <v>4624</v>
      </c>
      <c r="W190" s="2">
        <v>7</v>
      </c>
      <c r="X190" s="2">
        <f>Table834[[#This Row],[Sleep]]^2</f>
        <v>49</v>
      </c>
      <c r="Y190" s="2">
        <f t="shared" si="5"/>
        <v>36.297755102040817</v>
      </c>
      <c r="Z190" s="2">
        <f>Table834[[#This Row],[BMI]]^2</f>
        <v>1317.5270254477302</v>
      </c>
      <c r="AA190" s="2">
        <f t="shared" si="4"/>
        <v>31.997550455105717</v>
      </c>
      <c r="AB190" s="2">
        <f>Table834[[#This Row],[CBF]]^2</f>
        <v>1023.8432351270361</v>
      </c>
      <c r="AC190" s="2">
        <v>0</v>
      </c>
      <c r="AD190" s="2">
        <f>Table834[[#This Row],[Gym]]^2</f>
        <v>0</v>
      </c>
      <c r="AE190" s="2">
        <v>1</v>
      </c>
      <c r="AF190" s="2">
        <f>Table834[[#This Row],[Cardio]]^2</f>
        <v>1</v>
      </c>
      <c r="AG190" s="2">
        <v>2080.6566666666668</v>
      </c>
      <c r="AH190" s="2">
        <f>Table834[[#This Row],[Calories]]^2</f>
        <v>4329132.1645444445</v>
      </c>
      <c r="AI190" s="2">
        <v>303.20566666666673</v>
      </c>
      <c r="AJ190" s="2">
        <f>Table834[[#This Row],[Carbs]]^2</f>
        <v>91933.67629877782</v>
      </c>
      <c r="AK190" s="2">
        <v>72.089333333333329</v>
      </c>
      <c r="AL190" s="2">
        <f>Table834[[#This Row],[Fat ]]^2</f>
        <v>5196.8719804444436</v>
      </c>
      <c r="AM190" s="2">
        <v>78.419666666666686</v>
      </c>
      <c r="AN190" s="2">
        <f>Table834[[#This Row],[Protein]]^2</f>
        <v>6149.6441201111138</v>
      </c>
      <c r="AO190" s="2">
        <v>38.975666666666669</v>
      </c>
      <c r="AP190" s="2">
        <f>Table834[[#This Row],[Fiber]]^2</f>
        <v>1519.1025921111113</v>
      </c>
      <c r="AQ190" s="2">
        <v>174.92933333333335</v>
      </c>
      <c r="AR190" s="2">
        <f>Table834[[#This Row],[Sugar]]^2</f>
        <v>30600.27166044445</v>
      </c>
      <c r="AS190" s="2">
        <v>61.230000000000004</v>
      </c>
      <c r="AT190" s="2">
        <f>Table834[[#This Row],[Servings]]^2</f>
        <v>3749.1129000000005</v>
      </c>
      <c r="AU190" s="2">
        <v>1</v>
      </c>
      <c r="AV190" s="2">
        <f>Table834[[#This Row],[Water]]^2</f>
        <v>1</v>
      </c>
      <c r="AW190" s="2">
        <v>648.80399999999997</v>
      </c>
      <c r="AX190" s="2">
        <f>Table834[[#This Row],[Fat Calories]]^2</f>
        <v>420946.63041599997</v>
      </c>
      <c r="AY190" s="3">
        <f>Table834[[#This Row],[Weight]]*Table834[[#This Row],[Waist]]</f>
        <v>11258.5</v>
      </c>
      <c r="AZ190" s="4">
        <f>Table834[[#This Row],[Weight]]*Table834[[#This Row],[Neck]]</f>
        <v>4174.5</v>
      </c>
      <c r="BA190" s="4">
        <f>Table834[[#This Row],[Weight]]*Table834[[#This Row],[Morning Body Temp]]</f>
        <v>24288</v>
      </c>
      <c r="BB190" s="4">
        <f>Table834[[#This Row],[Weight]]*Table834[[#This Row],[Morning Systolic Pressure]]</f>
        <v>29601</v>
      </c>
      <c r="BC190" s="11">
        <f>Table834[[#This Row],[Weight]]*Table834[[#This Row],[Morning Diastolic Pressure]]</f>
        <v>19734</v>
      </c>
      <c r="BD190" s="2">
        <f>Table834[[#This Row],[Weight]]*Table834[[#This Row],[Morning Pulse]]</f>
        <v>19734</v>
      </c>
      <c r="BE190" s="2">
        <f>Table834[[#This Row],[Weight]]*Table834[[#This Row],[Night Body Temp]]</f>
        <v>24566.3</v>
      </c>
      <c r="BF190" s="2">
        <f>Table834[[#This Row],[Weight]]*Table834[[#This Row],[Night Systolic Pressure]]</f>
        <v>35420</v>
      </c>
      <c r="BG190" s="4">
        <f>Table83[[#This Row],[Weight]]*Table83[[#This Row],[Night Diastolic Pressure]]</f>
        <v>15939</v>
      </c>
      <c r="BH190" s="2">
        <f>Table834[[#This Row],[Weight]]*Table834[[#This Row],[Night Pulse]]</f>
        <v>17204</v>
      </c>
      <c r="BI190" s="2">
        <f>Table834[[#This Row],[Weight]]*Table834[[#This Row],[Sleep]]</f>
        <v>1771</v>
      </c>
      <c r="BJ190" s="2">
        <f>Table834[[#This Row],[Weight]]*Table834[[#This Row],[BMI]]</f>
        <v>9183.3320408163272</v>
      </c>
      <c r="BK190" s="2">
        <f>Table834[[#This Row],[Weight]]*Table834[[#This Row],[CBF]]</f>
        <v>8095.3802651417463</v>
      </c>
      <c r="BL190" s="2">
        <f>Table834[[#This Row],[Weight]]*Table834[[#This Row],[Gym]]</f>
        <v>0</v>
      </c>
      <c r="BM190" s="2">
        <f>Table834[[#This Row],[Weight]]*Table834[[#This Row],[Cardio]]</f>
        <v>253</v>
      </c>
      <c r="BN190" s="2">
        <f>Table834[[#This Row],[Weight]]*Table834[[#This Row],[Calories]]</f>
        <v>526406.13666666672</v>
      </c>
      <c r="BO190" s="2">
        <f>Table834[[#This Row],[Weight]]*Table834[[#This Row],[Carbs]]</f>
        <v>76711.033666666684</v>
      </c>
      <c r="BP190" s="2">
        <f>Table834[[#This Row],[Weight]]*Table834[[#This Row],[Fat ]]</f>
        <v>18238.601333333332</v>
      </c>
      <c r="BQ190" s="2">
        <f>Table834[[#This Row],[Weight]]*Table834[[#This Row],[Protein]]</f>
        <v>19840.17566666667</v>
      </c>
      <c r="BR190" s="2">
        <f>Table834[[#This Row],[Weight]]*Table834[[#This Row],[Fiber]]</f>
        <v>9860.8436666666676</v>
      </c>
      <c r="BS190" s="2">
        <f>Table834[[#This Row],[Weight]]*Table834[[#This Row],[Sugar]]</f>
        <v>44257.121333333336</v>
      </c>
      <c r="BT190" s="2">
        <f>Table834[[#This Row],[Weight]]*Table834[[#This Row],[Servings]]</f>
        <v>15491.19</v>
      </c>
      <c r="BU190" s="2">
        <f>Table834[[#This Row],[Weight]]*Table834[[#This Row],[Water]]</f>
        <v>253</v>
      </c>
      <c r="BV190" s="2">
        <f>Table834[[#This Row],[Weight]]*Table834[[#This Row],[Fat Calories]]</f>
        <v>164147.41199999998</v>
      </c>
      <c r="BW190" s="2">
        <f>Table834[[#This Row],[Waist]]*Table834[[#This Row],[Neck]]</f>
        <v>734.25</v>
      </c>
      <c r="BX190" s="2">
        <f>Table834[[#This Row],[Waist]]*Table834[[#This Row],[Morning Body Temp]]</f>
        <v>4272</v>
      </c>
      <c r="BY190" s="2">
        <f>Table834[[#This Row],[Waist]]*Table834[[#This Row],[Morning Systolic Pressure]]</f>
        <v>5206.5</v>
      </c>
      <c r="BZ190" s="2">
        <f>Table834[[#This Row],[Waist]]*Table834[[#This Row],[Morning Diastolic Pressure]]</f>
        <v>3471</v>
      </c>
      <c r="CA190" s="2">
        <f>Table834[[#This Row],[Waist]]*Table834[[#This Row],[Morning Pulse]]</f>
        <v>3471</v>
      </c>
      <c r="CB190" s="2">
        <f>Table834[[#This Row],[Waist]]*Table834[[#This Row],[Night Body Temp]]</f>
        <v>4320.95</v>
      </c>
      <c r="CC190" s="2">
        <f>Table834[[#This Row],[Waist]]*Table834[[#This Row],[Night Systolic Pressure]]</f>
        <v>6230</v>
      </c>
      <c r="CD190" s="4">
        <f>Table83[[#This Row],[Waist]]*Table83[[#This Row],[Night Diastolic Pressure]]</f>
        <v>2803.5</v>
      </c>
      <c r="CE190" s="2">
        <f>Table834[[#This Row],[Waist]]*Table834[[#This Row],[Night Pulse]]</f>
        <v>3026</v>
      </c>
      <c r="CF190" s="2">
        <f>Table834[[#This Row],[Waist]]*Table834[[#This Row],[Sleep]]</f>
        <v>311.5</v>
      </c>
      <c r="CG190" s="2">
        <f>Table834[[#This Row],[Waist]]*Table834[[#This Row],[BMI]]</f>
        <v>1615.2501020408163</v>
      </c>
      <c r="CH190" s="2">
        <f>Table834[[#This Row],[Waist]]*Table834[[#This Row],[CBF]]</f>
        <v>1423.8909952522044</v>
      </c>
      <c r="CI190" s="2">
        <f>Table834[[#This Row],[Waist]]*Table834[[#This Row],[Gym]]</f>
        <v>0</v>
      </c>
      <c r="CJ190" s="2">
        <f>Table834[[#This Row],[Waist]]*Table834[[#This Row],[Cardio]]</f>
        <v>44.5</v>
      </c>
      <c r="CK190" s="2">
        <f>Table834[[#This Row],[Waist]]*Table834[[#This Row],[Calories]]</f>
        <v>92589.221666666665</v>
      </c>
      <c r="CL190" s="2">
        <f>Table834[[#This Row],[Waist]]*Table834[[#This Row],[Carbs]]</f>
        <v>13492.65216666667</v>
      </c>
      <c r="CM190" s="2">
        <f>Table834[[#This Row],[Waist]]*Table834[[#This Row],[Fat ]]</f>
        <v>3207.9753333333333</v>
      </c>
      <c r="CN190" s="2">
        <f>Table834[[#This Row],[Waist]]*Table834[[#This Row],[Protein]]</f>
        <v>3489.6751666666673</v>
      </c>
      <c r="CO190" s="2">
        <f>Table834[[#This Row],[Waist]]*Table834[[#This Row],[Fiber]]</f>
        <v>1734.4171666666668</v>
      </c>
      <c r="CP190" s="2">
        <f>Table834[[#This Row],[Waist]]*Table834[[#This Row],[Sugar]]</f>
        <v>7784.3553333333339</v>
      </c>
      <c r="CQ190" s="2">
        <f>Table834[[#This Row],[Waist]]*Table834[[#This Row],[Servings]]</f>
        <v>2724.7350000000001</v>
      </c>
      <c r="CR190" s="2">
        <f>Table834[[#This Row],[Waist]]*Table834[[#This Row],[Water]]</f>
        <v>44.5</v>
      </c>
      <c r="CS190" s="2">
        <f>Table834[[#This Row],[Waist]]*Table834[[#This Row],[Fat Calories]]</f>
        <v>28871.777999999998</v>
      </c>
    </row>
    <row r="191" spans="1:97" x14ac:dyDescent="0.25">
      <c r="A191" s="2">
        <v>252.4</v>
      </c>
      <c r="B191" s="2">
        <f>Table834[[#This Row],[Weight]]^2</f>
        <v>63705.760000000002</v>
      </c>
      <c r="C191" s="2">
        <v>44.5</v>
      </c>
      <c r="D191" s="2">
        <f>Table834[[#This Row],[Waist]]^2</f>
        <v>1980.25</v>
      </c>
      <c r="E191" s="2">
        <v>16.5</v>
      </c>
      <c r="F191" s="2">
        <f>Table834[[#This Row],[Neck]]^2</f>
        <v>272.25</v>
      </c>
      <c r="G191" s="2">
        <v>96.3</v>
      </c>
      <c r="H191" s="2">
        <f>Table834[[#This Row],[Morning Body Temp]]^2</f>
        <v>9273.6899999999987</v>
      </c>
      <c r="I191" s="2">
        <v>117</v>
      </c>
      <c r="J191" s="2">
        <f>Table834[[#This Row],[Morning Systolic Pressure]]^2</f>
        <v>13689</v>
      </c>
      <c r="K191" s="2">
        <v>81</v>
      </c>
      <c r="L191" s="2">
        <f>Table834[[#This Row],[Morning Diastolic Pressure]]^2</f>
        <v>6561</v>
      </c>
      <c r="M191" s="2">
        <v>70</v>
      </c>
      <c r="N191" s="2">
        <f>Table834[[#This Row],[Morning Pulse]]^2</f>
        <v>4900</v>
      </c>
      <c r="O191" s="2">
        <v>96.7</v>
      </c>
      <c r="P191" s="2">
        <f>Table834[[#This Row],[Night Body Temp]]^2</f>
        <v>9350.8900000000012</v>
      </c>
      <c r="Q191" s="2">
        <v>132</v>
      </c>
      <c r="R191" s="2">
        <f>Table834[[#This Row],[Night Systolic Pressure]]^2</f>
        <v>17424</v>
      </c>
      <c r="S191" s="2">
        <v>78</v>
      </c>
      <c r="T191" s="2">
        <f>Table834[[#This Row],[Night Diastolic Pressure]]^2</f>
        <v>6084</v>
      </c>
      <c r="U191" s="2">
        <v>64</v>
      </c>
      <c r="V191" s="2">
        <f>Table834[[#This Row],[Night Pulse]]^2</f>
        <v>4096</v>
      </c>
      <c r="W191" s="2">
        <v>8</v>
      </c>
      <c r="X191" s="2">
        <f>Table834[[#This Row],[Sleep]]^2</f>
        <v>64</v>
      </c>
      <c r="Y191" s="2">
        <f t="shared" si="5"/>
        <v>36.211673469387755</v>
      </c>
      <c r="Z191" s="2">
        <f>Table834[[#This Row],[BMI]]^2</f>
        <v>1311.285295453561</v>
      </c>
      <c r="AA191" s="2">
        <f t="shared" si="4"/>
        <v>31.997550455105717</v>
      </c>
      <c r="AB191" s="2">
        <f>Table834[[#This Row],[CBF]]^2</f>
        <v>1023.8432351270361</v>
      </c>
      <c r="AC191" s="2">
        <v>0</v>
      </c>
      <c r="AD191" s="2">
        <f>Table834[[#This Row],[Gym]]^2</f>
        <v>0</v>
      </c>
      <c r="AE191" s="2">
        <v>1</v>
      </c>
      <c r="AF191" s="2">
        <f>Table834[[#This Row],[Cardio]]^2</f>
        <v>1</v>
      </c>
      <c r="AG191" s="2">
        <v>6100.4210416666665</v>
      </c>
      <c r="AH191" s="2">
        <f>Table834[[#This Row],[Calories]]^2</f>
        <v>37215136.885609418</v>
      </c>
      <c r="AI191" s="2">
        <v>816.2897916666667</v>
      </c>
      <c r="AJ191" s="2">
        <f>Table834[[#This Row],[Carbs]]^2</f>
        <v>666329.02397921018</v>
      </c>
      <c r="AK191" s="2">
        <v>235.14070833333332</v>
      </c>
      <c r="AL191" s="2">
        <f>Table834[[#This Row],[Fat ]]^2</f>
        <v>55291.152715501732</v>
      </c>
      <c r="AM191" s="2">
        <v>205.10672916666667</v>
      </c>
      <c r="AN191" s="2">
        <f>Table834[[#This Row],[Protein]]^2</f>
        <v>42068.77034944835</v>
      </c>
      <c r="AO191" s="2">
        <v>48.135979166666672</v>
      </c>
      <c r="AP191" s="2">
        <f>Table834[[#This Row],[Fiber]]^2</f>
        <v>2317.0724903337677</v>
      </c>
      <c r="AQ191" s="2">
        <v>460.83195833333332</v>
      </c>
      <c r="AR191" s="2">
        <f>Table834[[#This Row],[Sugar]]^2</f>
        <v>212366.09382133506</v>
      </c>
      <c r="AS191" s="2">
        <v>129.47</v>
      </c>
      <c r="AT191" s="2">
        <f>Table834[[#This Row],[Servings]]^2</f>
        <v>16762.480899999999</v>
      </c>
      <c r="AU191" s="2">
        <v>1.5</v>
      </c>
      <c r="AV191" s="2">
        <f>Table834[[#This Row],[Water]]^2</f>
        <v>2.25</v>
      </c>
      <c r="AW191" s="2">
        <v>2116.2663750000002</v>
      </c>
      <c r="AX191" s="2">
        <f>Table834[[#This Row],[Fat Calories]]^2</f>
        <v>4478583.3699556412</v>
      </c>
      <c r="AY191" s="5">
        <f>Table834[[#This Row],[Weight]]*Table834[[#This Row],[Waist]]</f>
        <v>11231.800000000001</v>
      </c>
      <c r="AZ191" s="6">
        <f>Table834[[#This Row],[Weight]]*Table834[[#This Row],[Neck]]</f>
        <v>4164.6000000000004</v>
      </c>
      <c r="BA191" s="6">
        <f>Table834[[#This Row],[Weight]]*Table834[[#This Row],[Morning Body Temp]]</f>
        <v>24306.12</v>
      </c>
      <c r="BB191" s="6">
        <f>Table834[[#This Row],[Weight]]*Table834[[#This Row],[Morning Systolic Pressure]]</f>
        <v>29530.799999999999</v>
      </c>
      <c r="BC191" s="12">
        <f>Table834[[#This Row],[Weight]]*Table834[[#This Row],[Morning Diastolic Pressure]]</f>
        <v>20444.400000000001</v>
      </c>
      <c r="BD191" s="2">
        <f>Table834[[#This Row],[Weight]]*Table834[[#This Row],[Morning Pulse]]</f>
        <v>17668</v>
      </c>
      <c r="BE191" s="2">
        <f>Table834[[#This Row],[Weight]]*Table834[[#This Row],[Night Body Temp]]</f>
        <v>24407.08</v>
      </c>
      <c r="BF191" s="2">
        <f>Table834[[#This Row],[Weight]]*Table834[[#This Row],[Night Systolic Pressure]]</f>
        <v>33316.800000000003</v>
      </c>
      <c r="BG191" s="4">
        <f>Table83[[#This Row],[Weight]]*Table83[[#This Row],[Night Diastolic Pressure]]</f>
        <v>19687.2</v>
      </c>
      <c r="BH191" s="2">
        <f>Table834[[#This Row],[Weight]]*Table834[[#This Row],[Night Pulse]]</f>
        <v>16153.6</v>
      </c>
      <c r="BI191" s="2">
        <f>Table834[[#This Row],[Weight]]*Table834[[#This Row],[Sleep]]</f>
        <v>2019.2</v>
      </c>
      <c r="BJ191" s="2">
        <f>Table834[[#This Row],[Weight]]*Table834[[#This Row],[BMI]]</f>
        <v>9139.8263836734695</v>
      </c>
      <c r="BK191" s="2">
        <f>Table834[[#This Row],[Weight]]*Table834[[#This Row],[CBF]]</f>
        <v>8076.1817348686827</v>
      </c>
      <c r="BL191" s="2">
        <f>Table834[[#This Row],[Weight]]*Table834[[#This Row],[Gym]]</f>
        <v>0</v>
      </c>
      <c r="BM191" s="2">
        <f>Table834[[#This Row],[Weight]]*Table834[[#This Row],[Cardio]]</f>
        <v>252.4</v>
      </c>
      <c r="BN191" s="2">
        <f>Table834[[#This Row],[Weight]]*Table834[[#This Row],[Calories]]</f>
        <v>1539746.2709166666</v>
      </c>
      <c r="BO191" s="2">
        <f>Table834[[#This Row],[Weight]]*Table834[[#This Row],[Carbs]]</f>
        <v>206031.54341666668</v>
      </c>
      <c r="BP191" s="2">
        <f>Table834[[#This Row],[Weight]]*Table834[[#This Row],[Fat ]]</f>
        <v>59349.514783333332</v>
      </c>
      <c r="BQ191" s="2">
        <f>Table834[[#This Row],[Weight]]*Table834[[#This Row],[Protein]]</f>
        <v>51768.938441666665</v>
      </c>
      <c r="BR191" s="2">
        <f>Table834[[#This Row],[Weight]]*Table834[[#This Row],[Fiber]]</f>
        <v>12149.521141666668</v>
      </c>
      <c r="BS191" s="2">
        <f>Table834[[#This Row],[Weight]]*Table834[[#This Row],[Sugar]]</f>
        <v>116313.98628333333</v>
      </c>
      <c r="BT191" s="2">
        <f>Table834[[#This Row],[Weight]]*Table834[[#This Row],[Servings]]</f>
        <v>32678.227999999999</v>
      </c>
      <c r="BU191" s="2">
        <f>Table834[[#This Row],[Weight]]*Table834[[#This Row],[Water]]</f>
        <v>378.6</v>
      </c>
      <c r="BV191" s="2">
        <f>Table834[[#This Row],[Weight]]*Table834[[#This Row],[Fat Calories]]</f>
        <v>534145.63305000006</v>
      </c>
      <c r="BW191" s="2">
        <f>Table834[[#This Row],[Waist]]*Table834[[#This Row],[Neck]]</f>
        <v>734.25</v>
      </c>
      <c r="BX191" s="2">
        <f>Table834[[#This Row],[Waist]]*Table834[[#This Row],[Morning Body Temp]]</f>
        <v>4285.3499999999995</v>
      </c>
      <c r="BY191" s="2">
        <f>Table834[[#This Row],[Waist]]*Table834[[#This Row],[Morning Systolic Pressure]]</f>
        <v>5206.5</v>
      </c>
      <c r="BZ191" s="2">
        <f>Table834[[#This Row],[Waist]]*Table834[[#This Row],[Morning Diastolic Pressure]]</f>
        <v>3604.5</v>
      </c>
      <c r="CA191" s="2">
        <f>Table834[[#This Row],[Waist]]*Table834[[#This Row],[Morning Pulse]]</f>
        <v>3115</v>
      </c>
      <c r="CB191" s="2">
        <f>Table834[[#This Row],[Waist]]*Table834[[#This Row],[Night Body Temp]]</f>
        <v>4303.1500000000005</v>
      </c>
      <c r="CC191" s="2">
        <f>Table834[[#This Row],[Waist]]*Table834[[#This Row],[Night Systolic Pressure]]</f>
        <v>5874</v>
      </c>
      <c r="CD191" s="4">
        <f>Table83[[#This Row],[Waist]]*Table83[[#This Row],[Night Diastolic Pressure]]</f>
        <v>3471</v>
      </c>
      <c r="CE191" s="2">
        <f>Table834[[#This Row],[Waist]]*Table834[[#This Row],[Night Pulse]]</f>
        <v>2848</v>
      </c>
      <c r="CF191" s="2">
        <f>Table834[[#This Row],[Waist]]*Table834[[#This Row],[Sleep]]</f>
        <v>356</v>
      </c>
      <c r="CG191" s="2">
        <f>Table834[[#This Row],[Waist]]*Table834[[#This Row],[BMI]]</f>
        <v>1611.419469387755</v>
      </c>
      <c r="CH191" s="2">
        <f>Table834[[#This Row],[Waist]]*Table834[[#This Row],[CBF]]</f>
        <v>1423.8909952522044</v>
      </c>
      <c r="CI191" s="2">
        <f>Table834[[#This Row],[Waist]]*Table834[[#This Row],[Gym]]</f>
        <v>0</v>
      </c>
      <c r="CJ191" s="2">
        <f>Table834[[#This Row],[Waist]]*Table834[[#This Row],[Cardio]]</f>
        <v>44.5</v>
      </c>
      <c r="CK191" s="2">
        <f>Table834[[#This Row],[Waist]]*Table834[[#This Row],[Calories]]</f>
        <v>271468.73635416664</v>
      </c>
      <c r="CL191" s="2">
        <f>Table834[[#This Row],[Waist]]*Table834[[#This Row],[Carbs]]</f>
        <v>36324.895729166667</v>
      </c>
      <c r="CM191" s="2">
        <f>Table834[[#This Row],[Waist]]*Table834[[#This Row],[Fat ]]</f>
        <v>10463.761520833334</v>
      </c>
      <c r="CN191" s="2">
        <f>Table834[[#This Row],[Waist]]*Table834[[#This Row],[Protein]]</f>
        <v>9127.2494479166671</v>
      </c>
      <c r="CO191" s="2">
        <f>Table834[[#This Row],[Waist]]*Table834[[#This Row],[Fiber]]</f>
        <v>2142.0510729166667</v>
      </c>
      <c r="CP191" s="2">
        <f>Table834[[#This Row],[Waist]]*Table834[[#This Row],[Sugar]]</f>
        <v>20507.022145833333</v>
      </c>
      <c r="CQ191" s="2">
        <f>Table834[[#This Row],[Waist]]*Table834[[#This Row],[Servings]]</f>
        <v>5761.415</v>
      </c>
      <c r="CR191" s="2">
        <f>Table834[[#This Row],[Waist]]*Table834[[#This Row],[Water]]</f>
        <v>66.75</v>
      </c>
      <c r="CS191" s="2">
        <f>Table834[[#This Row],[Waist]]*Table834[[#This Row],[Fat Calories]]</f>
        <v>94173.853687500014</v>
      </c>
    </row>
    <row r="192" spans="1:97" x14ac:dyDescent="0.25">
      <c r="A192" s="2">
        <v>252.2</v>
      </c>
      <c r="B192" s="2">
        <f>Table834[[#This Row],[Weight]]^2</f>
        <v>63604.84</v>
      </c>
      <c r="C192" s="2">
        <v>45</v>
      </c>
      <c r="D192" s="2">
        <f>Table834[[#This Row],[Waist]]^2</f>
        <v>2025</v>
      </c>
      <c r="E192" s="2">
        <v>16.5</v>
      </c>
      <c r="F192" s="2">
        <f>Table834[[#This Row],[Neck]]^2</f>
        <v>272.25</v>
      </c>
      <c r="G192" s="2">
        <v>97.2</v>
      </c>
      <c r="H192" s="2">
        <f>Table834[[#This Row],[Morning Body Temp]]^2</f>
        <v>9447.84</v>
      </c>
      <c r="I192" s="2">
        <v>136</v>
      </c>
      <c r="J192" s="2">
        <f>Table834[[#This Row],[Morning Systolic Pressure]]^2</f>
        <v>18496</v>
      </c>
      <c r="K192" s="2">
        <v>72</v>
      </c>
      <c r="L192" s="2">
        <f>Table834[[#This Row],[Morning Diastolic Pressure]]^2</f>
        <v>5184</v>
      </c>
      <c r="M192" s="2">
        <v>57</v>
      </c>
      <c r="N192" s="2">
        <f>Table834[[#This Row],[Morning Pulse]]^2</f>
        <v>3249</v>
      </c>
      <c r="O192" s="2">
        <v>96.5</v>
      </c>
      <c r="P192" s="2">
        <f>Table834[[#This Row],[Night Body Temp]]^2</f>
        <v>9312.25</v>
      </c>
      <c r="Q192" s="2">
        <v>128</v>
      </c>
      <c r="R192" s="2">
        <f>Table834[[#This Row],[Night Systolic Pressure]]^2</f>
        <v>16384</v>
      </c>
      <c r="S192" s="2">
        <v>70</v>
      </c>
      <c r="T192" s="2">
        <f>Table834[[#This Row],[Night Diastolic Pressure]]^2</f>
        <v>4900</v>
      </c>
      <c r="U192" s="2">
        <v>60</v>
      </c>
      <c r="V192" s="2">
        <f>Table834[[#This Row],[Night Pulse]]^2</f>
        <v>3600</v>
      </c>
      <c r="W192" s="2">
        <v>13</v>
      </c>
      <c r="X192" s="2">
        <f>Table834[[#This Row],[Sleep]]^2</f>
        <v>169</v>
      </c>
      <c r="Y192" s="2">
        <f t="shared" si="5"/>
        <v>36.182979591836734</v>
      </c>
      <c r="Z192" s="2">
        <f>Table834[[#This Row],[BMI]]^2</f>
        <v>1309.2080121432737</v>
      </c>
      <c r="AA192" s="2">
        <f t="shared" si="4"/>
        <v>32.6586945886934</v>
      </c>
      <c r="AB192" s="2">
        <f>Table834[[#This Row],[CBF]]^2</f>
        <v>1066.5903322375516</v>
      </c>
      <c r="AC192" s="2">
        <v>0</v>
      </c>
      <c r="AD192" s="2">
        <f>Table834[[#This Row],[Gym]]^2</f>
        <v>0</v>
      </c>
      <c r="AE192" s="2">
        <v>1</v>
      </c>
      <c r="AF192" s="2">
        <f>Table834[[#This Row],[Cardio]]^2</f>
        <v>1</v>
      </c>
      <c r="AG192" s="2">
        <v>4590.5896130952387</v>
      </c>
      <c r="AH192" s="2">
        <f>Table834[[#This Row],[Calories]]^2</f>
        <v>21073512.995857894</v>
      </c>
      <c r="AI192" s="2">
        <v>709.21607738095236</v>
      </c>
      <c r="AJ192" s="2">
        <f>Table834[[#This Row],[Carbs]]^2</f>
        <v>502987.44441562501</v>
      </c>
      <c r="AK192" s="2">
        <v>143.6438511904762</v>
      </c>
      <c r="AL192" s="2">
        <f>Table834[[#This Row],[Fat ]]^2</f>
        <v>20633.55598483167</v>
      </c>
      <c r="AM192" s="2">
        <v>140.28872916666668</v>
      </c>
      <c r="AN192" s="2">
        <f>Table834[[#This Row],[Protein]]^2</f>
        <v>19680.927531198355</v>
      </c>
      <c r="AO192" s="2">
        <v>47.939122023809524</v>
      </c>
      <c r="AP192" s="2">
        <f>Table834[[#This Row],[Fiber]]^2</f>
        <v>2298.1594204136995</v>
      </c>
      <c r="AQ192" s="2">
        <v>444.06567261904763</v>
      </c>
      <c r="AR192" s="2">
        <f>Table834[[#This Row],[Sugar]]^2</f>
        <v>197194.3215986072</v>
      </c>
      <c r="AS192" s="2">
        <v>81.849999999999994</v>
      </c>
      <c r="AT192" s="2">
        <f>Table834[[#This Row],[Servings]]^2</f>
        <v>6699.4224999999988</v>
      </c>
      <c r="AU192" s="2">
        <v>1.5</v>
      </c>
      <c r="AV192" s="2">
        <f>Table834[[#This Row],[Water]]^2</f>
        <v>2.25</v>
      </c>
      <c r="AW192" s="2">
        <v>1292.7946607142858</v>
      </c>
      <c r="AX192" s="2">
        <f>Table834[[#This Row],[Fat Calories]]^2</f>
        <v>1671318.0347713653</v>
      </c>
      <c r="AY192" s="3">
        <f>Table834[[#This Row],[Weight]]*Table834[[#This Row],[Waist]]</f>
        <v>11349</v>
      </c>
      <c r="AZ192" s="4">
        <f>Table834[[#This Row],[Weight]]*Table834[[#This Row],[Neck]]</f>
        <v>4161.3</v>
      </c>
      <c r="BA192" s="4">
        <f>Table834[[#This Row],[Weight]]*Table834[[#This Row],[Morning Body Temp]]</f>
        <v>24513.84</v>
      </c>
      <c r="BB192" s="4">
        <f>Table834[[#This Row],[Weight]]*Table834[[#This Row],[Morning Systolic Pressure]]</f>
        <v>34299.199999999997</v>
      </c>
      <c r="BC192" s="11">
        <f>Table834[[#This Row],[Weight]]*Table834[[#This Row],[Morning Diastolic Pressure]]</f>
        <v>18158.399999999998</v>
      </c>
      <c r="BD192" s="2">
        <f>Table834[[#This Row],[Weight]]*Table834[[#This Row],[Morning Pulse]]</f>
        <v>14375.4</v>
      </c>
      <c r="BE192" s="2">
        <f>Table834[[#This Row],[Weight]]*Table834[[#This Row],[Night Body Temp]]</f>
        <v>24337.3</v>
      </c>
      <c r="BF192" s="2">
        <f>Table834[[#This Row],[Weight]]*Table834[[#This Row],[Night Systolic Pressure]]</f>
        <v>32281.599999999999</v>
      </c>
      <c r="BG192" s="4">
        <f>Table83[[#This Row],[Weight]]*Table83[[#This Row],[Night Diastolic Pressure]]</f>
        <v>17654</v>
      </c>
      <c r="BH192" s="2">
        <f>Table834[[#This Row],[Weight]]*Table834[[#This Row],[Night Pulse]]</f>
        <v>15132</v>
      </c>
      <c r="BI192" s="2">
        <f>Table834[[#This Row],[Weight]]*Table834[[#This Row],[Sleep]]</f>
        <v>3278.6</v>
      </c>
      <c r="BJ192" s="2">
        <f>Table834[[#This Row],[Weight]]*Table834[[#This Row],[BMI]]</f>
        <v>9125.3474530612239</v>
      </c>
      <c r="BK192" s="2">
        <f>Table834[[#This Row],[Weight]]*Table834[[#This Row],[CBF]]</f>
        <v>8236.522775268475</v>
      </c>
      <c r="BL192" s="2">
        <f>Table834[[#This Row],[Weight]]*Table834[[#This Row],[Gym]]</f>
        <v>0</v>
      </c>
      <c r="BM192" s="2">
        <f>Table834[[#This Row],[Weight]]*Table834[[#This Row],[Cardio]]</f>
        <v>252.2</v>
      </c>
      <c r="BN192" s="2">
        <f>Table834[[#This Row],[Weight]]*Table834[[#This Row],[Calories]]</f>
        <v>1157746.7004226192</v>
      </c>
      <c r="BO192" s="2">
        <f>Table834[[#This Row],[Weight]]*Table834[[#This Row],[Carbs]]</f>
        <v>178864.29471547616</v>
      </c>
      <c r="BP192" s="2">
        <f>Table834[[#This Row],[Weight]]*Table834[[#This Row],[Fat ]]</f>
        <v>36226.979270238095</v>
      </c>
      <c r="BQ192" s="2">
        <f>Table834[[#This Row],[Weight]]*Table834[[#This Row],[Protein]]</f>
        <v>35380.817495833333</v>
      </c>
      <c r="BR192" s="2">
        <f>Table834[[#This Row],[Weight]]*Table834[[#This Row],[Fiber]]</f>
        <v>12090.246574404762</v>
      </c>
      <c r="BS192" s="2">
        <f>Table834[[#This Row],[Weight]]*Table834[[#This Row],[Sugar]]</f>
        <v>111993.3626345238</v>
      </c>
      <c r="BT192" s="2">
        <f>Table834[[#This Row],[Weight]]*Table834[[#This Row],[Servings]]</f>
        <v>20642.569999999996</v>
      </c>
      <c r="BU192" s="2">
        <f>Table834[[#This Row],[Weight]]*Table834[[#This Row],[Water]]</f>
        <v>378.29999999999995</v>
      </c>
      <c r="BV192" s="2">
        <f>Table834[[#This Row],[Weight]]*Table834[[#This Row],[Fat Calories]]</f>
        <v>326042.81343214284</v>
      </c>
      <c r="BW192" s="2">
        <f>Table834[[#This Row],[Waist]]*Table834[[#This Row],[Neck]]</f>
        <v>742.5</v>
      </c>
      <c r="BX192" s="2">
        <f>Table834[[#This Row],[Waist]]*Table834[[#This Row],[Morning Body Temp]]</f>
        <v>4374</v>
      </c>
      <c r="BY192" s="2">
        <f>Table834[[#This Row],[Waist]]*Table834[[#This Row],[Morning Systolic Pressure]]</f>
        <v>6120</v>
      </c>
      <c r="BZ192" s="2">
        <f>Table834[[#This Row],[Waist]]*Table834[[#This Row],[Morning Diastolic Pressure]]</f>
        <v>3240</v>
      </c>
      <c r="CA192" s="2">
        <f>Table834[[#This Row],[Waist]]*Table834[[#This Row],[Morning Pulse]]</f>
        <v>2565</v>
      </c>
      <c r="CB192" s="2">
        <f>Table834[[#This Row],[Waist]]*Table834[[#This Row],[Night Body Temp]]</f>
        <v>4342.5</v>
      </c>
      <c r="CC192" s="2">
        <f>Table834[[#This Row],[Waist]]*Table834[[#This Row],[Night Systolic Pressure]]</f>
        <v>5760</v>
      </c>
      <c r="CD192" s="4">
        <f>Table83[[#This Row],[Waist]]*Table83[[#This Row],[Night Diastolic Pressure]]</f>
        <v>3150</v>
      </c>
      <c r="CE192" s="2">
        <f>Table834[[#This Row],[Waist]]*Table834[[#This Row],[Night Pulse]]</f>
        <v>2700</v>
      </c>
      <c r="CF192" s="2">
        <f>Table834[[#This Row],[Waist]]*Table834[[#This Row],[Sleep]]</f>
        <v>585</v>
      </c>
      <c r="CG192" s="2">
        <f>Table834[[#This Row],[Waist]]*Table834[[#This Row],[BMI]]</f>
        <v>1628.234081632653</v>
      </c>
      <c r="CH192" s="2">
        <f>Table834[[#This Row],[Waist]]*Table834[[#This Row],[CBF]]</f>
        <v>1469.641256491203</v>
      </c>
      <c r="CI192" s="2">
        <f>Table834[[#This Row],[Waist]]*Table834[[#This Row],[Gym]]</f>
        <v>0</v>
      </c>
      <c r="CJ192" s="2">
        <f>Table834[[#This Row],[Waist]]*Table834[[#This Row],[Cardio]]</f>
        <v>45</v>
      </c>
      <c r="CK192" s="2">
        <f>Table834[[#This Row],[Waist]]*Table834[[#This Row],[Calories]]</f>
        <v>206576.53258928575</v>
      </c>
      <c r="CL192" s="2">
        <f>Table834[[#This Row],[Waist]]*Table834[[#This Row],[Carbs]]</f>
        <v>31914.723482142857</v>
      </c>
      <c r="CM192" s="2">
        <f>Table834[[#This Row],[Waist]]*Table834[[#This Row],[Fat ]]</f>
        <v>6463.9733035714289</v>
      </c>
      <c r="CN192" s="2">
        <f>Table834[[#This Row],[Waist]]*Table834[[#This Row],[Protein]]</f>
        <v>6312.9928125000006</v>
      </c>
      <c r="CO192" s="2">
        <f>Table834[[#This Row],[Waist]]*Table834[[#This Row],[Fiber]]</f>
        <v>2157.2604910714285</v>
      </c>
      <c r="CP192" s="2">
        <f>Table834[[#This Row],[Waist]]*Table834[[#This Row],[Sugar]]</f>
        <v>19982.955267857142</v>
      </c>
      <c r="CQ192" s="2">
        <f>Table834[[#This Row],[Waist]]*Table834[[#This Row],[Servings]]</f>
        <v>3683.2499999999995</v>
      </c>
      <c r="CR192" s="2">
        <f>Table834[[#This Row],[Waist]]*Table834[[#This Row],[Water]]</f>
        <v>67.5</v>
      </c>
      <c r="CS192" s="2">
        <f>Table834[[#This Row],[Waist]]*Table834[[#This Row],[Fat Calories]]</f>
        <v>58175.759732142862</v>
      </c>
    </row>
    <row r="193" spans="1:97" x14ac:dyDescent="0.25">
      <c r="A193" s="2">
        <v>252.6</v>
      </c>
      <c r="B193" s="2">
        <f>Table834[[#This Row],[Weight]]^2</f>
        <v>63806.759999999995</v>
      </c>
      <c r="C193" s="2">
        <v>45</v>
      </c>
      <c r="D193" s="2">
        <f>Table834[[#This Row],[Waist]]^2</f>
        <v>2025</v>
      </c>
      <c r="E193" s="2">
        <v>16.5</v>
      </c>
      <c r="F193" s="2">
        <f>Table834[[#This Row],[Neck]]^2</f>
        <v>272.25</v>
      </c>
      <c r="G193" s="2">
        <v>97.1</v>
      </c>
      <c r="H193" s="2">
        <f>Table834[[#This Row],[Morning Body Temp]]^2</f>
        <v>9428.409999999998</v>
      </c>
      <c r="I193" s="2">
        <v>122</v>
      </c>
      <c r="J193" s="2">
        <f>Table834[[#This Row],[Morning Systolic Pressure]]^2</f>
        <v>14884</v>
      </c>
      <c r="K193" s="2">
        <v>71</v>
      </c>
      <c r="L193" s="2">
        <f>Table834[[#This Row],[Morning Diastolic Pressure]]^2</f>
        <v>5041</v>
      </c>
      <c r="M193" s="2">
        <v>70</v>
      </c>
      <c r="N193" s="2">
        <f>Table834[[#This Row],[Morning Pulse]]^2</f>
        <v>4900</v>
      </c>
      <c r="O193" s="2">
        <v>96.2</v>
      </c>
      <c r="P193" s="2">
        <f>Table834[[#This Row],[Night Body Temp]]^2</f>
        <v>9254.44</v>
      </c>
      <c r="Q193" s="2">
        <v>118</v>
      </c>
      <c r="R193" s="2">
        <f>Table834[[#This Row],[Night Systolic Pressure]]^2</f>
        <v>13924</v>
      </c>
      <c r="S193" s="2">
        <v>68</v>
      </c>
      <c r="T193" s="2">
        <f>Table834[[#This Row],[Night Diastolic Pressure]]^2</f>
        <v>4624</v>
      </c>
      <c r="U193" s="2">
        <v>63</v>
      </c>
      <c r="V193" s="2">
        <f>Table834[[#This Row],[Night Pulse]]^2</f>
        <v>3969</v>
      </c>
      <c r="W193" s="2">
        <v>7.5</v>
      </c>
      <c r="X193" s="2">
        <f>Table834[[#This Row],[Sleep]]^2</f>
        <v>56.25</v>
      </c>
      <c r="Y193" s="2">
        <f t="shared" si="5"/>
        <v>36.240367346938775</v>
      </c>
      <c r="Z193" s="2">
        <f>Table834[[#This Row],[BMI]]^2</f>
        <v>1313.3642254410663</v>
      </c>
      <c r="AA193" s="2">
        <f t="shared" si="4"/>
        <v>32.6586945886934</v>
      </c>
      <c r="AB193" s="2">
        <f>Table834[[#This Row],[CBF]]^2</f>
        <v>1066.5903322375516</v>
      </c>
      <c r="AC193" s="2">
        <v>0</v>
      </c>
      <c r="AD193" s="2">
        <f>Table834[[#This Row],[Gym]]^2</f>
        <v>0</v>
      </c>
      <c r="AE193" s="2">
        <v>1</v>
      </c>
      <c r="AF193" s="2">
        <f>Table834[[#This Row],[Cardio]]^2</f>
        <v>1</v>
      </c>
      <c r="AG193" s="2">
        <v>4289.8196130952383</v>
      </c>
      <c r="AH193" s="2">
        <f>Table834[[#This Row],[Calories]]^2</f>
        <v>18402552.31289658</v>
      </c>
      <c r="AI193" s="2">
        <v>730.96207738095245</v>
      </c>
      <c r="AJ193" s="2">
        <f>Table834[[#This Row],[Carbs]]^2</f>
        <v>534305.55856907752</v>
      </c>
      <c r="AK193" s="2">
        <v>108.5808511904762</v>
      </c>
      <c r="AL193" s="2">
        <f>Table834[[#This Row],[Fat ]]^2</f>
        <v>11789.801245248336</v>
      </c>
      <c r="AM193" s="2">
        <v>135.00372916666669</v>
      </c>
      <c r="AN193" s="2">
        <f>Table834[[#This Row],[Protein]]^2</f>
        <v>18226.00688890669</v>
      </c>
      <c r="AO193" s="2">
        <v>43.564122023809524</v>
      </c>
      <c r="AP193" s="2">
        <f>Table834[[#This Row],[Fiber]]^2</f>
        <v>1897.8327277053661</v>
      </c>
      <c r="AQ193" s="2">
        <v>520.71967261904763</v>
      </c>
      <c r="AR193" s="2">
        <f>Table834[[#This Row],[Sugar]]^2</f>
        <v>271148.97745248815</v>
      </c>
      <c r="AS193" s="2">
        <v>134.33000000000001</v>
      </c>
      <c r="AT193" s="2">
        <f>Table834[[#This Row],[Servings]]^2</f>
        <v>18044.548900000002</v>
      </c>
      <c r="AU193" s="2">
        <v>0.5</v>
      </c>
      <c r="AV193" s="2">
        <f>Table834[[#This Row],[Water]]^2</f>
        <v>0.25</v>
      </c>
      <c r="AW193" s="2">
        <v>977.22766071428578</v>
      </c>
      <c r="AX193" s="2">
        <f>Table834[[#This Row],[Fat Calories]]^2</f>
        <v>954973.90086511523</v>
      </c>
      <c r="AY193" s="5">
        <f>Table834[[#This Row],[Weight]]*Table834[[#This Row],[Waist]]</f>
        <v>11367</v>
      </c>
      <c r="AZ193" s="6">
        <f>Table834[[#This Row],[Weight]]*Table834[[#This Row],[Neck]]</f>
        <v>4167.8999999999996</v>
      </c>
      <c r="BA193" s="6">
        <f>Table834[[#This Row],[Weight]]*Table834[[#This Row],[Morning Body Temp]]</f>
        <v>24527.46</v>
      </c>
      <c r="BB193" s="6">
        <f>Table834[[#This Row],[Weight]]*Table834[[#This Row],[Morning Systolic Pressure]]</f>
        <v>30817.200000000001</v>
      </c>
      <c r="BC193" s="12">
        <f>Table834[[#This Row],[Weight]]*Table834[[#This Row],[Morning Diastolic Pressure]]</f>
        <v>17934.599999999999</v>
      </c>
      <c r="BD193" s="2">
        <f>Table834[[#This Row],[Weight]]*Table834[[#This Row],[Morning Pulse]]</f>
        <v>17682</v>
      </c>
      <c r="BE193" s="2">
        <f>Table834[[#This Row],[Weight]]*Table834[[#This Row],[Night Body Temp]]</f>
        <v>24300.12</v>
      </c>
      <c r="BF193" s="2">
        <f>Table834[[#This Row],[Weight]]*Table834[[#This Row],[Night Systolic Pressure]]</f>
        <v>29806.799999999999</v>
      </c>
      <c r="BG193" s="4">
        <f>Table83[[#This Row],[Weight]]*Table83[[#This Row],[Night Diastolic Pressure]]</f>
        <v>17176.8</v>
      </c>
      <c r="BH193" s="2">
        <f>Table834[[#This Row],[Weight]]*Table834[[#This Row],[Night Pulse]]</f>
        <v>15913.8</v>
      </c>
      <c r="BI193" s="2">
        <f>Table834[[#This Row],[Weight]]*Table834[[#This Row],[Sleep]]</f>
        <v>1894.5</v>
      </c>
      <c r="BJ193" s="2">
        <f>Table834[[#This Row],[Weight]]*Table834[[#This Row],[BMI]]</f>
        <v>9154.3167918367344</v>
      </c>
      <c r="BK193" s="2">
        <f>Table834[[#This Row],[Weight]]*Table834[[#This Row],[CBF]]</f>
        <v>8249.5862531039529</v>
      </c>
      <c r="BL193" s="2">
        <f>Table834[[#This Row],[Weight]]*Table834[[#This Row],[Gym]]</f>
        <v>0</v>
      </c>
      <c r="BM193" s="2">
        <f>Table834[[#This Row],[Weight]]*Table834[[#This Row],[Cardio]]</f>
        <v>252.6</v>
      </c>
      <c r="BN193" s="2">
        <f>Table834[[#This Row],[Weight]]*Table834[[#This Row],[Calories]]</f>
        <v>1083608.4342678571</v>
      </c>
      <c r="BO193" s="2">
        <f>Table834[[#This Row],[Weight]]*Table834[[#This Row],[Carbs]]</f>
        <v>184641.02074642858</v>
      </c>
      <c r="BP193" s="2">
        <f>Table834[[#This Row],[Weight]]*Table834[[#This Row],[Fat ]]</f>
        <v>27427.523010714285</v>
      </c>
      <c r="BQ193" s="2">
        <f>Table834[[#This Row],[Weight]]*Table834[[#This Row],[Protein]]</f>
        <v>34101.941987500002</v>
      </c>
      <c r="BR193" s="2">
        <f>Table834[[#This Row],[Weight]]*Table834[[#This Row],[Fiber]]</f>
        <v>11004.297223214286</v>
      </c>
      <c r="BS193" s="2">
        <f>Table834[[#This Row],[Weight]]*Table834[[#This Row],[Sugar]]</f>
        <v>131533.78930357142</v>
      </c>
      <c r="BT193" s="2">
        <f>Table834[[#This Row],[Weight]]*Table834[[#This Row],[Servings]]</f>
        <v>33931.758000000002</v>
      </c>
      <c r="BU193" s="2">
        <f>Table834[[#This Row],[Weight]]*Table834[[#This Row],[Water]]</f>
        <v>126.3</v>
      </c>
      <c r="BV193" s="2">
        <f>Table834[[#This Row],[Weight]]*Table834[[#This Row],[Fat Calories]]</f>
        <v>246847.70709642858</v>
      </c>
      <c r="BW193" s="2">
        <f>Table834[[#This Row],[Waist]]*Table834[[#This Row],[Neck]]</f>
        <v>742.5</v>
      </c>
      <c r="BX193" s="2">
        <f>Table834[[#This Row],[Waist]]*Table834[[#This Row],[Morning Body Temp]]</f>
        <v>4369.5</v>
      </c>
      <c r="BY193" s="2">
        <f>Table834[[#This Row],[Waist]]*Table834[[#This Row],[Morning Systolic Pressure]]</f>
        <v>5490</v>
      </c>
      <c r="BZ193" s="2">
        <f>Table834[[#This Row],[Waist]]*Table834[[#This Row],[Morning Diastolic Pressure]]</f>
        <v>3195</v>
      </c>
      <c r="CA193" s="2">
        <f>Table834[[#This Row],[Waist]]*Table834[[#This Row],[Morning Pulse]]</f>
        <v>3150</v>
      </c>
      <c r="CB193" s="2">
        <f>Table834[[#This Row],[Waist]]*Table834[[#This Row],[Night Body Temp]]</f>
        <v>4329</v>
      </c>
      <c r="CC193" s="2">
        <f>Table834[[#This Row],[Waist]]*Table834[[#This Row],[Night Systolic Pressure]]</f>
        <v>5310</v>
      </c>
      <c r="CD193" s="4">
        <f>Table83[[#This Row],[Waist]]*Table83[[#This Row],[Night Diastolic Pressure]]</f>
        <v>3060</v>
      </c>
      <c r="CE193" s="2">
        <f>Table834[[#This Row],[Waist]]*Table834[[#This Row],[Night Pulse]]</f>
        <v>2835</v>
      </c>
      <c r="CF193" s="2">
        <f>Table834[[#This Row],[Waist]]*Table834[[#This Row],[Sleep]]</f>
        <v>337.5</v>
      </c>
      <c r="CG193" s="2">
        <f>Table834[[#This Row],[Waist]]*Table834[[#This Row],[BMI]]</f>
        <v>1630.8165306122448</v>
      </c>
      <c r="CH193" s="2">
        <f>Table834[[#This Row],[Waist]]*Table834[[#This Row],[CBF]]</f>
        <v>1469.641256491203</v>
      </c>
      <c r="CI193" s="2">
        <f>Table834[[#This Row],[Waist]]*Table834[[#This Row],[Gym]]</f>
        <v>0</v>
      </c>
      <c r="CJ193" s="2">
        <f>Table834[[#This Row],[Waist]]*Table834[[#This Row],[Cardio]]</f>
        <v>45</v>
      </c>
      <c r="CK193" s="2">
        <f>Table834[[#This Row],[Waist]]*Table834[[#This Row],[Calories]]</f>
        <v>193041.88258928573</v>
      </c>
      <c r="CL193" s="2">
        <f>Table834[[#This Row],[Waist]]*Table834[[#This Row],[Carbs]]</f>
        <v>32893.293482142857</v>
      </c>
      <c r="CM193" s="2">
        <f>Table834[[#This Row],[Waist]]*Table834[[#This Row],[Fat ]]</f>
        <v>4886.1383035714289</v>
      </c>
      <c r="CN193" s="2">
        <f>Table834[[#This Row],[Waist]]*Table834[[#This Row],[Protein]]</f>
        <v>6075.1678125000008</v>
      </c>
      <c r="CO193" s="2">
        <f>Table834[[#This Row],[Waist]]*Table834[[#This Row],[Fiber]]</f>
        <v>1960.3854910714285</v>
      </c>
      <c r="CP193" s="2">
        <f>Table834[[#This Row],[Waist]]*Table834[[#This Row],[Sugar]]</f>
        <v>23432.385267857142</v>
      </c>
      <c r="CQ193" s="2">
        <f>Table834[[#This Row],[Waist]]*Table834[[#This Row],[Servings]]</f>
        <v>6044.85</v>
      </c>
      <c r="CR193" s="2">
        <f>Table834[[#This Row],[Waist]]*Table834[[#This Row],[Water]]</f>
        <v>22.5</v>
      </c>
      <c r="CS193" s="2">
        <f>Table834[[#This Row],[Waist]]*Table834[[#This Row],[Fat Calories]]</f>
        <v>43975.244732142863</v>
      </c>
    </row>
    <row r="194" spans="1:97" x14ac:dyDescent="0.25">
      <c r="A194" s="2">
        <v>254</v>
      </c>
      <c r="B194" s="2">
        <f>Table834[[#This Row],[Weight]]^2</f>
        <v>64516</v>
      </c>
      <c r="C194" s="2">
        <v>44.5</v>
      </c>
      <c r="D194" s="2">
        <f>Table834[[#This Row],[Waist]]^2</f>
        <v>1980.25</v>
      </c>
      <c r="E194" s="2">
        <v>16.5</v>
      </c>
      <c r="F194" s="2">
        <f>Table834[[#This Row],[Neck]]^2</f>
        <v>272.25</v>
      </c>
      <c r="G194" s="2">
        <v>95.8</v>
      </c>
      <c r="H194" s="2">
        <f>Table834[[#This Row],[Morning Body Temp]]^2</f>
        <v>9177.64</v>
      </c>
      <c r="I194" s="2">
        <v>133</v>
      </c>
      <c r="J194" s="2">
        <f>Table834[[#This Row],[Morning Systolic Pressure]]^2</f>
        <v>17689</v>
      </c>
      <c r="K194" s="2">
        <v>80</v>
      </c>
      <c r="L194" s="2">
        <f>Table834[[#This Row],[Morning Diastolic Pressure]]^2</f>
        <v>6400</v>
      </c>
      <c r="M194" s="2">
        <v>82</v>
      </c>
      <c r="N194" s="2">
        <f>Table834[[#This Row],[Morning Pulse]]^2</f>
        <v>6724</v>
      </c>
      <c r="O194" s="2">
        <v>98.3</v>
      </c>
      <c r="P194" s="2">
        <f>Table834[[#This Row],[Night Body Temp]]^2</f>
        <v>9662.89</v>
      </c>
      <c r="Q194" s="2">
        <v>153</v>
      </c>
      <c r="R194" s="2">
        <f>Table834[[#This Row],[Night Systolic Pressure]]^2</f>
        <v>23409</v>
      </c>
      <c r="S194" s="2">
        <v>84</v>
      </c>
      <c r="T194" s="2">
        <f>Table834[[#This Row],[Night Diastolic Pressure]]^2</f>
        <v>7056</v>
      </c>
      <c r="U194" s="2">
        <v>73</v>
      </c>
      <c r="V194" s="2">
        <f>Table834[[#This Row],[Night Pulse]]^2</f>
        <v>5329</v>
      </c>
      <c r="W194" s="2">
        <v>6.5</v>
      </c>
      <c r="X194" s="2">
        <f>Table834[[#This Row],[Sleep]]^2</f>
        <v>42.25</v>
      </c>
      <c r="Y194" s="2">
        <f t="shared" si="5"/>
        <v>36.441224489795914</v>
      </c>
      <c r="Z194" s="2">
        <f>Table834[[#This Row],[BMI]]^2</f>
        <v>1327.9628423157014</v>
      </c>
      <c r="AA194" s="2">
        <f t="shared" ref="AA194:AA227" si="6">(86.01*LOG10(C194-E194))-(70.041*LOG10(70))+36.76</f>
        <v>31.997550455105717</v>
      </c>
      <c r="AB194" s="2">
        <f>Table834[[#This Row],[CBF]]^2</f>
        <v>1023.8432351270361</v>
      </c>
      <c r="AC194" s="2">
        <v>0</v>
      </c>
      <c r="AD194" s="2">
        <f>Table834[[#This Row],[Gym]]^2</f>
        <v>0</v>
      </c>
      <c r="AE194" s="2">
        <v>1</v>
      </c>
      <c r="AF194" s="2">
        <f>Table834[[#This Row],[Cardio]]^2</f>
        <v>1</v>
      </c>
      <c r="AG194" s="2">
        <v>5915</v>
      </c>
      <c r="AH194" s="2">
        <f>Table834[[#This Row],[Calories]]^2</f>
        <v>34987225</v>
      </c>
      <c r="AI194" s="2">
        <v>935</v>
      </c>
      <c r="AJ194" s="2">
        <f>Table834[[#This Row],[Carbs]]^2</f>
        <v>874225</v>
      </c>
      <c r="AK194" s="2">
        <v>249</v>
      </c>
      <c r="AL194" s="2">
        <f>Table834[[#This Row],[Fat ]]^2</f>
        <v>62001</v>
      </c>
      <c r="AM194" s="2">
        <v>85</v>
      </c>
      <c r="AN194" s="2">
        <f>Table834[[#This Row],[Protein]]^2</f>
        <v>7225</v>
      </c>
      <c r="AO194" s="2">
        <v>41.5</v>
      </c>
      <c r="AP194" s="2">
        <f>Table834[[#This Row],[Fiber]]^2</f>
        <v>1722.25</v>
      </c>
      <c r="AQ194" s="2">
        <v>530.5</v>
      </c>
      <c r="AR194" s="2">
        <f>Table834[[#This Row],[Sugar]]^2</f>
        <v>281430.25</v>
      </c>
      <c r="AS194" s="2">
        <v>65.8</v>
      </c>
      <c r="AT194" s="2">
        <f>Table834[[#This Row],[Servings]]^2</f>
        <v>4329.6399999999994</v>
      </c>
      <c r="AU194" s="2">
        <v>0</v>
      </c>
      <c r="AV194" s="2">
        <f>Table834[[#This Row],[Water]]^2</f>
        <v>0</v>
      </c>
      <c r="AW194" s="2">
        <v>2241</v>
      </c>
      <c r="AX194" s="2">
        <f>Table834[[#This Row],[Fat Calories]]^2</f>
        <v>5022081</v>
      </c>
      <c r="AY194" s="3">
        <f>Table834[[#This Row],[Weight]]*Table834[[#This Row],[Waist]]</f>
        <v>11303</v>
      </c>
      <c r="AZ194" s="4">
        <f>Table834[[#This Row],[Weight]]*Table834[[#This Row],[Neck]]</f>
        <v>4191</v>
      </c>
      <c r="BA194" s="4">
        <f>Table834[[#This Row],[Weight]]*Table834[[#This Row],[Morning Body Temp]]</f>
        <v>24333.200000000001</v>
      </c>
      <c r="BB194" s="4">
        <f>Table834[[#This Row],[Weight]]*Table834[[#This Row],[Morning Systolic Pressure]]</f>
        <v>33782</v>
      </c>
      <c r="BC194" s="11">
        <f>Table834[[#This Row],[Weight]]*Table834[[#This Row],[Morning Diastolic Pressure]]</f>
        <v>20320</v>
      </c>
      <c r="BD194" s="2">
        <f>Table834[[#This Row],[Weight]]*Table834[[#This Row],[Morning Pulse]]</f>
        <v>20828</v>
      </c>
      <c r="BE194" s="2">
        <f>Table834[[#This Row],[Weight]]*Table834[[#This Row],[Night Body Temp]]</f>
        <v>24968.2</v>
      </c>
      <c r="BF194" s="2">
        <f>Table834[[#This Row],[Weight]]*Table834[[#This Row],[Night Systolic Pressure]]</f>
        <v>38862</v>
      </c>
      <c r="BG194" s="4">
        <f>Table83[[#This Row],[Weight]]*Table83[[#This Row],[Night Diastolic Pressure]]</f>
        <v>21336</v>
      </c>
      <c r="BH194" s="2">
        <f>Table834[[#This Row],[Weight]]*Table834[[#This Row],[Night Pulse]]</f>
        <v>18542</v>
      </c>
      <c r="BI194" s="2">
        <f>Table834[[#This Row],[Weight]]*Table834[[#This Row],[Sleep]]</f>
        <v>1651</v>
      </c>
      <c r="BJ194" s="2">
        <f>Table834[[#This Row],[Weight]]*Table834[[#This Row],[BMI]]</f>
        <v>9256.0710204081624</v>
      </c>
      <c r="BK194" s="2">
        <f>Table834[[#This Row],[Weight]]*Table834[[#This Row],[CBF]]</f>
        <v>8127.3778155968521</v>
      </c>
      <c r="BL194" s="2">
        <f>Table834[[#This Row],[Weight]]*Table834[[#This Row],[Gym]]</f>
        <v>0</v>
      </c>
      <c r="BM194" s="2">
        <f>Table834[[#This Row],[Weight]]*Table834[[#This Row],[Cardio]]</f>
        <v>254</v>
      </c>
      <c r="BN194" s="2">
        <f>Table834[[#This Row],[Weight]]*Table834[[#This Row],[Calories]]</f>
        <v>1502410</v>
      </c>
      <c r="BO194" s="2">
        <f>Table834[[#This Row],[Weight]]*Table834[[#This Row],[Carbs]]</f>
        <v>237490</v>
      </c>
      <c r="BP194" s="2">
        <f>Table834[[#This Row],[Weight]]*Table834[[#This Row],[Fat ]]</f>
        <v>63246</v>
      </c>
      <c r="BQ194" s="2">
        <f>Table834[[#This Row],[Weight]]*Table834[[#This Row],[Protein]]</f>
        <v>21590</v>
      </c>
      <c r="BR194" s="2">
        <f>Table834[[#This Row],[Weight]]*Table834[[#This Row],[Fiber]]</f>
        <v>10541</v>
      </c>
      <c r="BS194" s="2">
        <f>Table834[[#This Row],[Weight]]*Table834[[#This Row],[Sugar]]</f>
        <v>134747</v>
      </c>
      <c r="BT194" s="2">
        <f>Table834[[#This Row],[Weight]]*Table834[[#This Row],[Servings]]</f>
        <v>16713.2</v>
      </c>
      <c r="BU194" s="2">
        <f>Table834[[#This Row],[Weight]]*Table834[[#This Row],[Water]]</f>
        <v>0</v>
      </c>
      <c r="BV194" s="2">
        <f>Table834[[#This Row],[Weight]]*Table834[[#This Row],[Fat Calories]]</f>
        <v>569214</v>
      </c>
      <c r="BW194" s="2">
        <f>Table834[[#This Row],[Waist]]*Table834[[#This Row],[Neck]]</f>
        <v>734.25</v>
      </c>
      <c r="BX194" s="2">
        <f>Table834[[#This Row],[Waist]]*Table834[[#This Row],[Morning Body Temp]]</f>
        <v>4263.0999999999995</v>
      </c>
      <c r="BY194" s="2">
        <f>Table834[[#This Row],[Waist]]*Table834[[#This Row],[Morning Systolic Pressure]]</f>
        <v>5918.5</v>
      </c>
      <c r="BZ194" s="2">
        <f>Table834[[#This Row],[Waist]]*Table834[[#This Row],[Morning Diastolic Pressure]]</f>
        <v>3560</v>
      </c>
      <c r="CA194" s="2">
        <f>Table834[[#This Row],[Waist]]*Table834[[#This Row],[Morning Pulse]]</f>
        <v>3649</v>
      </c>
      <c r="CB194" s="2">
        <f>Table834[[#This Row],[Waist]]*Table834[[#This Row],[Night Body Temp]]</f>
        <v>4374.3499999999995</v>
      </c>
      <c r="CC194" s="2">
        <f>Table834[[#This Row],[Waist]]*Table834[[#This Row],[Night Systolic Pressure]]</f>
        <v>6808.5</v>
      </c>
      <c r="CD194" s="4">
        <f>Table83[[#This Row],[Waist]]*Table83[[#This Row],[Night Diastolic Pressure]]</f>
        <v>3738</v>
      </c>
      <c r="CE194" s="2">
        <f>Table834[[#This Row],[Waist]]*Table834[[#This Row],[Night Pulse]]</f>
        <v>3248.5</v>
      </c>
      <c r="CF194" s="2">
        <f>Table834[[#This Row],[Waist]]*Table834[[#This Row],[Sleep]]</f>
        <v>289.25</v>
      </c>
      <c r="CG194" s="2">
        <f>Table834[[#This Row],[Waist]]*Table834[[#This Row],[BMI]]</f>
        <v>1621.6344897959182</v>
      </c>
      <c r="CH194" s="2">
        <f>Table834[[#This Row],[Waist]]*Table834[[#This Row],[CBF]]</f>
        <v>1423.8909952522044</v>
      </c>
      <c r="CI194" s="2">
        <f>Table834[[#This Row],[Waist]]*Table834[[#This Row],[Gym]]</f>
        <v>0</v>
      </c>
      <c r="CJ194" s="2">
        <f>Table834[[#This Row],[Waist]]*Table834[[#This Row],[Cardio]]</f>
        <v>44.5</v>
      </c>
      <c r="CK194" s="2">
        <f>Table834[[#This Row],[Waist]]*Table834[[#This Row],[Calories]]</f>
        <v>263217.5</v>
      </c>
      <c r="CL194" s="2">
        <f>Table834[[#This Row],[Waist]]*Table834[[#This Row],[Carbs]]</f>
        <v>41607.5</v>
      </c>
      <c r="CM194" s="2">
        <f>Table834[[#This Row],[Waist]]*Table834[[#This Row],[Fat ]]</f>
        <v>11080.5</v>
      </c>
      <c r="CN194" s="2">
        <f>Table834[[#This Row],[Waist]]*Table834[[#This Row],[Protein]]</f>
        <v>3782.5</v>
      </c>
      <c r="CO194" s="2">
        <f>Table834[[#This Row],[Waist]]*Table834[[#This Row],[Fiber]]</f>
        <v>1846.75</v>
      </c>
      <c r="CP194" s="2">
        <f>Table834[[#This Row],[Waist]]*Table834[[#This Row],[Sugar]]</f>
        <v>23607.25</v>
      </c>
      <c r="CQ194" s="2">
        <f>Table834[[#This Row],[Waist]]*Table834[[#This Row],[Servings]]</f>
        <v>2928.1</v>
      </c>
      <c r="CR194" s="2">
        <f>Table834[[#This Row],[Waist]]*Table834[[#This Row],[Water]]</f>
        <v>0</v>
      </c>
      <c r="CS194" s="2">
        <f>Table834[[#This Row],[Waist]]*Table834[[#This Row],[Fat Calories]]</f>
        <v>99724.5</v>
      </c>
    </row>
    <row r="195" spans="1:97" x14ac:dyDescent="0.25">
      <c r="A195" s="2">
        <v>255</v>
      </c>
      <c r="B195" s="2">
        <f>Table834[[#This Row],[Weight]]^2</f>
        <v>65025</v>
      </c>
      <c r="C195" s="2">
        <v>44.5</v>
      </c>
      <c r="D195" s="2">
        <f>Table834[[#This Row],[Waist]]^2</f>
        <v>1980.25</v>
      </c>
      <c r="E195" s="2">
        <v>16.5</v>
      </c>
      <c r="F195" s="2">
        <f>Table834[[#This Row],[Neck]]^2</f>
        <v>272.25</v>
      </c>
      <c r="G195" s="2">
        <v>96.7</v>
      </c>
      <c r="H195" s="2">
        <f>Table834[[#This Row],[Morning Body Temp]]^2</f>
        <v>9350.8900000000012</v>
      </c>
      <c r="I195" s="2">
        <v>106</v>
      </c>
      <c r="J195" s="2">
        <f>Table834[[#This Row],[Morning Systolic Pressure]]^2</f>
        <v>11236</v>
      </c>
      <c r="K195" s="2">
        <v>42</v>
      </c>
      <c r="L195" s="2">
        <f>Table834[[#This Row],[Morning Diastolic Pressure]]^2</f>
        <v>1764</v>
      </c>
      <c r="M195" s="2">
        <v>79</v>
      </c>
      <c r="N195" s="2">
        <f>Table834[[#This Row],[Morning Pulse]]^2</f>
        <v>6241</v>
      </c>
      <c r="O195" s="2">
        <v>97.7</v>
      </c>
      <c r="P195" s="2">
        <f>Table834[[#This Row],[Night Body Temp]]^2</f>
        <v>9545.2900000000009</v>
      </c>
      <c r="Q195" s="2">
        <v>124</v>
      </c>
      <c r="R195" s="2">
        <f>Table834[[#This Row],[Night Systolic Pressure]]^2</f>
        <v>15376</v>
      </c>
      <c r="S195" s="2">
        <v>77</v>
      </c>
      <c r="T195" s="2">
        <f>Table834[[#This Row],[Night Diastolic Pressure]]^2</f>
        <v>5929</v>
      </c>
      <c r="U195" s="2">
        <v>75</v>
      </c>
      <c r="V195" s="2">
        <f>Table834[[#This Row],[Night Pulse]]^2</f>
        <v>5625</v>
      </c>
      <c r="W195" s="2">
        <v>14.5</v>
      </c>
      <c r="X195" s="2">
        <f>Table834[[#This Row],[Sleep]]^2</f>
        <v>210.25</v>
      </c>
      <c r="Y195" s="2">
        <f t="shared" ref="Y195:Y227" si="7">(A195/4900)*703</f>
        <v>36.584693877551018</v>
      </c>
      <c r="Z195" s="2">
        <f>Table834[[#This Row],[BMI]]^2</f>
        <v>1338.4398261141189</v>
      </c>
      <c r="AA195" s="2">
        <f t="shared" si="6"/>
        <v>31.997550455105717</v>
      </c>
      <c r="AB195" s="2">
        <f>Table834[[#This Row],[CBF]]^2</f>
        <v>1023.8432351270361</v>
      </c>
      <c r="AC195" s="2">
        <v>0</v>
      </c>
      <c r="AD195" s="2">
        <f>Table834[[#This Row],[Gym]]^2</f>
        <v>0</v>
      </c>
      <c r="AE195" s="2">
        <v>0</v>
      </c>
      <c r="AF195" s="2">
        <f>Table834[[#This Row],[Cardio]]^2</f>
        <v>0</v>
      </c>
      <c r="AG195" s="2">
        <v>5619.666666666667</v>
      </c>
      <c r="AH195" s="2">
        <f>Table834[[#This Row],[Calories]]^2</f>
        <v>31580653.444444448</v>
      </c>
      <c r="AI195" s="2">
        <v>794.51666666666665</v>
      </c>
      <c r="AJ195" s="2">
        <f>Table834[[#This Row],[Carbs]]^2</f>
        <v>631256.73361111106</v>
      </c>
      <c r="AK195" s="2">
        <v>200.4083333333333</v>
      </c>
      <c r="AL195" s="2">
        <f>Table834[[#This Row],[Fat ]]^2</f>
        <v>40163.500069444432</v>
      </c>
      <c r="AM195" s="2">
        <v>178.76666666666668</v>
      </c>
      <c r="AN195" s="2">
        <f>Table834[[#This Row],[Protein]]^2</f>
        <v>31957.521111111117</v>
      </c>
      <c r="AO195" s="2">
        <v>68.766666666666666</v>
      </c>
      <c r="AP195" s="2">
        <f>Table834[[#This Row],[Fiber]]^2</f>
        <v>4728.8544444444442</v>
      </c>
      <c r="AQ195" s="2">
        <v>368.85833333333335</v>
      </c>
      <c r="AR195" s="2">
        <f>Table834[[#This Row],[Sugar]]^2</f>
        <v>136056.47006944445</v>
      </c>
      <c r="AS195" s="2">
        <v>139.5</v>
      </c>
      <c r="AT195" s="2">
        <f>Table834[[#This Row],[Servings]]^2</f>
        <v>19460.25</v>
      </c>
      <c r="AU195" s="2">
        <v>0.5</v>
      </c>
      <c r="AV195" s="2">
        <f>Table834[[#This Row],[Water]]^2</f>
        <v>0.25</v>
      </c>
      <c r="AW195" s="2">
        <v>1803.675</v>
      </c>
      <c r="AX195" s="2">
        <f>Table834[[#This Row],[Fat Calories]]^2</f>
        <v>3253243.5056249998</v>
      </c>
      <c r="AY195" s="5">
        <f>Table834[[#This Row],[Weight]]*Table834[[#This Row],[Waist]]</f>
        <v>11347.5</v>
      </c>
      <c r="AZ195" s="6">
        <f>Table834[[#This Row],[Weight]]*Table834[[#This Row],[Neck]]</f>
        <v>4207.5</v>
      </c>
      <c r="BA195" s="6">
        <f>Table834[[#This Row],[Weight]]*Table834[[#This Row],[Morning Body Temp]]</f>
        <v>24658.5</v>
      </c>
      <c r="BB195" s="6">
        <f>Table834[[#This Row],[Weight]]*Table834[[#This Row],[Morning Systolic Pressure]]</f>
        <v>27030</v>
      </c>
      <c r="BC195" s="12">
        <f>Table834[[#This Row],[Weight]]*Table834[[#This Row],[Morning Diastolic Pressure]]</f>
        <v>10710</v>
      </c>
      <c r="BD195" s="2">
        <f>Table834[[#This Row],[Weight]]*Table834[[#This Row],[Morning Pulse]]</f>
        <v>20145</v>
      </c>
      <c r="BE195" s="2">
        <f>Table834[[#This Row],[Weight]]*Table834[[#This Row],[Night Body Temp]]</f>
        <v>24913.5</v>
      </c>
      <c r="BF195" s="2">
        <f>Table834[[#This Row],[Weight]]*Table834[[#This Row],[Night Systolic Pressure]]</f>
        <v>31620</v>
      </c>
      <c r="BG195" s="4">
        <f>Table83[[#This Row],[Weight]]*Table83[[#This Row],[Night Diastolic Pressure]]</f>
        <v>19635</v>
      </c>
      <c r="BH195" s="2">
        <f>Table834[[#This Row],[Weight]]*Table834[[#This Row],[Night Pulse]]</f>
        <v>19125</v>
      </c>
      <c r="BI195" s="2">
        <f>Table834[[#This Row],[Weight]]*Table834[[#This Row],[Sleep]]</f>
        <v>3697.5</v>
      </c>
      <c r="BJ195" s="2">
        <f>Table834[[#This Row],[Weight]]*Table834[[#This Row],[BMI]]</f>
        <v>9329.0969387755104</v>
      </c>
      <c r="BK195" s="2">
        <f>Table834[[#This Row],[Weight]]*Table834[[#This Row],[CBF]]</f>
        <v>8159.3753660519578</v>
      </c>
      <c r="BL195" s="2">
        <f>Table834[[#This Row],[Weight]]*Table834[[#This Row],[Gym]]</f>
        <v>0</v>
      </c>
      <c r="BM195" s="2">
        <f>Table834[[#This Row],[Weight]]*Table834[[#This Row],[Cardio]]</f>
        <v>0</v>
      </c>
      <c r="BN195" s="2">
        <f>Table834[[#This Row],[Weight]]*Table834[[#This Row],[Calories]]</f>
        <v>1433015</v>
      </c>
      <c r="BO195" s="2">
        <f>Table834[[#This Row],[Weight]]*Table834[[#This Row],[Carbs]]</f>
        <v>202601.75</v>
      </c>
      <c r="BP195" s="2">
        <f>Table834[[#This Row],[Weight]]*Table834[[#This Row],[Fat ]]</f>
        <v>51104.124999999993</v>
      </c>
      <c r="BQ195" s="2">
        <f>Table834[[#This Row],[Weight]]*Table834[[#This Row],[Protein]]</f>
        <v>45585.5</v>
      </c>
      <c r="BR195" s="2">
        <f>Table834[[#This Row],[Weight]]*Table834[[#This Row],[Fiber]]</f>
        <v>17535.5</v>
      </c>
      <c r="BS195" s="2">
        <f>Table834[[#This Row],[Weight]]*Table834[[#This Row],[Sugar]]</f>
        <v>94058.875</v>
      </c>
      <c r="BT195" s="2">
        <f>Table834[[#This Row],[Weight]]*Table834[[#This Row],[Servings]]</f>
        <v>35572.5</v>
      </c>
      <c r="BU195" s="2">
        <f>Table834[[#This Row],[Weight]]*Table834[[#This Row],[Water]]</f>
        <v>127.5</v>
      </c>
      <c r="BV195" s="2">
        <f>Table834[[#This Row],[Weight]]*Table834[[#This Row],[Fat Calories]]</f>
        <v>459937.125</v>
      </c>
      <c r="BW195" s="2">
        <f>Table834[[#This Row],[Waist]]*Table834[[#This Row],[Neck]]</f>
        <v>734.25</v>
      </c>
      <c r="BX195" s="2">
        <f>Table834[[#This Row],[Waist]]*Table834[[#This Row],[Morning Body Temp]]</f>
        <v>4303.1500000000005</v>
      </c>
      <c r="BY195" s="2">
        <f>Table834[[#This Row],[Waist]]*Table834[[#This Row],[Morning Systolic Pressure]]</f>
        <v>4717</v>
      </c>
      <c r="BZ195" s="2">
        <f>Table834[[#This Row],[Waist]]*Table834[[#This Row],[Morning Diastolic Pressure]]</f>
        <v>1869</v>
      </c>
      <c r="CA195" s="2">
        <f>Table834[[#This Row],[Waist]]*Table834[[#This Row],[Morning Pulse]]</f>
        <v>3515.5</v>
      </c>
      <c r="CB195" s="2">
        <f>Table834[[#This Row],[Waist]]*Table834[[#This Row],[Night Body Temp]]</f>
        <v>4347.6500000000005</v>
      </c>
      <c r="CC195" s="2">
        <f>Table834[[#This Row],[Waist]]*Table834[[#This Row],[Night Systolic Pressure]]</f>
        <v>5518</v>
      </c>
      <c r="CD195" s="4">
        <f>Table83[[#This Row],[Waist]]*Table83[[#This Row],[Night Diastolic Pressure]]</f>
        <v>3426.5</v>
      </c>
      <c r="CE195" s="2">
        <f>Table834[[#This Row],[Waist]]*Table834[[#This Row],[Night Pulse]]</f>
        <v>3337.5</v>
      </c>
      <c r="CF195" s="2">
        <f>Table834[[#This Row],[Waist]]*Table834[[#This Row],[Sleep]]</f>
        <v>645.25</v>
      </c>
      <c r="CG195" s="2">
        <f>Table834[[#This Row],[Waist]]*Table834[[#This Row],[BMI]]</f>
        <v>1628.0188775510203</v>
      </c>
      <c r="CH195" s="2">
        <f>Table834[[#This Row],[Waist]]*Table834[[#This Row],[CBF]]</f>
        <v>1423.8909952522044</v>
      </c>
      <c r="CI195" s="2">
        <f>Table834[[#This Row],[Waist]]*Table834[[#This Row],[Gym]]</f>
        <v>0</v>
      </c>
      <c r="CJ195" s="2">
        <f>Table834[[#This Row],[Waist]]*Table834[[#This Row],[Cardio]]</f>
        <v>0</v>
      </c>
      <c r="CK195" s="2">
        <f>Table834[[#This Row],[Waist]]*Table834[[#This Row],[Calories]]</f>
        <v>250075.16666666669</v>
      </c>
      <c r="CL195" s="2">
        <f>Table834[[#This Row],[Waist]]*Table834[[#This Row],[Carbs]]</f>
        <v>35355.991666666669</v>
      </c>
      <c r="CM195" s="2">
        <f>Table834[[#This Row],[Waist]]*Table834[[#This Row],[Fat ]]</f>
        <v>8918.1708333333318</v>
      </c>
      <c r="CN195" s="2">
        <f>Table834[[#This Row],[Waist]]*Table834[[#This Row],[Protein]]</f>
        <v>7955.1166666666677</v>
      </c>
      <c r="CO195" s="2">
        <f>Table834[[#This Row],[Waist]]*Table834[[#This Row],[Fiber]]</f>
        <v>3060.1166666666668</v>
      </c>
      <c r="CP195" s="2">
        <f>Table834[[#This Row],[Waist]]*Table834[[#This Row],[Sugar]]</f>
        <v>16414.195833333335</v>
      </c>
      <c r="CQ195" s="2">
        <f>Table834[[#This Row],[Waist]]*Table834[[#This Row],[Servings]]</f>
        <v>6207.75</v>
      </c>
      <c r="CR195" s="2">
        <f>Table834[[#This Row],[Waist]]*Table834[[#This Row],[Water]]</f>
        <v>22.25</v>
      </c>
      <c r="CS195" s="2">
        <f>Table834[[#This Row],[Waist]]*Table834[[#This Row],[Fat Calories]]</f>
        <v>80263.537499999991</v>
      </c>
    </row>
    <row r="196" spans="1:97" x14ac:dyDescent="0.25">
      <c r="A196" s="2">
        <v>258.2</v>
      </c>
      <c r="B196" s="2">
        <f>Table834[[#This Row],[Weight]]^2</f>
        <v>66667.239999999991</v>
      </c>
      <c r="C196" s="2">
        <v>44.5</v>
      </c>
      <c r="D196" s="2">
        <f>Table834[[#This Row],[Waist]]^2</f>
        <v>1980.25</v>
      </c>
      <c r="E196" s="2">
        <v>16.5</v>
      </c>
      <c r="F196" s="2">
        <f>Table834[[#This Row],[Neck]]^2</f>
        <v>272.25</v>
      </c>
      <c r="G196" s="2">
        <v>96.6</v>
      </c>
      <c r="H196" s="2">
        <f>Table834[[#This Row],[Morning Body Temp]]^2</f>
        <v>9331.56</v>
      </c>
      <c r="I196" s="2">
        <v>141</v>
      </c>
      <c r="J196" s="2">
        <f>Table834[[#This Row],[Morning Systolic Pressure]]^2</f>
        <v>19881</v>
      </c>
      <c r="K196" s="2">
        <v>83</v>
      </c>
      <c r="L196" s="2">
        <f>Table834[[#This Row],[Morning Diastolic Pressure]]^2</f>
        <v>6889</v>
      </c>
      <c r="M196" s="2">
        <v>75</v>
      </c>
      <c r="N196" s="2">
        <f>Table834[[#This Row],[Morning Pulse]]^2</f>
        <v>5625</v>
      </c>
      <c r="O196" s="2">
        <v>98</v>
      </c>
      <c r="P196" s="2">
        <f>Table834[[#This Row],[Night Body Temp]]^2</f>
        <v>9604</v>
      </c>
      <c r="Q196" s="2">
        <v>156</v>
      </c>
      <c r="R196" s="2">
        <f>Table834[[#This Row],[Night Systolic Pressure]]^2</f>
        <v>24336</v>
      </c>
      <c r="S196" s="2">
        <v>89</v>
      </c>
      <c r="T196" s="2">
        <f>Table834[[#This Row],[Night Diastolic Pressure]]^2</f>
        <v>7921</v>
      </c>
      <c r="U196" s="2">
        <v>76</v>
      </c>
      <c r="V196" s="2">
        <f>Table834[[#This Row],[Night Pulse]]^2</f>
        <v>5776</v>
      </c>
      <c r="W196" s="2">
        <v>8</v>
      </c>
      <c r="X196" s="2">
        <f>Table834[[#This Row],[Sleep]]^2</f>
        <v>64</v>
      </c>
      <c r="Y196" s="2">
        <f t="shared" si="7"/>
        <v>37.043795918367344</v>
      </c>
      <c r="Z196" s="2">
        <f>Table834[[#This Row],[BMI]]^2</f>
        <v>1372.2428160416491</v>
      </c>
      <c r="AA196" s="2">
        <f t="shared" si="6"/>
        <v>31.997550455105717</v>
      </c>
      <c r="AB196" s="2">
        <f>Table834[[#This Row],[CBF]]^2</f>
        <v>1023.8432351270361</v>
      </c>
      <c r="AC196" s="2">
        <v>0</v>
      </c>
      <c r="AD196" s="2">
        <f>Table834[[#This Row],[Gym]]^2</f>
        <v>0</v>
      </c>
      <c r="AE196" s="2">
        <v>0</v>
      </c>
      <c r="AF196" s="2">
        <f>Table834[[#This Row],[Cardio]]^2</f>
        <v>0</v>
      </c>
      <c r="AG196" s="2">
        <v>2403.3229464285714</v>
      </c>
      <c r="AH196" s="2">
        <f>Table834[[#This Row],[Calories]]^2</f>
        <v>5775961.1848301096</v>
      </c>
      <c r="AI196" s="2">
        <v>256.10441071428568</v>
      </c>
      <c r="AJ196" s="2">
        <f>Table834[[#This Row],[Carbs]]^2</f>
        <v>65589.469187311523</v>
      </c>
      <c r="AK196" s="2">
        <v>102.29551785714285</v>
      </c>
      <c r="AL196" s="2">
        <f>Table834[[#This Row],[Fat ]]^2</f>
        <v>10464.372973661033</v>
      </c>
      <c r="AM196" s="2">
        <v>118.74706250000001</v>
      </c>
      <c r="AN196" s="2">
        <f>Table834[[#This Row],[Protein]]^2</f>
        <v>14100.864852378909</v>
      </c>
      <c r="AO196" s="2">
        <v>12.622455357142856</v>
      </c>
      <c r="AP196" s="2">
        <f>Table834[[#This Row],[Fiber]]^2</f>
        <v>159.32637924306439</v>
      </c>
      <c r="AQ196" s="2">
        <v>43.677339285714282</v>
      </c>
      <c r="AR196" s="2">
        <f>Table834[[#This Row],[Sugar]]^2</f>
        <v>1907.7099670794003</v>
      </c>
      <c r="AS196" s="2">
        <v>19.5</v>
      </c>
      <c r="AT196" s="2">
        <f>Table834[[#This Row],[Servings]]^2</f>
        <v>380.25</v>
      </c>
      <c r="AU196" s="2">
        <v>1.5</v>
      </c>
      <c r="AV196" s="2">
        <f>Table834[[#This Row],[Water]]^2</f>
        <v>2.25</v>
      </c>
      <c r="AW196" s="2">
        <v>920.65966071428568</v>
      </c>
      <c r="AX196" s="2">
        <f>Table834[[#This Row],[Fat Calories]]^2</f>
        <v>847614.21086654358</v>
      </c>
      <c r="AY196" s="3">
        <f>Table834[[#This Row],[Weight]]*Table834[[#This Row],[Waist]]</f>
        <v>11489.9</v>
      </c>
      <c r="AZ196" s="4">
        <f>Table834[[#This Row],[Weight]]*Table834[[#This Row],[Neck]]</f>
        <v>4260.3</v>
      </c>
      <c r="BA196" s="4">
        <f>Table834[[#This Row],[Weight]]*Table834[[#This Row],[Morning Body Temp]]</f>
        <v>24942.12</v>
      </c>
      <c r="BB196" s="4">
        <f>Table834[[#This Row],[Weight]]*Table834[[#This Row],[Morning Systolic Pressure]]</f>
        <v>36406.199999999997</v>
      </c>
      <c r="BC196" s="11">
        <f>Table834[[#This Row],[Weight]]*Table834[[#This Row],[Morning Diastolic Pressure]]</f>
        <v>21430.6</v>
      </c>
      <c r="BD196" s="2">
        <f>Table834[[#This Row],[Weight]]*Table834[[#This Row],[Morning Pulse]]</f>
        <v>19365</v>
      </c>
      <c r="BE196" s="2">
        <f>Table834[[#This Row],[Weight]]*Table834[[#This Row],[Night Body Temp]]</f>
        <v>25303.599999999999</v>
      </c>
      <c r="BF196" s="2">
        <f>Table834[[#This Row],[Weight]]*Table834[[#This Row],[Night Systolic Pressure]]</f>
        <v>40279.199999999997</v>
      </c>
      <c r="BG196" s="4">
        <f>Table83[[#This Row],[Weight]]*Table83[[#This Row],[Night Diastolic Pressure]]</f>
        <v>22979.8</v>
      </c>
      <c r="BH196" s="2">
        <f>Table834[[#This Row],[Weight]]*Table834[[#This Row],[Night Pulse]]</f>
        <v>19623.2</v>
      </c>
      <c r="BI196" s="2">
        <f>Table834[[#This Row],[Weight]]*Table834[[#This Row],[Sleep]]</f>
        <v>2065.6</v>
      </c>
      <c r="BJ196" s="2">
        <f>Table834[[#This Row],[Weight]]*Table834[[#This Row],[BMI]]</f>
        <v>9564.7081061224471</v>
      </c>
      <c r="BK196" s="2">
        <f>Table834[[#This Row],[Weight]]*Table834[[#This Row],[CBF]]</f>
        <v>8261.7675275082966</v>
      </c>
      <c r="BL196" s="2">
        <f>Table834[[#This Row],[Weight]]*Table834[[#This Row],[Gym]]</f>
        <v>0</v>
      </c>
      <c r="BM196" s="2">
        <f>Table834[[#This Row],[Weight]]*Table834[[#This Row],[Cardio]]</f>
        <v>0</v>
      </c>
      <c r="BN196" s="2">
        <f>Table834[[#This Row],[Weight]]*Table834[[#This Row],[Calories]]</f>
        <v>620537.98476785712</v>
      </c>
      <c r="BO196" s="2">
        <f>Table834[[#This Row],[Weight]]*Table834[[#This Row],[Carbs]]</f>
        <v>66126.15884642856</v>
      </c>
      <c r="BP196" s="2">
        <f>Table834[[#This Row],[Weight]]*Table834[[#This Row],[Fat ]]</f>
        <v>26412.702710714282</v>
      </c>
      <c r="BQ196" s="2">
        <f>Table834[[#This Row],[Weight]]*Table834[[#This Row],[Protein]]</f>
        <v>30660.491537500002</v>
      </c>
      <c r="BR196" s="2">
        <f>Table834[[#This Row],[Weight]]*Table834[[#This Row],[Fiber]]</f>
        <v>3259.1179732142855</v>
      </c>
      <c r="BS196" s="2">
        <f>Table834[[#This Row],[Weight]]*Table834[[#This Row],[Sugar]]</f>
        <v>11277.489003571427</v>
      </c>
      <c r="BT196" s="2">
        <f>Table834[[#This Row],[Weight]]*Table834[[#This Row],[Servings]]</f>
        <v>5034.8999999999996</v>
      </c>
      <c r="BU196" s="2">
        <f>Table834[[#This Row],[Weight]]*Table834[[#This Row],[Water]]</f>
        <v>387.29999999999995</v>
      </c>
      <c r="BV196" s="2">
        <f>Table834[[#This Row],[Weight]]*Table834[[#This Row],[Fat Calories]]</f>
        <v>237714.32439642856</v>
      </c>
      <c r="BW196" s="2">
        <f>Table834[[#This Row],[Waist]]*Table834[[#This Row],[Neck]]</f>
        <v>734.25</v>
      </c>
      <c r="BX196" s="2">
        <f>Table834[[#This Row],[Waist]]*Table834[[#This Row],[Morning Body Temp]]</f>
        <v>4298.7</v>
      </c>
      <c r="BY196" s="2">
        <f>Table834[[#This Row],[Waist]]*Table834[[#This Row],[Morning Systolic Pressure]]</f>
        <v>6274.5</v>
      </c>
      <c r="BZ196" s="2">
        <f>Table834[[#This Row],[Waist]]*Table834[[#This Row],[Morning Diastolic Pressure]]</f>
        <v>3693.5</v>
      </c>
      <c r="CA196" s="2">
        <f>Table834[[#This Row],[Waist]]*Table834[[#This Row],[Morning Pulse]]</f>
        <v>3337.5</v>
      </c>
      <c r="CB196" s="2">
        <f>Table834[[#This Row],[Waist]]*Table834[[#This Row],[Night Body Temp]]</f>
        <v>4361</v>
      </c>
      <c r="CC196" s="2">
        <f>Table834[[#This Row],[Waist]]*Table834[[#This Row],[Night Systolic Pressure]]</f>
        <v>6942</v>
      </c>
      <c r="CD196" s="4">
        <f>Table83[[#This Row],[Waist]]*Table83[[#This Row],[Night Diastolic Pressure]]</f>
        <v>3960.5</v>
      </c>
      <c r="CE196" s="2">
        <f>Table834[[#This Row],[Waist]]*Table834[[#This Row],[Night Pulse]]</f>
        <v>3382</v>
      </c>
      <c r="CF196" s="2">
        <f>Table834[[#This Row],[Waist]]*Table834[[#This Row],[Sleep]]</f>
        <v>356</v>
      </c>
      <c r="CG196" s="2">
        <f>Table834[[#This Row],[Waist]]*Table834[[#This Row],[BMI]]</f>
        <v>1648.4489183673468</v>
      </c>
      <c r="CH196" s="2">
        <f>Table834[[#This Row],[Waist]]*Table834[[#This Row],[CBF]]</f>
        <v>1423.8909952522044</v>
      </c>
      <c r="CI196" s="2">
        <f>Table834[[#This Row],[Waist]]*Table834[[#This Row],[Gym]]</f>
        <v>0</v>
      </c>
      <c r="CJ196" s="2">
        <f>Table834[[#This Row],[Waist]]*Table834[[#This Row],[Cardio]]</f>
        <v>0</v>
      </c>
      <c r="CK196" s="2">
        <f>Table834[[#This Row],[Waist]]*Table834[[#This Row],[Calories]]</f>
        <v>106947.87111607143</v>
      </c>
      <c r="CL196" s="2">
        <f>Table834[[#This Row],[Waist]]*Table834[[#This Row],[Carbs]]</f>
        <v>11396.646276785712</v>
      </c>
      <c r="CM196" s="2">
        <f>Table834[[#This Row],[Waist]]*Table834[[#This Row],[Fat ]]</f>
        <v>4552.1505446428573</v>
      </c>
      <c r="CN196" s="2">
        <f>Table834[[#This Row],[Waist]]*Table834[[#This Row],[Protein]]</f>
        <v>5284.2442812500003</v>
      </c>
      <c r="CO196" s="2">
        <f>Table834[[#This Row],[Waist]]*Table834[[#This Row],[Fiber]]</f>
        <v>561.69926339285712</v>
      </c>
      <c r="CP196" s="2">
        <f>Table834[[#This Row],[Waist]]*Table834[[#This Row],[Sugar]]</f>
        <v>1943.6415982142855</v>
      </c>
      <c r="CQ196" s="2">
        <f>Table834[[#This Row],[Waist]]*Table834[[#This Row],[Servings]]</f>
        <v>867.75</v>
      </c>
      <c r="CR196" s="2">
        <f>Table834[[#This Row],[Waist]]*Table834[[#This Row],[Water]]</f>
        <v>66.75</v>
      </c>
      <c r="CS196" s="2">
        <f>Table834[[#This Row],[Waist]]*Table834[[#This Row],[Fat Calories]]</f>
        <v>40969.354901785715</v>
      </c>
    </row>
    <row r="197" spans="1:97" x14ac:dyDescent="0.25">
      <c r="A197" s="2">
        <v>255.4</v>
      </c>
      <c r="B197" s="2">
        <f>Table834[[#This Row],[Weight]]^2</f>
        <v>65229.16</v>
      </c>
      <c r="C197" s="2">
        <v>44.5</v>
      </c>
      <c r="D197" s="2">
        <f>Table834[[#This Row],[Waist]]^2</f>
        <v>1980.25</v>
      </c>
      <c r="E197" s="2">
        <v>16.5</v>
      </c>
      <c r="F197" s="2">
        <f>Table834[[#This Row],[Neck]]^2</f>
        <v>272.25</v>
      </c>
      <c r="G197" s="2">
        <v>96.3</v>
      </c>
      <c r="H197" s="2">
        <f>Table834[[#This Row],[Morning Body Temp]]^2</f>
        <v>9273.6899999999987</v>
      </c>
      <c r="I197" s="2">
        <v>130</v>
      </c>
      <c r="J197" s="2">
        <f>Table834[[#This Row],[Morning Systolic Pressure]]^2</f>
        <v>16900</v>
      </c>
      <c r="K197" s="2">
        <v>78</v>
      </c>
      <c r="L197" s="2">
        <f>Table834[[#This Row],[Morning Diastolic Pressure]]^2</f>
        <v>6084</v>
      </c>
      <c r="M197" s="2">
        <v>64</v>
      </c>
      <c r="N197" s="2">
        <f>Table834[[#This Row],[Morning Pulse]]^2</f>
        <v>4096</v>
      </c>
      <c r="O197" s="2">
        <v>97.5</v>
      </c>
      <c r="P197" s="2">
        <f>Table834[[#This Row],[Night Body Temp]]^2</f>
        <v>9506.25</v>
      </c>
      <c r="Q197" s="2">
        <v>148</v>
      </c>
      <c r="R197" s="2">
        <f>Table834[[#This Row],[Night Systolic Pressure]]^2</f>
        <v>21904</v>
      </c>
      <c r="S197" s="2">
        <v>72</v>
      </c>
      <c r="T197" s="2">
        <f>Table834[[#This Row],[Night Diastolic Pressure]]^2</f>
        <v>5184</v>
      </c>
      <c r="U197" s="2">
        <v>68</v>
      </c>
      <c r="V197" s="2">
        <f>Table834[[#This Row],[Night Pulse]]^2</f>
        <v>4624</v>
      </c>
      <c r="W197" s="2">
        <v>13</v>
      </c>
      <c r="X197" s="2">
        <f>Table834[[#This Row],[Sleep]]^2</f>
        <v>169</v>
      </c>
      <c r="Y197" s="2">
        <f t="shared" si="7"/>
        <v>36.642081632653067</v>
      </c>
      <c r="Z197" s="2">
        <f>Table834[[#This Row],[BMI]]^2</f>
        <v>1342.6421463740112</v>
      </c>
      <c r="AA197" s="2">
        <f t="shared" si="6"/>
        <v>31.997550455105717</v>
      </c>
      <c r="AB197" s="2">
        <f>Table834[[#This Row],[CBF]]^2</f>
        <v>1023.8432351270361</v>
      </c>
      <c r="AC197" s="2">
        <v>1</v>
      </c>
      <c r="AD197" s="2">
        <f>Table834[[#This Row],[Gym]]^2</f>
        <v>1</v>
      </c>
      <c r="AE197" s="2">
        <v>0</v>
      </c>
      <c r="AF197" s="2">
        <f>Table834[[#This Row],[Cardio]]^2</f>
        <v>0</v>
      </c>
      <c r="AG197" s="2">
        <v>2964.7252380952382</v>
      </c>
      <c r="AH197" s="2">
        <f>Table834[[#This Row],[Calories]]^2</f>
        <v>8789595.7373988666</v>
      </c>
      <c r="AI197" s="2">
        <v>386.71695238095236</v>
      </c>
      <c r="AJ197" s="2">
        <f>Table834[[#This Row],[Carbs]]^2</f>
        <v>149550.00125881177</v>
      </c>
      <c r="AK197" s="2">
        <v>100.37247619047619</v>
      </c>
      <c r="AL197" s="2">
        <f>Table834[[#This Row],[Fat ]]^2</f>
        <v>10074.633976607711</v>
      </c>
      <c r="AM197" s="2">
        <v>144.55166666666668</v>
      </c>
      <c r="AN197" s="2">
        <f>Table834[[#This Row],[Protein]]^2</f>
        <v>20895.184336111113</v>
      </c>
      <c r="AO197" s="2">
        <v>39.778809523809521</v>
      </c>
      <c r="AP197" s="2">
        <f>Table834[[#This Row],[Fiber]]^2</f>
        <v>1582.3536871315191</v>
      </c>
      <c r="AQ197" s="2">
        <v>206.99804761904761</v>
      </c>
      <c r="AR197" s="2">
        <f>Table834[[#This Row],[Sugar]]^2</f>
        <v>42848.1917180975</v>
      </c>
      <c r="AS197" s="2">
        <v>81.28</v>
      </c>
      <c r="AT197" s="2">
        <f>Table834[[#This Row],[Servings]]^2</f>
        <v>6606.4384</v>
      </c>
      <c r="AU197" s="2">
        <v>1</v>
      </c>
      <c r="AV197" s="2">
        <f>Table834[[#This Row],[Water]]^2</f>
        <v>1</v>
      </c>
      <c r="AW197" s="2">
        <v>903.3522857142857</v>
      </c>
      <c r="AX197" s="2">
        <f>Table834[[#This Row],[Fat Calories]]^2</f>
        <v>816045.35210522451</v>
      </c>
      <c r="AY197" s="5">
        <f>Table834[[#This Row],[Weight]]*Table834[[#This Row],[Waist]]</f>
        <v>11365.300000000001</v>
      </c>
      <c r="AZ197" s="6">
        <f>Table834[[#This Row],[Weight]]*Table834[[#This Row],[Neck]]</f>
        <v>4214.1000000000004</v>
      </c>
      <c r="BA197" s="6">
        <f>Table834[[#This Row],[Weight]]*Table834[[#This Row],[Morning Body Temp]]</f>
        <v>24595.02</v>
      </c>
      <c r="BB197" s="6">
        <f>Table834[[#This Row],[Weight]]*Table834[[#This Row],[Morning Systolic Pressure]]</f>
        <v>33202</v>
      </c>
      <c r="BC197" s="12">
        <f>Table834[[#This Row],[Weight]]*Table834[[#This Row],[Morning Diastolic Pressure]]</f>
        <v>19921.2</v>
      </c>
      <c r="BD197" s="2">
        <f>Table834[[#This Row],[Weight]]*Table834[[#This Row],[Morning Pulse]]</f>
        <v>16345.6</v>
      </c>
      <c r="BE197" s="2">
        <f>Table834[[#This Row],[Weight]]*Table834[[#This Row],[Night Body Temp]]</f>
        <v>24901.5</v>
      </c>
      <c r="BF197" s="2">
        <f>Table834[[#This Row],[Weight]]*Table834[[#This Row],[Night Systolic Pressure]]</f>
        <v>37799.200000000004</v>
      </c>
      <c r="BG197" s="4">
        <f>Table83[[#This Row],[Weight]]*Table83[[#This Row],[Night Diastolic Pressure]]</f>
        <v>18388.8</v>
      </c>
      <c r="BH197" s="2">
        <f>Table834[[#This Row],[Weight]]*Table834[[#This Row],[Night Pulse]]</f>
        <v>17367.2</v>
      </c>
      <c r="BI197" s="2">
        <f>Table834[[#This Row],[Weight]]*Table834[[#This Row],[Sleep]]</f>
        <v>3320.2000000000003</v>
      </c>
      <c r="BJ197" s="2">
        <f>Table834[[#This Row],[Weight]]*Table834[[#This Row],[BMI]]</f>
        <v>9358.387648979593</v>
      </c>
      <c r="BK197" s="2">
        <f>Table834[[#This Row],[Weight]]*Table834[[#This Row],[CBF]]</f>
        <v>8172.1743862339999</v>
      </c>
      <c r="BL197" s="2">
        <f>Table834[[#This Row],[Weight]]*Table834[[#This Row],[Gym]]</f>
        <v>255.4</v>
      </c>
      <c r="BM197" s="2">
        <f>Table834[[#This Row],[Weight]]*Table834[[#This Row],[Cardio]]</f>
        <v>0</v>
      </c>
      <c r="BN197" s="2">
        <f>Table834[[#This Row],[Weight]]*Table834[[#This Row],[Calories]]</f>
        <v>757190.82580952381</v>
      </c>
      <c r="BO197" s="2">
        <f>Table834[[#This Row],[Weight]]*Table834[[#This Row],[Carbs]]</f>
        <v>98767.509638095231</v>
      </c>
      <c r="BP197" s="2">
        <f>Table834[[#This Row],[Weight]]*Table834[[#This Row],[Fat ]]</f>
        <v>25635.130419047618</v>
      </c>
      <c r="BQ197" s="2">
        <f>Table834[[#This Row],[Weight]]*Table834[[#This Row],[Protein]]</f>
        <v>36918.495666666669</v>
      </c>
      <c r="BR197" s="2">
        <f>Table834[[#This Row],[Weight]]*Table834[[#This Row],[Fiber]]</f>
        <v>10159.507952380953</v>
      </c>
      <c r="BS197" s="2">
        <f>Table834[[#This Row],[Weight]]*Table834[[#This Row],[Sugar]]</f>
        <v>52867.301361904763</v>
      </c>
      <c r="BT197" s="2">
        <f>Table834[[#This Row],[Weight]]*Table834[[#This Row],[Servings]]</f>
        <v>20758.912</v>
      </c>
      <c r="BU197" s="2">
        <f>Table834[[#This Row],[Weight]]*Table834[[#This Row],[Water]]</f>
        <v>255.4</v>
      </c>
      <c r="BV197" s="2">
        <f>Table834[[#This Row],[Weight]]*Table834[[#This Row],[Fat Calories]]</f>
        <v>230716.17377142858</v>
      </c>
      <c r="BW197" s="2">
        <f>Table834[[#This Row],[Waist]]*Table834[[#This Row],[Neck]]</f>
        <v>734.25</v>
      </c>
      <c r="BX197" s="2">
        <f>Table834[[#This Row],[Waist]]*Table834[[#This Row],[Morning Body Temp]]</f>
        <v>4285.3499999999995</v>
      </c>
      <c r="BY197" s="2">
        <f>Table834[[#This Row],[Waist]]*Table834[[#This Row],[Morning Systolic Pressure]]</f>
        <v>5785</v>
      </c>
      <c r="BZ197" s="2">
        <f>Table834[[#This Row],[Waist]]*Table834[[#This Row],[Morning Diastolic Pressure]]</f>
        <v>3471</v>
      </c>
      <c r="CA197" s="2">
        <f>Table834[[#This Row],[Waist]]*Table834[[#This Row],[Morning Pulse]]</f>
        <v>2848</v>
      </c>
      <c r="CB197" s="2">
        <f>Table834[[#This Row],[Waist]]*Table834[[#This Row],[Night Body Temp]]</f>
        <v>4338.75</v>
      </c>
      <c r="CC197" s="2">
        <f>Table834[[#This Row],[Waist]]*Table834[[#This Row],[Night Systolic Pressure]]</f>
        <v>6586</v>
      </c>
      <c r="CD197" s="4">
        <f>Table83[[#This Row],[Waist]]*Table83[[#This Row],[Night Diastolic Pressure]]</f>
        <v>3204</v>
      </c>
      <c r="CE197" s="2">
        <f>Table834[[#This Row],[Waist]]*Table834[[#This Row],[Night Pulse]]</f>
        <v>3026</v>
      </c>
      <c r="CF197" s="2">
        <f>Table834[[#This Row],[Waist]]*Table834[[#This Row],[Sleep]]</f>
        <v>578.5</v>
      </c>
      <c r="CG197" s="2">
        <f>Table834[[#This Row],[Waist]]*Table834[[#This Row],[BMI]]</f>
        <v>1630.5726326530614</v>
      </c>
      <c r="CH197" s="2">
        <f>Table834[[#This Row],[Waist]]*Table834[[#This Row],[CBF]]</f>
        <v>1423.8909952522044</v>
      </c>
      <c r="CI197" s="2">
        <f>Table834[[#This Row],[Waist]]*Table834[[#This Row],[Gym]]</f>
        <v>44.5</v>
      </c>
      <c r="CJ197" s="2">
        <f>Table834[[#This Row],[Waist]]*Table834[[#This Row],[Cardio]]</f>
        <v>0</v>
      </c>
      <c r="CK197" s="2">
        <f>Table834[[#This Row],[Waist]]*Table834[[#This Row],[Calories]]</f>
        <v>131930.27309523811</v>
      </c>
      <c r="CL197" s="2">
        <f>Table834[[#This Row],[Waist]]*Table834[[#This Row],[Carbs]]</f>
        <v>17208.904380952379</v>
      </c>
      <c r="CM197" s="2">
        <f>Table834[[#This Row],[Waist]]*Table834[[#This Row],[Fat ]]</f>
        <v>4466.575190476191</v>
      </c>
      <c r="CN197" s="2">
        <f>Table834[[#This Row],[Waist]]*Table834[[#This Row],[Protein]]</f>
        <v>6432.5491666666667</v>
      </c>
      <c r="CO197" s="2">
        <f>Table834[[#This Row],[Waist]]*Table834[[#This Row],[Fiber]]</f>
        <v>1770.1570238095237</v>
      </c>
      <c r="CP197" s="2">
        <f>Table834[[#This Row],[Waist]]*Table834[[#This Row],[Sugar]]</f>
        <v>9211.4131190476182</v>
      </c>
      <c r="CQ197" s="2">
        <f>Table834[[#This Row],[Waist]]*Table834[[#This Row],[Servings]]</f>
        <v>3616.96</v>
      </c>
      <c r="CR197" s="2">
        <f>Table834[[#This Row],[Waist]]*Table834[[#This Row],[Water]]</f>
        <v>44.5</v>
      </c>
      <c r="CS197" s="2">
        <f>Table834[[#This Row],[Waist]]*Table834[[#This Row],[Fat Calories]]</f>
        <v>40199.176714285713</v>
      </c>
    </row>
    <row r="198" spans="1:97" x14ac:dyDescent="0.25">
      <c r="A198" s="2">
        <v>252</v>
      </c>
      <c r="B198" s="2">
        <f>Table834[[#This Row],[Weight]]^2</f>
        <v>63504</v>
      </c>
      <c r="C198" s="2">
        <v>44.5</v>
      </c>
      <c r="D198" s="2">
        <f>Table834[[#This Row],[Waist]]^2</f>
        <v>1980.25</v>
      </c>
      <c r="E198" s="2">
        <v>16.5</v>
      </c>
      <c r="F198" s="2">
        <f>Table834[[#This Row],[Neck]]^2</f>
        <v>272.25</v>
      </c>
      <c r="G198" s="2">
        <v>96.3</v>
      </c>
      <c r="H198" s="2">
        <f>Table834[[#This Row],[Morning Body Temp]]^2</f>
        <v>9273.6899999999987</v>
      </c>
      <c r="I198" s="2">
        <v>128</v>
      </c>
      <c r="J198" s="2">
        <f>Table834[[#This Row],[Morning Systolic Pressure]]^2</f>
        <v>16384</v>
      </c>
      <c r="K198" s="2">
        <v>74</v>
      </c>
      <c r="L198" s="2">
        <f>Table834[[#This Row],[Morning Diastolic Pressure]]^2</f>
        <v>5476</v>
      </c>
      <c r="M198" s="2">
        <v>83</v>
      </c>
      <c r="N198" s="2">
        <f>Table834[[#This Row],[Morning Pulse]]^2</f>
        <v>6889</v>
      </c>
      <c r="O198" s="2">
        <v>97.7</v>
      </c>
      <c r="P198" s="2">
        <f>Table834[[#This Row],[Night Body Temp]]^2</f>
        <v>9545.2900000000009</v>
      </c>
      <c r="Q198" s="2">
        <v>156</v>
      </c>
      <c r="R198" s="2">
        <f>Table834[[#This Row],[Night Systolic Pressure]]^2</f>
        <v>24336</v>
      </c>
      <c r="S198" s="2">
        <v>82</v>
      </c>
      <c r="T198" s="2">
        <f>Table834[[#This Row],[Night Diastolic Pressure]]^2</f>
        <v>6724</v>
      </c>
      <c r="U198" s="2">
        <v>80</v>
      </c>
      <c r="V198" s="2">
        <f>Table834[[#This Row],[Night Pulse]]^2</f>
        <v>6400</v>
      </c>
      <c r="W198" s="2">
        <v>0.5</v>
      </c>
      <c r="X198" s="2">
        <f>Table834[[#This Row],[Sleep]]^2</f>
        <v>0.25</v>
      </c>
      <c r="Y198" s="2">
        <f t="shared" si="7"/>
        <v>36.154285714285713</v>
      </c>
      <c r="Z198" s="2">
        <f>Table834[[#This Row],[BMI]]^2</f>
        <v>1307.1323755102039</v>
      </c>
      <c r="AA198" s="2">
        <f t="shared" si="6"/>
        <v>31.997550455105717</v>
      </c>
      <c r="AB198" s="2">
        <f>Table834[[#This Row],[CBF]]^2</f>
        <v>1023.8432351270361</v>
      </c>
      <c r="AC198" s="2">
        <v>0</v>
      </c>
      <c r="AD198" s="2">
        <f>Table834[[#This Row],[Gym]]^2</f>
        <v>0</v>
      </c>
      <c r="AE198" s="2">
        <v>0</v>
      </c>
      <c r="AF198" s="2">
        <f>Table834[[#This Row],[Cardio]]^2</f>
        <v>0</v>
      </c>
      <c r="AG198" s="2">
        <v>3016.4285714285716</v>
      </c>
      <c r="AH198" s="2">
        <f>Table834[[#This Row],[Calories]]^2</f>
        <v>9098841.326530613</v>
      </c>
      <c r="AI198" s="2">
        <v>546.00428571428574</v>
      </c>
      <c r="AJ198" s="2">
        <f>Table834[[#This Row],[Carbs]]^2</f>
        <v>298120.68001836736</v>
      </c>
      <c r="AK198" s="2">
        <v>80.817142857142869</v>
      </c>
      <c r="AL198" s="2">
        <f>Table834[[#This Row],[Fat ]]^2</f>
        <v>6531.4105795918385</v>
      </c>
      <c r="AM198" s="2">
        <v>44.81</v>
      </c>
      <c r="AN198" s="2">
        <f>Table834[[#This Row],[Protein]]^2</f>
        <v>2007.9361000000001</v>
      </c>
      <c r="AO198" s="2">
        <v>7.2571428571428571</v>
      </c>
      <c r="AP198" s="2">
        <f>Table834[[#This Row],[Fiber]]^2</f>
        <v>52.666122448979593</v>
      </c>
      <c r="AQ198" s="2">
        <v>421.48571428571432</v>
      </c>
      <c r="AR198" s="2">
        <f>Table834[[#This Row],[Sugar]]^2</f>
        <v>177650.20734693881</v>
      </c>
      <c r="AS198" s="2">
        <v>105.5</v>
      </c>
      <c r="AT198" s="2">
        <f>Table834[[#This Row],[Servings]]^2</f>
        <v>11130.25</v>
      </c>
      <c r="AU198" s="2">
        <v>2</v>
      </c>
      <c r="AV198" s="2">
        <f>Table834[[#This Row],[Water]]^2</f>
        <v>4</v>
      </c>
      <c r="AW198" s="2">
        <v>727.35428571428565</v>
      </c>
      <c r="AX198" s="2">
        <f>Table834[[#This Row],[Fat Calories]]^2</f>
        <v>529044.25694693869</v>
      </c>
      <c r="AY198" s="3">
        <f>Table834[[#This Row],[Weight]]*Table834[[#This Row],[Waist]]</f>
        <v>11214</v>
      </c>
      <c r="AZ198" s="4">
        <f>Table834[[#This Row],[Weight]]*Table834[[#This Row],[Neck]]</f>
        <v>4158</v>
      </c>
      <c r="BA198" s="4">
        <f>Table834[[#This Row],[Weight]]*Table834[[#This Row],[Morning Body Temp]]</f>
        <v>24267.599999999999</v>
      </c>
      <c r="BB198" s="4">
        <f>Table834[[#This Row],[Weight]]*Table834[[#This Row],[Morning Systolic Pressure]]</f>
        <v>32256</v>
      </c>
      <c r="BC198" s="11">
        <f>Table834[[#This Row],[Weight]]*Table834[[#This Row],[Morning Diastolic Pressure]]</f>
        <v>18648</v>
      </c>
      <c r="BD198" s="2">
        <f>Table834[[#This Row],[Weight]]*Table834[[#This Row],[Morning Pulse]]</f>
        <v>20916</v>
      </c>
      <c r="BE198" s="2">
        <f>Table834[[#This Row],[Weight]]*Table834[[#This Row],[Night Body Temp]]</f>
        <v>24620.400000000001</v>
      </c>
      <c r="BF198" s="2">
        <f>Table834[[#This Row],[Weight]]*Table834[[#This Row],[Night Systolic Pressure]]</f>
        <v>39312</v>
      </c>
      <c r="BG198" s="4">
        <f>Table83[[#This Row],[Weight]]*Table83[[#This Row],[Night Diastolic Pressure]]</f>
        <v>20664</v>
      </c>
      <c r="BH198" s="2">
        <f>Table834[[#This Row],[Weight]]*Table834[[#This Row],[Night Pulse]]</f>
        <v>20160</v>
      </c>
      <c r="BI198" s="2">
        <f>Table834[[#This Row],[Weight]]*Table834[[#This Row],[Sleep]]</f>
        <v>126</v>
      </c>
      <c r="BJ198" s="2">
        <f>Table834[[#This Row],[Weight]]*Table834[[#This Row],[BMI]]</f>
        <v>9110.8799999999992</v>
      </c>
      <c r="BK198" s="2">
        <f>Table834[[#This Row],[Weight]]*Table834[[#This Row],[CBF]]</f>
        <v>8063.3827146866406</v>
      </c>
      <c r="BL198" s="2">
        <f>Table834[[#This Row],[Weight]]*Table834[[#This Row],[Gym]]</f>
        <v>0</v>
      </c>
      <c r="BM198" s="2">
        <f>Table834[[#This Row],[Weight]]*Table834[[#This Row],[Cardio]]</f>
        <v>0</v>
      </c>
      <c r="BN198" s="2">
        <f>Table834[[#This Row],[Weight]]*Table834[[#This Row],[Calories]]</f>
        <v>760140</v>
      </c>
      <c r="BO198" s="2">
        <f>Table834[[#This Row],[Weight]]*Table834[[#This Row],[Carbs]]</f>
        <v>137593.08000000002</v>
      </c>
      <c r="BP198" s="2">
        <f>Table834[[#This Row],[Weight]]*Table834[[#This Row],[Fat ]]</f>
        <v>20365.920000000002</v>
      </c>
      <c r="BQ198" s="2">
        <f>Table834[[#This Row],[Weight]]*Table834[[#This Row],[Protein]]</f>
        <v>11292.12</v>
      </c>
      <c r="BR198" s="2">
        <f>Table834[[#This Row],[Weight]]*Table834[[#This Row],[Fiber]]</f>
        <v>1828.8</v>
      </c>
      <c r="BS198" s="2">
        <f>Table834[[#This Row],[Weight]]*Table834[[#This Row],[Sugar]]</f>
        <v>106214.40000000001</v>
      </c>
      <c r="BT198" s="2">
        <f>Table834[[#This Row],[Weight]]*Table834[[#This Row],[Servings]]</f>
        <v>26586</v>
      </c>
      <c r="BU198" s="2">
        <f>Table834[[#This Row],[Weight]]*Table834[[#This Row],[Water]]</f>
        <v>504</v>
      </c>
      <c r="BV198" s="2">
        <f>Table834[[#This Row],[Weight]]*Table834[[#This Row],[Fat Calories]]</f>
        <v>183293.27999999997</v>
      </c>
      <c r="BW198" s="2">
        <f>Table834[[#This Row],[Waist]]*Table834[[#This Row],[Neck]]</f>
        <v>734.25</v>
      </c>
      <c r="BX198" s="2">
        <f>Table834[[#This Row],[Waist]]*Table834[[#This Row],[Morning Body Temp]]</f>
        <v>4285.3499999999995</v>
      </c>
      <c r="BY198" s="2">
        <f>Table834[[#This Row],[Waist]]*Table834[[#This Row],[Morning Systolic Pressure]]</f>
        <v>5696</v>
      </c>
      <c r="BZ198" s="2">
        <f>Table834[[#This Row],[Waist]]*Table834[[#This Row],[Morning Diastolic Pressure]]</f>
        <v>3293</v>
      </c>
      <c r="CA198" s="2">
        <f>Table834[[#This Row],[Waist]]*Table834[[#This Row],[Morning Pulse]]</f>
        <v>3693.5</v>
      </c>
      <c r="CB198" s="2">
        <f>Table834[[#This Row],[Waist]]*Table834[[#This Row],[Night Body Temp]]</f>
        <v>4347.6500000000005</v>
      </c>
      <c r="CC198" s="2">
        <f>Table834[[#This Row],[Waist]]*Table834[[#This Row],[Night Systolic Pressure]]</f>
        <v>6942</v>
      </c>
      <c r="CD198" s="4">
        <f>Table83[[#This Row],[Waist]]*Table83[[#This Row],[Night Diastolic Pressure]]</f>
        <v>3649</v>
      </c>
      <c r="CE198" s="2">
        <f>Table834[[#This Row],[Waist]]*Table834[[#This Row],[Night Pulse]]</f>
        <v>3560</v>
      </c>
      <c r="CF198" s="2">
        <f>Table834[[#This Row],[Waist]]*Table834[[#This Row],[Sleep]]</f>
        <v>22.25</v>
      </c>
      <c r="CG198" s="2">
        <f>Table834[[#This Row],[Waist]]*Table834[[#This Row],[BMI]]</f>
        <v>1608.8657142857141</v>
      </c>
      <c r="CH198" s="2">
        <f>Table834[[#This Row],[Waist]]*Table834[[#This Row],[CBF]]</f>
        <v>1423.8909952522044</v>
      </c>
      <c r="CI198" s="2">
        <f>Table834[[#This Row],[Waist]]*Table834[[#This Row],[Gym]]</f>
        <v>0</v>
      </c>
      <c r="CJ198" s="2">
        <f>Table834[[#This Row],[Waist]]*Table834[[#This Row],[Cardio]]</f>
        <v>0</v>
      </c>
      <c r="CK198" s="2">
        <f>Table834[[#This Row],[Waist]]*Table834[[#This Row],[Calories]]</f>
        <v>134231.07142857142</v>
      </c>
      <c r="CL198" s="2">
        <f>Table834[[#This Row],[Waist]]*Table834[[#This Row],[Carbs]]</f>
        <v>24297.190714285716</v>
      </c>
      <c r="CM198" s="2">
        <f>Table834[[#This Row],[Waist]]*Table834[[#This Row],[Fat ]]</f>
        <v>3596.3628571428576</v>
      </c>
      <c r="CN198" s="2">
        <f>Table834[[#This Row],[Waist]]*Table834[[#This Row],[Protein]]</f>
        <v>1994.0450000000001</v>
      </c>
      <c r="CO198" s="2">
        <f>Table834[[#This Row],[Waist]]*Table834[[#This Row],[Fiber]]</f>
        <v>322.94285714285712</v>
      </c>
      <c r="CP198" s="2">
        <f>Table834[[#This Row],[Waist]]*Table834[[#This Row],[Sugar]]</f>
        <v>18756.114285714288</v>
      </c>
      <c r="CQ198" s="2">
        <f>Table834[[#This Row],[Waist]]*Table834[[#This Row],[Servings]]</f>
        <v>4694.75</v>
      </c>
      <c r="CR198" s="2">
        <f>Table834[[#This Row],[Waist]]*Table834[[#This Row],[Water]]</f>
        <v>89</v>
      </c>
      <c r="CS198" s="2">
        <f>Table834[[#This Row],[Waist]]*Table834[[#This Row],[Fat Calories]]</f>
        <v>32367.265714285713</v>
      </c>
    </row>
    <row r="199" spans="1:97" x14ac:dyDescent="0.25">
      <c r="A199" s="2">
        <v>254</v>
      </c>
      <c r="B199" s="2">
        <f>Table834[[#This Row],[Weight]]^2</f>
        <v>64516</v>
      </c>
      <c r="C199" s="2">
        <v>44.5</v>
      </c>
      <c r="D199" s="2">
        <f>Table834[[#This Row],[Waist]]^2</f>
        <v>1980.25</v>
      </c>
      <c r="E199" s="2">
        <v>16.5</v>
      </c>
      <c r="F199" s="2">
        <f>Table834[[#This Row],[Neck]]^2</f>
        <v>272.25</v>
      </c>
      <c r="G199" s="2">
        <v>95.4</v>
      </c>
      <c r="H199" s="2">
        <f>Table834[[#This Row],[Morning Body Temp]]^2</f>
        <v>9101.1600000000017</v>
      </c>
      <c r="I199" s="2">
        <v>128</v>
      </c>
      <c r="J199" s="2">
        <f>Table834[[#This Row],[Morning Systolic Pressure]]^2</f>
        <v>16384</v>
      </c>
      <c r="K199" s="2">
        <v>79</v>
      </c>
      <c r="L199" s="2">
        <f>Table834[[#This Row],[Morning Diastolic Pressure]]^2</f>
        <v>6241</v>
      </c>
      <c r="M199" s="2">
        <v>64</v>
      </c>
      <c r="N199" s="2">
        <f>Table834[[#This Row],[Morning Pulse]]^2</f>
        <v>4096</v>
      </c>
      <c r="O199" s="2">
        <v>97.8</v>
      </c>
      <c r="P199" s="2">
        <f>Table834[[#This Row],[Night Body Temp]]^2</f>
        <v>9564.84</v>
      </c>
      <c r="Q199" s="2">
        <v>150</v>
      </c>
      <c r="R199" s="2">
        <f>Table834[[#This Row],[Night Systolic Pressure]]^2</f>
        <v>22500</v>
      </c>
      <c r="S199" s="2">
        <v>82</v>
      </c>
      <c r="T199" s="2">
        <f>Table834[[#This Row],[Night Diastolic Pressure]]^2</f>
        <v>6724</v>
      </c>
      <c r="U199" s="2">
        <v>86</v>
      </c>
      <c r="V199" s="2">
        <f>Table834[[#This Row],[Night Pulse]]^2</f>
        <v>7396</v>
      </c>
      <c r="W199" s="2">
        <v>8</v>
      </c>
      <c r="X199" s="2">
        <f>Table834[[#This Row],[Sleep]]^2</f>
        <v>64</v>
      </c>
      <c r="Y199" s="2">
        <f t="shared" si="7"/>
        <v>36.441224489795914</v>
      </c>
      <c r="Z199" s="2">
        <f>Table834[[#This Row],[BMI]]^2</f>
        <v>1327.9628423157014</v>
      </c>
      <c r="AA199" s="2">
        <f t="shared" si="6"/>
        <v>31.997550455105717</v>
      </c>
      <c r="AB199" s="2">
        <f>Table834[[#This Row],[CBF]]^2</f>
        <v>1023.8432351270361</v>
      </c>
      <c r="AC199" s="2">
        <v>0</v>
      </c>
      <c r="AD199" s="2">
        <f>Table834[[#This Row],[Gym]]^2</f>
        <v>0</v>
      </c>
      <c r="AE199" s="2">
        <v>1</v>
      </c>
      <c r="AF199" s="2">
        <f>Table834[[#This Row],[Cardio]]^2</f>
        <v>1</v>
      </c>
      <c r="AG199" s="2">
        <v>2835.166666666667</v>
      </c>
      <c r="AH199" s="2">
        <f>Table834[[#This Row],[Calories]]^2</f>
        <v>8038170.0277777798</v>
      </c>
      <c r="AI199" s="2">
        <v>456.7166666666667</v>
      </c>
      <c r="AJ199" s="2">
        <f>Table834[[#This Row],[Carbs]]^2</f>
        <v>208590.11361111113</v>
      </c>
      <c r="AK199" s="2">
        <v>89.608333333333334</v>
      </c>
      <c r="AL199" s="2">
        <f>Table834[[#This Row],[Fat ]]^2</f>
        <v>8029.653402777778</v>
      </c>
      <c r="AM199" s="2">
        <v>72.866666666666674</v>
      </c>
      <c r="AN199" s="2">
        <f>Table834[[#This Row],[Protein]]^2</f>
        <v>5309.5511111111118</v>
      </c>
      <c r="AO199" s="2">
        <v>40.066666666666663</v>
      </c>
      <c r="AP199" s="2">
        <f>Table834[[#This Row],[Fiber]]^2</f>
        <v>1605.3377777777775</v>
      </c>
      <c r="AQ199" s="2">
        <v>291.75833333333333</v>
      </c>
      <c r="AR199" s="2">
        <f>Table834[[#This Row],[Sugar]]^2</f>
        <v>85122.925069444434</v>
      </c>
      <c r="AS199" s="2">
        <v>62</v>
      </c>
      <c r="AT199" s="2">
        <f>Table834[[#This Row],[Servings]]^2</f>
        <v>3844</v>
      </c>
      <c r="AU199" s="2">
        <v>1</v>
      </c>
      <c r="AV199" s="2">
        <f>Table834[[#This Row],[Water]]^2</f>
        <v>1</v>
      </c>
      <c r="AW199" s="2">
        <v>806.47500000000002</v>
      </c>
      <c r="AX199" s="2">
        <f>Table834[[#This Row],[Fat Calories]]^2</f>
        <v>650401.92562500003</v>
      </c>
      <c r="AY199" s="5">
        <f>Table834[[#This Row],[Weight]]*Table834[[#This Row],[Waist]]</f>
        <v>11303</v>
      </c>
      <c r="AZ199" s="6">
        <f>Table834[[#This Row],[Weight]]*Table834[[#This Row],[Neck]]</f>
        <v>4191</v>
      </c>
      <c r="BA199" s="6">
        <f>Table834[[#This Row],[Weight]]*Table834[[#This Row],[Morning Body Temp]]</f>
        <v>24231.600000000002</v>
      </c>
      <c r="BB199" s="6">
        <f>Table834[[#This Row],[Weight]]*Table834[[#This Row],[Morning Systolic Pressure]]</f>
        <v>32512</v>
      </c>
      <c r="BC199" s="12">
        <f>Table834[[#This Row],[Weight]]*Table834[[#This Row],[Morning Diastolic Pressure]]</f>
        <v>20066</v>
      </c>
      <c r="BD199" s="2">
        <f>Table834[[#This Row],[Weight]]*Table834[[#This Row],[Morning Pulse]]</f>
        <v>16256</v>
      </c>
      <c r="BE199" s="2">
        <f>Table834[[#This Row],[Weight]]*Table834[[#This Row],[Night Body Temp]]</f>
        <v>24841.200000000001</v>
      </c>
      <c r="BF199" s="2">
        <f>Table834[[#This Row],[Weight]]*Table834[[#This Row],[Night Systolic Pressure]]</f>
        <v>38100</v>
      </c>
      <c r="BG199" s="4">
        <f>Table83[[#This Row],[Weight]]*Table83[[#This Row],[Night Diastolic Pressure]]</f>
        <v>20828</v>
      </c>
      <c r="BH199" s="2">
        <f>Table834[[#This Row],[Weight]]*Table834[[#This Row],[Night Pulse]]</f>
        <v>21844</v>
      </c>
      <c r="BI199" s="2">
        <f>Table834[[#This Row],[Weight]]*Table834[[#This Row],[Sleep]]</f>
        <v>2032</v>
      </c>
      <c r="BJ199" s="2">
        <f>Table834[[#This Row],[Weight]]*Table834[[#This Row],[BMI]]</f>
        <v>9256.0710204081624</v>
      </c>
      <c r="BK199" s="2">
        <f>Table834[[#This Row],[Weight]]*Table834[[#This Row],[CBF]]</f>
        <v>8127.3778155968521</v>
      </c>
      <c r="BL199" s="2">
        <f>Table834[[#This Row],[Weight]]*Table834[[#This Row],[Gym]]</f>
        <v>0</v>
      </c>
      <c r="BM199" s="2">
        <f>Table834[[#This Row],[Weight]]*Table834[[#This Row],[Cardio]]</f>
        <v>254</v>
      </c>
      <c r="BN199" s="2">
        <f>Table834[[#This Row],[Weight]]*Table834[[#This Row],[Calories]]</f>
        <v>720132.33333333337</v>
      </c>
      <c r="BO199" s="2">
        <f>Table834[[#This Row],[Weight]]*Table834[[#This Row],[Carbs]]</f>
        <v>116006.03333333334</v>
      </c>
      <c r="BP199" s="2">
        <f>Table834[[#This Row],[Weight]]*Table834[[#This Row],[Fat ]]</f>
        <v>22760.516666666666</v>
      </c>
      <c r="BQ199" s="2">
        <f>Table834[[#This Row],[Weight]]*Table834[[#This Row],[Protein]]</f>
        <v>18508.133333333335</v>
      </c>
      <c r="BR199" s="2">
        <f>Table834[[#This Row],[Weight]]*Table834[[#This Row],[Fiber]]</f>
        <v>10176.933333333332</v>
      </c>
      <c r="BS199" s="2">
        <f>Table834[[#This Row],[Weight]]*Table834[[#This Row],[Sugar]]</f>
        <v>74106.616666666669</v>
      </c>
      <c r="BT199" s="2">
        <f>Table834[[#This Row],[Weight]]*Table834[[#This Row],[Servings]]</f>
        <v>15748</v>
      </c>
      <c r="BU199" s="2">
        <f>Table834[[#This Row],[Weight]]*Table834[[#This Row],[Water]]</f>
        <v>254</v>
      </c>
      <c r="BV199" s="2">
        <f>Table834[[#This Row],[Weight]]*Table834[[#This Row],[Fat Calories]]</f>
        <v>204844.65</v>
      </c>
      <c r="BW199" s="2">
        <f>Table834[[#This Row],[Waist]]*Table834[[#This Row],[Neck]]</f>
        <v>734.25</v>
      </c>
      <c r="BX199" s="2">
        <f>Table834[[#This Row],[Waist]]*Table834[[#This Row],[Morning Body Temp]]</f>
        <v>4245.3</v>
      </c>
      <c r="BY199" s="2">
        <f>Table834[[#This Row],[Waist]]*Table834[[#This Row],[Morning Systolic Pressure]]</f>
        <v>5696</v>
      </c>
      <c r="BZ199" s="2">
        <f>Table834[[#This Row],[Waist]]*Table834[[#This Row],[Morning Diastolic Pressure]]</f>
        <v>3515.5</v>
      </c>
      <c r="CA199" s="2">
        <f>Table834[[#This Row],[Waist]]*Table834[[#This Row],[Morning Pulse]]</f>
        <v>2848</v>
      </c>
      <c r="CB199" s="2">
        <f>Table834[[#This Row],[Waist]]*Table834[[#This Row],[Night Body Temp]]</f>
        <v>4352.0999999999995</v>
      </c>
      <c r="CC199" s="2">
        <f>Table834[[#This Row],[Waist]]*Table834[[#This Row],[Night Systolic Pressure]]</f>
        <v>6675</v>
      </c>
      <c r="CD199" s="4">
        <f>Table83[[#This Row],[Waist]]*Table83[[#This Row],[Night Diastolic Pressure]]</f>
        <v>3649</v>
      </c>
      <c r="CE199" s="2">
        <f>Table834[[#This Row],[Waist]]*Table834[[#This Row],[Night Pulse]]</f>
        <v>3827</v>
      </c>
      <c r="CF199" s="2">
        <f>Table834[[#This Row],[Waist]]*Table834[[#This Row],[Sleep]]</f>
        <v>356</v>
      </c>
      <c r="CG199" s="2">
        <f>Table834[[#This Row],[Waist]]*Table834[[#This Row],[BMI]]</f>
        <v>1621.6344897959182</v>
      </c>
      <c r="CH199" s="2">
        <f>Table834[[#This Row],[Waist]]*Table834[[#This Row],[CBF]]</f>
        <v>1423.8909952522044</v>
      </c>
      <c r="CI199" s="2">
        <f>Table834[[#This Row],[Waist]]*Table834[[#This Row],[Gym]]</f>
        <v>0</v>
      </c>
      <c r="CJ199" s="2">
        <f>Table834[[#This Row],[Waist]]*Table834[[#This Row],[Cardio]]</f>
        <v>44.5</v>
      </c>
      <c r="CK199" s="2">
        <f>Table834[[#This Row],[Waist]]*Table834[[#This Row],[Calories]]</f>
        <v>126164.91666666669</v>
      </c>
      <c r="CL199" s="2">
        <f>Table834[[#This Row],[Waist]]*Table834[[#This Row],[Carbs]]</f>
        <v>20323.891666666666</v>
      </c>
      <c r="CM199" s="2">
        <f>Table834[[#This Row],[Waist]]*Table834[[#This Row],[Fat ]]</f>
        <v>3987.5708333333332</v>
      </c>
      <c r="CN199" s="2">
        <f>Table834[[#This Row],[Waist]]*Table834[[#This Row],[Protein]]</f>
        <v>3242.5666666666671</v>
      </c>
      <c r="CO199" s="2">
        <f>Table834[[#This Row],[Waist]]*Table834[[#This Row],[Fiber]]</f>
        <v>1782.9666666666665</v>
      </c>
      <c r="CP199" s="2">
        <f>Table834[[#This Row],[Waist]]*Table834[[#This Row],[Sugar]]</f>
        <v>12983.245833333332</v>
      </c>
      <c r="CQ199" s="2">
        <f>Table834[[#This Row],[Waist]]*Table834[[#This Row],[Servings]]</f>
        <v>2759</v>
      </c>
      <c r="CR199" s="2">
        <f>Table834[[#This Row],[Waist]]*Table834[[#This Row],[Water]]</f>
        <v>44.5</v>
      </c>
      <c r="CS199" s="2">
        <f>Table834[[#This Row],[Waist]]*Table834[[#This Row],[Fat Calories]]</f>
        <v>35888.137500000004</v>
      </c>
    </row>
    <row r="200" spans="1:97" x14ac:dyDescent="0.25">
      <c r="A200" s="2">
        <v>255</v>
      </c>
      <c r="B200" s="2">
        <f>Table834[[#This Row],[Weight]]^2</f>
        <v>65025</v>
      </c>
      <c r="C200" s="2">
        <v>45</v>
      </c>
      <c r="D200" s="2">
        <f>Table834[[#This Row],[Waist]]^2</f>
        <v>2025</v>
      </c>
      <c r="E200" s="2">
        <v>16.5</v>
      </c>
      <c r="F200" s="2">
        <f>Table834[[#This Row],[Neck]]^2</f>
        <v>272.25</v>
      </c>
      <c r="G200" s="2">
        <v>98.1</v>
      </c>
      <c r="H200" s="2">
        <f>Table834[[#This Row],[Morning Body Temp]]^2</f>
        <v>9623.6099999999988</v>
      </c>
      <c r="I200" s="2">
        <v>139</v>
      </c>
      <c r="J200" s="2">
        <f>Table834[[#This Row],[Morning Systolic Pressure]]^2</f>
        <v>19321</v>
      </c>
      <c r="K200" s="2">
        <v>66</v>
      </c>
      <c r="L200" s="2">
        <f>Table834[[#This Row],[Morning Diastolic Pressure]]^2</f>
        <v>4356</v>
      </c>
      <c r="M200" s="2">
        <v>91</v>
      </c>
      <c r="N200" s="2">
        <f>Table834[[#This Row],[Morning Pulse]]^2</f>
        <v>8281</v>
      </c>
      <c r="O200" s="2">
        <v>97.5</v>
      </c>
      <c r="P200" s="2">
        <f>Table834[[#This Row],[Night Body Temp]]^2</f>
        <v>9506.25</v>
      </c>
      <c r="Q200" s="2">
        <v>132</v>
      </c>
      <c r="R200" s="2">
        <f>Table834[[#This Row],[Night Systolic Pressure]]^2</f>
        <v>17424</v>
      </c>
      <c r="S200" s="2">
        <v>78</v>
      </c>
      <c r="T200" s="2">
        <f>Table834[[#This Row],[Night Diastolic Pressure]]^2</f>
        <v>6084</v>
      </c>
      <c r="U200" s="2">
        <v>70</v>
      </c>
      <c r="V200" s="2">
        <f>Table834[[#This Row],[Night Pulse]]^2</f>
        <v>4900</v>
      </c>
      <c r="W200" s="2">
        <v>6</v>
      </c>
      <c r="X200" s="2">
        <f>Table834[[#This Row],[Sleep]]^2</f>
        <v>36</v>
      </c>
      <c r="Y200" s="2">
        <f t="shared" si="7"/>
        <v>36.584693877551018</v>
      </c>
      <c r="Z200" s="2">
        <f>Table834[[#This Row],[BMI]]^2</f>
        <v>1338.4398261141189</v>
      </c>
      <c r="AA200" s="2">
        <f t="shared" si="6"/>
        <v>32.6586945886934</v>
      </c>
      <c r="AB200" s="2">
        <f>Table834[[#This Row],[CBF]]^2</f>
        <v>1066.5903322375516</v>
      </c>
      <c r="AC200" s="2">
        <v>0</v>
      </c>
      <c r="AD200" s="2">
        <f>Table834[[#This Row],[Gym]]^2</f>
        <v>0</v>
      </c>
      <c r="AE200" s="2">
        <v>1</v>
      </c>
      <c r="AF200" s="2">
        <f>Table834[[#This Row],[Cardio]]^2</f>
        <v>1</v>
      </c>
      <c r="AG200" s="2">
        <v>3105.8571428571431</v>
      </c>
      <c r="AH200" s="2">
        <f>Table834[[#This Row],[Calories]]^2</f>
        <v>9646348.5918367356</v>
      </c>
      <c r="AI200" s="2">
        <v>472.20857142857142</v>
      </c>
      <c r="AJ200" s="2">
        <f>Table834[[#This Row],[Carbs]]^2</f>
        <v>222980.93493061225</v>
      </c>
      <c r="AK200" s="2">
        <v>82.934285714285721</v>
      </c>
      <c r="AL200" s="2">
        <f>Table834[[#This Row],[Fat ]]^2</f>
        <v>6878.0957469387768</v>
      </c>
      <c r="AM200" s="2">
        <v>132.82</v>
      </c>
      <c r="AN200" s="2">
        <f>Table834[[#This Row],[Protein]]^2</f>
        <v>17641.152399999999</v>
      </c>
      <c r="AO200" s="2">
        <v>8.1142857142857139</v>
      </c>
      <c r="AP200" s="2">
        <f>Table834[[#This Row],[Fiber]]^2</f>
        <v>65.841632653061211</v>
      </c>
      <c r="AQ200" s="2">
        <v>285.67142857142858</v>
      </c>
      <c r="AR200" s="2">
        <f>Table834[[#This Row],[Sugar]]^2</f>
        <v>81608.165102040817</v>
      </c>
      <c r="AS200" s="2">
        <v>72</v>
      </c>
      <c r="AT200" s="2">
        <f>Table834[[#This Row],[Servings]]^2</f>
        <v>5184</v>
      </c>
      <c r="AU200" s="2">
        <v>1</v>
      </c>
      <c r="AV200" s="2">
        <f>Table834[[#This Row],[Water]]^2</f>
        <v>1</v>
      </c>
      <c r="AW200" s="2">
        <v>746.40857142857135</v>
      </c>
      <c r="AX200" s="2">
        <f>Table834[[#This Row],[Fat Calories]]^2</f>
        <v>557125.75550204073</v>
      </c>
      <c r="AY200" s="3">
        <f>Table834[[#This Row],[Weight]]*Table834[[#This Row],[Waist]]</f>
        <v>11475</v>
      </c>
      <c r="AZ200" s="4">
        <f>Table834[[#This Row],[Weight]]*Table834[[#This Row],[Neck]]</f>
        <v>4207.5</v>
      </c>
      <c r="BA200" s="4">
        <f>Table834[[#This Row],[Weight]]*Table834[[#This Row],[Morning Body Temp]]</f>
        <v>25015.5</v>
      </c>
      <c r="BB200" s="4">
        <f>Table834[[#This Row],[Weight]]*Table834[[#This Row],[Morning Systolic Pressure]]</f>
        <v>35445</v>
      </c>
      <c r="BC200" s="11">
        <f>Table834[[#This Row],[Weight]]*Table834[[#This Row],[Morning Diastolic Pressure]]</f>
        <v>16830</v>
      </c>
      <c r="BD200" s="2">
        <f>Table834[[#This Row],[Weight]]*Table834[[#This Row],[Morning Pulse]]</f>
        <v>23205</v>
      </c>
      <c r="BE200" s="2">
        <f>Table834[[#This Row],[Weight]]*Table834[[#This Row],[Night Body Temp]]</f>
        <v>24862.5</v>
      </c>
      <c r="BF200" s="2">
        <f>Table834[[#This Row],[Weight]]*Table834[[#This Row],[Night Systolic Pressure]]</f>
        <v>33660</v>
      </c>
      <c r="BG200" s="4">
        <f>Table83[[#This Row],[Weight]]*Table83[[#This Row],[Night Diastolic Pressure]]</f>
        <v>19890</v>
      </c>
      <c r="BH200" s="2">
        <f>Table834[[#This Row],[Weight]]*Table834[[#This Row],[Night Pulse]]</f>
        <v>17850</v>
      </c>
      <c r="BI200" s="2">
        <f>Table834[[#This Row],[Weight]]*Table834[[#This Row],[Sleep]]</f>
        <v>1530</v>
      </c>
      <c r="BJ200" s="2">
        <f>Table834[[#This Row],[Weight]]*Table834[[#This Row],[BMI]]</f>
        <v>9329.0969387755104</v>
      </c>
      <c r="BK200" s="2">
        <f>Table834[[#This Row],[Weight]]*Table834[[#This Row],[CBF]]</f>
        <v>8327.9671201168167</v>
      </c>
      <c r="BL200" s="2">
        <f>Table834[[#This Row],[Weight]]*Table834[[#This Row],[Gym]]</f>
        <v>0</v>
      </c>
      <c r="BM200" s="2">
        <f>Table834[[#This Row],[Weight]]*Table834[[#This Row],[Cardio]]</f>
        <v>255</v>
      </c>
      <c r="BN200" s="2">
        <f>Table834[[#This Row],[Weight]]*Table834[[#This Row],[Calories]]</f>
        <v>791993.57142857148</v>
      </c>
      <c r="BO200" s="2">
        <f>Table834[[#This Row],[Weight]]*Table834[[#This Row],[Carbs]]</f>
        <v>120413.1857142857</v>
      </c>
      <c r="BP200" s="2">
        <f>Table834[[#This Row],[Weight]]*Table834[[#This Row],[Fat ]]</f>
        <v>21148.242857142857</v>
      </c>
      <c r="BQ200" s="2">
        <f>Table834[[#This Row],[Weight]]*Table834[[#This Row],[Protein]]</f>
        <v>33869.1</v>
      </c>
      <c r="BR200" s="2">
        <f>Table834[[#This Row],[Weight]]*Table834[[#This Row],[Fiber]]</f>
        <v>2069.1428571428569</v>
      </c>
      <c r="BS200" s="2">
        <f>Table834[[#This Row],[Weight]]*Table834[[#This Row],[Sugar]]</f>
        <v>72846.21428571429</v>
      </c>
      <c r="BT200" s="2">
        <f>Table834[[#This Row],[Weight]]*Table834[[#This Row],[Servings]]</f>
        <v>18360</v>
      </c>
      <c r="BU200" s="2">
        <f>Table834[[#This Row],[Weight]]*Table834[[#This Row],[Water]]</f>
        <v>255</v>
      </c>
      <c r="BV200" s="2">
        <f>Table834[[#This Row],[Weight]]*Table834[[#This Row],[Fat Calories]]</f>
        <v>190334.1857142857</v>
      </c>
      <c r="BW200" s="2">
        <f>Table834[[#This Row],[Waist]]*Table834[[#This Row],[Neck]]</f>
        <v>742.5</v>
      </c>
      <c r="BX200" s="2">
        <f>Table834[[#This Row],[Waist]]*Table834[[#This Row],[Morning Body Temp]]</f>
        <v>4414.5</v>
      </c>
      <c r="BY200" s="2">
        <f>Table834[[#This Row],[Waist]]*Table834[[#This Row],[Morning Systolic Pressure]]</f>
        <v>6255</v>
      </c>
      <c r="BZ200" s="2">
        <f>Table834[[#This Row],[Waist]]*Table834[[#This Row],[Morning Diastolic Pressure]]</f>
        <v>2970</v>
      </c>
      <c r="CA200" s="2">
        <f>Table834[[#This Row],[Waist]]*Table834[[#This Row],[Morning Pulse]]</f>
        <v>4095</v>
      </c>
      <c r="CB200" s="2">
        <f>Table834[[#This Row],[Waist]]*Table834[[#This Row],[Night Body Temp]]</f>
        <v>4387.5</v>
      </c>
      <c r="CC200" s="2">
        <f>Table834[[#This Row],[Waist]]*Table834[[#This Row],[Night Systolic Pressure]]</f>
        <v>5940</v>
      </c>
      <c r="CD200" s="4">
        <f>Table83[[#This Row],[Waist]]*Table83[[#This Row],[Night Diastolic Pressure]]</f>
        <v>3510</v>
      </c>
      <c r="CE200" s="2">
        <f>Table834[[#This Row],[Waist]]*Table834[[#This Row],[Night Pulse]]</f>
        <v>3150</v>
      </c>
      <c r="CF200" s="2">
        <f>Table834[[#This Row],[Waist]]*Table834[[#This Row],[Sleep]]</f>
        <v>270</v>
      </c>
      <c r="CG200" s="2">
        <f>Table834[[#This Row],[Waist]]*Table834[[#This Row],[BMI]]</f>
        <v>1646.3112244897959</v>
      </c>
      <c r="CH200" s="2">
        <f>Table834[[#This Row],[Waist]]*Table834[[#This Row],[CBF]]</f>
        <v>1469.641256491203</v>
      </c>
      <c r="CI200" s="2">
        <f>Table834[[#This Row],[Waist]]*Table834[[#This Row],[Gym]]</f>
        <v>0</v>
      </c>
      <c r="CJ200" s="2">
        <f>Table834[[#This Row],[Waist]]*Table834[[#This Row],[Cardio]]</f>
        <v>45</v>
      </c>
      <c r="CK200" s="2">
        <f>Table834[[#This Row],[Waist]]*Table834[[#This Row],[Calories]]</f>
        <v>139763.57142857145</v>
      </c>
      <c r="CL200" s="2">
        <f>Table834[[#This Row],[Waist]]*Table834[[#This Row],[Carbs]]</f>
        <v>21249.385714285712</v>
      </c>
      <c r="CM200" s="2">
        <f>Table834[[#This Row],[Waist]]*Table834[[#This Row],[Fat ]]</f>
        <v>3732.0428571428574</v>
      </c>
      <c r="CN200" s="2">
        <f>Table834[[#This Row],[Waist]]*Table834[[#This Row],[Protein]]</f>
        <v>5976.9</v>
      </c>
      <c r="CO200" s="2">
        <f>Table834[[#This Row],[Waist]]*Table834[[#This Row],[Fiber]]</f>
        <v>365.14285714285711</v>
      </c>
      <c r="CP200" s="2">
        <f>Table834[[#This Row],[Waist]]*Table834[[#This Row],[Sugar]]</f>
        <v>12855.214285714286</v>
      </c>
      <c r="CQ200" s="2">
        <f>Table834[[#This Row],[Waist]]*Table834[[#This Row],[Servings]]</f>
        <v>3240</v>
      </c>
      <c r="CR200" s="2">
        <f>Table834[[#This Row],[Waist]]*Table834[[#This Row],[Water]]</f>
        <v>45</v>
      </c>
      <c r="CS200" s="2">
        <f>Table834[[#This Row],[Waist]]*Table834[[#This Row],[Fat Calories]]</f>
        <v>33588.385714285709</v>
      </c>
    </row>
    <row r="201" spans="1:97" x14ac:dyDescent="0.25">
      <c r="A201" s="2">
        <v>254</v>
      </c>
      <c r="B201" s="2">
        <f>Table834[[#This Row],[Weight]]^2</f>
        <v>64516</v>
      </c>
      <c r="C201" s="2">
        <v>45</v>
      </c>
      <c r="D201" s="2">
        <f>Table834[[#This Row],[Waist]]^2</f>
        <v>2025</v>
      </c>
      <c r="E201" s="2">
        <v>16.5</v>
      </c>
      <c r="F201" s="2">
        <f>Table834[[#This Row],[Neck]]^2</f>
        <v>272.25</v>
      </c>
      <c r="G201" s="2">
        <v>99.3</v>
      </c>
      <c r="H201" s="2">
        <f>Table834[[#This Row],[Morning Body Temp]]^2</f>
        <v>9860.49</v>
      </c>
      <c r="I201" s="2">
        <v>140</v>
      </c>
      <c r="J201" s="2">
        <f>Table834[[#This Row],[Morning Systolic Pressure]]^2</f>
        <v>19600</v>
      </c>
      <c r="K201" s="2">
        <v>87</v>
      </c>
      <c r="L201" s="2">
        <f>Table834[[#This Row],[Morning Diastolic Pressure]]^2</f>
        <v>7569</v>
      </c>
      <c r="M201" s="2">
        <v>90</v>
      </c>
      <c r="N201" s="2">
        <f>Table834[[#This Row],[Morning Pulse]]^2</f>
        <v>8100</v>
      </c>
      <c r="O201" s="2">
        <v>97.9</v>
      </c>
      <c r="P201" s="2">
        <f>Table834[[#This Row],[Night Body Temp]]^2</f>
        <v>9584.4100000000017</v>
      </c>
      <c r="Q201" s="2">
        <v>139</v>
      </c>
      <c r="R201" s="2">
        <f>Table834[[#This Row],[Night Systolic Pressure]]^2</f>
        <v>19321</v>
      </c>
      <c r="S201" s="2">
        <v>75</v>
      </c>
      <c r="T201" s="2">
        <f>Table834[[#This Row],[Night Diastolic Pressure]]^2</f>
        <v>5625</v>
      </c>
      <c r="U201" s="2">
        <v>71</v>
      </c>
      <c r="V201" s="2">
        <f>Table834[[#This Row],[Night Pulse]]^2</f>
        <v>5041</v>
      </c>
      <c r="W201" s="2">
        <v>8</v>
      </c>
      <c r="X201" s="2">
        <f>Table834[[#This Row],[Sleep]]^2</f>
        <v>64</v>
      </c>
      <c r="Y201" s="2">
        <f t="shared" si="7"/>
        <v>36.441224489795914</v>
      </c>
      <c r="Z201" s="2">
        <f>Table834[[#This Row],[BMI]]^2</f>
        <v>1327.9628423157014</v>
      </c>
      <c r="AA201" s="2">
        <f t="shared" si="6"/>
        <v>32.6586945886934</v>
      </c>
      <c r="AB201" s="2">
        <f>Table834[[#This Row],[CBF]]^2</f>
        <v>1066.5903322375516</v>
      </c>
      <c r="AC201" s="2">
        <v>0</v>
      </c>
      <c r="AD201" s="2">
        <f>Table834[[#This Row],[Gym]]^2</f>
        <v>0</v>
      </c>
      <c r="AE201" s="2">
        <v>1</v>
      </c>
      <c r="AF201" s="2">
        <f>Table834[[#This Row],[Cardio]]^2</f>
        <v>1</v>
      </c>
      <c r="AG201" s="2">
        <v>4711.3943749999999</v>
      </c>
      <c r="AH201" s="2">
        <f>Table834[[#This Row],[Calories]]^2</f>
        <v>22197236.956781641</v>
      </c>
      <c r="AI201" s="2">
        <v>600.400125</v>
      </c>
      <c r="AJ201" s="2">
        <f>Table834[[#This Row],[Carbs]]^2</f>
        <v>360480.3101000156</v>
      </c>
      <c r="AK201" s="2">
        <v>204.87837500000001</v>
      </c>
      <c r="AL201" s="2">
        <f>Table834[[#This Row],[Fat ]]^2</f>
        <v>41975.148542640629</v>
      </c>
      <c r="AM201" s="2">
        <v>122.4370625</v>
      </c>
      <c r="AN201" s="2">
        <f>Table834[[#This Row],[Protein]]^2</f>
        <v>14990.834273628905</v>
      </c>
      <c r="AO201" s="2">
        <v>34.365312500000002</v>
      </c>
      <c r="AP201" s="2">
        <f>Table834[[#This Row],[Fiber]]^2</f>
        <v>1180.9747032226564</v>
      </c>
      <c r="AQ201" s="2">
        <v>269.09162500000002</v>
      </c>
      <c r="AR201" s="2">
        <f>Table834[[#This Row],[Sugar]]^2</f>
        <v>72410.302645140633</v>
      </c>
      <c r="AS201" s="2">
        <v>76</v>
      </c>
      <c r="AT201" s="2">
        <f>Table834[[#This Row],[Servings]]^2</f>
        <v>5776</v>
      </c>
      <c r="AU201" s="2">
        <v>1</v>
      </c>
      <c r="AV201" s="2">
        <f>Table834[[#This Row],[Water]]^2</f>
        <v>1</v>
      </c>
      <c r="AW201" s="2">
        <v>1843.905375</v>
      </c>
      <c r="AX201" s="2">
        <f>Table834[[#This Row],[Fat Calories]]^2</f>
        <v>3399987.0319538908</v>
      </c>
      <c r="AY201" s="5">
        <f>Table834[[#This Row],[Weight]]*Table834[[#This Row],[Waist]]</f>
        <v>11430</v>
      </c>
      <c r="AZ201" s="6">
        <f>Table834[[#This Row],[Weight]]*Table834[[#This Row],[Neck]]</f>
        <v>4191</v>
      </c>
      <c r="BA201" s="6">
        <f>Table834[[#This Row],[Weight]]*Table834[[#This Row],[Morning Body Temp]]</f>
        <v>25222.2</v>
      </c>
      <c r="BB201" s="6">
        <f>Table834[[#This Row],[Weight]]*Table834[[#This Row],[Morning Systolic Pressure]]</f>
        <v>35560</v>
      </c>
      <c r="BC201" s="12">
        <f>Table834[[#This Row],[Weight]]*Table834[[#This Row],[Morning Diastolic Pressure]]</f>
        <v>22098</v>
      </c>
      <c r="BD201" s="2">
        <f>Table834[[#This Row],[Weight]]*Table834[[#This Row],[Morning Pulse]]</f>
        <v>22860</v>
      </c>
      <c r="BE201" s="2">
        <f>Table834[[#This Row],[Weight]]*Table834[[#This Row],[Night Body Temp]]</f>
        <v>24866.600000000002</v>
      </c>
      <c r="BF201" s="2">
        <f>Table834[[#This Row],[Weight]]*Table834[[#This Row],[Night Systolic Pressure]]</f>
        <v>35306</v>
      </c>
      <c r="BG201" s="4">
        <f>Table83[[#This Row],[Weight]]*Table83[[#This Row],[Night Diastolic Pressure]]</f>
        <v>19050</v>
      </c>
      <c r="BH201" s="2">
        <f>Table834[[#This Row],[Weight]]*Table834[[#This Row],[Night Pulse]]</f>
        <v>18034</v>
      </c>
      <c r="BI201" s="2">
        <f>Table834[[#This Row],[Weight]]*Table834[[#This Row],[Sleep]]</f>
        <v>2032</v>
      </c>
      <c r="BJ201" s="2">
        <f>Table834[[#This Row],[Weight]]*Table834[[#This Row],[BMI]]</f>
        <v>9256.0710204081624</v>
      </c>
      <c r="BK201" s="2">
        <f>Table834[[#This Row],[Weight]]*Table834[[#This Row],[CBF]]</f>
        <v>8295.3084255281228</v>
      </c>
      <c r="BL201" s="2">
        <f>Table834[[#This Row],[Weight]]*Table834[[#This Row],[Gym]]</f>
        <v>0</v>
      </c>
      <c r="BM201" s="2">
        <f>Table834[[#This Row],[Weight]]*Table834[[#This Row],[Cardio]]</f>
        <v>254</v>
      </c>
      <c r="BN201" s="2">
        <f>Table834[[#This Row],[Weight]]*Table834[[#This Row],[Calories]]</f>
        <v>1196694.1712499999</v>
      </c>
      <c r="BO201" s="2">
        <f>Table834[[#This Row],[Weight]]*Table834[[#This Row],[Carbs]]</f>
        <v>152501.63175</v>
      </c>
      <c r="BP201" s="2">
        <f>Table834[[#This Row],[Weight]]*Table834[[#This Row],[Fat ]]</f>
        <v>52039.107250000001</v>
      </c>
      <c r="BQ201" s="2">
        <f>Table834[[#This Row],[Weight]]*Table834[[#This Row],[Protein]]</f>
        <v>31099.013875000001</v>
      </c>
      <c r="BR201" s="2">
        <f>Table834[[#This Row],[Weight]]*Table834[[#This Row],[Fiber]]</f>
        <v>8728.7893750000003</v>
      </c>
      <c r="BS201" s="2">
        <f>Table834[[#This Row],[Weight]]*Table834[[#This Row],[Sugar]]</f>
        <v>68349.272750000004</v>
      </c>
      <c r="BT201" s="2">
        <f>Table834[[#This Row],[Weight]]*Table834[[#This Row],[Servings]]</f>
        <v>19304</v>
      </c>
      <c r="BU201" s="2">
        <f>Table834[[#This Row],[Weight]]*Table834[[#This Row],[Water]]</f>
        <v>254</v>
      </c>
      <c r="BV201" s="2">
        <f>Table834[[#This Row],[Weight]]*Table834[[#This Row],[Fat Calories]]</f>
        <v>468351.96525000001</v>
      </c>
      <c r="BW201" s="2">
        <f>Table834[[#This Row],[Waist]]*Table834[[#This Row],[Neck]]</f>
        <v>742.5</v>
      </c>
      <c r="BX201" s="2">
        <f>Table834[[#This Row],[Waist]]*Table834[[#This Row],[Morning Body Temp]]</f>
        <v>4468.5</v>
      </c>
      <c r="BY201" s="2">
        <f>Table834[[#This Row],[Waist]]*Table834[[#This Row],[Morning Systolic Pressure]]</f>
        <v>6300</v>
      </c>
      <c r="BZ201" s="2">
        <f>Table834[[#This Row],[Waist]]*Table834[[#This Row],[Morning Diastolic Pressure]]</f>
        <v>3915</v>
      </c>
      <c r="CA201" s="2">
        <f>Table834[[#This Row],[Waist]]*Table834[[#This Row],[Morning Pulse]]</f>
        <v>4050</v>
      </c>
      <c r="CB201" s="2">
        <f>Table834[[#This Row],[Waist]]*Table834[[#This Row],[Night Body Temp]]</f>
        <v>4405.5</v>
      </c>
      <c r="CC201" s="2">
        <f>Table834[[#This Row],[Waist]]*Table834[[#This Row],[Night Systolic Pressure]]</f>
        <v>6255</v>
      </c>
      <c r="CD201" s="4">
        <f>Table83[[#This Row],[Waist]]*Table83[[#This Row],[Night Diastolic Pressure]]</f>
        <v>3375</v>
      </c>
      <c r="CE201" s="2">
        <f>Table834[[#This Row],[Waist]]*Table834[[#This Row],[Night Pulse]]</f>
        <v>3195</v>
      </c>
      <c r="CF201" s="2">
        <f>Table834[[#This Row],[Waist]]*Table834[[#This Row],[Sleep]]</f>
        <v>360</v>
      </c>
      <c r="CG201" s="2">
        <f>Table834[[#This Row],[Waist]]*Table834[[#This Row],[BMI]]</f>
        <v>1639.8551020408161</v>
      </c>
      <c r="CH201" s="2">
        <f>Table834[[#This Row],[Waist]]*Table834[[#This Row],[CBF]]</f>
        <v>1469.641256491203</v>
      </c>
      <c r="CI201" s="2">
        <f>Table834[[#This Row],[Waist]]*Table834[[#This Row],[Gym]]</f>
        <v>0</v>
      </c>
      <c r="CJ201" s="2">
        <f>Table834[[#This Row],[Waist]]*Table834[[#This Row],[Cardio]]</f>
        <v>45</v>
      </c>
      <c r="CK201" s="2">
        <f>Table834[[#This Row],[Waist]]*Table834[[#This Row],[Calories]]</f>
        <v>212012.74687499998</v>
      </c>
      <c r="CL201" s="2">
        <f>Table834[[#This Row],[Waist]]*Table834[[#This Row],[Carbs]]</f>
        <v>27018.005625000002</v>
      </c>
      <c r="CM201" s="2">
        <f>Table834[[#This Row],[Waist]]*Table834[[#This Row],[Fat ]]</f>
        <v>9219.5268749999996</v>
      </c>
      <c r="CN201" s="2">
        <f>Table834[[#This Row],[Waist]]*Table834[[#This Row],[Protein]]</f>
        <v>5509.6678124999999</v>
      </c>
      <c r="CO201" s="2">
        <f>Table834[[#This Row],[Waist]]*Table834[[#This Row],[Fiber]]</f>
        <v>1546.4390625000001</v>
      </c>
      <c r="CP201" s="2">
        <f>Table834[[#This Row],[Waist]]*Table834[[#This Row],[Sugar]]</f>
        <v>12109.123125000002</v>
      </c>
      <c r="CQ201" s="2">
        <f>Table834[[#This Row],[Waist]]*Table834[[#This Row],[Servings]]</f>
        <v>3420</v>
      </c>
      <c r="CR201" s="2">
        <f>Table834[[#This Row],[Waist]]*Table834[[#This Row],[Water]]</f>
        <v>45</v>
      </c>
      <c r="CS201" s="2">
        <f>Table834[[#This Row],[Waist]]*Table834[[#This Row],[Fat Calories]]</f>
        <v>82975.741875000007</v>
      </c>
    </row>
    <row r="202" spans="1:97" x14ac:dyDescent="0.25">
      <c r="A202" s="2">
        <v>257.8</v>
      </c>
      <c r="B202" s="2">
        <f>Table834[[#This Row],[Weight]]^2</f>
        <v>66460.840000000011</v>
      </c>
      <c r="C202" s="2">
        <v>45</v>
      </c>
      <c r="D202" s="2">
        <f>Table834[[#This Row],[Waist]]^2</f>
        <v>2025</v>
      </c>
      <c r="E202" s="2">
        <v>16.5</v>
      </c>
      <c r="F202" s="2">
        <f>Table834[[#This Row],[Neck]]^2</f>
        <v>272.25</v>
      </c>
      <c r="G202" s="2">
        <v>96</v>
      </c>
      <c r="H202" s="2">
        <f>Table834[[#This Row],[Morning Body Temp]]^2</f>
        <v>9216</v>
      </c>
      <c r="I202" s="2">
        <v>127</v>
      </c>
      <c r="J202" s="2">
        <f>Table834[[#This Row],[Morning Systolic Pressure]]^2</f>
        <v>16129</v>
      </c>
      <c r="K202" s="2">
        <v>76</v>
      </c>
      <c r="L202" s="2">
        <f>Table834[[#This Row],[Morning Diastolic Pressure]]^2</f>
        <v>5776</v>
      </c>
      <c r="M202" s="2">
        <v>80</v>
      </c>
      <c r="N202" s="2">
        <f>Table834[[#This Row],[Morning Pulse]]^2</f>
        <v>6400</v>
      </c>
      <c r="O202" s="2">
        <v>97.5</v>
      </c>
      <c r="P202" s="2">
        <f>Table834[[#This Row],[Night Body Temp]]^2</f>
        <v>9506.25</v>
      </c>
      <c r="Q202" s="2">
        <v>147</v>
      </c>
      <c r="R202" s="2">
        <f>Table834[[#This Row],[Night Systolic Pressure]]^2</f>
        <v>21609</v>
      </c>
      <c r="S202" s="2">
        <v>83</v>
      </c>
      <c r="T202" s="2">
        <f>Table834[[#This Row],[Night Diastolic Pressure]]^2</f>
        <v>6889</v>
      </c>
      <c r="U202" s="2">
        <v>73</v>
      </c>
      <c r="V202" s="2">
        <f>Table834[[#This Row],[Night Pulse]]^2</f>
        <v>5329</v>
      </c>
      <c r="W202" s="2">
        <v>4</v>
      </c>
      <c r="X202" s="2">
        <f>Table834[[#This Row],[Sleep]]^2</f>
        <v>16</v>
      </c>
      <c r="Y202" s="2">
        <f t="shared" si="7"/>
        <v>36.98640816326531</v>
      </c>
      <c r="Z202" s="2">
        <f>Table834[[#This Row],[BMI]]^2</f>
        <v>1367.9943888196588</v>
      </c>
      <c r="AA202" s="2">
        <f t="shared" si="6"/>
        <v>32.6586945886934</v>
      </c>
      <c r="AB202" s="2">
        <f>Table834[[#This Row],[CBF]]^2</f>
        <v>1066.5903322375516</v>
      </c>
      <c r="AC202" s="2">
        <v>0</v>
      </c>
      <c r="AD202" s="2">
        <f>Table834[[#This Row],[Gym]]^2</f>
        <v>0</v>
      </c>
      <c r="AE202" s="2">
        <v>0</v>
      </c>
      <c r="AF202" s="2">
        <f>Table834[[#This Row],[Cardio]]^2</f>
        <v>0</v>
      </c>
      <c r="AG202" s="2">
        <v>5535.3943749999999</v>
      </c>
      <c r="AH202" s="2">
        <f>Table834[[#This Row],[Calories]]^2</f>
        <v>30640590.88678164</v>
      </c>
      <c r="AI202" s="2">
        <v>785.00012500000003</v>
      </c>
      <c r="AJ202" s="2">
        <f>Table834[[#This Row],[Carbs]]^2</f>
        <v>616225.19625001564</v>
      </c>
      <c r="AK202" s="2">
        <v>228.07837499999999</v>
      </c>
      <c r="AL202" s="2">
        <f>Table834[[#This Row],[Fat ]]^2</f>
        <v>52019.745142640619</v>
      </c>
      <c r="AM202" s="2">
        <v>85.837062500000002</v>
      </c>
      <c r="AN202" s="2">
        <f>Table834[[#This Row],[Protein]]^2</f>
        <v>7368.0012986289066</v>
      </c>
      <c r="AO202" s="2">
        <v>43.565312500000005</v>
      </c>
      <c r="AP202" s="2">
        <f>Table834[[#This Row],[Fiber]]^2</f>
        <v>1897.9364532226566</v>
      </c>
      <c r="AQ202" s="2">
        <v>381.09162500000002</v>
      </c>
      <c r="AR202" s="2">
        <f>Table834[[#This Row],[Sugar]]^2</f>
        <v>145230.82664514065</v>
      </c>
      <c r="AS202" s="2">
        <v>69</v>
      </c>
      <c r="AT202" s="2">
        <f>Table834[[#This Row],[Servings]]^2</f>
        <v>4761</v>
      </c>
      <c r="AU202" s="2">
        <v>1</v>
      </c>
      <c r="AV202" s="2">
        <f>Table834[[#This Row],[Water]]^2</f>
        <v>1</v>
      </c>
      <c r="AW202" s="2">
        <v>2052.7053750000005</v>
      </c>
      <c r="AX202" s="2">
        <f>Table834[[#This Row],[Fat Calories]]^2</f>
        <v>4213599.3565538926</v>
      </c>
      <c r="AY202" s="3">
        <f>Table834[[#This Row],[Weight]]*Table834[[#This Row],[Waist]]</f>
        <v>11601</v>
      </c>
      <c r="AZ202" s="4">
        <f>Table834[[#This Row],[Weight]]*Table834[[#This Row],[Neck]]</f>
        <v>4253.7</v>
      </c>
      <c r="BA202" s="4">
        <f>Table834[[#This Row],[Weight]]*Table834[[#This Row],[Morning Body Temp]]</f>
        <v>24748.800000000003</v>
      </c>
      <c r="BB202" s="4">
        <f>Table834[[#This Row],[Weight]]*Table834[[#This Row],[Morning Systolic Pressure]]</f>
        <v>32740.600000000002</v>
      </c>
      <c r="BC202" s="11">
        <f>Table834[[#This Row],[Weight]]*Table834[[#This Row],[Morning Diastolic Pressure]]</f>
        <v>19592.8</v>
      </c>
      <c r="BD202" s="2">
        <f>Table834[[#This Row],[Weight]]*Table834[[#This Row],[Morning Pulse]]</f>
        <v>20624</v>
      </c>
      <c r="BE202" s="2">
        <f>Table834[[#This Row],[Weight]]*Table834[[#This Row],[Night Body Temp]]</f>
        <v>25135.5</v>
      </c>
      <c r="BF202" s="2">
        <f>Table834[[#This Row],[Weight]]*Table834[[#This Row],[Night Systolic Pressure]]</f>
        <v>37896.6</v>
      </c>
      <c r="BG202" s="4">
        <f>Table83[[#This Row],[Weight]]*Table83[[#This Row],[Night Diastolic Pressure]]</f>
        <v>21397.4</v>
      </c>
      <c r="BH202" s="2">
        <f>Table834[[#This Row],[Weight]]*Table834[[#This Row],[Night Pulse]]</f>
        <v>18819.400000000001</v>
      </c>
      <c r="BI202" s="2">
        <f>Table834[[#This Row],[Weight]]*Table834[[#This Row],[Sleep]]</f>
        <v>1031.2</v>
      </c>
      <c r="BJ202" s="2">
        <f>Table834[[#This Row],[Weight]]*Table834[[#This Row],[BMI]]</f>
        <v>9535.0960244897979</v>
      </c>
      <c r="BK202" s="2">
        <f>Table834[[#This Row],[Weight]]*Table834[[#This Row],[CBF]]</f>
        <v>8419.4114649651583</v>
      </c>
      <c r="BL202" s="2">
        <f>Table834[[#This Row],[Weight]]*Table834[[#This Row],[Gym]]</f>
        <v>0</v>
      </c>
      <c r="BM202" s="2">
        <f>Table834[[#This Row],[Weight]]*Table834[[#This Row],[Cardio]]</f>
        <v>0</v>
      </c>
      <c r="BN202" s="2">
        <f>Table834[[#This Row],[Weight]]*Table834[[#This Row],[Calories]]</f>
        <v>1427024.6698750001</v>
      </c>
      <c r="BO202" s="2">
        <f>Table834[[#This Row],[Weight]]*Table834[[#This Row],[Carbs]]</f>
        <v>202373.032225</v>
      </c>
      <c r="BP202" s="2">
        <f>Table834[[#This Row],[Weight]]*Table834[[#This Row],[Fat ]]</f>
        <v>58798.605074999999</v>
      </c>
      <c r="BQ202" s="2">
        <f>Table834[[#This Row],[Weight]]*Table834[[#This Row],[Protein]]</f>
        <v>22128.794712500003</v>
      </c>
      <c r="BR202" s="2">
        <f>Table834[[#This Row],[Weight]]*Table834[[#This Row],[Fiber]]</f>
        <v>11231.137562500002</v>
      </c>
      <c r="BS202" s="2">
        <f>Table834[[#This Row],[Weight]]*Table834[[#This Row],[Sugar]]</f>
        <v>98245.420925000013</v>
      </c>
      <c r="BT202" s="2">
        <f>Table834[[#This Row],[Weight]]*Table834[[#This Row],[Servings]]</f>
        <v>17788.2</v>
      </c>
      <c r="BU202" s="2">
        <f>Table834[[#This Row],[Weight]]*Table834[[#This Row],[Water]]</f>
        <v>257.8</v>
      </c>
      <c r="BV202" s="2">
        <f>Table834[[#This Row],[Weight]]*Table834[[#This Row],[Fat Calories]]</f>
        <v>529187.4456750002</v>
      </c>
      <c r="BW202" s="2">
        <f>Table834[[#This Row],[Waist]]*Table834[[#This Row],[Neck]]</f>
        <v>742.5</v>
      </c>
      <c r="BX202" s="2">
        <f>Table834[[#This Row],[Waist]]*Table834[[#This Row],[Morning Body Temp]]</f>
        <v>4320</v>
      </c>
      <c r="BY202" s="2">
        <f>Table834[[#This Row],[Waist]]*Table834[[#This Row],[Morning Systolic Pressure]]</f>
        <v>5715</v>
      </c>
      <c r="BZ202" s="2">
        <f>Table834[[#This Row],[Waist]]*Table834[[#This Row],[Morning Diastolic Pressure]]</f>
        <v>3420</v>
      </c>
      <c r="CA202" s="2">
        <f>Table834[[#This Row],[Waist]]*Table834[[#This Row],[Morning Pulse]]</f>
        <v>3600</v>
      </c>
      <c r="CB202" s="2">
        <f>Table834[[#This Row],[Waist]]*Table834[[#This Row],[Night Body Temp]]</f>
        <v>4387.5</v>
      </c>
      <c r="CC202" s="2">
        <f>Table834[[#This Row],[Waist]]*Table834[[#This Row],[Night Systolic Pressure]]</f>
        <v>6615</v>
      </c>
      <c r="CD202" s="4">
        <f>Table83[[#This Row],[Waist]]*Table83[[#This Row],[Night Diastolic Pressure]]</f>
        <v>3735</v>
      </c>
      <c r="CE202" s="2">
        <f>Table834[[#This Row],[Waist]]*Table834[[#This Row],[Night Pulse]]</f>
        <v>3285</v>
      </c>
      <c r="CF202" s="2">
        <f>Table834[[#This Row],[Waist]]*Table834[[#This Row],[Sleep]]</f>
        <v>180</v>
      </c>
      <c r="CG202" s="2">
        <f>Table834[[#This Row],[Waist]]*Table834[[#This Row],[BMI]]</f>
        <v>1664.388367346939</v>
      </c>
      <c r="CH202" s="2">
        <f>Table834[[#This Row],[Waist]]*Table834[[#This Row],[CBF]]</f>
        <v>1469.641256491203</v>
      </c>
      <c r="CI202" s="2">
        <f>Table834[[#This Row],[Waist]]*Table834[[#This Row],[Gym]]</f>
        <v>0</v>
      </c>
      <c r="CJ202" s="2">
        <f>Table834[[#This Row],[Waist]]*Table834[[#This Row],[Cardio]]</f>
        <v>0</v>
      </c>
      <c r="CK202" s="2">
        <f>Table834[[#This Row],[Waist]]*Table834[[#This Row],[Calories]]</f>
        <v>249092.74687499998</v>
      </c>
      <c r="CL202" s="2">
        <f>Table834[[#This Row],[Waist]]*Table834[[#This Row],[Carbs]]</f>
        <v>35325.005624999998</v>
      </c>
      <c r="CM202" s="2">
        <f>Table834[[#This Row],[Waist]]*Table834[[#This Row],[Fat ]]</f>
        <v>10263.526875</v>
      </c>
      <c r="CN202" s="2">
        <f>Table834[[#This Row],[Waist]]*Table834[[#This Row],[Protein]]</f>
        <v>3862.6678124999999</v>
      </c>
      <c r="CO202" s="2">
        <f>Table834[[#This Row],[Waist]]*Table834[[#This Row],[Fiber]]</f>
        <v>1960.4390625000001</v>
      </c>
      <c r="CP202" s="2">
        <f>Table834[[#This Row],[Waist]]*Table834[[#This Row],[Sugar]]</f>
        <v>17149.123125000002</v>
      </c>
      <c r="CQ202" s="2">
        <f>Table834[[#This Row],[Waist]]*Table834[[#This Row],[Servings]]</f>
        <v>3105</v>
      </c>
      <c r="CR202" s="2">
        <f>Table834[[#This Row],[Waist]]*Table834[[#This Row],[Water]]</f>
        <v>45</v>
      </c>
      <c r="CS202" s="2">
        <f>Table834[[#This Row],[Waist]]*Table834[[#This Row],[Fat Calories]]</f>
        <v>92371.741875000022</v>
      </c>
    </row>
    <row r="203" spans="1:97" x14ac:dyDescent="0.25">
      <c r="A203" s="2">
        <v>256.2</v>
      </c>
      <c r="B203" s="2">
        <f>Table834[[#This Row],[Weight]]^2</f>
        <v>65638.439999999988</v>
      </c>
      <c r="C203" s="2">
        <v>45</v>
      </c>
      <c r="D203" s="2">
        <f>Table834[[#This Row],[Waist]]^2</f>
        <v>2025</v>
      </c>
      <c r="E203" s="2">
        <v>16.5</v>
      </c>
      <c r="F203" s="2">
        <f>Table834[[#This Row],[Neck]]^2</f>
        <v>272.25</v>
      </c>
      <c r="G203" s="2">
        <v>96.3</v>
      </c>
      <c r="H203" s="2">
        <f>Table834[[#This Row],[Morning Body Temp]]^2</f>
        <v>9273.6899999999987</v>
      </c>
      <c r="I203" s="2">
        <v>141</v>
      </c>
      <c r="J203" s="2">
        <f>Table834[[#This Row],[Morning Systolic Pressure]]^2</f>
        <v>19881</v>
      </c>
      <c r="K203" s="2">
        <v>99</v>
      </c>
      <c r="L203" s="2">
        <f>Table834[[#This Row],[Morning Diastolic Pressure]]^2</f>
        <v>9801</v>
      </c>
      <c r="M203" s="2">
        <v>70</v>
      </c>
      <c r="N203" s="2">
        <f>Table834[[#This Row],[Morning Pulse]]^2</f>
        <v>4900</v>
      </c>
      <c r="O203" s="2">
        <v>97.2</v>
      </c>
      <c r="P203" s="2">
        <f>Table834[[#This Row],[Night Body Temp]]^2</f>
        <v>9447.84</v>
      </c>
      <c r="Q203" s="2">
        <v>133</v>
      </c>
      <c r="R203" s="2">
        <f>Table834[[#This Row],[Night Systolic Pressure]]^2</f>
        <v>17689</v>
      </c>
      <c r="S203" s="2">
        <v>75</v>
      </c>
      <c r="T203" s="2">
        <f>Table834[[#This Row],[Night Diastolic Pressure]]^2</f>
        <v>5625</v>
      </c>
      <c r="U203" s="2">
        <v>69</v>
      </c>
      <c r="V203" s="2">
        <f>Table834[[#This Row],[Night Pulse]]^2</f>
        <v>4761</v>
      </c>
      <c r="W203" s="2">
        <v>14</v>
      </c>
      <c r="X203" s="2">
        <f>Table834[[#This Row],[Sleep]]^2</f>
        <v>196</v>
      </c>
      <c r="Y203" s="2">
        <f t="shared" si="7"/>
        <v>36.756857142857143</v>
      </c>
      <c r="Z203" s="2">
        <f>Table834[[#This Row],[BMI]]^2</f>
        <v>1351.0665470204083</v>
      </c>
      <c r="AA203" s="2">
        <f t="shared" si="6"/>
        <v>32.6586945886934</v>
      </c>
      <c r="AB203" s="2">
        <f>Table834[[#This Row],[CBF]]^2</f>
        <v>1066.5903322375516</v>
      </c>
      <c r="AC203" s="2">
        <v>0</v>
      </c>
      <c r="AD203" s="2">
        <f>Table834[[#This Row],[Gym]]^2</f>
        <v>0</v>
      </c>
      <c r="AE203" s="2">
        <v>1</v>
      </c>
      <c r="AF203" s="2">
        <f>Table834[[#This Row],[Cardio]]^2</f>
        <v>1</v>
      </c>
      <c r="AG203" s="2">
        <v>6639</v>
      </c>
      <c r="AH203" s="2">
        <f>Table834[[#This Row],[Calories]]^2</f>
        <v>44076321</v>
      </c>
      <c r="AI203" s="2">
        <v>808.33285714285716</v>
      </c>
      <c r="AJ203" s="2">
        <f>Table834[[#This Row],[Carbs]]^2</f>
        <v>653402.00793673471</v>
      </c>
      <c r="AK203" s="2">
        <v>171.74571428571429</v>
      </c>
      <c r="AL203" s="2">
        <f>Table834[[#This Row],[Fat ]]^2</f>
        <v>29496.590375510204</v>
      </c>
      <c r="AM203" s="2">
        <v>172.75285714285712</v>
      </c>
      <c r="AN203" s="2">
        <f>Table834[[#This Row],[Protein]]^2</f>
        <v>29843.549651020403</v>
      </c>
      <c r="AO203" s="2">
        <v>32.142857142857139</v>
      </c>
      <c r="AP203" s="2">
        <f>Table834[[#This Row],[Fiber]]^2</f>
        <v>1033.1632653061222</v>
      </c>
      <c r="AQ203" s="2">
        <v>615.0428571428572</v>
      </c>
      <c r="AR203" s="2">
        <f>Table834[[#This Row],[Sugar]]^2</f>
        <v>378277.71612244903</v>
      </c>
      <c r="AS203" s="2">
        <v>42</v>
      </c>
      <c r="AT203" s="2">
        <f>Table834[[#This Row],[Servings]]^2</f>
        <v>1764</v>
      </c>
      <c r="AU203" s="2">
        <v>0.5</v>
      </c>
      <c r="AV203" s="2">
        <f>Table834[[#This Row],[Water]]^2</f>
        <v>0.25</v>
      </c>
      <c r="AW203" s="2">
        <v>1545.7114285714285</v>
      </c>
      <c r="AX203" s="2">
        <f>Table834[[#This Row],[Fat Calories]]^2</f>
        <v>2389223.8204163266</v>
      </c>
      <c r="AY203" s="5">
        <f>Table834[[#This Row],[Weight]]*Table834[[#This Row],[Waist]]</f>
        <v>11529</v>
      </c>
      <c r="AZ203" s="6">
        <f>Table834[[#This Row],[Weight]]*Table834[[#This Row],[Neck]]</f>
        <v>4227.3</v>
      </c>
      <c r="BA203" s="6">
        <f>Table834[[#This Row],[Weight]]*Table834[[#This Row],[Morning Body Temp]]</f>
        <v>24672.059999999998</v>
      </c>
      <c r="BB203" s="6">
        <f>Table834[[#This Row],[Weight]]*Table834[[#This Row],[Morning Systolic Pressure]]</f>
        <v>36124.199999999997</v>
      </c>
      <c r="BC203" s="12">
        <f>Table834[[#This Row],[Weight]]*Table834[[#This Row],[Morning Diastolic Pressure]]</f>
        <v>25363.8</v>
      </c>
      <c r="BD203" s="2">
        <f>Table834[[#This Row],[Weight]]*Table834[[#This Row],[Morning Pulse]]</f>
        <v>17934</v>
      </c>
      <c r="BE203" s="2">
        <f>Table834[[#This Row],[Weight]]*Table834[[#This Row],[Night Body Temp]]</f>
        <v>24902.639999999999</v>
      </c>
      <c r="BF203" s="2">
        <f>Table834[[#This Row],[Weight]]*Table834[[#This Row],[Night Systolic Pressure]]</f>
        <v>34074.6</v>
      </c>
      <c r="BG203" s="4">
        <f>Table83[[#This Row],[Weight]]*Table83[[#This Row],[Night Diastolic Pressure]]</f>
        <v>19215</v>
      </c>
      <c r="BH203" s="2">
        <f>Table834[[#This Row],[Weight]]*Table834[[#This Row],[Night Pulse]]</f>
        <v>17677.8</v>
      </c>
      <c r="BI203" s="2">
        <f>Table834[[#This Row],[Weight]]*Table834[[#This Row],[Sleep]]</f>
        <v>3586.7999999999997</v>
      </c>
      <c r="BJ203" s="2">
        <f>Table834[[#This Row],[Weight]]*Table834[[#This Row],[BMI]]</f>
        <v>9417.1067999999996</v>
      </c>
      <c r="BK203" s="2">
        <f>Table834[[#This Row],[Weight]]*Table834[[#This Row],[CBF]]</f>
        <v>8367.1575536232485</v>
      </c>
      <c r="BL203" s="2">
        <f>Table834[[#This Row],[Weight]]*Table834[[#This Row],[Gym]]</f>
        <v>0</v>
      </c>
      <c r="BM203" s="2">
        <f>Table834[[#This Row],[Weight]]*Table834[[#This Row],[Cardio]]</f>
        <v>256.2</v>
      </c>
      <c r="BN203" s="2">
        <f>Table834[[#This Row],[Weight]]*Table834[[#This Row],[Calories]]</f>
        <v>1700911.7999999998</v>
      </c>
      <c r="BO203" s="2">
        <f>Table834[[#This Row],[Weight]]*Table834[[#This Row],[Carbs]]</f>
        <v>207094.878</v>
      </c>
      <c r="BP203" s="2">
        <f>Table834[[#This Row],[Weight]]*Table834[[#This Row],[Fat ]]</f>
        <v>44001.252</v>
      </c>
      <c r="BQ203" s="2">
        <f>Table834[[#This Row],[Weight]]*Table834[[#This Row],[Protein]]</f>
        <v>44259.281999999992</v>
      </c>
      <c r="BR203" s="2">
        <f>Table834[[#This Row],[Weight]]*Table834[[#This Row],[Fiber]]</f>
        <v>8234.9999999999982</v>
      </c>
      <c r="BS203" s="2">
        <f>Table834[[#This Row],[Weight]]*Table834[[#This Row],[Sugar]]</f>
        <v>157573.98000000001</v>
      </c>
      <c r="BT203" s="2">
        <f>Table834[[#This Row],[Weight]]*Table834[[#This Row],[Servings]]</f>
        <v>10760.4</v>
      </c>
      <c r="BU203" s="2">
        <f>Table834[[#This Row],[Weight]]*Table834[[#This Row],[Water]]</f>
        <v>128.1</v>
      </c>
      <c r="BV203" s="2">
        <f>Table834[[#This Row],[Weight]]*Table834[[#This Row],[Fat Calories]]</f>
        <v>396011.26799999998</v>
      </c>
      <c r="BW203" s="2">
        <f>Table834[[#This Row],[Waist]]*Table834[[#This Row],[Neck]]</f>
        <v>742.5</v>
      </c>
      <c r="BX203" s="2">
        <f>Table834[[#This Row],[Waist]]*Table834[[#This Row],[Morning Body Temp]]</f>
        <v>4333.5</v>
      </c>
      <c r="BY203" s="2">
        <f>Table834[[#This Row],[Waist]]*Table834[[#This Row],[Morning Systolic Pressure]]</f>
        <v>6345</v>
      </c>
      <c r="BZ203" s="2">
        <f>Table834[[#This Row],[Waist]]*Table834[[#This Row],[Morning Diastolic Pressure]]</f>
        <v>4455</v>
      </c>
      <c r="CA203" s="2">
        <f>Table834[[#This Row],[Waist]]*Table834[[#This Row],[Morning Pulse]]</f>
        <v>3150</v>
      </c>
      <c r="CB203" s="2">
        <f>Table834[[#This Row],[Waist]]*Table834[[#This Row],[Night Body Temp]]</f>
        <v>4374</v>
      </c>
      <c r="CC203" s="2">
        <f>Table834[[#This Row],[Waist]]*Table834[[#This Row],[Night Systolic Pressure]]</f>
        <v>5985</v>
      </c>
      <c r="CD203" s="4">
        <f>Table83[[#This Row],[Waist]]*Table83[[#This Row],[Night Diastolic Pressure]]</f>
        <v>3375</v>
      </c>
      <c r="CE203" s="2">
        <f>Table834[[#This Row],[Waist]]*Table834[[#This Row],[Night Pulse]]</f>
        <v>3105</v>
      </c>
      <c r="CF203" s="2">
        <f>Table834[[#This Row],[Waist]]*Table834[[#This Row],[Sleep]]</f>
        <v>630</v>
      </c>
      <c r="CG203" s="2">
        <f>Table834[[#This Row],[Waist]]*Table834[[#This Row],[BMI]]</f>
        <v>1654.0585714285714</v>
      </c>
      <c r="CH203" s="2">
        <f>Table834[[#This Row],[Waist]]*Table834[[#This Row],[CBF]]</f>
        <v>1469.641256491203</v>
      </c>
      <c r="CI203" s="2">
        <f>Table834[[#This Row],[Waist]]*Table834[[#This Row],[Gym]]</f>
        <v>0</v>
      </c>
      <c r="CJ203" s="2">
        <f>Table834[[#This Row],[Waist]]*Table834[[#This Row],[Cardio]]</f>
        <v>45</v>
      </c>
      <c r="CK203" s="2">
        <f>Table834[[#This Row],[Waist]]*Table834[[#This Row],[Calories]]</f>
        <v>298755</v>
      </c>
      <c r="CL203" s="2">
        <f>Table834[[#This Row],[Waist]]*Table834[[#This Row],[Carbs]]</f>
        <v>36374.978571428575</v>
      </c>
      <c r="CM203" s="2">
        <f>Table834[[#This Row],[Waist]]*Table834[[#This Row],[Fat ]]</f>
        <v>7728.5571428571429</v>
      </c>
      <c r="CN203" s="2">
        <f>Table834[[#This Row],[Waist]]*Table834[[#This Row],[Protein]]</f>
        <v>7773.8785714285705</v>
      </c>
      <c r="CO203" s="2">
        <f>Table834[[#This Row],[Waist]]*Table834[[#This Row],[Fiber]]</f>
        <v>1446.4285714285713</v>
      </c>
      <c r="CP203" s="2">
        <f>Table834[[#This Row],[Waist]]*Table834[[#This Row],[Sugar]]</f>
        <v>27676.928571428572</v>
      </c>
      <c r="CQ203" s="2">
        <f>Table834[[#This Row],[Waist]]*Table834[[#This Row],[Servings]]</f>
        <v>1890</v>
      </c>
      <c r="CR203" s="2">
        <f>Table834[[#This Row],[Waist]]*Table834[[#This Row],[Water]]</f>
        <v>22.5</v>
      </c>
      <c r="CS203" s="2">
        <f>Table834[[#This Row],[Waist]]*Table834[[#This Row],[Fat Calories]]</f>
        <v>69557.014285714278</v>
      </c>
    </row>
    <row r="204" spans="1:97" x14ac:dyDescent="0.25">
      <c r="A204" s="2">
        <v>260</v>
      </c>
      <c r="B204" s="2">
        <f>Table834[[#This Row],[Weight]]^2</f>
        <v>67600</v>
      </c>
      <c r="C204" s="2">
        <v>45</v>
      </c>
      <c r="D204" s="2">
        <f>Table834[[#This Row],[Waist]]^2</f>
        <v>2025</v>
      </c>
      <c r="E204" s="2">
        <v>16.5</v>
      </c>
      <c r="F204" s="2">
        <f>Table834[[#This Row],[Neck]]^2</f>
        <v>272.25</v>
      </c>
      <c r="G204" s="2">
        <v>97.9</v>
      </c>
      <c r="H204" s="2">
        <f>Table834[[#This Row],[Morning Body Temp]]^2</f>
        <v>9584.4100000000017</v>
      </c>
      <c r="I204" s="2">
        <v>134</v>
      </c>
      <c r="J204" s="2">
        <f>Table834[[#This Row],[Morning Systolic Pressure]]^2</f>
        <v>17956</v>
      </c>
      <c r="K204" s="2">
        <v>78</v>
      </c>
      <c r="L204" s="2">
        <f>Table834[[#This Row],[Morning Diastolic Pressure]]^2</f>
        <v>6084</v>
      </c>
      <c r="M204" s="2">
        <v>79</v>
      </c>
      <c r="N204" s="2">
        <f>Table834[[#This Row],[Morning Pulse]]^2</f>
        <v>6241</v>
      </c>
      <c r="O204" s="2">
        <v>97.8</v>
      </c>
      <c r="P204" s="2">
        <f>Table834[[#This Row],[Night Body Temp]]^2</f>
        <v>9564.84</v>
      </c>
      <c r="Q204" s="2">
        <v>138</v>
      </c>
      <c r="R204" s="2">
        <f>Table834[[#This Row],[Night Systolic Pressure]]^2</f>
        <v>19044</v>
      </c>
      <c r="S204" s="2">
        <v>82</v>
      </c>
      <c r="T204" s="2">
        <f>Table834[[#This Row],[Night Diastolic Pressure]]^2</f>
        <v>6724</v>
      </c>
      <c r="U204" s="2">
        <v>79</v>
      </c>
      <c r="V204" s="2">
        <f>Table834[[#This Row],[Night Pulse]]^2</f>
        <v>6241</v>
      </c>
      <c r="W204" s="2">
        <v>7</v>
      </c>
      <c r="X204" s="2">
        <f>Table834[[#This Row],[Sleep]]^2</f>
        <v>49</v>
      </c>
      <c r="Y204" s="2">
        <f t="shared" si="7"/>
        <v>37.302040816326532</v>
      </c>
      <c r="Z204" s="2">
        <f>Table834[[#This Row],[BMI]]^2</f>
        <v>1391.4422490628906</v>
      </c>
      <c r="AA204" s="2">
        <f t="shared" si="6"/>
        <v>32.6586945886934</v>
      </c>
      <c r="AB204" s="2">
        <f>Table834[[#This Row],[CBF]]^2</f>
        <v>1066.5903322375516</v>
      </c>
      <c r="AC204" s="2">
        <v>0</v>
      </c>
      <c r="AD204" s="2">
        <f>Table834[[#This Row],[Gym]]^2</f>
        <v>0</v>
      </c>
      <c r="AE204" s="2">
        <v>1</v>
      </c>
      <c r="AF204" s="2">
        <f>Table834[[#This Row],[Cardio]]^2</f>
        <v>1</v>
      </c>
      <c r="AG204" s="2">
        <v>4938.1818750000002</v>
      </c>
      <c r="AH204" s="2">
        <f>Table834[[#This Row],[Calories]]^2</f>
        <v>24385640.230578519</v>
      </c>
      <c r="AI204" s="2">
        <v>646.775125</v>
      </c>
      <c r="AJ204" s="2">
        <f>Table834[[#This Row],[Carbs]]^2</f>
        <v>418318.06231876562</v>
      </c>
      <c r="AK204" s="2">
        <v>200.34087500000001</v>
      </c>
      <c r="AL204" s="2">
        <f>Table834[[#This Row],[Fat ]]^2</f>
        <v>40136.466195765628</v>
      </c>
      <c r="AM204" s="2">
        <v>143.41206249999999</v>
      </c>
      <c r="AN204" s="2">
        <f>Table834[[#This Row],[Protein]]^2</f>
        <v>20567.019670503905</v>
      </c>
      <c r="AO204" s="2">
        <v>24.802812500000002</v>
      </c>
      <c r="AP204" s="2">
        <f>Table834[[#This Row],[Fiber]]^2</f>
        <v>615.1795079101563</v>
      </c>
      <c r="AQ204" s="2">
        <v>319.56662499999999</v>
      </c>
      <c r="AR204" s="2">
        <f>Table834[[#This Row],[Sugar]]^2</f>
        <v>102122.82781389062</v>
      </c>
      <c r="AS204" s="2">
        <v>75</v>
      </c>
      <c r="AT204" s="2">
        <f>Table834[[#This Row],[Servings]]^2</f>
        <v>5625</v>
      </c>
      <c r="AU204" s="2">
        <v>1.5</v>
      </c>
      <c r="AV204" s="2">
        <f>Table834[[#This Row],[Water]]^2</f>
        <v>2.25</v>
      </c>
      <c r="AW204" s="2">
        <v>1803.067875</v>
      </c>
      <c r="AX204" s="2">
        <f>Table834[[#This Row],[Fat Calories]]^2</f>
        <v>3251053.7618570155</v>
      </c>
      <c r="AY204" s="3">
        <f>Table834[[#This Row],[Weight]]*Table834[[#This Row],[Waist]]</f>
        <v>11700</v>
      </c>
      <c r="AZ204" s="4">
        <f>Table834[[#This Row],[Weight]]*Table834[[#This Row],[Neck]]</f>
        <v>4290</v>
      </c>
      <c r="BA204" s="4">
        <f>Table834[[#This Row],[Weight]]*Table834[[#This Row],[Morning Body Temp]]</f>
        <v>25454</v>
      </c>
      <c r="BB204" s="4">
        <f>Table834[[#This Row],[Weight]]*Table834[[#This Row],[Morning Systolic Pressure]]</f>
        <v>34840</v>
      </c>
      <c r="BC204" s="11">
        <f>Table834[[#This Row],[Weight]]*Table834[[#This Row],[Morning Diastolic Pressure]]</f>
        <v>20280</v>
      </c>
      <c r="BD204" s="2">
        <f>Table834[[#This Row],[Weight]]*Table834[[#This Row],[Morning Pulse]]</f>
        <v>20540</v>
      </c>
      <c r="BE204" s="2">
        <f>Table834[[#This Row],[Weight]]*Table834[[#This Row],[Night Body Temp]]</f>
        <v>25428</v>
      </c>
      <c r="BF204" s="2">
        <f>Table834[[#This Row],[Weight]]*Table834[[#This Row],[Night Systolic Pressure]]</f>
        <v>35880</v>
      </c>
      <c r="BG204" s="4">
        <f>Table83[[#This Row],[Weight]]*Table83[[#This Row],[Night Diastolic Pressure]]</f>
        <v>21320</v>
      </c>
      <c r="BH204" s="2">
        <f>Table834[[#This Row],[Weight]]*Table834[[#This Row],[Night Pulse]]</f>
        <v>20540</v>
      </c>
      <c r="BI204" s="2">
        <f>Table834[[#This Row],[Weight]]*Table834[[#This Row],[Sleep]]</f>
        <v>1820</v>
      </c>
      <c r="BJ204" s="2">
        <f>Table834[[#This Row],[Weight]]*Table834[[#This Row],[BMI]]</f>
        <v>9698.5306122448983</v>
      </c>
      <c r="BK204" s="2">
        <f>Table834[[#This Row],[Weight]]*Table834[[#This Row],[CBF]]</f>
        <v>8491.260593060284</v>
      </c>
      <c r="BL204" s="2">
        <f>Table834[[#This Row],[Weight]]*Table834[[#This Row],[Gym]]</f>
        <v>0</v>
      </c>
      <c r="BM204" s="2">
        <f>Table834[[#This Row],[Weight]]*Table834[[#This Row],[Cardio]]</f>
        <v>260</v>
      </c>
      <c r="BN204" s="2">
        <f>Table834[[#This Row],[Weight]]*Table834[[#This Row],[Calories]]</f>
        <v>1283927.2875000001</v>
      </c>
      <c r="BO204" s="2">
        <f>Table834[[#This Row],[Weight]]*Table834[[#This Row],[Carbs]]</f>
        <v>168161.5325</v>
      </c>
      <c r="BP204" s="2">
        <f>Table834[[#This Row],[Weight]]*Table834[[#This Row],[Fat ]]</f>
        <v>52088.627500000002</v>
      </c>
      <c r="BQ204" s="2">
        <f>Table834[[#This Row],[Weight]]*Table834[[#This Row],[Protein]]</f>
        <v>37287.136249999996</v>
      </c>
      <c r="BR204" s="2">
        <f>Table834[[#This Row],[Weight]]*Table834[[#This Row],[Fiber]]</f>
        <v>6448.7312500000007</v>
      </c>
      <c r="BS204" s="2">
        <f>Table834[[#This Row],[Weight]]*Table834[[#This Row],[Sugar]]</f>
        <v>83087.322499999995</v>
      </c>
      <c r="BT204" s="2">
        <f>Table834[[#This Row],[Weight]]*Table834[[#This Row],[Servings]]</f>
        <v>19500</v>
      </c>
      <c r="BU204" s="2">
        <f>Table834[[#This Row],[Weight]]*Table834[[#This Row],[Water]]</f>
        <v>390</v>
      </c>
      <c r="BV204" s="2">
        <f>Table834[[#This Row],[Weight]]*Table834[[#This Row],[Fat Calories]]</f>
        <v>468797.64749999996</v>
      </c>
      <c r="BW204" s="2">
        <f>Table834[[#This Row],[Waist]]*Table834[[#This Row],[Neck]]</f>
        <v>742.5</v>
      </c>
      <c r="BX204" s="2">
        <f>Table834[[#This Row],[Waist]]*Table834[[#This Row],[Morning Body Temp]]</f>
        <v>4405.5</v>
      </c>
      <c r="BY204" s="2">
        <f>Table834[[#This Row],[Waist]]*Table834[[#This Row],[Morning Systolic Pressure]]</f>
        <v>6030</v>
      </c>
      <c r="BZ204" s="2">
        <f>Table834[[#This Row],[Waist]]*Table834[[#This Row],[Morning Diastolic Pressure]]</f>
        <v>3510</v>
      </c>
      <c r="CA204" s="2">
        <f>Table834[[#This Row],[Waist]]*Table834[[#This Row],[Morning Pulse]]</f>
        <v>3555</v>
      </c>
      <c r="CB204" s="2">
        <f>Table834[[#This Row],[Waist]]*Table834[[#This Row],[Night Body Temp]]</f>
        <v>4401</v>
      </c>
      <c r="CC204" s="2">
        <f>Table834[[#This Row],[Waist]]*Table834[[#This Row],[Night Systolic Pressure]]</f>
        <v>6210</v>
      </c>
      <c r="CD204" s="4">
        <f>Table83[[#This Row],[Waist]]*Table83[[#This Row],[Night Diastolic Pressure]]</f>
        <v>3690</v>
      </c>
      <c r="CE204" s="2">
        <f>Table834[[#This Row],[Waist]]*Table834[[#This Row],[Night Pulse]]</f>
        <v>3555</v>
      </c>
      <c r="CF204" s="2">
        <f>Table834[[#This Row],[Waist]]*Table834[[#This Row],[Sleep]]</f>
        <v>315</v>
      </c>
      <c r="CG204" s="2">
        <f>Table834[[#This Row],[Waist]]*Table834[[#This Row],[BMI]]</f>
        <v>1678.591836734694</v>
      </c>
      <c r="CH204" s="2">
        <f>Table834[[#This Row],[Waist]]*Table834[[#This Row],[CBF]]</f>
        <v>1469.641256491203</v>
      </c>
      <c r="CI204" s="2">
        <f>Table834[[#This Row],[Waist]]*Table834[[#This Row],[Gym]]</f>
        <v>0</v>
      </c>
      <c r="CJ204" s="2">
        <f>Table834[[#This Row],[Waist]]*Table834[[#This Row],[Cardio]]</f>
        <v>45</v>
      </c>
      <c r="CK204" s="2">
        <f>Table834[[#This Row],[Waist]]*Table834[[#This Row],[Calories]]</f>
        <v>222218.18437500001</v>
      </c>
      <c r="CL204" s="2">
        <f>Table834[[#This Row],[Waist]]*Table834[[#This Row],[Carbs]]</f>
        <v>29104.880625000002</v>
      </c>
      <c r="CM204" s="2">
        <f>Table834[[#This Row],[Waist]]*Table834[[#This Row],[Fat ]]</f>
        <v>9015.3393750000014</v>
      </c>
      <c r="CN204" s="2">
        <f>Table834[[#This Row],[Waist]]*Table834[[#This Row],[Protein]]</f>
        <v>6453.5428124999999</v>
      </c>
      <c r="CO204" s="2">
        <f>Table834[[#This Row],[Waist]]*Table834[[#This Row],[Fiber]]</f>
        <v>1116.1265625000001</v>
      </c>
      <c r="CP204" s="2">
        <f>Table834[[#This Row],[Waist]]*Table834[[#This Row],[Sugar]]</f>
        <v>14380.498125</v>
      </c>
      <c r="CQ204" s="2">
        <f>Table834[[#This Row],[Waist]]*Table834[[#This Row],[Servings]]</f>
        <v>3375</v>
      </c>
      <c r="CR204" s="2">
        <f>Table834[[#This Row],[Waist]]*Table834[[#This Row],[Water]]</f>
        <v>67.5</v>
      </c>
      <c r="CS204" s="2">
        <f>Table834[[#This Row],[Waist]]*Table834[[#This Row],[Fat Calories]]</f>
        <v>81138.054374999992</v>
      </c>
    </row>
    <row r="205" spans="1:97" x14ac:dyDescent="0.25">
      <c r="A205" s="2">
        <v>261.8</v>
      </c>
      <c r="B205" s="2">
        <f>Table834[[#This Row],[Weight]]^2</f>
        <v>68539.240000000005</v>
      </c>
      <c r="C205" s="2">
        <v>45.5</v>
      </c>
      <c r="D205" s="2">
        <f>Table834[[#This Row],[Waist]]^2</f>
        <v>2070.25</v>
      </c>
      <c r="E205" s="2">
        <v>16.5</v>
      </c>
      <c r="F205" s="2">
        <f>Table834[[#This Row],[Neck]]^2</f>
        <v>272.25</v>
      </c>
      <c r="G205" s="2">
        <v>96.7</v>
      </c>
      <c r="H205" s="2">
        <f>Table834[[#This Row],[Morning Body Temp]]^2</f>
        <v>9350.8900000000012</v>
      </c>
      <c r="I205" s="2">
        <v>133</v>
      </c>
      <c r="J205" s="2">
        <f>Table834[[#This Row],[Morning Systolic Pressure]]^2</f>
        <v>17689</v>
      </c>
      <c r="K205" s="2">
        <v>82</v>
      </c>
      <c r="L205" s="2">
        <f>Table834[[#This Row],[Morning Diastolic Pressure]]^2</f>
        <v>6724</v>
      </c>
      <c r="M205" s="2">
        <v>70</v>
      </c>
      <c r="N205" s="2">
        <f>Table834[[#This Row],[Morning Pulse]]^2</f>
        <v>4900</v>
      </c>
      <c r="O205" s="2">
        <v>98.2</v>
      </c>
      <c r="P205" s="2">
        <f>Table834[[#This Row],[Night Body Temp]]^2</f>
        <v>9643.24</v>
      </c>
      <c r="Q205" s="2">
        <v>152</v>
      </c>
      <c r="R205" s="2">
        <f>Table834[[#This Row],[Night Systolic Pressure]]^2</f>
        <v>23104</v>
      </c>
      <c r="S205" s="2">
        <v>88</v>
      </c>
      <c r="T205" s="2">
        <f>Table834[[#This Row],[Night Diastolic Pressure]]^2</f>
        <v>7744</v>
      </c>
      <c r="U205" s="2">
        <v>75</v>
      </c>
      <c r="V205" s="2">
        <f>Table834[[#This Row],[Night Pulse]]^2</f>
        <v>5625</v>
      </c>
      <c r="W205" s="2">
        <v>8</v>
      </c>
      <c r="X205" s="2">
        <f>Table834[[#This Row],[Sleep]]^2</f>
        <v>64</v>
      </c>
      <c r="Y205" s="2">
        <f t="shared" si="7"/>
        <v>37.560285714285712</v>
      </c>
      <c r="Z205" s="2">
        <f>Table834[[#This Row],[BMI]]^2</f>
        <v>1410.7750629387754</v>
      </c>
      <c r="AA205" s="2">
        <f t="shared" si="6"/>
        <v>33.308339978650658</v>
      </c>
      <c r="AB205" s="2">
        <f>Table834[[#This Row],[CBF]]^2</f>
        <v>1109.4455121333776</v>
      </c>
      <c r="AC205" s="2">
        <v>0</v>
      </c>
      <c r="AD205" s="2">
        <f>Table834[[#This Row],[Gym]]^2</f>
        <v>0</v>
      </c>
      <c r="AE205" s="2">
        <v>0</v>
      </c>
      <c r="AF205" s="2">
        <f>Table834[[#This Row],[Cardio]]^2</f>
        <v>0</v>
      </c>
      <c r="AG205" s="2">
        <v>6715.1818750000002</v>
      </c>
      <c r="AH205" s="2">
        <f>Table834[[#This Row],[Calories]]^2</f>
        <v>45093667.614328519</v>
      </c>
      <c r="AI205" s="2">
        <v>871.47512499999993</v>
      </c>
      <c r="AJ205" s="2">
        <f>Table834[[#This Row],[Carbs]]^2</f>
        <v>759468.8934937655</v>
      </c>
      <c r="AK205" s="2">
        <v>238.79087499999997</v>
      </c>
      <c r="AL205" s="2">
        <f>Table834[[#This Row],[Fat ]]^2</f>
        <v>57021.081983265613</v>
      </c>
      <c r="AM205" s="2">
        <v>165.51206250000001</v>
      </c>
      <c r="AN205" s="2">
        <f>Table834[[#This Row],[Protein]]^2</f>
        <v>27394.242833003911</v>
      </c>
      <c r="AO205" s="2">
        <v>36.702812500000007</v>
      </c>
      <c r="AP205" s="2">
        <f>Table834[[#This Row],[Fiber]]^2</f>
        <v>1347.0964454101568</v>
      </c>
      <c r="AQ205" s="2">
        <v>512.46662500000002</v>
      </c>
      <c r="AR205" s="2">
        <f>Table834[[#This Row],[Sugar]]^2</f>
        <v>262622.04173889064</v>
      </c>
      <c r="AS205" s="2">
        <v>97.3</v>
      </c>
      <c r="AT205" s="2">
        <f>Table834[[#This Row],[Servings]]^2</f>
        <v>9467.2899999999991</v>
      </c>
      <c r="AU205" s="2">
        <v>1</v>
      </c>
      <c r="AV205" s="2">
        <f>Table834[[#This Row],[Water]]^2</f>
        <v>1</v>
      </c>
      <c r="AW205" s="2">
        <v>2149.1178749999999</v>
      </c>
      <c r="AX205" s="2">
        <f>Table834[[#This Row],[Fat Calories]]^2</f>
        <v>4618707.6406445149</v>
      </c>
      <c r="AY205" s="5">
        <f>Table834[[#This Row],[Weight]]*Table834[[#This Row],[Waist]]</f>
        <v>11911.9</v>
      </c>
      <c r="AZ205" s="6">
        <f>Table834[[#This Row],[Weight]]*Table834[[#This Row],[Neck]]</f>
        <v>4319.7</v>
      </c>
      <c r="BA205" s="6">
        <f>Table834[[#This Row],[Weight]]*Table834[[#This Row],[Morning Body Temp]]</f>
        <v>25316.06</v>
      </c>
      <c r="BB205" s="6">
        <f>Table834[[#This Row],[Weight]]*Table834[[#This Row],[Morning Systolic Pressure]]</f>
        <v>34819.4</v>
      </c>
      <c r="BC205" s="12">
        <f>Table834[[#This Row],[Weight]]*Table834[[#This Row],[Morning Diastolic Pressure]]</f>
        <v>21467.600000000002</v>
      </c>
      <c r="BD205" s="2">
        <f>Table834[[#This Row],[Weight]]*Table834[[#This Row],[Morning Pulse]]</f>
        <v>18326</v>
      </c>
      <c r="BE205" s="2">
        <f>Table834[[#This Row],[Weight]]*Table834[[#This Row],[Night Body Temp]]</f>
        <v>25708.760000000002</v>
      </c>
      <c r="BF205" s="2">
        <f>Table834[[#This Row],[Weight]]*Table834[[#This Row],[Night Systolic Pressure]]</f>
        <v>39793.599999999999</v>
      </c>
      <c r="BG205" s="4">
        <f>Table83[[#This Row],[Weight]]*Table83[[#This Row],[Night Diastolic Pressure]]</f>
        <v>23038.400000000001</v>
      </c>
      <c r="BH205" s="2">
        <f>Table834[[#This Row],[Weight]]*Table834[[#This Row],[Night Pulse]]</f>
        <v>19635</v>
      </c>
      <c r="BI205" s="2">
        <f>Table834[[#This Row],[Weight]]*Table834[[#This Row],[Sleep]]</f>
        <v>2094.4</v>
      </c>
      <c r="BJ205" s="2">
        <f>Table834[[#This Row],[Weight]]*Table834[[#This Row],[BMI]]</f>
        <v>9833.282799999999</v>
      </c>
      <c r="BK205" s="2">
        <f>Table834[[#This Row],[Weight]]*Table834[[#This Row],[CBF]]</f>
        <v>8720.123406410743</v>
      </c>
      <c r="BL205" s="2">
        <f>Table834[[#This Row],[Weight]]*Table834[[#This Row],[Gym]]</f>
        <v>0</v>
      </c>
      <c r="BM205" s="2">
        <f>Table834[[#This Row],[Weight]]*Table834[[#This Row],[Cardio]]</f>
        <v>0</v>
      </c>
      <c r="BN205" s="2">
        <f>Table834[[#This Row],[Weight]]*Table834[[#This Row],[Calories]]</f>
        <v>1758034.6148750002</v>
      </c>
      <c r="BO205" s="2">
        <f>Table834[[#This Row],[Weight]]*Table834[[#This Row],[Carbs]]</f>
        <v>228152.187725</v>
      </c>
      <c r="BP205" s="2">
        <f>Table834[[#This Row],[Weight]]*Table834[[#This Row],[Fat ]]</f>
        <v>62515.451074999997</v>
      </c>
      <c r="BQ205" s="2">
        <f>Table834[[#This Row],[Weight]]*Table834[[#This Row],[Protein]]</f>
        <v>43331.057962500003</v>
      </c>
      <c r="BR205" s="2">
        <f>Table834[[#This Row],[Weight]]*Table834[[#This Row],[Fiber]]</f>
        <v>9608.7963125000024</v>
      </c>
      <c r="BS205" s="2">
        <f>Table834[[#This Row],[Weight]]*Table834[[#This Row],[Sugar]]</f>
        <v>134163.76242500002</v>
      </c>
      <c r="BT205" s="2">
        <f>Table834[[#This Row],[Weight]]*Table834[[#This Row],[Servings]]</f>
        <v>25473.14</v>
      </c>
      <c r="BU205" s="2">
        <f>Table834[[#This Row],[Weight]]*Table834[[#This Row],[Water]]</f>
        <v>261.8</v>
      </c>
      <c r="BV205" s="2">
        <f>Table834[[#This Row],[Weight]]*Table834[[#This Row],[Fat Calories]]</f>
        <v>562639.05967500003</v>
      </c>
      <c r="BW205" s="2">
        <f>Table834[[#This Row],[Waist]]*Table834[[#This Row],[Neck]]</f>
        <v>750.75</v>
      </c>
      <c r="BX205" s="2">
        <f>Table834[[#This Row],[Waist]]*Table834[[#This Row],[Morning Body Temp]]</f>
        <v>4399.8500000000004</v>
      </c>
      <c r="BY205" s="2">
        <f>Table834[[#This Row],[Waist]]*Table834[[#This Row],[Morning Systolic Pressure]]</f>
        <v>6051.5</v>
      </c>
      <c r="BZ205" s="2">
        <f>Table834[[#This Row],[Waist]]*Table834[[#This Row],[Morning Diastolic Pressure]]</f>
        <v>3731</v>
      </c>
      <c r="CA205" s="2">
        <f>Table834[[#This Row],[Waist]]*Table834[[#This Row],[Morning Pulse]]</f>
        <v>3185</v>
      </c>
      <c r="CB205" s="2">
        <f>Table834[[#This Row],[Waist]]*Table834[[#This Row],[Night Body Temp]]</f>
        <v>4468.1000000000004</v>
      </c>
      <c r="CC205" s="2">
        <f>Table834[[#This Row],[Waist]]*Table834[[#This Row],[Night Systolic Pressure]]</f>
        <v>6916</v>
      </c>
      <c r="CD205" s="4">
        <f>Table83[[#This Row],[Waist]]*Table83[[#This Row],[Night Diastolic Pressure]]</f>
        <v>4004</v>
      </c>
      <c r="CE205" s="2">
        <f>Table834[[#This Row],[Waist]]*Table834[[#This Row],[Night Pulse]]</f>
        <v>3412.5</v>
      </c>
      <c r="CF205" s="2">
        <f>Table834[[#This Row],[Waist]]*Table834[[#This Row],[Sleep]]</f>
        <v>364</v>
      </c>
      <c r="CG205" s="2">
        <f>Table834[[#This Row],[Waist]]*Table834[[#This Row],[BMI]]</f>
        <v>1708.9929999999999</v>
      </c>
      <c r="CH205" s="2">
        <f>Table834[[#This Row],[Waist]]*Table834[[#This Row],[CBF]]</f>
        <v>1515.5294690286048</v>
      </c>
      <c r="CI205" s="2">
        <f>Table834[[#This Row],[Waist]]*Table834[[#This Row],[Gym]]</f>
        <v>0</v>
      </c>
      <c r="CJ205" s="2">
        <f>Table834[[#This Row],[Waist]]*Table834[[#This Row],[Cardio]]</f>
        <v>0</v>
      </c>
      <c r="CK205" s="2">
        <f>Table834[[#This Row],[Waist]]*Table834[[#This Row],[Calories]]</f>
        <v>305540.77531250002</v>
      </c>
      <c r="CL205" s="2">
        <f>Table834[[#This Row],[Waist]]*Table834[[#This Row],[Carbs]]</f>
        <v>39652.118187499997</v>
      </c>
      <c r="CM205" s="2">
        <f>Table834[[#This Row],[Waist]]*Table834[[#This Row],[Fat ]]</f>
        <v>10864.984812499999</v>
      </c>
      <c r="CN205" s="2">
        <f>Table834[[#This Row],[Waist]]*Table834[[#This Row],[Protein]]</f>
        <v>7530.7988437500007</v>
      </c>
      <c r="CO205" s="2">
        <f>Table834[[#This Row],[Waist]]*Table834[[#This Row],[Fiber]]</f>
        <v>1669.9779687500004</v>
      </c>
      <c r="CP205" s="2">
        <f>Table834[[#This Row],[Waist]]*Table834[[#This Row],[Sugar]]</f>
        <v>23317.231437500002</v>
      </c>
      <c r="CQ205" s="2">
        <f>Table834[[#This Row],[Waist]]*Table834[[#This Row],[Servings]]</f>
        <v>4427.1499999999996</v>
      </c>
      <c r="CR205" s="2">
        <f>Table834[[#This Row],[Waist]]*Table834[[#This Row],[Water]]</f>
        <v>45.5</v>
      </c>
      <c r="CS205" s="2">
        <f>Table834[[#This Row],[Waist]]*Table834[[#This Row],[Fat Calories]]</f>
        <v>97784.863312499991</v>
      </c>
    </row>
    <row r="206" spans="1:97" x14ac:dyDescent="0.25">
      <c r="A206" s="2">
        <v>260</v>
      </c>
      <c r="B206" s="2">
        <f>Table834[[#This Row],[Weight]]^2</f>
        <v>67600</v>
      </c>
      <c r="C206" s="2">
        <v>45</v>
      </c>
      <c r="D206" s="2">
        <f>Table834[[#This Row],[Waist]]^2</f>
        <v>2025</v>
      </c>
      <c r="E206" s="2">
        <v>16.5</v>
      </c>
      <c r="F206" s="2">
        <f>Table834[[#This Row],[Neck]]^2</f>
        <v>272.25</v>
      </c>
      <c r="G206" s="2">
        <v>97.4</v>
      </c>
      <c r="H206" s="2">
        <f>Table834[[#This Row],[Morning Body Temp]]^2</f>
        <v>9486.76</v>
      </c>
      <c r="I206" s="2">
        <v>127</v>
      </c>
      <c r="J206" s="2">
        <f>Table834[[#This Row],[Morning Systolic Pressure]]^2</f>
        <v>16129</v>
      </c>
      <c r="K206" s="2">
        <v>84</v>
      </c>
      <c r="L206" s="2">
        <f>Table834[[#This Row],[Morning Diastolic Pressure]]^2</f>
        <v>7056</v>
      </c>
      <c r="M206" s="2">
        <v>76</v>
      </c>
      <c r="N206" s="2">
        <f>Table834[[#This Row],[Morning Pulse]]^2</f>
        <v>5776</v>
      </c>
      <c r="O206" s="2">
        <v>98.3</v>
      </c>
      <c r="P206" s="2">
        <f>Table834[[#This Row],[Night Body Temp]]^2</f>
        <v>9662.89</v>
      </c>
      <c r="Q206" s="2">
        <v>151</v>
      </c>
      <c r="R206" s="2">
        <f>Table834[[#This Row],[Night Systolic Pressure]]^2</f>
        <v>22801</v>
      </c>
      <c r="S206" s="2">
        <v>87</v>
      </c>
      <c r="T206" s="2">
        <f>Table834[[#This Row],[Night Diastolic Pressure]]^2</f>
        <v>7569</v>
      </c>
      <c r="U206" s="2">
        <v>68</v>
      </c>
      <c r="V206" s="2">
        <f>Table834[[#This Row],[Night Pulse]]^2</f>
        <v>4624</v>
      </c>
      <c r="W206" s="2">
        <v>8</v>
      </c>
      <c r="X206" s="2">
        <f>Table834[[#This Row],[Sleep]]^2</f>
        <v>64</v>
      </c>
      <c r="Y206" s="2">
        <f t="shared" si="7"/>
        <v>37.302040816326532</v>
      </c>
      <c r="Z206" s="2">
        <f>Table834[[#This Row],[BMI]]^2</f>
        <v>1391.4422490628906</v>
      </c>
      <c r="AA206" s="2">
        <f t="shared" si="6"/>
        <v>32.6586945886934</v>
      </c>
      <c r="AB206" s="2">
        <f>Table834[[#This Row],[CBF]]^2</f>
        <v>1066.5903322375516</v>
      </c>
      <c r="AC206" s="2">
        <v>1</v>
      </c>
      <c r="AD206" s="2">
        <f>Table834[[#This Row],[Gym]]^2</f>
        <v>1</v>
      </c>
      <c r="AE206" s="2">
        <v>0</v>
      </c>
      <c r="AF206" s="2">
        <f>Table834[[#This Row],[Cardio]]^2</f>
        <v>0</v>
      </c>
      <c r="AG206" s="2">
        <v>6197</v>
      </c>
      <c r="AH206" s="2">
        <f>Table834[[#This Row],[Calories]]^2</f>
        <v>38402809</v>
      </c>
      <c r="AI206" s="2">
        <v>882.4</v>
      </c>
      <c r="AJ206" s="2">
        <f>Table834[[#This Row],[Carbs]]^2</f>
        <v>778629.76</v>
      </c>
      <c r="AK206" s="2">
        <v>200.2</v>
      </c>
      <c r="AL206" s="2">
        <f>Table834[[#This Row],[Fat ]]^2</f>
        <v>40080.039999999994</v>
      </c>
      <c r="AM206" s="2">
        <v>86.600000000000009</v>
      </c>
      <c r="AN206" s="2">
        <f>Table834[[#This Row],[Protein]]^2</f>
        <v>7499.5600000000013</v>
      </c>
      <c r="AO206" s="2">
        <v>30.9</v>
      </c>
      <c r="AP206" s="2">
        <f>Table834[[#This Row],[Fiber]]^2</f>
        <v>954.81</v>
      </c>
      <c r="AQ206" s="2">
        <v>573.4</v>
      </c>
      <c r="AR206" s="2">
        <f>Table834[[#This Row],[Sugar]]^2</f>
        <v>328787.56</v>
      </c>
      <c r="AS206" s="2">
        <v>54</v>
      </c>
      <c r="AT206" s="2">
        <f>Table834[[#This Row],[Servings]]^2</f>
        <v>2916</v>
      </c>
      <c r="AU206" s="2">
        <v>0</v>
      </c>
      <c r="AV206" s="2">
        <f>Table834[[#This Row],[Water]]^2</f>
        <v>0</v>
      </c>
      <c r="AW206" s="2">
        <v>1801.8</v>
      </c>
      <c r="AX206" s="2">
        <f>Table834[[#This Row],[Fat Calories]]^2</f>
        <v>3246483.2399999998</v>
      </c>
      <c r="AY206" s="3">
        <f>Table834[[#This Row],[Weight]]*Table834[[#This Row],[Waist]]</f>
        <v>11700</v>
      </c>
      <c r="AZ206" s="4">
        <f>Table834[[#This Row],[Weight]]*Table834[[#This Row],[Neck]]</f>
        <v>4290</v>
      </c>
      <c r="BA206" s="4">
        <f>Table834[[#This Row],[Weight]]*Table834[[#This Row],[Morning Body Temp]]</f>
        <v>25324</v>
      </c>
      <c r="BB206" s="4">
        <f>Table834[[#This Row],[Weight]]*Table834[[#This Row],[Morning Systolic Pressure]]</f>
        <v>33020</v>
      </c>
      <c r="BC206" s="11">
        <f>Table834[[#This Row],[Weight]]*Table834[[#This Row],[Morning Diastolic Pressure]]</f>
        <v>21840</v>
      </c>
      <c r="BD206" s="2">
        <f>Table834[[#This Row],[Weight]]*Table834[[#This Row],[Morning Pulse]]</f>
        <v>19760</v>
      </c>
      <c r="BE206" s="2">
        <f>Table834[[#This Row],[Weight]]*Table834[[#This Row],[Night Body Temp]]</f>
        <v>25558</v>
      </c>
      <c r="BF206" s="2">
        <f>Table834[[#This Row],[Weight]]*Table834[[#This Row],[Night Systolic Pressure]]</f>
        <v>39260</v>
      </c>
      <c r="BG206" s="4">
        <f>Table83[[#This Row],[Weight]]*Table83[[#This Row],[Night Diastolic Pressure]]</f>
        <v>22620</v>
      </c>
      <c r="BH206" s="2">
        <f>Table834[[#This Row],[Weight]]*Table834[[#This Row],[Night Pulse]]</f>
        <v>17680</v>
      </c>
      <c r="BI206" s="2">
        <f>Table834[[#This Row],[Weight]]*Table834[[#This Row],[Sleep]]</f>
        <v>2080</v>
      </c>
      <c r="BJ206" s="2">
        <f>Table834[[#This Row],[Weight]]*Table834[[#This Row],[BMI]]</f>
        <v>9698.5306122448983</v>
      </c>
      <c r="BK206" s="2">
        <f>Table834[[#This Row],[Weight]]*Table834[[#This Row],[CBF]]</f>
        <v>8491.260593060284</v>
      </c>
      <c r="BL206" s="2">
        <f>Table834[[#This Row],[Weight]]*Table834[[#This Row],[Gym]]</f>
        <v>260</v>
      </c>
      <c r="BM206" s="2">
        <f>Table834[[#This Row],[Weight]]*Table834[[#This Row],[Cardio]]</f>
        <v>0</v>
      </c>
      <c r="BN206" s="2">
        <f>Table834[[#This Row],[Weight]]*Table834[[#This Row],[Calories]]</f>
        <v>1611220</v>
      </c>
      <c r="BO206" s="2">
        <f>Table834[[#This Row],[Weight]]*Table834[[#This Row],[Carbs]]</f>
        <v>229424</v>
      </c>
      <c r="BP206" s="2">
        <f>Table834[[#This Row],[Weight]]*Table834[[#This Row],[Fat ]]</f>
        <v>52052</v>
      </c>
      <c r="BQ206" s="2">
        <f>Table834[[#This Row],[Weight]]*Table834[[#This Row],[Protein]]</f>
        <v>22516.000000000004</v>
      </c>
      <c r="BR206" s="2">
        <f>Table834[[#This Row],[Weight]]*Table834[[#This Row],[Fiber]]</f>
        <v>8034</v>
      </c>
      <c r="BS206" s="2">
        <f>Table834[[#This Row],[Weight]]*Table834[[#This Row],[Sugar]]</f>
        <v>149084</v>
      </c>
      <c r="BT206" s="2">
        <f>Table834[[#This Row],[Weight]]*Table834[[#This Row],[Servings]]</f>
        <v>14040</v>
      </c>
      <c r="BU206" s="2">
        <f>Table834[[#This Row],[Weight]]*Table834[[#This Row],[Water]]</f>
        <v>0</v>
      </c>
      <c r="BV206" s="2">
        <f>Table834[[#This Row],[Weight]]*Table834[[#This Row],[Fat Calories]]</f>
        <v>468468</v>
      </c>
      <c r="BW206" s="2">
        <f>Table834[[#This Row],[Waist]]*Table834[[#This Row],[Neck]]</f>
        <v>742.5</v>
      </c>
      <c r="BX206" s="2">
        <f>Table834[[#This Row],[Waist]]*Table834[[#This Row],[Morning Body Temp]]</f>
        <v>4383</v>
      </c>
      <c r="BY206" s="2">
        <f>Table834[[#This Row],[Waist]]*Table834[[#This Row],[Morning Systolic Pressure]]</f>
        <v>5715</v>
      </c>
      <c r="BZ206" s="2">
        <f>Table834[[#This Row],[Waist]]*Table834[[#This Row],[Morning Diastolic Pressure]]</f>
        <v>3780</v>
      </c>
      <c r="CA206" s="2">
        <f>Table834[[#This Row],[Waist]]*Table834[[#This Row],[Morning Pulse]]</f>
        <v>3420</v>
      </c>
      <c r="CB206" s="2">
        <f>Table834[[#This Row],[Waist]]*Table834[[#This Row],[Night Body Temp]]</f>
        <v>4423.5</v>
      </c>
      <c r="CC206" s="2">
        <f>Table834[[#This Row],[Waist]]*Table834[[#This Row],[Night Systolic Pressure]]</f>
        <v>6795</v>
      </c>
      <c r="CD206" s="4">
        <f>Table83[[#This Row],[Waist]]*Table83[[#This Row],[Night Diastolic Pressure]]</f>
        <v>3915</v>
      </c>
      <c r="CE206" s="2">
        <f>Table834[[#This Row],[Waist]]*Table834[[#This Row],[Night Pulse]]</f>
        <v>3060</v>
      </c>
      <c r="CF206" s="2">
        <f>Table834[[#This Row],[Waist]]*Table834[[#This Row],[Sleep]]</f>
        <v>360</v>
      </c>
      <c r="CG206" s="2">
        <f>Table834[[#This Row],[Waist]]*Table834[[#This Row],[BMI]]</f>
        <v>1678.591836734694</v>
      </c>
      <c r="CH206" s="2">
        <f>Table834[[#This Row],[Waist]]*Table834[[#This Row],[CBF]]</f>
        <v>1469.641256491203</v>
      </c>
      <c r="CI206" s="2">
        <f>Table834[[#This Row],[Waist]]*Table834[[#This Row],[Gym]]</f>
        <v>45</v>
      </c>
      <c r="CJ206" s="2">
        <f>Table834[[#This Row],[Waist]]*Table834[[#This Row],[Cardio]]</f>
        <v>0</v>
      </c>
      <c r="CK206" s="2">
        <f>Table834[[#This Row],[Waist]]*Table834[[#This Row],[Calories]]</f>
        <v>278865</v>
      </c>
      <c r="CL206" s="2">
        <f>Table834[[#This Row],[Waist]]*Table834[[#This Row],[Carbs]]</f>
        <v>39708</v>
      </c>
      <c r="CM206" s="2">
        <f>Table834[[#This Row],[Waist]]*Table834[[#This Row],[Fat ]]</f>
        <v>9009</v>
      </c>
      <c r="CN206" s="2">
        <f>Table834[[#This Row],[Waist]]*Table834[[#This Row],[Protein]]</f>
        <v>3897.0000000000005</v>
      </c>
      <c r="CO206" s="2">
        <f>Table834[[#This Row],[Waist]]*Table834[[#This Row],[Fiber]]</f>
        <v>1390.5</v>
      </c>
      <c r="CP206" s="2">
        <f>Table834[[#This Row],[Waist]]*Table834[[#This Row],[Sugar]]</f>
        <v>25803</v>
      </c>
      <c r="CQ206" s="2">
        <f>Table834[[#This Row],[Waist]]*Table834[[#This Row],[Servings]]</f>
        <v>2430</v>
      </c>
      <c r="CR206" s="2">
        <f>Table834[[#This Row],[Waist]]*Table834[[#This Row],[Water]]</f>
        <v>0</v>
      </c>
      <c r="CS206" s="2">
        <f>Table834[[#This Row],[Waist]]*Table834[[#This Row],[Fat Calories]]</f>
        <v>81081</v>
      </c>
    </row>
    <row r="207" spans="1:97" x14ac:dyDescent="0.25">
      <c r="A207" s="2">
        <v>262.39999999999998</v>
      </c>
      <c r="B207" s="2">
        <f>Table834[[#This Row],[Weight]]^2</f>
        <v>68853.759999999995</v>
      </c>
      <c r="C207" s="2">
        <v>45.5</v>
      </c>
      <c r="D207" s="2">
        <f>Table834[[#This Row],[Waist]]^2</f>
        <v>2070.25</v>
      </c>
      <c r="E207" s="2">
        <v>16.5</v>
      </c>
      <c r="F207" s="2">
        <f>Table834[[#This Row],[Neck]]^2</f>
        <v>272.25</v>
      </c>
      <c r="G207" s="2">
        <v>97.6</v>
      </c>
      <c r="H207" s="2">
        <f>Table834[[#This Row],[Morning Body Temp]]^2</f>
        <v>9525.7599999999984</v>
      </c>
      <c r="I207" s="2">
        <v>131</v>
      </c>
      <c r="J207" s="2">
        <f>Table834[[#This Row],[Morning Systolic Pressure]]^2</f>
        <v>17161</v>
      </c>
      <c r="K207" s="2">
        <v>91</v>
      </c>
      <c r="L207" s="2">
        <f>Table834[[#This Row],[Morning Diastolic Pressure]]^2</f>
        <v>8281</v>
      </c>
      <c r="M207" s="2">
        <v>81</v>
      </c>
      <c r="N207" s="2">
        <f>Table834[[#This Row],[Morning Pulse]]^2</f>
        <v>6561</v>
      </c>
      <c r="O207" s="2">
        <v>97.8</v>
      </c>
      <c r="P207" s="2">
        <f>Table834[[#This Row],[Night Body Temp]]^2</f>
        <v>9564.84</v>
      </c>
      <c r="Q207" s="2">
        <v>140</v>
      </c>
      <c r="R207" s="2">
        <f>Table834[[#This Row],[Night Systolic Pressure]]^2</f>
        <v>19600</v>
      </c>
      <c r="S207" s="2">
        <v>84</v>
      </c>
      <c r="T207" s="2">
        <f>Table834[[#This Row],[Night Diastolic Pressure]]^2</f>
        <v>7056</v>
      </c>
      <c r="U207" s="2">
        <v>80</v>
      </c>
      <c r="V207" s="2">
        <f>Table834[[#This Row],[Night Pulse]]^2</f>
        <v>6400</v>
      </c>
      <c r="W207" s="2">
        <v>7</v>
      </c>
      <c r="X207" s="2">
        <f>Table834[[#This Row],[Sleep]]^2</f>
        <v>49</v>
      </c>
      <c r="Y207" s="2">
        <f t="shared" si="7"/>
        <v>37.646367346938767</v>
      </c>
      <c r="Z207" s="2">
        <f>Table834[[#This Row],[BMI]]^2</f>
        <v>1417.2489744206575</v>
      </c>
      <c r="AA207" s="2">
        <f t="shared" si="6"/>
        <v>33.308339978650658</v>
      </c>
      <c r="AB207" s="2">
        <f>Table834[[#This Row],[CBF]]^2</f>
        <v>1109.4455121333776</v>
      </c>
      <c r="AC207" s="2">
        <v>0</v>
      </c>
      <c r="AD207" s="2">
        <f>Table834[[#This Row],[Gym]]^2</f>
        <v>0</v>
      </c>
      <c r="AE207" s="2">
        <v>0</v>
      </c>
      <c r="AF207" s="2">
        <f>Table834[[#This Row],[Cardio]]^2</f>
        <v>0</v>
      </c>
      <c r="AG207" s="2">
        <v>5768.4333333333334</v>
      </c>
      <c r="AH207" s="2">
        <f>Table834[[#This Row],[Calories]]^2</f>
        <v>33274823.121111114</v>
      </c>
      <c r="AI207" s="2">
        <v>865</v>
      </c>
      <c r="AJ207" s="2">
        <f>Table834[[#This Row],[Carbs]]^2</f>
        <v>748225</v>
      </c>
      <c r="AK207" s="2">
        <v>215.96666666666667</v>
      </c>
      <c r="AL207" s="2">
        <f>Table834[[#This Row],[Fat ]]^2</f>
        <v>46641.601111111115</v>
      </c>
      <c r="AM207" s="2">
        <v>110.83333333333334</v>
      </c>
      <c r="AN207" s="2">
        <f>Table834[[#This Row],[Protein]]^2</f>
        <v>12284.027777777779</v>
      </c>
      <c r="AO207" s="2">
        <v>15.033333333333333</v>
      </c>
      <c r="AP207" s="2">
        <f>Table834[[#This Row],[Fiber]]^2</f>
        <v>226.0011111111111</v>
      </c>
      <c r="AQ207" s="2">
        <v>615.70000000000005</v>
      </c>
      <c r="AR207" s="2">
        <f>Table834[[#This Row],[Sugar]]^2</f>
        <v>379086.49000000005</v>
      </c>
      <c r="AS207" s="2">
        <v>140</v>
      </c>
      <c r="AT207" s="2">
        <f>Table834[[#This Row],[Servings]]^2</f>
        <v>19600</v>
      </c>
      <c r="AU207" s="2">
        <v>0</v>
      </c>
      <c r="AV207" s="2">
        <f>Table834[[#This Row],[Water]]^2</f>
        <v>0</v>
      </c>
      <c r="AW207" s="2">
        <v>1943.6999999999998</v>
      </c>
      <c r="AX207" s="2">
        <f>Table834[[#This Row],[Fat Calories]]^2</f>
        <v>3777969.6899999995</v>
      </c>
      <c r="AY207" s="5">
        <f>Table834[[#This Row],[Weight]]*Table834[[#This Row],[Waist]]</f>
        <v>11939.199999999999</v>
      </c>
      <c r="AZ207" s="6">
        <f>Table834[[#This Row],[Weight]]*Table834[[#This Row],[Neck]]</f>
        <v>4329.5999999999995</v>
      </c>
      <c r="BA207" s="6">
        <f>Table834[[#This Row],[Weight]]*Table834[[#This Row],[Morning Body Temp]]</f>
        <v>25610.239999999998</v>
      </c>
      <c r="BB207" s="6">
        <f>Table834[[#This Row],[Weight]]*Table834[[#This Row],[Morning Systolic Pressure]]</f>
        <v>34374.399999999994</v>
      </c>
      <c r="BC207" s="12">
        <f>Table834[[#This Row],[Weight]]*Table834[[#This Row],[Morning Diastolic Pressure]]</f>
        <v>23878.399999999998</v>
      </c>
      <c r="BD207" s="2">
        <f>Table834[[#This Row],[Weight]]*Table834[[#This Row],[Morning Pulse]]</f>
        <v>21254.399999999998</v>
      </c>
      <c r="BE207" s="2">
        <f>Table834[[#This Row],[Weight]]*Table834[[#This Row],[Night Body Temp]]</f>
        <v>25662.719999999998</v>
      </c>
      <c r="BF207" s="2">
        <f>Table834[[#This Row],[Weight]]*Table834[[#This Row],[Night Systolic Pressure]]</f>
        <v>36736</v>
      </c>
      <c r="BG207" s="4">
        <f>Table83[[#This Row],[Weight]]*Table83[[#This Row],[Night Diastolic Pressure]]</f>
        <v>22041.599999999999</v>
      </c>
      <c r="BH207" s="2">
        <f>Table834[[#This Row],[Weight]]*Table834[[#This Row],[Night Pulse]]</f>
        <v>20992</v>
      </c>
      <c r="BI207" s="2">
        <f>Table834[[#This Row],[Weight]]*Table834[[#This Row],[Sleep]]</f>
        <v>1836.7999999999997</v>
      </c>
      <c r="BJ207" s="2">
        <f>Table834[[#This Row],[Weight]]*Table834[[#This Row],[BMI]]</f>
        <v>9878.4067918367309</v>
      </c>
      <c r="BK207" s="2">
        <f>Table834[[#This Row],[Weight]]*Table834[[#This Row],[CBF]]</f>
        <v>8740.1084103979319</v>
      </c>
      <c r="BL207" s="2">
        <f>Table834[[#This Row],[Weight]]*Table834[[#This Row],[Gym]]</f>
        <v>0</v>
      </c>
      <c r="BM207" s="2">
        <f>Table834[[#This Row],[Weight]]*Table834[[#This Row],[Cardio]]</f>
        <v>0</v>
      </c>
      <c r="BN207" s="2">
        <f>Table834[[#This Row],[Weight]]*Table834[[#This Row],[Calories]]</f>
        <v>1513636.9066666665</v>
      </c>
      <c r="BO207" s="2">
        <f>Table834[[#This Row],[Weight]]*Table834[[#This Row],[Carbs]]</f>
        <v>226975.99999999997</v>
      </c>
      <c r="BP207" s="2">
        <f>Table834[[#This Row],[Weight]]*Table834[[#This Row],[Fat ]]</f>
        <v>56669.653333333328</v>
      </c>
      <c r="BQ207" s="2">
        <f>Table834[[#This Row],[Weight]]*Table834[[#This Row],[Protein]]</f>
        <v>29082.666666666668</v>
      </c>
      <c r="BR207" s="2">
        <f>Table834[[#This Row],[Weight]]*Table834[[#This Row],[Fiber]]</f>
        <v>3944.7466666666664</v>
      </c>
      <c r="BS207" s="2">
        <f>Table834[[#This Row],[Weight]]*Table834[[#This Row],[Sugar]]</f>
        <v>161559.67999999999</v>
      </c>
      <c r="BT207" s="2">
        <f>Table834[[#This Row],[Weight]]*Table834[[#This Row],[Servings]]</f>
        <v>36736</v>
      </c>
      <c r="BU207" s="2">
        <f>Table834[[#This Row],[Weight]]*Table834[[#This Row],[Water]]</f>
        <v>0</v>
      </c>
      <c r="BV207" s="2">
        <f>Table834[[#This Row],[Weight]]*Table834[[#This Row],[Fat Calories]]</f>
        <v>510026.87999999989</v>
      </c>
      <c r="BW207" s="2">
        <f>Table834[[#This Row],[Waist]]*Table834[[#This Row],[Neck]]</f>
        <v>750.75</v>
      </c>
      <c r="BX207" s="2">
        <f>Table834[[#This Row],[Waist]]*Table834[[#This Row],[Morning Body Temp]]</f>
        <v>4440.8</v>
      </c>
      <c r="BY207" s="2">
        <f>Table834[[#This Row],[Waist]]*Table834[[#This Row],[Morning Systolic Pressure]]</f>
        <v>5960.5</v>
      </c>
      <c r="BZ207" s="2">
        <f>Table834[[#This Row],[Waist]]*Table834[[#This Row],[Morning Diastolic Pressure]]</f>
        <v>4140.5</v>
      </c>
      <c r="CA207" s="2">
        <f>Table834[[#This Row],[Waist]]*Table834[[#This Row],[Morning Pulse]]</f>
        <v>3685.5</v>
      </c>
      <c r="CB207" s="2">
        <f>Table834[[#This Row],[Waist]]*Table834[[#This Row],[Night Body Temp]]</f>
        <v>4449.8999999999996</v>
      </c>
      <c r="CC207" s="2">
        <f>Table834[[#This Row],[Waist]]*Table834[[#This Row],[Night Systolic Pressure]]</f>
        <v>6370</v>
      </c>
      <c r="CD207" s="4">
        <f>Table83[[#This Row],[Waist]]*Table83[[#This Row],[Night Diastolic Pressure]]</f>
        <v>3822</v>
      </c>
      <c r="CE207" s="2">
        <f>Table834[[#This Row],[Waist]]*Table834[[#This Row],[Night Pulse]]</f>
        <v>3640</v>
      </c>
      <c r="CF207" s="2">
        <f>Table834[[#This Row],[Waist]]*Table834[[#This Row],[Sleep]]</f>
        <v>318.5</v>
      </c>
      <c r="CG207" s="2">
        <f>Table834[[#This Row],[Waist]]*Table834[[#This Row],[BMI]]</f>
        <v>1712.909714285714</v>
      </c>
      <c r="CH207" s="2">
        <f>Table834[[#This Row],[Waist]]*Table834[[#This Row],[CBF]]</f>
        <v>1515.5294690286048</v>
      </c>
      <c r="CI207" s="2">
        <f>Table834[[#This Row],[Waist]]*Table834[[#This Row],[Gym]]</f>
        <v>0</v>
      </c>
      <c r="CJ207" s="2">
        <f>Table834[[#This Row],[Waist]]*Table834[[#This Row],[Cardio]]</f>
        <v>0</v>
      </c>
      <c r="CK207" s="2">
        <f>Table834[[#This Row],[Waist]]*Table834[[#This Row],[Calories]]</f>
        <v>262463.71666666667</v>
      </c>
      <c r="CL207" s="2">
        <f>Table834[[#This Row],[Waist]]*Table834[[#This Row],[Carbs]]</f>
        <v>39357.5</v>
      </c>
      <c r="CM207" s="2">
        <f>Table834[[#This Row],[Waist]]*Table834[[#This Row],[Fat ]]</f>
        <v>9826.4833333333336</v>
      </c>
      <c r="CN207" s="2">
        <f>Table834[[#This Row],[Waist]]*Table834[[#This Row],[Protein]]</f>
        <v>5042.916666666667</v>
      </c>
      <c r="CO207" s="2">
        <f>Table834[[#This Row],[Waist]]*Table834[[#This Row],[Fiber]]</f>
        <v>684.01666666666665</v>
      </c>
      <c r="CP207" s="2">
        <f>Table834[[#This Row],[Waist]]*Table834[[#This Row],[Sugar]]</f>
        <v>28014.350000000002</v>
      </c>
      <c r="CQ207" s="2">
        <f>Table834[[#This Row],[Waist]]*Table834[[#This Row],[Servings]]</f>
        <v>6370</v>
      </c>
      <c r="CR207" s="2">
        <f>Table834[[#This Row],[Waist]]*Table834[[#This Row],[Water]]</f>
        <v>0</v>
      </c>
      <c r="CS207" s="2">
        <f>Table834[[#This Row],[Waist]]*Table834[[#This Row],[Fat Calories]]</f>
        <v>88438.349999999991</v>
      </c>
    </row>
    <row r="208" spans="1:97" x14ac:dyDescent="0.25">
      <c r="A208" s="2">
        <v>265.2</v>
      </c>
      <c r="B208" s="2">
        <f>Table834[[#This Row],[Weight]]^2</f>
        <v>70331.039999999994</v>
      </c>
      <c r="C208" s="2">
        <v>46</v>
      </c>
      <c r="D208" s="2">
        <f>Table834[[#This Row],[Waist]]^2</f>
        <v>2116</v>
      </c>
      <c r="E208" s="2">
        <v>16.5</v>
      </c>
      <c r="F208" s="2">
        <f>Table834[[#This Row],[Neck]]^2</f>
        <v>272.25</v>
      </c>
      <c r="G208" s="2">
        <v>96.8</v>
      </c>
      <c r="H208" s="2">
        <f>Table834[[#This Row],[Morning Body Temp]]^2</f>
        <v>9370.24</v>
      </c>
      <c r="I208" s="2">
        <v>153</v>
      </c>
      <c r="J208" s="2">
        <f>Table834[[#This Row],[Morning Systolic Pressure]]^2</f>
        <v>23409</v>
      </c>
      <c r="K208" s="2">
        <v>84</v>
      </c>
      <c r="L208" s="2">
        <f>Table834[[#This Row],[Morning Diastolic Pressure]]^2</f>
        <v>7056</v>
      </c>
      <c r="M208" s="2">
        <v>80</v>
      </c>
      <c r="N208" s="2">
        <f>Table834[[#This Row],[Morning Pulse]]^2</f>
        <v>6400</v>
      </c>
      <c r="O208" s="2">
        <v>98.1</v>
      </c>
      <c r="P208" s="2">
        <f>Table834[[#This Row],[Night Body Temp]]^2</f>
        <v>9623.6099999999988</v>
      </c>
      <c r="Q208" s="2">
        <v>136</v>
      </c>
      <c r="R208" s="2">
        <f>Table834[[#This Row],[Night Systolic Pressure]]^2</f>
        <v>18496</v>
      </c>
      <c r="S208" s="2">
        <v>80</v>
      </c>
      <c r="T208" s="2">
        <f>Table834[[#This Row],[Night Diastolic Pressure]]^2</f>
        <v>6400</v>
      </c>
      <c r="U208" s="2">
        <v>72</v>
      </c>
      <c r="V208" s="2">
        <f>Table834[[#This Row],[Night Pulse]]^2</f>
        <v>5184</v>
      </c>
      <c r="W208" s="2">
        <v>9</v>
      </c>
      <c r="X208" s="2">
        <f>Table834[[#This Row],[Sleep]]^2</f>
        <v>81</v>
      </c>
      <c r="Y208" s="2">
        <f t="shared" si="7"/>
        <v>38.048081632653059</v>
      </c>
      <c r="Z208" s="2">
        <f>Table834[[#This Row],[BMI]]^2</f>
        <v>1447.656515925031</v>
      </c>
      <c r="AA208" s="2">
        <f t="shared" si="6"/>
        <v>33.946879773643239</v>
      </c>
      <c r="AB208" s="2">
        <f>Table834[[#This Row],[CBF]]^2</f>
        <v>1152.3906463661885</v>
      </c>
      <c r="AC208" s="2">
        <v>0</v>
      </c>
      <c r="AD208" s="2">
        <f>Table834[[#This Row],[Gym]]^2</f>
        <v>0</v>
      </c>
      <c r="AE208" s="2">
        <v>0</v>
      </c>
      <c r="AF208" s="2">
        <f>Table834[[#This Row],[Cardio]]^2</f>
        <v>0</v>
      </c>
      <c r="AG208" s="2">
        <v>1053.2833333333333</v>
      </c>
      <c r="AH208" s="2">
        <f>Table834[[#This Row],[Calories]]^2</f>
        <v>1109405.7802777777</v>
      </c>
      <c r="AI208" s="2">
        <v>99.310333333333318</v>
      </c>
      <c r="AJ208" s="2">
        <f>Table834[[#This Row],[Carbs]]^2</f>
        <v>9862.5423067777756</v>
      </c>
      <c r="AK208" s="2">
        <v>48.72</v>
      </c>
      <c r="AL208" s="2">
        <f>Table834[[#This Row],[Fat ]]^2</f>
        <v>2373.6383999999998</v>
      </c>
      <c r="AM208" s="2">
        <v>70.575999999999993</v>
      </c>
      <c r="AN208" s="2">
        <f>Table834[[#This Row],[Protein]]^2</f>
        <v>4980.9717759999994</v>
      </c>
      <c r="AO208" s="2">
        <v>36.656333333333329</v>
      </c>
      <c r="AP208" s="2">
        <f>Table834[[#This Row],[Fiber]]^2</f>
        <v>1343.686773444444</v>
      </c>
      <c r="AQ208" s="2">
        <v>18.666333333333334</v>
      </c>
      <c r="AR208" s="2">
        <f>Table834[[#This Row],[Sugar]]^2</f>
        <v>348.43200011111117</v>
      </c>
      <c r="AS208" s="2">
        <v>15.469999999999999</v>
      </c>
      <c r="AT208" s="2">
        <f>Table834[[#This Row],[Servings]]^2</f>
        <v>239.32089999999997</v>
      </c>
      <c r="AU208" s="2">
        <v>0</v>
      </c>
      <c r="AV208" s="2">
        <f>Table834[[#This Row],[Water]]^2</f>
        <v>0</v>
      </c>
      <c r="AW208" s="2">
        <v>438.48</v>
      </c>
      <c r="AX208" s="2">
        <f>Table834[[#This Row],[Fat Calories]]^2</f>
        <v>192264.71040000001</v>
      </c>
      <c r="AY208" s="3">
        <f>Table834[[#This Row],[Weight]]*Table834[[#This Row],[Waist]]</f>
        <v>12199.199999999999</v>
      </c>
      <c r="AZ208" s="4">
        <f>Table834[[#This Row],[Weight]]*Table834[[#This Row],[Neck]]</f>
        <v>4375.8</v>
      </c>
      <c r="BA208" s="4">
        <f>Table834[[#This Row],[Weight]]*Table834[[#This Row],[Morning Body Temp]]</f>
        <v>25671.359999999997</v>
      </c>
      <c r="BB208" s="4">
        <f>Table834[[#This Row],[Weight]]*Table834[[#This Row],[Morning Systolic Pressure]]</f>
        <v>40575.599999999999</v>
      </c>
      <c r="BC208" s="11">
        <f>Table834[[#This Row],[Weight]]*Table834[[#This Row],[Morning Diastolic Pressure]]</f>
        <v>22276.799999999999</v>
      </c>
      <c r="BD208" s="2">
        <f>Table834[[#This Row],[Weight]]*Table834[[#This Row],[Morning Pulse]]</f>
        <v>21216</v>
      </c>
      <c r="BE208" s="2">
        <f>Table834[[#This Row],[Weight]]*Table834[[#This Row],[Night Body Temp]]</f>
        <v>26016.12</v>
      </c>
      <c r="BF208" s="2">
        <f>Table834[[#This Row],[Weight]]*Table834[[#This Row],[Night Systolic Pressure]]</f>
        <v>36067.199999999997</v>
      </c>
      <c r="BG208" s="4">
        <f>Table83[[#This Row],[Weight]]*Table83[[#This Row],[Night Diastolic Pressure]]</f>
        <v>21216</v>
      </c>
      <c r="BH208" s="2">
        <f>Table834[[#This Row],[Weight]]*Table834[[#This Row],[Night Pulse]]</f>
        <v>19094.399999999998</v>
      </c>
      <c r="BI208" s="2">
        <f>Table834[[#This Row],[Weight]]*Table834[[#This Row],[Sleep]]</f>
        <v>2386.7999999999997</v>
      </c>
      <c r="BJ208" s="2">
        <f>Table834[[#This Row],[Weight]]*Table834[[#This Row],[BMI]]</f>
        <v>10090.35124897959</v>
      </c>
      <c r="BK208" s="2">
        <f>Table834[[#This Row],[Weight]]*Table834[[#This Row],[CBF]]</f>
        <v>9002.7125159701864</v>
      </c>
      <c r="BL208" s="2">
        <f>Table834[[#This Row],[Weight]]*Table834[[#This Row],[Gym]]</f>
        <v>0</v>
      </c>
      <c r="BM208" s="2">
        <f>Table834[[#This Row],[Weight]]*Table834[[#This Row],[Cardio]]</f>
        <v>0</v>
      </c>
      <c r="BN208" s="2">
        <f>Table834[[#This Row],[Weight]]*Table834[[#This Row],[Calories]]</f>
        <v>279330.74</v>
      </c>
      <c r="BO208" s="2">
        <f>Table834[[#This Row],[Weight]]*Table834[[#This Row],[Carbs]]</f>
        <v>26337.100399999996</v>
      </c>
      <c r="BP208" s="2">
        <f>Table834[[#This Row],[Weight]]*Table834[[#This Row],[Fat ]]</f>
        <v>12920.544</v>
      </c>
      <c r="BQ208" s="2">
        <f>Table834[[#This Row],[Weight]]*Table834[[#This Row],[Protein]]</f>
        <v>18716.755199999996</v>
      </c>
      <c r="BR208" s="2">
        <f>Table834[[#This Row],[Weight]]*Table834[[#This Row],[Fiber]]</f>
        <v>9721.2595999999976</v>
      </c>
      <c r="BS208" s="2">
        <f>Table834[[#This Row],[Weight]]*Table834[[#This Row],[Sugar]]</f>
        <v>4950.3116</v>
      </c>
      <c r="BT208" s="2">
        <f>Table834[[#This Row],[Weight]]*Table834[[#This Row],[Servings]]</f>
        <v>4102.6439999999993</v>
      </c>
      <c r="BU208" s="2">
        <f>Table834[[#This Row],[Weight]]*Table834[[#This Row],[Water]]</f>
        <v>0</v>
      </c>
      <c r="BV208" s="2">
        <f>Table834[[#This Row],[Weight]]*Table834[[#This Row],[Fat Calories]]</f>
        <v>116284.89599999999</v>
      </c>
      <c r="BW208" s="2">
        <f>Table834[[#This Row],[Waist]]*Table834[[#This Row],[Neck]]</f>
        <v>759</v>
      </c>
      <c r="BX208" s="2">
        <f>Table834[[#This Row],[Waist]]*Table834[[#This Row],[Morning Body Temp]]</f>
        <v>4452.8</v>
      </c>
      <c r="BY208" s="2">
        <f>Table834[[#This Row],[Waist]]*Table834[[#This Row],[Morning Systolic Pressure]]</f>
        <v>7038</v>
      </c>
      <c r="BZ208" s="2">
        <f>Table834[[#This Row],[Waist]]*Table834[[#This Row],[Morning Diastolic Pressure]]</f>
        <v>3864</v>
      </c>
      <c r="CA208" s="2">
        <f>Table834[[#This Row],[Waist]]*Table834[[#This Row],[Morning Pulse]]</f>
        <v>3680</v>
      </c>
      <c r="CB208" s="2">
        <f>Table834[[#This Row],[Waist]]*Table834[[#This Row],[Night Body Temp]]</f>
        <v>4512.5999999999995</v>
      </c>
      <c r="CC208" s="2">
        <f>Table834[[#This Row],[Waist]]*Table834[[#This Row],[Night Systolic Pressure]]</f>
        <v>6256</v>
      </c>
      <c r="CD208" s="4">
        <f>Table83[[#This Row],[Waist]]*Table83[[#This Row],[Night Diastolic Pressure]]</f>
        <v>3680</v>
      </c>
      <c r="CE208" s="2">
        <f>Table834[[#This Row],[Waist]]*Table834[[#This Row],[Night Pulse]]</f>
        <v>3312</v>
      </c>
      <c r="CF208" s="2">
        <f>Table834[[#This Row],[Waist]]*Table834[[#This Row],[Sleep]]</f>
        <v>414</v>
      </c>
      <c r="CG208" s="2">
        <f>Table834[[#This Row],[Waist]]*Table834[[#This Row],[BMI]]</f>
        <v>1750.2117551020408</v>
      </c>
      <c r="CH208" s="2">
        <f>Table834[[#This Row],[Waist]]*Table834[[#This Row],[CBF]]</f>
        <v>1561.5564695875889</v>
      </c>
      <c r="CI208" s="2">
        <f>Table834[[#This Row],[Waist]]*Table834[[#This Row],[Gym]]</f>
        <v>0</v>
      </c>
      <c r="CJ208" s="2">
        <f>Table834[[#This Row],[Waist]]*Table834[[#This Row],[Cardio]]</f>
        <v>0</v>
      </c>
      <c r="CK208" s="2">
        <f>Table834[[#This Row],[Waist]]*Table834[[#This Row],[Calories]]</f>
        <v>48451.033333333333</v>
      </c>
      <c r="CL208" s="2">
        <f>Table834[[#This Row],[Waist]]*Table834[[#This Row],[Carbs]]</f>
        <v>4568.275333333333</v>
      </c>
      <c r="CM208" s="2">
        <f>Table834[[#This Row],[Waist]]*Table834[[#This Row],[Fat ]]</f>
        <v>2241.12</v>
      </c>
      <c r="CN208" s="2">
        <f>Table834[[#This Row],[Waist]]*Table834[[#This Row],[Protein]]</f>
        <v>3246.4959999999996</v>
      </c>
      <c r="CO208" s="2">
        <f>Table834[[#This Row],[Waist]]*Table834[[#This Row],[Fiber]]</f>
        <v>1686.1913333333332</v>
      </c>
      <c r="CP208" s="2">
        <f>Table834[[#This Row],[Waist]]*Table834[[#This Row],[Sugar]]</f>
        <v>858.65133333333335</v>
      </c>
      <c r="CQ208" s="2">
        <f>Table834[[#This Row],[Waist]]*Table834[[#This Row],[Servings]]</f>
        <v>711.61999999999989</v>
      </c>
      <c r="CR208" s="2">
        <f>Table834[[#This Row],[Waist]]*Table834[[#This Row],[Water]]</f>
        <v>0</v>
      </c>
      <c r="CS208" s="2">
        <f>Table834[[#This Row],[Waist]]*Table834[[#This Row],[Fat Calories]]</f>
        <v>20170.080000000002</v>
      </c>
    </row>
    <row r="209" spans="1:97" x14ac:dyDescent="0.25">
      <c r="A209" s="2">
        <v>261.60000000000002</v>
      </c>
      <c r="B209" s="2">
        <f>Table834[[#This Row],[Weight]]^2</f>
        <v>68434.560000000012</v>
      </c>
      <c r="C209" s="2">
        <v>45.5</v>
      </c>
      <c r="D209" s="2">
        <f>Table834[[#This Row],[Waist]]^2</f>
        <v>2070.25</v>
      </c>
      <c r="E209" s="2">
        <v>16.5</v>
      </c>
      <c r="F209" s="2">
        <f>Table834[[#This Row],[Neck]]^2</f>
        <v>272.25</v>
      </c>
      <c r="G209" s="2">
        <v>96.9</v>
      </c>
      <c r="H209" s="2">
        <f>Table834[[#This Row],[Morning Body Temp]]^2</f>
        <v>9389.61</v>
      </c>
      <c r="I209" s="2">
        <v>140</v>
      </c>
      <c r="J209" s="2">
        <f>Table834[[#This Row],[Morning Systolic Pressure]]^2</f>
        <v>19600</v>
      </c>
      <c r="K209" s="2">
        <v>82</v>
      </c>
      <c r="L209" s="2">
        <f>Table834[[#This Row],[Morning Diastolic Pressure]]^2</f>
        <v>6724</v>
      </c>
      <c r="M209" s="2">
        <v>67</v>
      </c>
      <c r="N209" s="2">
        <f>Table834[[#This Row],[Morning Pulse]]^2</f>
        <v>4489</v>
      </c>
      <c r="O209" s="2">
        <v>97.2</v>
      </c>
      <c r="P209" s="2">
        <f>Table834[[#This Row],[Night Body Temp]]^2</f>
        <v>9447.84</v>
      </c>
      <c r="Q209" s="2">
        <v>152</v>
      </c>
      <c r="R209" s="2">
        <f>Table834[[#This Row],[Night Systolic Pressure]]^2</f>
        <v>23104</v>
      </c>
      <c r="S209" s="2">
        <v>82</v>
      </c>
      <c r="T209" s="2">
        <f>Table834[[#This Row],[Night Diastolic Pressure]]^2</f>
        <v>6724</v>
      </c>
      <c r="U209" s="2">
        <v>75</v>
      </c>
      <c r="V209" s="2">
        <f>Table834[[#This Row],[Night Pulse]]^2</f>
        <v>5625</v>
      </c>
      <c r="W209" s="2">
        <v>3</v>
      </c>
      <c r="X209" s="2">
        <f>Table834[[#This Row],[Sleep]]^2</f>
        <v>9</v>
      </c>
      <c r="Y209" s="2">
        <f t="shared" si="7"/>
        <v>37.531591836734698</v>
      </c>
      <c r="Z209" s="2">
        <f>Table834[[#This Row],[BMI]]^2</f>
        <v>1408.6203857992507</v>
      </c>
      <c r="AA209" s="2">
        <f t="shared" si="6"/>
        <v>33.308339978650658</v>
      </c>
      <c r="AB209" s="2">
        <f>Table834[[#This Row],[CBF]]^2</f>
        <v>1109.4455121333776</v>
      </c>
      <c r="AC209" s="2">
        <v>1</v>
      </c>
      <c r="AD209" s="2">
        <f>Table834[[#This Row],[Gym]]^2</f>
        <v>1</v>
      </c>
      <c r="AE209" s="2">
        <v>1</v>
      </c>
      <c r="AF209" s="2">
        <f>Table834[[#This Row],[Cardio]]^2</f>
        <v>1</v>
      </c>
      <c r="AG209" s="2">
        <v>3000.2233333333334</v>
      </c>
      <c r="AH209" s="2">
        <f>Table834[[#This Row],[Calories]]^2</f>
        <v>9001340.0498777777</v>
      </c>
      <c r="AI209" s="2">
        <v>477.03699999999998</v>
      </c>
      <c r="AJ209" s="2">
        <f>Table834[[#This Row],[Carbs]]^2</f>
        <v>227564.29936899999</v>
      </c>
      <c r="AK209" s="2">
        <v>82.99766666666666</v>
      </c>
      <c r="AL209" s="2">
        <f>Table834[[#This Row],[Fat ]]^2</f>
        <v>6888.6126721111104</v>
      </c>
      <c r="AM209" s="2">
        <v>113.22366666666667</v>
      </c>
      <c r="AN209" s="2">
        <f>Table834[[#This Row],[Protein]]^2</f>
        <v>12819.598693444446</v>
      </c>
      <c r="AO209" s="2">
        <v>40.406000000000006</v>
      </c>
      <c r="AP209" s="2">
        <f>Table834[[#This Row],[Fiber]]^2</f>
        <v>1632.6448360000004</v>
      </c>
      <c r="AQ209" s="2">
        <v>295.52633333333335</v>
      </c>
      <c r="AR209" s="2">
        <f>Table834[[#This Row],[Sugar]]^2</f>
        <v>87335.813693444463</v>
      </c>
      <c r="AS209" s="2">
        <v>23.729999999999997</v>
      </c>
      <c r="AT209" s="2">
        <f>Table834[[#This Row],[Servings]]^2</f>
        <v>563.11289999999985</v>
      </c>
      <c r="AU209" s="2">
        <v>1</v>
      </c>
      <c r="AV209" s="2">
        <f>Table834[[#This Row],[Water]]^2</f>
        <v>1</v>
      </c>
      <c r="AW209" s="2">
        <v>746.97899999999981</v>
      </c>
      <c r="AX209" s="2">
        <f>Table834[[#This Row],[Fat Calories]]^2</f>
        <v>557977.62644099968</v>
      </c>
      <c r="AY209" s="5">
        <f>Table834[[#This Row],[Weight]]*Table834[[#This Row],[Waist]]</f>
        <v>11902.800000000001</v>
      </c>
      <c r="AZ209" s="6">
        <f>Table834[[#This Row],[Weight]]*Table834[[#This Row],[Neck]]</f>
        <v>4316.4000000000005</v>
      </c>
      <c r="BA209" s="6">
        <f>Table834[[#This Row],[Weight]]*Table834[[#This Row],[Morning Body Temp]]</f>
        <v>25349.040000000005</v>
      </c>
      <c r="BB209" s="6">
        <f>Table834[[#This Row],[Weight]]*Table834[[#This Row],[Morning Systolic Pressure]]</f>
        <v>36624</v>
      </c>
      <c r="BC209" s="12">
        <f>Table834[[#This Row],[Weight]]*Table834[[#This Row],[Morning Diastolic Pressure]]</f>
        <v>21451.200000000001</v>
      </c>
      <c r="BD209" s="2">
        <f>Table834[[#This Row],[Weight]]*Table834[[#This Row],[Morning Pulse]]</f>
        <v>17527.2</v>
      </c>
      <c r="BE209" s="2">
        <f>Table834[[#This Row],[Weight]]*Table834[[#This Row],[Night Body Temp]]</f>
        <v>25427.520000000004</v>
      </c>
      <c r="BF209" s="2">
        <f>Table834[[#This Row],[Weight]]*Table834[[#This Row],[Night Systolic Pressure]]</f>
        <v>39763.200000000004</v>
      </c>
      <c r="BG209" s="4">
        <f>Table83[[#This Row],[Weight]]*Table83[[#This Row],[Night Diastolic Pressure]]</f>
        <v>21451.200000000001</v>
      </c>
      <c r="BH209" s="2">
        <f>Table834[[#This Row],[Weight]]*Table834[[#This Row],[Night Pulse]]</f>
        <v>19620</v>
      </c>
      <c r="BI209" s="2">
        <f>Table834[[#This Row],[Weight]]*Table834[[#This Row],[Sleep]]</f>
        <v>784.80000000000007</v>
      </c>
      <c r="BJ209" s="2">
        <f>Table834[[#This Row],[Weight]]*Table834[[#This Row],[BMI]]</f>
        <v>9818.2644244897983</v>
      </c>
      <c r="BK209" s="2">
        <f>Table834[[#This Row],[Weight]]*Table834[[#This Row],[CBF]]</f>
        <v>8713.4617384150133</v>
      </c>
      <c r="BL209" s="2">
        <f>Table834[[#This Row],[Weight]]*Table834[[#This Row],[Gym]]</f>
        <v>261.60000000000002</v>
      </c>
      <c r="BM209" s="2">
        <f>Table834[[#This Row],[Weight]]*Table834[[#This Row],[Cardio]]</f>
        <v>261.60000000000002</v>
      </c>
      <c r="BN209" s="2">
        <f>Table834[[#This Row],[Weight]]*Table834[[#This Row],[Calories]]</f>
        <v>784858.42400000012</v>
      </c>
      <c r="BO209" s="2">
        <f>Table834[[#This Row],[Weight]]*Table834[[#This Row],[Carbs]]</f>
        <v>124792.87920000001</v>
      </c>
      <c r="BP209" s="2">
        <f>Table834[[#This Row],[Weight]]*Table834[[#This Row],[Fat ]]</f>
        <v>21712.189600000002</v>
      </c>
      <c r="BQ209" s="2">
        <f>Table834[[#This Row],[Weight]]*Table834[[#This Row],[Protein]]</f>
        <v>29619.311200000004</v>
      </c>
      <c r="BR209" s="2">
        <f>Table834[[#This Row],[Weight]]*Table834[[#This Row],[Fiber]]</f>
        <v>10570.209600000002</v>
      </c>
      <c r="BS209" s="2">
        <f>Table834[[#This Row],[Weight]]*Table834[[#This Row],[Sugar]]</f>
        <v>77309.688800000018</v>
      </c>
      <c r="BT209" s="2">
        <f>Table834[[#This Row],[Weight]]*Table834[[#This Row],[Servings]]</f>
        <v>6207.768</v>
      </c>
      <c r="BU209" s="2">
        <f>Table834[[#This Row],[Weight]]*Table834[[#This Row],[Water]]</f>
        <v>261.60000000000002</v>
      </c>
      <c r="BV209" s="2">
        <f>Table834[[#This Row],[Weight]]*Table834[[#This Row],[Fat Calories]]</f>
        <v>195409.70639999997</v>
      </c>
      <c r="BW209" s="2">
        <f>Table834[[#This Row],[Waist]]*Table834[[#This Row],[Neck]]</f>
        <v>750.75</v>
      </c>
      <c r="BX209" s="2">
        <f>Table834[[#This Row],[Waist]]*Table834[[#This Row],[Morning Body Temp]]</f>
        <v>4408.95</v>
      </c>
      <c r="BY209" s="2">
        <f>Table834[[#This Row],[Waist]]*Table834[[#This Row],[Morning Systolic Pressure]]</f>
        <v>6370</v>
      </c>
      <c r="BZ209" s="2">
        <f>Table834[[#This Row],[Waist]]*Table834[[#This Row],[Morning Diastolic Pressure]]</f>
        <v>3731</v>
      </c>
      <c r="CA209" s="2">
        <f>Table834[[#This Row],[Waist]]*Table834[[#This Row],[Morning Pulse]]</f>
        <v>3048.5</v>
      </c>
      <c r="CB209" s="2">
        <f>Table834[[#This Row],[Waist]]*Table834[[#This Row],[Night Body Temp]]</f>
        <v>4422.6000000000004</v>
      </c>
      <c r="CC209" s="2">
        <f>Table834[[#This Row],[Waist]]*Table834[[#This Row],[Night Systolic Pressure]]</f>
        <v>6916</v>
      </c>
      <c r="CD209" s="4">
        <f>Table83[[#This Row],[Waist]]*Table83[[#This Row],[Night Diastolic Pressure]]</f>
        <v>3731</v>
      </c>
      <c r="CE209" s="2">
        <f>Table834[[#This Row],[Waist]]*Table834[[#This Row],[Night Pulse]]</f>
        <v>3412.5</v>
      </c>
      <c r="CF209" s="2">
        <f>Table834[[#This Row],[Waist]]*Table834[[#This Row],[Sleep]]</f>
        <v>136.5</v>
      </c>
      <c r="CG209" s="2">
        <f>Table834[[#This Row],[Waist]]*Table834[[#This Row],[BMI]]</f>
        <v>1707.6874285714287</v>
      </c>
      <c r="CH209" s="2">
        <f>Table834[[#This Row],[Waist]]*Table834[[#This Row],[CBF]]</f>
        <v>1515.5294690286048</v>
      </c>
      <c r="CI209" s="2">
        <f>Table834[[#This Row],[Waist]]*Table834[[#This Row],[Gym]]</f>
        <v>45.5</v>
      </c>
      <c r="CJ209" s="2">
        <f>Table834[[#This Row],[Waist]]*Table834[[#This Row],[Cardio]]</f>
        <v>45.5</v>
      </c>
      <c r="CK209" s="2">
        <f>Table834[[#This Row],[Waist]]*Table834[[#This Row],[Calories]]</f>
        <v>136510.16166666668</v>
      </c>
      <c r="CL209" s="2">
        <f>Table834[[#This Row],[Waist]]*Table834[[#This Row],[Carbs]]</f>
        <v>21705.183499999999</v>
      </c>
      <c r="CM209" s="2">
        <f>Table834[[#This Row],[Waist]]*Table834[[#This Row],[Fat ]]</f>
        <v>3776.3938333333331</v>
      </c>
      <c r="CN209" s="2">
        <f>Table834[[#This Row],[Waist]]*Table834[[#This Row],[Protein]]</f>
        <v>5151.6768333333339</v>
      </c>
      <c r="CO209" s="2">
        <f>Table834[[#This Row],[Waist]]*Table834[[#This Row],[Fiber]]</f>
        <v>1838.4730000000002</v>
      </c>
      <c r="CP209" s="2">
        <f>Table834[[#This Row],[Waist]]*Table834[[#This Row],[Sugar]]</f>
        <v>13446.448166666667</v>
      </c>
      <c r="CQ209" s="2">
        <f>Table834[[#This Row],[Waist]]*Table834[[#This Row],[Servings]]</f>
        <v>1079.7149999999999</v>
      </c>
      <c r="CR209" s="2">
        <f>Table834[[#This Row],[Waist]]*Table834[[#This Row],[Water]]</f>
        <v>45.5</v>
      </c>
      <c r="CS209" s="2">
        <f>Table834[[#This Row],[Waist]]*Table834[[#This Row],[Fat Calories]]</f>
        <v>33987.544499999989</v>
      </c>
    </row>
    <row r="210" spans="1:97" x14ac:dyDescent="0.25">
      <c r="A210" s="2">
        <v>257.2</v>
      </c>
      <c r="B210" s="2">
        <f>Table834[[#This Row],[Weight]]^2</f>
        <v>66151.839999999997</v>
      </c>
      <c r="C210" s="2">
        <v>45</v>
      </c>
      <c r="D210" s="2">
        <f>Table834[[#This Row],[Waist]]^2</f>
        <v>2025</v>
      </c>
      <c r="E210" s="2">
        <v>16.5</v>
      </c>
      <c r="F210" s="2">
        <f>Table834[[#This Row],[Neck]]^2</f>
        <v>272.25</v>
      </c>
      <c r="G210" s="2">
        <v>95.9</v>
      </c>
      <c r="H210" s="2">
        <f>Table834[[#This Row],[Morning Body Temp]]^2</f>
        <v>9196.8100000000013</v>
      </c>
      <c r="I210" s="2">
        <v>136</v>
      </c>
      <c r="J210" s="2">
        <f>Table834[[#This Row],[Morning Systolic Pressure]]^2</f>
        <v>18496</v>
      </c>
      <c r="K210" s="2">
        <v>77</v>
      </c>
      <c r="L210" s="2">
        <f>Table834[[#This Row],[Morning Diastolic Pressure]]^2</f>
        <v>5929</v>
      </c>
      <c r="M210" s="2">
        <v>74</v>
      </c>
      <c r="N210" s="2">
        <f>Table834[[#This Row],[Morning Pulse]]^2</f>
        <v>5476</v>
      </c>
      <c r="O210" s="2">
        <v>97.7</v>
      </c>
      <c r="P210" s="2">
        <f>Table834[[#This Row],[Night Body Temp]]^2</f>
        <v>9545.2900000000009</v>
      </c>
      <c r="Q210" s="2">
        <v>142</v>
      </c>
      <c r="R210" s="2">
        <f>Table834[[#This Row],[Night Systolic Pressure]]^2</f>
        <v>20164</v>
      </c>
      <c r="S210" s="2">
        <v>69</v>
      </c>
      <c r="T210" s="2">
        <f>Table834[[#This Row],[Night Diastolic Pressure]]^2</f>
        <v>4761</v>
      </c>
      <c r="U210" s="2">
        <v>74</v>
      </c>
      <c r="V210" s="2">
        <f>Table834[[#This Row],[Night Pulse]]^2</f>
        <v>5476</v>
      </c>
      <c r="W210" s="2">
        <v>13.5</v>
      </c>
      <c r="X210" s="2">
        <f>Table834[[#This Row],[Sleep]]^2</f>
        <v>182.25</v>
      </c>
      <c r="Y210" s="2">
        <f t="shared" si="7"/>
        <v>36.900326530612247</v>
      </c>
      <c r="Z210" s="2">
        <f>Table834[[#This Row],[BMI]]^2</f>
        <v>1361.634098065806</v>
      </c>
      <c r="AA210" s="2">
        <f t="shared" si="6"/>
        <v>32.6586945886934</v>
      </c>
      <c r="AB210" s="2">
        <f>Table834[[#This Row],[CBF]]^2</f>
        <v>1066.5903322375516</v>
      </c>
      <c r="AC210" s="2">
        <v>1</v>
      </c>
      <c r="AD210" s="2">
        <f>Table834[[#This Row],[Gym]]^2</f>
        <v>1</v>
      </c>
      <c r="AE210" s="2">
        <v>1</v>
      </c>
      <c r="AF210" s="2">
        <f>Table834[[#This Row],[Cardio]]^2</f>
        <v>1</v>
      </c>
      <c r="AG210" s="2">
        <v>3526.6766666666667</v>
      </c>
      <c r="AH210" s="2">
        <f>Table834[[#This Row],[Calories]]^2</f>
        <v>12437448.311211111</v>
      </c>
      <c r="AI210" s="2">
        <v>522.94133333333332</v>
      </c>
      <c r="AJ210" s="2">
        <f>Table834[[#This Row],[Carbs]]^2</f>
        <v>273467.6381084444</v>
      </c>
      <c r="AK210" s="2">
        <v>117.39066666666668</v>
      </c>
      <c r="AL210" s="2">
        <f>Table834[[#This Row],[Fat ]]^2</f>
        <v>13780.568620444446</v>
      </c>
      <c r="AM210" s="2">
        <v>134.73633333333336</v>
      </c>
      <c r="AN210" s="2">
        <f>Table834[[#This Row],[Protein]]^2</f>
        <v>18153.879520111121</v>
      </c>
      <c r="AO210" s="2">
        <v>39.995666666666672</v>
      </c>
      <c r="AP210" s="2">
        <f>Table834[[#This Row],[Fiber]]^2</f>
        <v>1599.6533521111116</v>
      </c>
      <c r="AQ210" s="2">
        <v>352.98033333333336</v>
      </c>
      <c r="AR210" s="2">
        <f>Table834[[#This Row],[Sugar]]^2</f>
        <v>124595.11572011113</v>
      </c>
      <c r="AS210" s="2">
        <v>82.686666666666667</v>
      </c>
      <c r="AT210" s="2">
        <f>Table834[[#This Row],[Servings]]^2</f>
        <v>6837.0848444444446</v>
      </c>
      <c r="AU210" s="2">
        <v>1.5</v>
      </c>
      <c r="AV210" s="2">
        <f>Table834[[#This Row],[Water]]^2</f>
        <v>2.25</v>
      </c>
      <c r="AW210" s="2">
        <v>1056.5159999999998</v>
      </c>
      <c r="AX210" s="2">
        <f>Table834[[#This Row],[Fat Calories]]^2</f>
        <v>1116226.0582559996</v>
      </c>
      <c r="AY210" s="3">
        <f>Table834[[#This Row],[Weight]]*Table834[[#This Row],[Waist]]</f>
        <v>11574</v>
      </c>
      <c r="AZ210" s="4">
        <f>Table834[[#This Row],[Weight]]*Table834[[#This Row],[Neck]]</f>
        <v>4243.8</v>
      </c>
      <c r="BA210" s="4">
        <f>Table834[[#This Row],[Weight]]*Table834[[#This Row],[Morning Body Temp]]</f>
        <v>24665.48</v>
      </c>
      <c r="BB210" s="4">
        <f>Table834[[#This Row],[Weight]]*Table834[[#This Row],[Morning Systolic Pressure]]</f>
        <v>34979.199999999997</v>
      </c>
      <c r="BC210" s="11">
        <f>Table834[[#This Row],[Weight]]*Table834[[#This Row],[Morning Diastolic Pressure]]</f>
        <v>19804.399999999998</v>
      </c>
      <c r="BD210" s="2">
        <f>Table834[[#This Row],[Weight]]*Table834[[#This Row],[Morning Pulse]]</f>
        <v>19032.8</v>
      </c>
      <c r="BE210" s="2">
        <f>Table834[[#This Row],[Weight]]*Table834[[#This Row],[Night Body Temp]]</f>
        <v>25128.44</v>
      </c>
      <c r="BF210" s="2">
        <f>Table834[[#This Row],[Weight]]*Table834[[#This Row],[Night Systolic Pressure]]</f>
        <v>36522.400000000001</v>
      </c>
      <c r="BG210" s="4">
        <f>Table83[[#This Row],[Weight]]*Table83[[#This Row],[Night Diastolic Pressure]]</f>
        <v>17746.8</v>
      </c>
      <c r="BH210" s="2">
        <f>Table834[[#This Row],[Weight]]*Table834[[#This Row],[Night Pulse]]</f>
        <v>19032.8</v>
      </c>
      <c r="BI210" s="2">
        <f>Table834[[#This Row],[Weight]]*Table834[[#This Row],[Sleep]]</f>
        <v>3472.2</v>
      </c>
      <c r="BJ210" s="2">
        <f>Table834[[#This Row],[Weight]]*Table834[[#This Row],[BMI]]</f>
        <v>9490.7639836734688</v>
      </c>
      <c r="BK210" s="2">
        <f>Table834[[#This Row],[Weight]]*Table834[[#This Row],[CBF]]</f>
        <v>8399.8162482119424</v>
      </c>
      <c r="BL210" s="2">
        <f>Table834[[#This Row],[Weight]]*Table834[[#This Row],[Gym]]</f>
        <v>257.2</v>
      </c>
      <c r="BM210" s="2">
        <f>Table834[[#This Row],[Weight]]*Table834[[#This Row],[Cardio]]</f>
        <v>257.2</v>
      </c>
      <c r="BN210" s="2">
        <f>Table834[[#This Row],[Weight]]*Table834[[#This Row],[Calories]]</f>
        <v>907061.23866666667</v>
      </c>
      <c r="BO210" s="2">
        <f>Table834[[#This Row],[Weight]]*Table834[[#This Row],[Carbs]]</f>
        <v>134500.51093333331</v>
      </c>
      <c r="BP210" s="2">
        <f>Table834[[#This Row],[Weight]]*Table834[[#This Row],[Fat ]]</f>
        <v>30192.879466666669</v>
      </c>
      <c r="BQ210" s="2">
        <f>Table834[[#This Row],[Weight]]*Table834[[#This Row],[Protein]]</f>
        <v>34654.184933333338</v>
      </c>
      <c r="BR210" s="2">
        <f>Table834[[#This Row],[Weight]]*Table834[[#This Row],[Fiber]]</f>
        <v>10286.885466666668</v>
      </c>
      <c r="BS210" s="2">
        <f>Table834[[#This Row],[Weight]]*Table834[[#This Row],[Sugar]]</f>
        <v>90786.541733333332</v>
      </c>
      <c r="BT210" s="2">
        <f>Table834[[#This Row],[Weight]]*Table834[[#This Row],[Servings]]</f>
        <v>21267.010666666665</v>
      </c>
      <c r="BU210" s="2">
        <f>Table834[[#This Row],[Weight]]*Table834[[#This Row],[Water]]</f>
        <v>385.79999999999995</v>
      </c>
      <c r="BV210" s="2">
        <f>Table834[[#This Row],[Weight]]*Table834[[#This Row],[Fat Calories]]</f>
        <v>271735.91519999993</v>
      </c>
      <c r="BW210" s="2">
        <f>Table834[[#This Row],[Waist]]*Table834[[#This Row],[Neck]]</f>
        <v>742.5</v>
      </c>
      <c r="BX210" s="2">
        <f>Table834[[#This Row],[Waist]]*Table834[[#This Row],[Morning Body Temp]]</f>
        <v>4315.5</v>
      </c>
      <c r="BY210" s="2">
        <f>Table834[[#This Row],[Waist]]*Table834[[#This Row],[Morning Systolic Pressure]]</f>
        <v>6120</v>
      </c>
      <c r="BZ210" s="2">
        <f>Table834[[#This Row],[Waist]]*Table834[[#This Row],[Morning Diastolic Pressure]]</f>
        <v>3465</v>
      </c>
      <c r="CA210" s="2">
        <f>Table834[[#This Row],[Waist]]*Table834[[#This Row],[Morning Pulse]]</f>
        <v>3330</v>
      </c>
      <c r="CB210" s="2">
        <f>Table834[[#This Row],[Waist]]*Table834[[#This Row],[Night Body Temp]]</f>
        <v>4396.5</v>
      </c>
      <c r="CC210" s="2">
        <f>Table834[[#This Row],[Waist]]*Table834[[#This Row],[Night Systolic Pressure]]</f>
        <v>6390</v>
      </c>
      <c r="CD210" s="4">
        <f>Table83[[#This Row],[Waist]]*Table83[[#This Row],[Night Diastolic Pressure]]</f>
        <v>3105</v>
      </c>
      <c r="CE210" s="2">
        <f>Table834[[#This Row],[Waist]]*Table834[[#This Row],[Night Pulse]]</f>
        <v>3330</v>
      </c>
      <c r="CF210" s="2">
        <f>Table834[[#This Row],[Waist]]*Table834[[#This Row],[Sleep]]</f>
        <v>607.5</v>
      </c>
      <c r="CG210" s="2">
        <f>Table834[[#This Row],[Waist]]*Table834[[#This Row],[BMI]]</f>
        <v>1660.5146938775511</v>
      </c>
      <c r="CH210" s="2">
        <f>Table834[[#This Row],[Waist]]*Table834[[#This Row],[CBF]]</f>
        <v>1469.641256491203</v>
      </c>
      <c r="CI210" s="2">
        <f>Table834[[#This Row],[Waist]]*Table834[[#This Row],[Gym]]</f>
        <v>45</v>
      </c>
      <c r="CJ210" s="2">
        <f>Table834[[#This Row],[Waist]]*Table834[[#This Row],[Cardio]]</f>
        <v>45</v>
      </c>
      <c r="CK210" s="2">
        <f>Table834[[#This Row],[Waist]]*Table834[[#This Row],[Calories]]</f>
        <v>158700.45000000001</v>
      </c>
      <c r="CL210" s="2">
        <f>Table834[[#This Row],[Waist]]*Table834[[#This Row],[Carbs]]</f>
        <v>23532.36</v>
      </c>
      <c r="CM210" s="2">
        <f>Table834[[#This Row],[Waist]]*Table834[[#This Row],[Fat ]]</f>
        <v>5282.58</v>
      </c>
      <c r="CN210" s="2">
        <f>Table834[[#This Row],[Waist]]*Table834[[#This Row],[Protein]]</f>
        <v>6063.1350000000011</v>
      </c>
      <c r="CO210" s="2">
        <f>Table834[[#This Row],[Waist]]*Table834[[#This Row],[Fiber]]</f>
        <v>1799.8050000000003</v>
      </c>
      <c r="CP210" s="2">
        <f>Table834[[#This Row],[Waist]]*Table834[[#This Row],[Sugar]]</f>
        <v>15884.115000000002</v>
      </c>
      <c r="CQ210" s="2">
        <f>Table834[[#This Row],[Waist]]*Table834[[#This Row],[Servings]]</f>
        <v>3720.9</v>
      </c>
      <c r="CR210" s="2">
        <f>Table834[[#This Row],[Waist]]*Table834[[#This Row],[Water]]</f>
        <v>67.5</v>
      </c>
      <c r="CS210" s="2">
        <f>Table834[[#This Row],[Waist]]*Table834[[#This Row],[Fat Calories]]</f>
        <v>47543.219999999994</v>
      </c>
    </row>
    <row r="211" spans="1:97" x14ac:dyDescent="0.25">
      <c r="A211" s="2">
        <v>257.60000000000002</v>
      </c>
      <c r="B211" s="2">
        <f>Table834[[#This Row],[Weight]]^2</f>
        <v>66357.760000000009</v>
      </c>
      <c r="C211" s="2">
        <v>45.5</v>
      </c>
      <c r="D211" s="2">
        <f>Table834[[#This Row],[Waist]]^2</f>
        <v>2070.25</v>
      </c>
      <c r="E211" s="2">
        <v>16.5</v>
      </c>
      <c r="F211" s="2">
        <f>Table834[[#This Row],[Neck]]^2</f>
        <v>272.25</v>
      </c>
      <c r="G211" s="2">
        <v>96</v>
      </c>
      <c r="H211" s="2">
        <f>Table834[[#This Row],[Morning Body Temp]]^2</f>
        <v>9216</v>
      </c>
      <c r="I211" s="2">
        <v>136</v>
      </c>
      <c r="J211" s="2">
        <f>Table834[[#This Row],[Morning Systolic Pressure]]^2</f>
        <v>18496</v>
      </c>
      <c r="K211" s="2">
        <v>85</v>
      </c>
      <c r="L211" s="2">
        <f>Table834[[#This Row],[Morning Diastolic Pressure]]^2</f>
        <v>7225</v>
      </c>
      <c r="M211" s="2">
        <v>75</v>
      </c>
      <c r="N211" s="2">
        <f>Table834[[#This Row],[Morning Pulse]]^2</f>
        <v>5625</v>
      </c>
      <c r="O211" s="2">
        <v>98.2</v>
      </c>
      <c r="P211" s="2">
        <f>Table834[[#This Row],[Night Body Temp]]^2</f>
        <v>9643.24</v>
      </c>
      <c r="Q211" s="2">
        <v>118</v>
      </c>
      <c r="R211" s="2">
        <f>Table834[[#This Row],[Night Systolic Pressure]]^2</f>
        <v>13924</v>
      </c>
      <c r="S211" s="2">
        <v>72</v>
      </c>
      <c r="T211" s="2">
        <f>Table834[[#This Row],[Night Diastolic Pressure]]^2</f>
        <v>5184</v>
      </c>
      <c r="U211" s="2">
        <v>70</v>
      </c>
      <c r="V211" s="2">
        <f>Table834[[#This Row],[Night Pulse]]^2</f>
        <v>4900</v>
      </c>
      <c r="W211" s="2">
        <v>6</v>
      </c>
      <c r="X211" s="2">
        <f>Table834[[#This Row],[Sleep]]^2</f>
        <v>36</v>
      </c>
      <c r="Y211" s="2">
        <f t="shared" si="7"/>
        <v>36.957714285714289</v>
      </c>
      <c r="Z211" s="2">
        <f>Table834[[#This Row],[BMI]]^2</f>
        <v>1365.87264522449</v>
      </c>
      <c r="AA211" s="2">
        <f t="shared" si="6"/>
        <v>33.308339978650658</v>
      </c>
      <c r="AB211" s="2">
        <f>Table834[[#This Row],[CBF]]^2</f>
        <v>1109.4455121333776</v>
      </c>
      <c r="AC211" s="2">
        <v>0</v>
      </c>
      <c r="AD211" s="2">
        <f>Table834[[#This Row],[Gym]]^2</f>
        <v>0</v>
      </c>
      <c r="AE211" s="2">
        <v>1</v>
      </c>
      <c r="AF211" s="2">
        <f>Table834[[#This Row],[Cardio]]^2</f>
        <v>1</v>
      </c>
      <c r="AG211" s="2">
        <v>4550.4666666666662</v>
      </c>
      <c r="AH211" s="2">
        <f>Table834[[#This Row],[Calories]]^2</f>
        <v>20706746.884444442</v>
      </c>
      <c r="AI211" s="2">
        <v>650.78666666666675</v>
      </c>
      <c r="AJ211" s="2">
        <f>Table834[[#This Row],[Carbs]]^2</f>
        <v>423523.2855111112</v>
      </c>
      <c r="AK211" s="2">
        <v>151.51999999999998</v>
      </c>
      <c r="AL211" s="2">
        <f>Table834[[#This Row],[Fat ]]^2</f>
        <v>22958.310399999995</v>
      </c>
      <c r="AM211" s="2">
        <v>197.28</v>
      </c>
      <c r="AN211" s="2">
        <f>Table834[[#This Row],[Protein]]^2</f>
        <v>38919.398399999998</v>
      </c>
      <c r="AO211" s="2">
        <v>80.406666666666666</v>
      </c>
      <c r="AP211" s="2">
        <f>Table834[[#This Row],[Fiber]]^2</f>
        <v>6465.232044444444</v>
      </c>
      <c r="AQ211" s="2">
        <v>326.79666666666668</v>
      </c>
      <c r="AR211" s="2">
        <f>Table834[[#This Row],[Sugar]]^2</f>
        <v>106796.06134444446</v>
      </c>
      <c r="AS211" s="2">
        <v>94.9</v>
      </c>
      <c r="AT211" s="2">
        <f>Table834[[#This Row],[Servings]]^2</f>
        <v>9006.01</v>
      </c>
      <c r="AU211" s="2">
        <v>2</v>
      </c>
      <c r="AV211" s="2">
        <f>Table834[[#This Row],[Water]]^2</f>
        <v>4</v>
      </c>
      <c r="AW211" s="2">
        <v>1363.68</v>
      </c>
      <c r="AX211" s="2">
        <f>Table834[[#This Row],[Fat Calories]]^2</f>
        <v>1859623.1424000002</v>
      </c>
      <c r="AY211" s="5">
        <f>Table834[[#This Row],[Weight]]*Table834[[#This Row],[Waist]]</f>
        <v>11720.800000000001</v>
      </c>
      <c r="AZ211" s="6">
        <f>Table834[[#This Row],[Weight]]*Table834[[#This Row],[Neck]]</f>
        <v>4250.4000000000005</v>
      </c>
      <c r="BA211" s="6">
        <f>Table834[[#This Row],[Weight]]*Table834[[#This Row],[Morning Body Temp]]</f>
        <v>24729.600000000002</v>
      </c>
      <c r="BB211" s="6">
        <f>Table834[[#This Row],[Weight]]*Table834[[#This Row],[Morning Systolic Pressure]]</f>
        <v>35033.600000000006</v>
      </c>
      <c r="BC211" s="12">
        <f>Table834[[#This Row],[Weight]]*Table834[[#This Row],[Morning Diastolic Pressure]]</f>
        <v>21896.000000000004</v>
      </c>
      <c r="BD211" s="2">
        <f>Table834[[#This Row],[Weight]]*Table834[[#This Row],[Morning Pulse]]</f>
        <v>19320</v>
      </c>
      <c r="BE211" s="2">
        <f>Table834[[#This Row],[Weight]]*Table834[[#This Row],[Night Body Temp]]</f>
        <v>25296.320000000003</v>
      </c>
      <c r="BF211" s="2">
        <f>Table834[[#This Row],[Weight]]*Table834[[#This Row],[Night Systolic Pressure]]</f>
        <v>30396.800000000003</v>
      </c>
      <c r="BG211" s="4">
        <f>Table83[[#This Row],[Weight]]*Table83[[#This Row],[Night Diastolic Pressure]]</f>
        <v>18547.2</v>
      </c>
      <c r="BH211" s="2">
        <f>Table834[[#This Row],[Weight]]*Table834[[#This Row],[Night Pulse]]</f>
        <v>18032</v>
      </c>
      <c r="BI211" s="2">
        <f>Table834[[#This Row],[Weight]]*Table834[[#This Row],[Sleep]]</f>
        <v>1545.6000000000001</v>
      </c>
      <c r="BJ211" s="2">
        <f>Table834[[#This Row],[Weight]]*Table834[[#This Row],[BMI]]</f>
        <v>9520.3072000000011</v>
      </c>
      <c r="BK211" s="2">
        <f>Table834[[#This Row],[Weight]]*Table834[[#This Row],[CBF]]</f>
        <v>8580.2283785004092</v>
      </c>
      <c r="BL211" s="2">
        <f>Table834[[#This Row],[Weight]]*Table834[[#This Row],[Gym]]</f>
        <v>0</v>
      </c>
      <c r="BM211" s="2">
        <f>Table834[[#This Row],[Weight]]*Table834[[#This Row],[Cardio]]</f>
        <v>257.60000000000002</v>
      </c>
      <c r="BN211" s="2">
        <f>Table834[[#This Row],[Weight]]*Table834[[#This Row],[Calories]]</f>
        <v>1172200.2133333334</v>
      </c>
      <c r="BO211" s="2">
        <f>Table834[[#This Row],[Weight]]*Table834[[#This Row],[Carbs]]</f>
        <v>167642.64533333338</v>
      </c>
      <c r="BP211" s="2">
        <f>Table834[[#This Row],[Weight]]*Table834[[#This Row],[Fat ]]</f>
        <v>39031.551999999996</v>
      </c>
      <c r="BQ211" s="2">
        <f>Table834[[#This Row],[Weight]]*Table834[[#This Row],[Protein]]</f>
        <v>50819.328000000001</v>
      </c>
      <c r="BR211" s="2">
        <f>Table834[[#This Row],[Weight]]*Table834[[#This Row],[Fiber]]</f>
        <v>20712.757333333335</v>
      </c>
      <c r="BS211" s="2">
        <f>Table834[[#This Row],[Weight]]*Table834[[#This Row],[Sugar]]</f>
        <v>84182.821333333341</v>
      </c>
      <c r="BT211" s="2">
        <f>Table834[[#This Row],[Weight]]*Table834[[#This Row],[Servings]]</f>
        <v>24446.240000000005</v>
      </c>
      <c r="BU211" s="2">
        <f>Table834[[#This Row],[Weight]]*Table834[[#This Row],[Water]]</f>
        <v>515.20000000000005</v>
      </c>
      <c r="BV211" s="2">
        <f>Table834[[#This Row],[Weight]]*Table834[[#This Row],[Fat Calories]]</f>
        <v>351283.96800000005</v>
      </c>
      <c r="BW211" s="2">
        <f>Table834[[#This Row],[Waist]]*Table834[[#This Row],[Neck]]</f>
        <v>750.75</v>
      </c>
      <c r="BX211" s="2">
        <f>Table834[[#This Row],[Waist]]*Table834[[#This Row],[Morning Body Temp]]</f>
        <v>4368</v>
      </c>
      <c r="BY211" s="2">
        <f>Table834[[#This Row],[Waist]]*Table834[[#This Row],[Morning Systolic Pressure]]</f>
        <v>6188</v>
      </c>
      <c r="BZ211" s="2">
        <f>Table834[[#This Row],[Waist]]*Table834[[#This Row],[Morning Diastolic Pressure]]</f>
        <v>3867.5</v>
      </c>
      <c r="CA211" s="2">
        <f>Table834[[#This Row],[Waist]]*Table834[[#This Row],[Morning Pulse]]</f>
        <v>3412.5</v>
      </c>
      <c r="CB211" s="2">
        <f>Table834[[#This Row],[Waist]]*Table834[[#This Row],[Night Body Temp]]</f>
        <v>4468.1000000000004</v>
      </c>
      <c r="CC211" s="2">
        <f>Table834[[#This Row],[Waist]]*Table834[[#This Row],[Night Systolic Pressure]]</f>
        <v>5369</v>
      </c>
      <c r="CD211" s="4">
        <f>Table83[[#This Row],[Waist]]*Table83[[#This Row],[Night Diastolic Pressure]]</f>
        <v>3276</v>
      </c>
      <c r="CE211" s="2">
        <f>Table834[[#This Row],[Waist]]*Table834[[#This Row],[Night Pulse]]</f>
        <v>3185</v>
      </c>
      <c r="CF211" s="2">
        <f>Table834[[#This Row],[Waist]]*Table834[[#This Row],[Sleep]]</f>
        <v>273</v>
      </c>
      <c r="CG211" s="2">
        <f>Table834[[#This Row],[Waist]]*Table834[[#This Row],[BMI]]</f>
        <v>1681.5760000000002</v>
      </c>
      <c r="CH211" s="2">
        <f>Table834[[#This Row],[Waist]]*Table834[[#This Row],[CBF]]</f>
        <v>1515.5294690286048</v>
      </c>
      <c r="CI211" s="2">
        <f>Table834[[#This Row],[Waist]]*Table834[[#This Row],[Gym]]</f>
        <v>0</v>
      </c>
      <c r="CJ211" s="2">
        <f>Table834[[#This Row],[Waist]]*Table834[[#This Row],[Cardio]]</f>
        <v>45.5</v>
      </c>
      <c r="CK211" s="2">
        <f>Table834[[#This Row],[Waist]]*Table834[[#This Row],[Calories]]</f>
        <v>207046.23333333331</v>
      </c>
      <c r="CL211" s="2">
        <f>Table834[[#This Row],[Waist]]*Table834[[#This Row],[Carbs]]</f>
        <v>29610.793333333339</v>
      </c>
      <c r="CM211" s="2">
        <f>Table834[[#This Row],[Waist]]*Table834[[#This Row],[Fat ]]</f>
        <v>6894.1599999999989</v>
      </c>
      <c r="CN211" s="2">
        <f>Table834[[#This Row],[Waist]]*Table834[[#This Row],[Protein]]</f>
        <v>8976.24</v>
      </c>
      <c r="CO211" s="2">
        <f>Table834[[#This Row],[Waist]]*Table834[[#This Row],[Fiber]]</f>
        <v>3658.5033333333331</v>
      </c>
      <c r="CP211" s="2">
        <f>Table834[[#This Row],[Waist]]*Table834[[#This Row],[Sugar]]</f>
        <v>14869.248333333335</v>
      </c>
      <c r="CQ211" s="2">
        <f>Table834[[#This Row],[Waist]]*Table834[[#This Row],[Servings]]</f>
        <v>4317.95</v>
      </c>
      <c r="CR211" s="2">
        <f>Table834[[#This Row],[Waist]]*Table834[[#This Row],[Water]]</f>
        <v>91</v>
      </c>
      <c r="CS211" s="2">
        <f>Table834[[#This Row],[Waist]]*Table834[[#This Row],[Fat Calories]]</f>
        <v>62047.44</v>
      </c>
    </row>
    <row r="212" spans="1:97" x14ac:dyDescent="0.25">
      <c r="A212" s="2">
        <v>260.8</v>
      </c>
      <c r="B212" s="2">
        <f>Table834[[#This Row],[Weight]]^2</f>
        <v>68016.639999999999</v>
      </c>
      <c r="C212" s="2">
        <v>45</v>
      </c>
      <c r="D212" s="2">
        <f>Table834[[#This Row],[Waist]]^2</f>
        <v>2025</v>
      </c>
      <c r="E212" s="2">
        <v>16.5</v>
      </c>
      <c r="F212" s="2">
        <f>Table834[[#This Row],[Neck]]^2</f>
        <v>272.25</v>
      </c>
      <c r="G212" s="2">
        <v>96</v>
      </c>
      <c r="H212" s="2">
        <f>Table834[[#This Row],[Morning Body Temp]]^2</f>
        <v>9216</v>
      </c>
      <c r="I212" s="2">
        <v>131</v>
      </c>
      <c r="J212" s="2">
        <f>Table834[[#This Row],[Morning Systolic Pressure]]^2</f>
        <v>17161</v>
      </c>
      <c r="K212" s="2">
        <v>83</v>
      </c>
      <c r="L212" s="2">
        <f>Table834[[#This Row],[Morning Diastolic Pressure]]^2</f>
        <v>6889</v>
      </c>
      <c r="M212" s="2">
        <v>75</v>
      </c>
      <c r="N212" s="2">
        <f>Table834[[#This Row],[Morning Pulse]]^2</f>
        <v>5625</v>
      </c>
      <c r="O212" s="2">
        <v>97.9</v>
      </c>
      <c r="P212" s="2">
        <f>Table834[[#This Row],[Night Body Temp]]^2</f>
        <v>9584.4100000000017</v>
      </c>
      <c r="Q212" s="2">
        <v>128</v>
      </c>
      <c r="R212" s="2">
        <f>Table834[[#This Row],[Night Systolic Pressure]]^2</f>
        <v>16384</v>
      </c>
      <c r="S212" s="2">
        <v>74</v>
      </c>
      <c r="T212" s="2">
        <f>Table834[[#This Row],[Night Diastolic Pressure]]^2</f>
        <v>5476</v>
      </c>
      <c r="U212" s="2">
        <v>67</v>
      </c>
      <c r="V212" s="2">
        <f>Table834[[#This Row],[Night Pulse]]^2</f>
        <v>4489</v>
      </c>
      <c r="W212" s="2">
        <v>11</v>
      </c>
      <c r="X212" s="2">
        <f>Table834[[#This Row],[Sleep]]^2</f>
        <v>121</v>
      </c>
      <c r="Y212" s="2">
        <f t="shared" si="7"/>
        <v>37.416816326530615</v>
      </c>
      <c r="Z212" s="2">
        <f>Table834[[#This Row],[BMI]]^2</f>
        <v>1400.0181440133281</v>
      </c>
      <c r="AA212" s="2">
        <f t="shared" si="6"/>
        <v>32.6586945886934</v>
      </c>
      <c r="AB212" s="2">
        <f>Table834[[#This Row],[CBF]]^2</f>
        <v>1066.5903322375516</v>
      </c>
      <c r="AC212" s="2">
        <v>0</v>
      </c>
      <c r="AD212" s="2">
        <f>Table834[[#This Row],[Gym]]^2</f>
        <v>0</v>
      </c>
      <c r="AE212" s="2">
        <v>1</v>
      </c>
      <c r="AF212" s="2">
        <f>Table834[[#This Row],[Cardio]]^2</f>
        <v>1</v>
      </c>
      <c r="AG212" s="2">
        <v>1650.7433333333333</v>
      </c>
      <c r="AH212" s="2">
        <f>Table834[[#This Row],[Calories]]^2</f>
        <v>2724953.5525444443</v>
      </c>
      <c r="AI212" s="2">
        <v>302.88833333333332</v>
      </c>
      <c r="AJ212" s="2">
        <f>Table834[[#This Row],[Carbs]]^2</f>
        <v>91741.34246944444</v>
      </c>
      <c r="AK212" s="2">
        <v>33.814</v>
      </c>
      <c r="AL212" s="2">
        <f>Table834[[#This Row],[Fat ]]^2</f>
        <v>1143.3865960000001</v>
      </c>
      <c r="AM212" s="2">
        <v>63.984000000000002</v>
      </c>
      <c r="AN212" s="2">
        <f>Table834[[#This Row],[Protein]]^2</f>
        <v>4093.952256</v>
      </c>
      <c r="AO212" s="2">
        <v>35.25033333333333</v>
      </c>
      <c r="AP212" s="2">
        <f>Table834[[#This Row],[Fiber]]^2</f>
        <v>1242.5860001111109</v>
      </c>
      <c r="AQ212" s="2">
        <v>224.61833333333334</v>
      </c>
      <c r="AR212" s="2">
        <f>Table834[[#This Row],[Sugar]]^2</f>
        <v>50453.39566944445</v>
      </c>
      <c r="AS212" s="2">
        <v>65.89</v>
      </c>
      <c r="AT212" s="2">
        <f>Table834[[#This Row],[Servings]]^2</f>
        <v>4341.4921000000004</v>
      </c>
      <c r="AU212" s="2">
        <v>2</v>
      </c>
      <c r="AV212" s="2">
        <f>Table834[[#This Row],[Water]]^2</f>
        <v>4</v>
      </c>
      <c r="AW212" s="2">
        <v>304.32599999999996</v>
      </c>
      <c r="AX212" s="2">
        <f>Table834[[#This Row],[Fat Calories]]^2</f>
        <v>92614.314275999976</v>
      </c>
      <c r="AY212" s="3">
        <f>Table834[[#This Row],[Weight]]*Table834[[#This Row],[Waist]]</f>
        <v>11736</v>
      </c>
      <c r="AZ212" s="4">
        <f>Table834[[#This Row],[Weight]]*Table834[[#This Row],[Neck]]</f>
        <v>4303.2</v>
      </c>
      <c r="BA212" s="4">
        <f>Table834[[#This Row],[Weight]]*Table834[[#This Row],[Morning Body Temp]]</f>
        <v>25036.800000000003</v>
      </c>
      <c r="BB212" s="4">
        <f>Table834[[#This Row],[Weight]]*Table834[[#This Row],[Morning Systolic Pressure]]</f>
        <v>34164.800000000003</v>
      </c>
      <c r="BC212" s="11">
        <f>Table834[[#This Row],[Weight]]*Table834[[#This Row],[Morning Diastolic Pressure]]</f>
        <v>21646.400000000001</v>
      </c>
      <c r="BD212" s="2">
        <f>Table834[[#This Row],[Weight]]*Table834[[#This Row],[Morning Pulse]]</f>
        <v>19560</v>
      </c>
      <c r="BE212" s="2">
        <f>Table834[[#This Row],[Weight]]*Table834[[#This Row],[Night Body Temp]]</f>
        <v>25532.320000000003</v>
      </c>
      <c r="BF212" s="2">
        <f>Table834[[#This Row],[Weight]]*Table834[[#This Row],[Night Systolic Pressure]]</f>
        <v>33382.400000000001</v>
      </c>
      <c r="BG212" s="4">
        <f>Table83[[#This Row],[Weight]]*Table83[[#This Row],[Night Diastolic Pressure]]</f>
        <v>19299.2</v>
      </c>
      <c r="BH212" s="2">
        <f>Table834[[#This Row],[Weight]]*Table834[[#This Row],[Night Pulse]]</f>
        <v>17473.600000000002</v>
      </c>
      <c r="BI212" s="2">
        <f>Table834[[#This Row],[Weight]]*Table834[[#This Row],[Sleep]]</f>
        <v>2868.8</v>
      </c>
      <c r="BJ212" s="2">
        <f>Table834[[#This Row],[Weight]]*Table834[[#This Row],[BMI]]</f>
        <v>9758.3056979591856</v>
      </c>
      <c r="BK212" s="2">
        <f>Table834[[#This Row],[Weight]]*Table834[[#This Row],[CBF]]</f>
        <v>8517.3875487312398</v>
      </c>
      <c r="BL212" s="2">
        <f>Table834[[#This Row],[Weight]]*Table834[[#This Row],[Gym]]</f>
        <v>0</v>
      </c>
      <c r="BM212" s="2">
        <f>Table834[[#This Row],[Weight]]*Table834[[#This Row],[Cardio]]</f>
        <v>260.8</v>
      </c>
      <c r="BN212" s="2">
        <f>Table834[[#This Row],[Weight]]*Table834[[#This Row],[Calories]]</f>
        <v>430513.86133333336</v>
      </c>
      <c r="BO212" s="2">
        <f>Table834[[#This Row],[Weight]]*Table834[[#This Row],[Carbs]]</f>
        <v>78993.277333333332</v>
      </c>
      <c r="BP212" s="2">
        <f>Table834[[#This Row],[Weight]]*Table834[[#This Row],[Fat ]]</f>
        <v>8818.6912000000011</v>
      </c>
      <c r="BQ212" s="2">
        <f>Table834[[#This Row],[Weight]]*Table834[[#This Row],[Protein]]</f>
        <v>16687.0272</v>
      </c>
      <c r="BR212" s="2">
        <f>Table834[[#This Row],[Weight]]*Table834[[#This Row],[Fiber]]</f>
        <v>9193.2869333333329</v>
      </c>
      <c r="BS212" s="2">
        <f>Table834[[#This Row],[Weight]]*Table834[[#This Row],[Sugar]]</f>
        <v>58580.46133333334</v>
      </c>
      <c r="BT212" s="2">
        <f>Table834[[#This Row],[Weight]]*Table834[[#This Row],[Servings]]</f>
        <v>17184.112000000001</v>
      </c>
      <c r="BU212" s="2">
        <f>Table834[[#This Row],[Weight]]*Table834[[#This Row],[Water]]</f>
        <v>521.6</v>
      </c>
      <c r="BV212" s="2">
        <f>Table834[[#This Row],[Weight]]*Table834[[#This Row],[Fat Calories]]</f>
        <v>79368.220799999996</v>
      </c>
      <c r="BW212" s="2">
        <f>Table834[[#This Row],[Waist]]*Table834[[#This Row],[Neck]]</f>
        <v>742.5</v>
      </c>
      <c r="BX212" s="2">
        <f>Table834[[#This Row],[Waist]]*Table834[[#This Row],[Morning Body Temp]]</f>
        <v>4320</v>
      </c>
      <c r="BY212" s="2">
        <f>Table834[[#This Row],[Waist]]*Table834[[#This Row],[Morning Systolic Pressure]]</f>
        <v>5895</v>
      </c>
      <c r="BZ212" s="2">
        <f>Table834[[#This Row],[Waist]]*Table834[[#This Row],[Morning Diastolic Pressure]]</f>
        <v>3735</v>
      </c>
      <c r="CA212" s="2">
        <f>Table834[[#This Row],[Waist]]*Table834[[#This Row],[Morning Pulse]]</f>
        <v>3375</v>
      </c>
      <c r="CB212" s="2">
        <f>Table834[[#This Row],[Waist]]*Table834[[#This Row],[Night Body Temp]]</f>
        <v>4405.5</v>
      </c>
      <c r="CC212" s="2">
        <f>Table834[[#This Row],[Waist]]*Table834[[#This Row],[Night Systolic Pressure]]</f>
        <v>5760</v>
      </c>
      <c r="CD212" s="4">
        <f>Table83[[#This Row],[Waist]]*Table83[[#This Row],[Night Diastolic Pressure]]</f>
        <v>3330</v>
      </c>
      <c r="CE212" s="2">
        <f>Table834[[#This Row],[Waist]]*Table834[[#This Row],[Night Pulse]]</f>
        <v>3015</v>
      </c>
      <c r="CF212" s="2">
        <f>Table834[[#This Row],[Waist]]*Table834[[#This Row],[Sleep]]</f>
        <v>495</v>
      </c>
      <c r="CG212" s="2">
        <f>Table834[[#This Row],[Waist]]*Table834[[#This Row],[BMI]]</f>
        <v>1683.7567346938777</v>
      </c>
      <c r="CH212" s="2">
        <f>Table834[[#This Row],[Waist]]*Table834[[#This Row],[CBF]]</f>
        <v>1469.641256491203</v>
      </c>
      <c r="CI212" s="2">
        <f>Table834[[#This Row],[Waist]]*Table834[[#This Row],[Gym]]</f>
        <v>0</v>
      </c>
      <c r="CJ212" s="2">
        <f>Table834[[#This Row],[Waist]]*Table834[[#This Row],[Cardio]]</f>
        <v>45</v>
      </c>
      <c r="CK212" s="2">
        <f>Table834[[#This Row],[Waist]]*Table834[[#This Row],[Calories]]</f>
        <v>74283.45</v>
      </c>
      <c r="CL212" s="2">
        <f>Table834[[#This Row],[Waist]]*Table834[[#This Row],[Carbs]]</f>
        <v>13629.974999999999</v>
      </c>
      <c r="CM212" s="2">
        <f>Table834[[#This Row],[Waist]]*Table834[[#This Row],[Fat ]]</f>
        <v>1521.63</v>
      </c>
      <c r="CN212" s="2">
        <f>Table834[[#This Row],[Waist]]*Table834[[#This Row],[Protein]]</f>
        <v>2879.28</v>
      </c>
      <c r="CO212" s="2">
        <f>Table834[[#This Row],[Waist]]*Table834[[#This Row],[Fiber]]</f>
        <v>1586.2649999999999</v>
      </c>
      <c r="CP212" s="2">
        <f>Table834[[#This Row],[Waist]]*Table834[[#This Row],[Sugar]]</f>
        <v>10107.825000000001</v>
      </c>
      <c r="CQ212" s="2">
        <f>Table834[[#This Row],[Waist]]*Table834[[#This Row],[Servings]]</f>
        <v>2965.05</v>
      </c>
      <c r="CR212" s="2">
        <f>Table834[[#This Row],[Waist]]*Table834[[#This Row],[Water]]</f>
        <v>90</v>
      </c>
      <c r="CS212" s="2">
        <f>Table834[[#This Row],[Waist]]*Table834[[#This Row],[Fat Calories]]</f>
        <v>13694.669999999998</v>
      </c>
    </row>
    <row r="213" spans="1:97" x14ac:dyDescent="0.25">
      <c r="A213" s="2">
        <v>261.2</v>
      </c>
      <c r="B213" s="2">
        <f>Table834[[#This Row],[Weight]]^2</f>
        <v>68225.439999999988</v>
      </c>
      <c r="C213" s="2">
        <v>45.5</v>
      </c>
      <c r="D213" s="2">
        <f>Table834[[#This Row],[Waist]]^2</f>
        <v>2070.25</v>
      </c>
      <c r="E213" s="2">
        <v>16.5</v>
      </c>
      <c r="F213" s="2">
        <f>Table834[[#This Row],[Neck]]^2</f>
        <v>272.25</v>
      </c>
      <c r="G213" s="2">
        <v>96.2</v>
      </c>
      <c r="H213" s="2">
        <f>Table834[[#This Row],[Morning Body Temp]]^2</f>
        <v>9254.44</v>
      </c>
      <c r="I213" s="2">
        <v>144</v>
      </c>
      <c r="J213" s="2">
        <f>Table834[[#This Row],[Morning Systolic Pressure]]^2</f>
        <v>20736</v>
      </c>
      <c r="K213" s="2">
        <v>82</v>
      </c>
      <c r="L213" s="2">
        <f>Table834[[#This Row],[Morning Diastolic Pressure]]^2</f>
        <v>6724</v>
      </c>
      <c r="M213" s="2">
        <v>78</v>
      </c>
      <c r="N213" s="2">
        <f>Table834[[#This Row],[Morning Pulse]]^2</f>
        <v>6084</v>
      </c>
      <c r="O213" s="2">
        <v>98.2</v>
      </c>
      <c r="P213" s="2">
        <f>Table834[[#This Row],[Night Body Temp]]^2</f>
        <v>9643.24</v>
      </c>
      <c r="Q213" s="2">
        <v>126</v>
      </c>
      <c r="R213" s="2">
        <f>Table834[[#This Row],[Night Systolic Pressure]]^2</f>
        <v>15876</v>
      </c>
      <c r="S213" s="2">
        <v>85</v>
      </c>
      <c r="T213" s="2">
        <f>Table834[[#This Row],[Night Diastolic Pressure]]^2</f>
        <v>7225</v>
      </c>
      <c r="U213" s="2">
        <v>66</v>
      </c>
      <c r="V213" s="2">
        <f>Table834[[#This Row],[Night Pulse]]^2</f>
        <v>4356</v>
      </c>
      <c r="W213" s="2">
        <v>8</v>
      </c>
      <c r="X213" s="2">
        <f>Table834[[#This Row],[Sleep]]^2</f>
        <v>64</v>
      </c>
      <c r="Y213" s="2">
        <f t="shared" si="7"/>
        <v>37.474204081632649</v>
      </c>
      <c r="Z213" s="2">
        <f>Table834[[#This Row],[BMI]]^2</f>
        <v>1404.3159715518532</v>
      </c>
      <c r="AA213" s="2">
        <f t="shared" si="6"/>
        <v>33.308339978650658</v>
      </c>
      <c r="AB213" s="2">
        <f>Table834[[#This Row],[CBF]]^2</f>
        <v>1109.4455121333776</v>
      </c>
      <c r="AC213" s="2">
        <v>0</v>
      </c>
      <c r="AD213" s="2">
        <f>Table834[[#This Row],[Gym]]^2</f>
        <v>0</v>
      </c>
      <c r="AE213" s="2">
        <v>1</v>
      </c>
      <c r="AF213" s="2">
        <f>Table834[[#This Row],[Cardio]]^2</f>
        <v>1</v>
      </c>
      <c r="AG213" s="2">
        <v>2914.3553395667836</v>
      </c>
      <c r="AH213" s="2">
        <f>Table834[[#This Row],[Calories]]^2</f>
        <v>8493467.0452614222</v>
      </c>
      <c r="AI213" s="2">
        <v>397.84503909680592</v>
      </c>
      <c r="AJ213" s="2">
        <f>Table834[[#This Row],[Carbs]]^2</f>
        <v>158280.67513393902</v>
      </c>
      <c r="AK213" s="2">
        <v>105.42853820488766</v>
      </c>
      <c r="AL213" s="2">
        <f>Table834[[#This Row],[Fat ]]^2</f>
        <v>11115.176668019456</v>
      </c>
      <c r="AM213" s="2">
        <v>101.34424305957444</v>
      </c>
      <c r="AN213" s="2">
        <f>Table834[[#This Row],[Protein]]^2</f>
        <v>10270.655601318102</v>
      </c>
      <c r="AO213" s="2">
        <v>27.785301097178991</v>
      </c>
      <c r="AP213" s="2">
        <f>Table834[[#This Row],[Fiber]]^2</f>
        <v>772.02295706089603</v>
      </c>
      <c r="AQ213" s="2">
        <v>239.28876055938798</v>
      </c>
      <c r="AR213" s="2">
        <f>Table834[[#This Row],[Sugar]]^2</f>
        <v>57259.110930048111</v>
      </c>
      <c r="AS213" s="2">
        <v>56.434764079147634</v>
      </c>
      <c r="AT213" s="2">
        <f>Table834[[#This Row],[Servings]]^2</f>
        <v>3184.882596669052</v>
      </c>
      <c r="AU213" s="2">
        <v>1.1025114155251141</v>
      </c>
      <c r="AV213" s="2">
        <f>Table834[[#This Row],[Water]]^2</f>
        <v>1.2155314213631909</v>
      </c>
      <c r="AW213" s="2">
        <v>942.01611325038107</v>
      </c>
      <c r="AX213" s="2">
        <f>Table834[[#This Row],[Fat Calories]]^2</f>
        <v>887394.35762335476</v>
      </c>
      <c r="AY213" s="5">
        <f>Table834[[#This Row],[Weight]]*Table834[[#This Row],[Waist]]</f>
        <v>11884.6</v>
      </c>
      <c r="AZ213" s="6">
        <f>Table834[[#This Row],[Weight]]*Table834[[#This Row],[Neck]]</f>
        <v>4309.8</v>
      </c>
      <c r="BA213" s="6">
        <f>Table834[[#This Row],[Weight]]*Table834[[#This Row],[Morning Body Temp]]</f>
        <v>25127.439999999999</v>
      </c>
      <c r="BB213" s="6">
        <f>Table834[[#This Row],[Weight]]*Table834[[#This Row],[Morning Systolic Pressure]]</f>
        <v>37612.799999999996</v>
      </c>
      <c r="BC213" s="12">
        <f>Table834[[#This Row],[Weight]]*Table834[[#This Row],[Morning Diastolic Pressure]]</f>
        <v>21418.399999999998</v>
      </c>
      <c r="BD213" s="2">
        <f>Table834[[#This Row],[Weight]]*Table834[[#This Row],[Morning Pulse]]</f>
        <v>20373.599999999999</v>
      </c>
      <c r="BE213" s="2">
        <f>Table834[[#This Row],[Weight]]*Table834[[#This Row],[Night Body Temp]]</f>
        <v>25649.84</v>
      </c>
      <c r="BF213" s="2">
        <f>Table834[[#This Row],[Weight]]*Table834[[#This Row],[Night Systolic Pressure]]</f>
        <v>32911.199999999997</v>
      </c>
      <c r="BG213" s="4">
        <f>Table83[[#This Row],[Weight]]*Table83[[#This Row],[Night Diastolic Pressure]]</f>
        <v>22202</v>
      </c>
      <c r="BH213" s="2">
        <f>Table834[[#This Row],[Weight]]*Table834[[#This Row],[Night Pulse]]</f>
        <v>17239.2</v>
      </c>
      <c r="BI213" s="2">
        <f>Table834[[#This Row],[Weight]]*Table834[[#This Row],[Sleep]]</f>
        <v>2089.6</v>
      </c>
      <c r="BJ213" s="2">
        <f>Table834[[#This Row],[Weight]]*Table834[[#This Row],[BMI]]</f>
        <v>9788.2621061224472</v>
      </c>
      <c r="BK213" s="2">
        <f>Table834[[#This Row],[Weight]]*Table834[[#This Row],[CBF]]</f>
        <v>8700.1384024235522</v>
      </c>
      <c r="BL213" s="2">
        <f>Table834[[#This Row],[Weight]]*Table834[[#This Row],[Gym]]</f>
        <v>0</v>
      </c>
      <c r="BM213" s="2">
        <f>Table834[[#This Row],[Weight]]*Table834[[#This Row],[Cardio]]</f>
        <v>261.2</v>
      </c>
      <c r="BN213" s="2">
        <f>Table834[[#This Row],[Weight]]*Table834[[#This Row],[Calories]]</f>
        <v>761229.61469484388</v>
      </c>
      <c r="BO213" s="2">
        <f>Table834[[#This Row],[Weight]]*Table834[[#This Row],[Carbs]]</f>
        <v>103917.12421208571</v>
      </c>
      <c r="BP213" s="2">
        <f>Table834[[#This Row],[Weight]]*Table834[[#This Row],[Fat ]]</f>
        <v>27537.934179116655</v>
      </c>
      <c r="BQ213" s="2">
        <f>Table834[[#This Row],[Weight]]*Table834[[#This Row],[Protein]]</f>
        <v>26471.116287160843</v>
      </c>
      <c r="BR213" s="2">
        <f>Table834[[#This Row],[Weight]]*Table834[[#This Row],[Fiber]]</f>
        <v>7257.5206465831525</v>
      </c>
      <c r="BS213" s="2">
        <f>Table834[[#This Row],[Weight]]*Table834[[#This Row],[Sugar]]</f>
        <v>62502.224258112139</v>
      </c>
      <c r="BT213" s="2">
        <f>Table834[[#This Row],[Weight]]*Table834[[#This Row],[Servings]]</f>
        <v>14740.760377473362</v>
      </c>
      <c r="BU213" s="2">
        <f>Table834[[#This Row],[Weight]]*Table834[[#This Row],[Water]]</f>
        <v>287.97598173515979</v>
      </c>
      <c r="BV213" s="2">
        <f>Table834[[#This Row],[Weight]]*Table834[[#This Row],[Fat Calories]]</f>
        <v>246054.60878099952</v>
      </c>
      <c r="BW213" s="2">
        <f>Table834[[#This Row],[Waist]]*Table834[[#This Row],[Neck]]</f>
        <v>750.75</v>
      </c>
      <c r="BX213" s="2">
        <f>Table834[[#This Row],[Waist]]*Table834[[#This Row],[Morning Body Temp]]</f>
        <v>4377.1000000000004</v>
      </c>
      <c r="BY213" s="2">
        <f>Table834[[#This Row],[Waist]]*Table834[[#This Row],[Morning Systolic Pressure]]</f>
        <v>6552</v>
      </c>
      <c r="BZ213" s="2">
        <f>Table834[[#This Row],[Waist]]*Table834[[#This Row],[Morning Diastolic Pressure]]</f>
        <v>3731</v>
      </c>
      <c r="CA213" s="2">
        <f>Table834[[#This Row],[Waist]]*Table834[[#This Row],[Morning Pulse]]</f>
        <v>3549</v>
      </c>
      <c r="CB213" s="2">
        <f>Table834[[#This Row],[Waist]]*Table834[[#This Row],[Night Body Temp]]</f>
        <v>4468.1000000000004</v>
      </c>
      <c r="CC213" s="2">
        <f>Table834[[#This Row],[Waist]]*Table834[[#This Row],[Night Systolic Pressure]]</f>
        <v>5733</v>
      </c>
      <c r="CD213" s="4">
        <f>Table83[[#This Row],[Waist]]*Table83[[#This Row],[Night Diastolic Pressure]]</f>
        <v>3867.5</v>
      </c>
      <c r="CE213" s="2">
        <f>Table834[[#This Row],[Waist]]*Table834[[#This Row],[Night Pulse]]</f>
        <v>3003</v>
      </c>
      <c r="CF213" s="2">
        <f>Table834[[#This Row],[Waist]]*Table834[[#This Row],[Sleep]]</f>
        <v>364</v>
      </c>
      <c r="CG213" s="2">
        <f>Table834[[#This Row],[Waist]]*Table834[[#This Row],[BMI]]</f>
        <v>1705.0762857142856</v>
      </c>
      <c r="CH213" s="2">
        <f>Table834[[#This Row],[Waist]]*Table834[[#This Row],[CBF]]</f>
        <v>1515.5294690286048</v>
      </c>
      <c r="CI213" s="2">
        <f>Table834[[#This Row],[Waist]]*Table834[[#This Row],[Gym]]</f>
        <v>0</v>
      </c>
      <c r="CJ213" s="2">
        <f>Table834[[#This Row],[Waist]]*Table834[[#This Row],[Cardio]]</f>
        <v>45.5</v>
      </c>
      <c r="CK213" s="2">
        <f>Table834[[#This Row],[Waist]]*Table834[[#This Row],[Calories]]</f>
        <v>132603.16795028865</v>
      </c>
      <c r="CL213" s="2">
        <f>Table834[[#This Row],[Waist]]*Table834[[#This Row],[Carbs]]</f>
        <v>18101.949278904671</v>
      </c>
      <c r="CM213" s="2">
        <f>Table834[[#This Row],[Waist]]*Table834[[#This Row],[Fat ]]</f>
        <v>4796.9984883223888</v>
      </c>
      <c r="CN213" s="2">
        <f>Table834[[#This Row],[Waist]]*Table834[[#This Row],[Protein]]</f>
        <v>4611.1630592106367</v>
      </c>
      <c r="CO213" s="2">
        <f>Table834[[#This Row],[Waist]]*Table834[[#This Row],[Fiber]]</f>
        <v>1264.231199921644</v>
      </c>
      <c r="CP213" s="2">
        <f>Table834[[#This Row],[Waist]]*Table834[[#This Row],[Sugar]]</f>
        <v>10887.638605452154</v>
      </c>
      <c r="CQ213" s="2">
        <f>Table834[[#This Row],[Waist]]*Table834[[#This Row],[Servings]]</f>
        <v>2567.7817656012176</v>
      </c>
      <c r="CR213" s="2">
        <f>Table834[[#This Row],[Waist]]*Table834[[#This Row],[Water]]</f>
        <v>50.164269406392691</v>
      </c>
      <c r="CS213" s="2">
        <f>Table834[[#This Row],[Waist]]*Table834[[#This Row],[Fat Calories]]</f>
        <v>42861.733152892339</v>
      </c>
    </row>
    <row r="214" spans="1:97" x14ac:dyDescent="0.25">
      <c r="A214" s="2">
        <v>261.60000000000002</v>
      </c>
      <c r="B214" s="2">
        <f>Table834[[#This Row],[Weight]]^2</f>
        <v>68434.560000000012</v>
      </c>
      <c r="C214" s="2">
        <v>45.5</v>
      </c>
      <c r="D214" s="2">
        <f>Table834[[#This Row],[Waist]]^2</f>
        <v>2070.25</v>
      </c>
      <c r="E214" s="2">
        <v>16.5</v>
      </c>
      <c r="F214" s="2">
        <f>Table834[[#This Row],[Neck]]^2</f>
        <v>272.25</v>
      </c>
      <c r="G214" s="2">
        <v>97.8</v>
      </c>
      <c r="H214" s="2">
        <f>Table834[[#This Row],[Morning Body Temp]]^2</f>
        <v>9564.84</v>
      </c>
      <c r="I214" s="2">
        <v>129</v>
      </c>
      <c r="J214" s="2">
        <f>Table834[[#This Row],[Morning Systolic Pressure]]^2</f>
        <v>16641</v>
      </c>
      <c r="K214" s="2">
        <v>82</v>
      </c>
      <c r="L214" s="2">
        <f>Table834[[#This Row],[Morning Diastolic Pressure]]^2</f>
        <v>6724</v>
      </c>
      <c r="M214" s="2">
        <v>71</v>
      </c>
      <c r="N214" s="2">
        <f>Table834[[#This Row],[Morning Pulse]]^2</f>
        <v>5041</v>
      </c>
      <c r="O214" s="2">
        <v>97.9</v>
      </c>
      <c r="P214" s="2">
        <f>Table834[[#This Row],[Night Body Temp]]^2</f>
        <v>9584.4100000000017</v>
      </c>
      <c r="Q214" s="2">
        <v>130</v>
      </c>
      <c r="R214" s="2">
        <f>Table834[[#This Row],[Night Systolic Pressure]]^2</f>
        <v>16900</v>
      </c>
      <c r="S214" s="2">
        <v>80</v>
      </c>
      <c r="T214" s="2">
        <f>Table834[[#This Row],[Night Diastolic Pressure]]^2</f>
        <v>6400</v>
      </c>
      <c r="U214" s="2">
        <v>68</v>
      </c>
      <c r="V214" s="2">
        <f>Table834[[#This Row],[Night Pulse]]^2</f>
        <v>4624</v>
      </c>
      <c r="W214" s="2">
        <v>7</v>
      </c>
      <c r="X214" s="2">
        <f>Table834[[#This Row],[Sleep]]^2</f>
        <v>49</v>
      </c>
      <c r="Y214" s="2">
        <f t="shared" si="7"/>
        <v>37.531591836734698</v>
      </c>
      <c r="Z214" s="2">
        <f>Table834[[#This Row],[BMI]]^2</f>
        <v>1408.6203857992507</v>
      </c>
      <c r="AA214" s="2">
        <f t="shared" si="6"/>
        <v>33.308339978650658</v>
      </c>
      <c r="AB214" s="2">
        <f>Table834[[#This Row],[CBF]]^2</f>
        <v>1109.4455121333776</v>
      </c>
      <c r="AC214" s="2">
        <v>0</v>
      </c>
      <c r="AD214" s="2">
        <f>Table834[[#This Row],[Gym]]^2</f>
        <v>0</v>
      </c>
      <c r="AE214" s="2">
        <v>0</v>
      </c>
      <c r="AF214" s="2">
        <f>Table834[[#This Row],[Cardio]]^2</f>
        <v>0</v>
      </c>
      <c r="AG214" s="2">
        <v>2914.3553395667836</v>
      </c>
      <c r="AH214" s="2">
        <f>Table834[[#This Row],[Calories]]^2</f>
        <v>8493467.0452614222</v>
      </c>
      <c r="AI214" s="2">
        <v>397.84503909680592</v>
      </c>
      <c r="AJ214" s="2">
        <f>Table834[[#This Row],[Carbs]]^2</f>
        <v>158280.67513393902</v>
      </c>
      <c r="AK214" s="2">
        <v>105.42853820488766</v>
      </c>
      <c r="AL214" s="2">
        <f>Table834[[#This Row],[Fat ]]^2</f>
        <v>11115.176668019456</v>
      </c>
      <c r="AM214" s="2">
        <v>101.34424305957444</v>
      </c>
      <c r="AN214" s="2">
        <f>Table834[[#This Row],[Protein]]^2</f>
        <v>10270.655601318102</v>
      </c>
      <c r="AO214" s="2">
        <v>27.785301097178991</v>
      </c>
      <c r="AP214" s="2">
        <f>Table834[[#This Row],[Fiber]]^2</f>
        <v>772.02295706089603</v>
      </c>
      <c r="AQ214" s="2">
        <v>239.28876055938798</v>
      </c>
      <c r="AR214" s="2">
        <f>Table834[[#This Row],[Sugar]]^2</f>
        <v>57259.110930048111</v>
      </c>
      <c r="AS214" s="2">
        <v>56.434764079147634</v>
      </c>
      <c r="AT214" s="2">
        <f>Table834[[#This Row],[Servings]]^2</f>
        <v>3184.882596669052</v>
      </c>
      <c r="AU214" s="2">
        <v>1.1025114155251141</v>
      </c>
      <c r="AV214" s="2">
        <f>Table834[[#This Row],[Water]]^2</f>
        <v>1.2155314213631909</v>
      </c>
      <c r="AW214" s="2">
        <v>942.01611325038107</v>
      </c>
      <c r="AX214" s="2">
        <f>Table834[[#This Row],[Fat Calories]]^2</f>
        <v>887394.35762335476</v>
      </c>
      <c r="AY214" s="3">
        <f>Table834[[#This Row],[Weight]]*Table834[[#This Row],[Waist]]</f>
        <v>11902.800000000001</v>
      </c>
      <c r="AZ214" s="4">
        <f>Table834[[#This Row],[Weight]]*Table834[[#This Row],[Neck]]</f>
        <v>4316.4000000000005</v>
      </c>
      <c r="BA214" s="4">
        <f>Table834[[#This Row],[Weight]]*Table834[[#This Row],[Morning Body Temp]]</f>
        <v>25584.480000000003</v>
      </c>
      <c r="BB214" s="4">
        <f>Table834[[#This Row],[Weight]]*Table834[[#This Row],[Morning Systolic Pressure]]</f>
        <v>33746.400000000001</v>
      </c>
      <c r="BC214" s="11">
        <f>Table834[[#This Row],[Weight]]*Table834[[#This Row],[Morning Diastolic Pressure]]</f>
        <v>21451.200000000001</v>
      </c>
      <c r="BD214" s="2">
        <f>Table834[[#This Row],[Weight]]*Table834[[#This Row],[Morning Pulse]]</f>
        <v>18573.600000000002</v>
      </c>
      <c r="BE214" s="2">
        <f>Table834[[#This Row],[Weight]]*Table834[[#This Row],[Night Body Temp]]</f>
        <v>25610.640000000003</v>
      </c>
      <c r="BF214" s="2">
        <f>Table834[[#This Row],[Weight]]*Table834[[#This Row],[Night Systolic Pressure]]</f>
        <v>34008</v>
      </c>
      <c r="BG214" s="4">
        <f>Table83[[#This Row],[Weight]]*Table83[[#This Row],[Night Diastolic Pressure]]</f>
        <v>20928</v>
      </c>
      <c r="BH214" s="2">
        <f>Table834[[#This Row],[Weight]]*Table834[[#This Row],[Night Pulse]]</f>
        <v>17788.800000000003</v>
      </c>
      <c r="BI214" s="2">
        <f>Table834[[#This Row],[Weight]]*Table834[[#This Row],[Sleep]]</f>
        <v>1831.2000000000003</v>
      </c>
      <c r="BJ214" s="2">
        <f>Table834[[#This Row],[Weight]]*Table834[[#This Row],[BMI]]</f>
        <v>9818.2644244897983</v>
      </c>
      <c r="BK214" s="2">
        <f>Table834[[#This Row],[Weight]]*Table834[[#This Row],[CBF]]</f>
        <v>8713.4617384150133</v>
      </c>
      <c r="BL214" s="2">
        <f>Table834[[#This Row],[Weight]]*Table834[[#This Row],[Gym]]</f>
        <v>0</v>
      </c>
      <c r="BM214" s="2">
        <f>Table834[[#This Row],[Weight]]*Table834[[#This Row],[Cardio]]</f>
        <v>0</v>
      </c>
      <c r="BN214" s="2">
        <f>Table834[[#This Row],[Weight]]*Table834[[#This Row],[Calories]]</f>
        <v>762395.35683067061</v>
      </c>
      <c r="BO214" s="2">
        <f>Table834[[#This Row],[Weight]]*Table834[[#This Row],[Carbs]]</f>
        <v>104076.26222772444</v>
      </c>
      <c r="BP214" s="2">
        <f>Table834[[#This Row],[Weight]]*Table834[[#This Row],[Fat ]]</f>
        <v>27580.105594398614</v>
      </c>
      <c r="BQ214" s="2">
        <f>Table834[[#This Row],[Weight]]*Table834[[#This Row],[Protein]]</f>
        <v>26511.653984384677</v>
      </c>
      <c r="BR214" s="2">
        <f>Table834[[#This Row],[Weight]]*Table834[[#This Row],[Fiber]]</f>
        <v>7268.6347670220248</v>
      </c>
      <c r="BS214" s="2">
        <f>Table834[[#This Row],[Weight]]*Table834[[#This Row],[Sugar]]</f>
        <v>62597.939762335904</v>
      </c>
      <c r="BT214" s="2">
        <f>Table834[[#This Row],[Weight]]*Table834[[#This Row],[Servings]]</f>
        <v>14763.334283105023</v>
      </c>
      <c r="BU214" s="2">
        <f>Table834[[#This Row],[Weight]]*Table834[[#This Row],[Water]]</f>
        <v>288.41698630136989</v>
      </c>
      <c r="BV214" s="2">
        <f>Table834[[#This Row],[Weight]]*Table834[[#This Row],[Fat Calories]]</f>
        <v>246431.41522629972</v>
      </c>
      <c r="BW214" s="2">
        <f>Table834[[#This Row],[Waist]]*Table834[[#This Row],[Neck]]</f>
        <v>750.75</v>
      </c>
      <c r="BX214" s="2">
        <f>Table834[[#This Row],[Waist]]*Table834[[#This Row],[Morning Body Temp]]</f>
        <v>4449.8999999999996</v>
      </c>
      <c r="BY214" s="2">
        <f>Table834[[#This Row],[Waist]]*Table834[[#This Row],[Morning Systolic Pressure]]</f>
        <v>5869.5</v>
      </c>
      <c r="BZ214" s="2">
        <f>Table834[[#This Row],[Waist]]*Table834[[#This Row],[Morning Diastolic Pressure]]</f>
        <v>3731</v>
      </c>
      <c r="CA214" s="2">
        <f>Table834[[#This Row],[Waist]]*Table834[[#This Row],[Morning Pulse]]</f>
        <v>3230.5</v>
      </c>
      <c r="CB214" s="2">
        <f>Table834[[#This Row],[Waist]]*Table834[[#This Row],[Night Body Temp]]</f>
        <v>4454.45</v>
      </c>
      <c r="CC214" s="2">
        <f>Table834[[#This Row],[Waist]]*Table834[[#This Row],[Night Systolic Pressure]]</f>
        <v>5915</v>
      </c>
      <c r="CD214" s="4">
        <f>Table83[[#This Row],[Waist]]*Table83[[#This Row],[Night Diastolic Pressure]]</f>
        <v>3640</v>
      </c>
      <c r="CE214" s="2">
        <f>Table834[[#This Row],[Waist]]*Table834[[#This Row],[Night Pulse]]</f>
        <v>3094</v>
      </c>
      <c r="CF214" s="2">
        <f>Table834[[#This Row],[Waist]]*Table834[[#This Row],[Sleep]]</f>
        <v>318.5</v>
      </c>
      <c r="CG214" s="2">
        <f>Table834[[#This Row],[Waist]]*Table834[[#This Row],[BMI]]</f>
        <v>1707.6874285714287</v>
      </c>
      <c r="CH214" s="2">
        <f>Table834[[#This Row],[Waist]]*Table834[[#This Row],[CBF]]</f>
        <v>1515.5294690286048</v>
      </c>
      <c r="CI214" s="2">
        <f>Table834[[#This Row],[Waist]]*Table834[[#This Row],[Gym]]</f>
        <v>0</v>
      </c>
      <c r="CJ214" s="2">
        <f>Table834[[#This Row],[Waist]]*Table834[[#This Row],[Cardio]]</f>
        <v>0</v>
      </c>
      <c r="CK214" s="2">
        <f>Table834[[#This Row],[Waist]]*Table834[[#This Row],[Calories]]</f>
        <v>132603.16795028865</v>
      </c>
      <c r="CL214" s="2">
        <f>Table834[[#This Row],[Waist]]*Table834[[#This Row],[Carbs]]</f>
        <v>18101.949278904671</v>
      </c>
      <c r="CM214" s="2">
        <f>Table834[[#This Row],[Waist]]*Table834[[#This Row],[Fat ]]</f>
        <v>4796.9984883223888</v>
      </c>
      <c r="CN214" s="2">
        <f>Table834[[#This Row],[Waist]]*Table834[[#This Row],[Protein]]</f>
        <v>4611.1630592106367</v>
      </c>
      <c r="CO214" s="2">
        <f>Table834[[#This Row],[Waist]]*Table834[[#This Row],[Fiber]]</f>
        <v>1264.231199921644</v>
      </c>
      <c r="CP214" s="2">
        <f>Table834[[#This Row],[Waist]]*Table834[[#This Row],[Sugar]]</f>
        <v>10887.638605452154</v>
      </c>
      <c r="CQ214" s="2">
        <f>Table834[[#This Row],[Waist]]*Table834[[#This Row],[Servings]]</f>
        <v>2567.7817656012176</v>
      </c>
      <c r="CR214" s="2">
        <f>Table834[[#This Row],[Waist]]*Table834[[#This Row],[Water]]</f>
        <v>50.164269406392691</v>
      </c>
      <c r="CS214" s="2">
        <f>Table834[[#This Row],[Waist]]*Table834[[#This Row],[Fat Calories]]</f>
        <v>42861.733152892339</v>
      </c>
    </row>
    <row r="215" spans="1:97" x14ac:dyDescent="0.25">
      <c r="A215" s="2">
        <v>263.39999999999998</v>
      </c>
      <c r="B215" s="2">
        <f>Table834[[#This Row],[Weight]]^2</f>
        <v>69379.559999999983</v>
      </c>
      <c r="C215" s="2">
        <v>45</v>
      </c>
      <c r="D215" s="2">
        <f>Table834[[#This Row],[Waist]]^2</f>
        <v>2025</v>
      </c>
      <c r="E215" s="2">
        <v>16.5</v>
      </c>
      <c r="F215" s="2">
        <f>Table834[[#This Row],[Neck]]^2</f>
        <v>272.25</v>
      </c>
      <c r="G215" s="2">
        <v>97</v>
      </c>
      <c r="H215" s="2">
        <f>Table834[[#This Row],[Morning Body Temp]]^2</f>
        <v>9409</v>
      </c>
      <c r="I215" s="2">
        <v>136</v>
      </c>
      <c r="J215" s="2">
        <f>Table834[[#This Row],[Morning Systolic Pressure]]^2</f>
        <v>18496</v>
      </c>
      <c r="K215" s="2">
        <v>81</v>
      </c>
      <c r="L215" s="2">
        <f>Table834[[#This Row],[Morning Diastolic Pressure]]^2</f>
        <v>6561</v>
      </c>
      <c r="M215" s="2">
        <v>77</v>
      </c>
      <c r="N215" s="2">
        <f>Table834[[#This Row],[Morning Pulse]]^2</f>
        <v>5929</v>
      </c>
      <c r="O215" s="2">
        <v>97</v>
      </c>
      <c r="P215" s="2">
        <f>Table834[[#This Row],[Night Body Temp]]^2</f>
        <v>9409</v>
      </c>
      <c r="Q215" s="2">
        <v>130</v>
      </c>
      <c r="R215" s="2">
        <f>Table834[[#This Row],[Night Systolic Pressure]]^2</f>
        <v>16900</v>
      </c>
      <c r="S215" s="2">
        <v>79</v>
      </c>
      <c r="T215" s="2">
        <f>Table834[[#This Row],[Night Diastolic Pressure]]^2</f>
        <v>6241</v>
      </c>
      <c r="U215" s="2">
        <v>68</v>
      </c>
      <c r="V215" s="2">
        <f>Table834[[#This Row],[Night Pulse]]^2</f>
        <v>4624</v>
      </c>
      <c r="W215" s="2">
        <v>12</v>
      </c>
      <c r="X215" s="2">
        <f>Table834[[#This Row],[Sleep]]^2</f>
        <v>144</v>
      </c>
      <c r="Y215" s="2">
        <f t="shared" si="7"/>
        <v>37.789836734693871</v>
      </c>
      <c r="Z215" s="2">
        <f>Table834[[#This Row],[BMI]]^2</f>
        <v>1428.0717604348183</v>
      </c>
      <c r="AA215" s="2">
        <f t="shared" si="6"/>
        <v>32.6586945886934</v>
      </c>
      <c r="AB215" s="2">
        <f>Table834[[#This Row],[CBF]]^2</f>
        <v>1066.5903322375516</v>
      </c>
      <c r="AC215" s="2">
        <v>1</v>
      </c>
      <c r="AD215" s="2">
        <f>Table834[[#This Row],[Gym]]^2</f>
        <v>1</v>
      </c>
      <c r="AE215" s="2">
        <v>1</v>
      </c>
      <c r="AF215" s="2">
        <f>Table834[[#This Row],[Cardio]]^2</f>
        <v>1</v>
      </c>
      <c r="AG215" s="2">
        <v>2914.3553395667836</v>
      </c>
      <c r="AH215" s="2">
        <f>Table834[[#This Row],[Calories]]^2</f>
        <v>8493467.0452614222</v>
      </c>
      <c r="AI215" s="2">
        <v>397.84503909680592</v>
      </c>
      <c r="AJ215" s="2">
        <f>Table834[[#This Row],[Carbs]]^2</f>
        <v>158280.67513393902</v>
      </c>
      <c r="AK215" s="2">
        <v>105.42853820488766</v>
      </c>
      <c r="AL215" s="2">
        <f>Table834[[#This Row],[Fat ]]^2</f>
        <v>11115.176668019456</v>
      </c>
      <c r="AM215" s="2">
        <v>101.34424305957444</v>
      </c>
      <c r="AN215" s="2">
        <f>Table834[[#This Row],[Protein]]^2</f>
        <v>10270.655601318102</v>
      </c>
      <c r="AO215" s="2">
        <v>27.785301097178991</v>
      </c>
      <c r="AP215" s="2">
        <f>Table834[[#This Row],[Fiber]]^2</f>
        <v>772.02295706089603</v>
      </c>
      <c r="AQ215" s="2">
        <v>239.28876055938798</v>
      </c>
      <c r="AR215" s="2">
        <f>Table834[[#This Row],[Sugar]]^2</f>
        <v>57259.110930048111</v>
      </c>
      <c r="AS215" s="2">
        <v>56.434764079147634</v>
      </c>
      <c r="AT215" s="2">
        <f>Table834[[#This Row],[Servings]]^2</f>
        <v>3184.882596669052</v>
      </c>
      <c r="AU215" s="2">
        <v>1.1025114155251141</v>
      </c>
      <c r="AV215" s="2">
        <f>Table834[[#This Row],[Water]]^2</f>
        <v>1.2155314213631909</v>
      </c>
      <c r="AW215" s="2">
        <v>942.01611325038107</v>
      </c>
      <c r="AX215" s="2">
        <f>Table834[[#This Row],[Fat Calories]]^2</f>
        <v>887394.35762335476</v>
      </c>
      <c r="AY215" s="5">
        <f>Table834[[#This Row],[Weight]]*Table834[[#This Row],[Waist]]</f>
        <v>11852.999999999998</v>
      </c>
      <c r="AZ215" s="6">
        <f>Table834[[#This Row],[Weight]]*Table834[[#This Row],[Neck]]</f>
        <v>4346.0999999999995</v>
      </c>
      <c r="BA215" s="6">
        <f>Table834[[#This Row],[Weight]]*Table834[[#This Row],[Morning Body Temp]]</f>
        <v>25549.8</v>
      </c>
      <c r="BB215" s="6">
        <f>Table834[[#This Row],[Weight]]*Table834[[#This Row],[Morning Systolic Pressure]]</f>
        <v>35822.399999999994</v>
      </c>
      <c r="BC215" s="12">
        <f>Table834[[#This Row],[Weight]]*Table834[[#This Row],[Morning Diastolic Pressure]]</f>
        <v>21335.399999999998</v>
      </c>
      <c r="BD215" s="2">
        <f>Table834[[#This Row],[Weight]]*Table834[[#This Row],[Morning Pulse]]</f>
        <v>20281.8</v>
      </c>
      <c r="BE215" s="2">
        <f>Table834[[#This Row],[Weight]]*Table834[[#This Row],[Night Body Temp]]</f>
        <v>25549.8</v>
      </c>
      <c r="BF215" s="2">
        <f>Table834[[#This Row],[Weight]]*Table834[[#This Row],[Night Systolic Pressure]]</f>
        <v>34242</v>
      </c>
      <c r="BG215" s="4">
        <f>Table83[[#This Row],[Weight]]*Table83[[#This Row],[Night Diastolic Pressure]]</f>
        <v>20808.599999999999</v>
      </c>
      <c r="BH215" s="2">
        <f>Table834[[#This Row],[Weight]]*Table834[[#This Row],[Night Pulse]]</f>
        <v>17911.199999999997</v>
      </c>
      <c r="BI215" s="2">
        <f>Table834[[#This Row],[Weight]]*Table834[[#This Row],[Sleep]]</f>
        <v>3160.7999999999997</v>
      </c>
      <c r="BJ215" s="2">
        <f>Table834[[#This Row],[Weight]]*Table834[[#This Row],[BMI]]</f>
        <v>9953.842995918365</v>
      </c>
      <c r="BK215" s="2">
        <f>Table834[[#This Row],[Weight]]*Table834[[#This Row],[CBF]]</f>
        <v>8602.3001546618416</v>
      </c>
      <c r="BL215" s="2">
        <f>Table834[[#This Row],[Weight]]*Table834[[#This Row],[Gym]]</f>
        <v>263.39999999999998</v>
      </c>
      <c r="BM215" s="2">
        <f>Table834[[#This Row],[Weight]]*Table834[[#This Row],[Cardio]]</f>
        <v>263.39999999999998</v>
      </c>
      <c r="BN215" s="2">
        <f>Table834[[#This Row],[Weight]]*Table834[[#This Row],[Calories]]</f>
        <v>767641.19644189079</v>
      </c>
      <c r="BO215" s="2">
        <f>Table834[[#This Row],[Weight]]*Table834[[#This Row],[Carbs]]</f>
        <v>104792.38329809868</v>
      </c>
      <c r="BP215" s="2">
        <f>Table834[[#This Row],[Weight]]*Table834[[#This Row],[Fat ]]</f>
        <v>27769.876963167408</v>
      </c>
      <c r="BQ215" s="2">
        <f>Table834[[#This Row],[Weight]]*Table834[[#This Row],[Protein]]</f>
        <v>26694.073621891905</v>
      </c>
      <c r="BR215" s="2">
        <f>Table834[[#This Row],[Weight]]*Table834[[#This Row],[Fiber]]</f>
        <v>7318.6483089969452</v>
      </c>
      <c r="BS215" s="2">
        <f>Table834[[#This Row],[Weight]]*Table834[[#This Row],[Sugar]]</f>
        <v>63028.65953134279</v>
      </c>
      <c r="BT215" s="2">
        <f>Table834[[#This Row],[Weight]]*Table834[[#This Row],[Servings]]</f>
        <v>14864.916858447485</v>
      </c>
      <c r="BU215" s="2">
        <f>Table834[[#This Row],[Weight]]*Table834[[#This Row],[Water]]</f>
        <v>290.40150684931501</v>
      </c>
      <c r="BV215" s="2">
        <f>Table834[[#This Row],[Weight]]*Table834[[#This Row],[Fat Calories]]</f>
        <v>248127.04423015035</v>
      </c>
      <c r="BW215" s="2">
        <f>Table834[[#This Row],[Waist]]*Table834[[#This Row],[Neck]]</f>
        <v>742.5</v>
      </c>
      <c r="BX215" s="2">
        <f>Table834[[#This Row],[Waist]]*Table834[[#This Row],[Morning Body Temp]]</f>
        <v>4365</v>
      </c>
      <c r="BY215" s="2">
        <f>Table834[[#This Row],[Waist]]*Table834[[#This Row],[Morning Systolic Pressure]]</f>
        <v>6120</v>
      </c>
      <c r="BZ215" s="2">
        <f>Table834[[#This Row],[Waist]]*Table834[[#This Row],[Morning Diastolic Pressure]]</f>
        <v>3645</v>
      </c>
      <c r="CA215" s="2">
        <f>Table834[[#This Row],[Waist]]*Table834[[#This Row],[Morning Pulse]]</f>
        <v>3465</v>
      </c>
      <c r="CB215" s="2">
        <f>Table834[[#This Row],[Waist]]*Table834[[#This Row],[Night Body Temp]]</f>
        <v>4365</v>
      </c>
      <c r="CC215" s="2">
        <f>Table834[[#This Row],[Waist]]*Table834[[#This Row],[Night Systolic Pressure]]</f>
        <v>5850</v>
      </c>
      <c r="CD215" s="4">
        <f>Table83[[#This Row],[Waist]]*Table83[[#This Row],[Night Diastolic Pressure]]</f>
        <v>3555</v>
      </c>
      <c r="CE215" s="2">
        <f>Table834[[#This Row],[Waist]]*Table834[[#This Row],[Night Pulse]]</f>
        <v>3060</v>
      </c>
      <c r="CF215" s="2">
        <f>Table834[[#This Row],[Waist]]*Table834[[#This Row],[Sleep]]</f>
        <v>540</v>
      </c>
      <c r="CG215" s="2">
        <f>Table834[[#This Row],[Waist]]*Table834[[#This Row],[BMI]]</f>
        <v>1700.5426530612242</v>
      </c>
      <c r="CH215" s="2">
        <f>Table834[[#This Row],[Waist]]*Table834[[#This Row],[CBF]]</f>
        <v>1469.641256491203</v>
      </c>
      <c r="CI215" s="2">
        <f>Table834[[#This Row],[Waist]]*Table834[[#This Row],[Gym]]</f>
        <v>45</v>
      </c>
      <c r="CJ215" s="2">
        <f>Table834[[#This Row],[Waist]]*Table834[[#This Row],[Cardio]]</f>
        <v>45</v>
      </c>
      <c r="CK215" s="2">
        <f>Table834[[#This Row],[Waist]]*Table834[[#This Row],[Calories]]</f>
        <v>131145.99028050527</v>
      </c>
      <c r="CL215" s="2">
        <f>Table834[[#This Row],[Waist]]*Table834[[#This Row],[Carbs]]</f>
        <v>17903.026759356268</v>
      </c>
      <c r="CM215" s="2">
        <f>Table834[[#This Row],[Waist]]*Table834[[#This Row],[Fat ]]</f>
        <v>4744.284219219945</v>
      </c>
      <c r="CN215" s="2">
        <f>Table834[[#This Row],[Waist]]*Table834[[#This Row],[Protein]]</f>
        <v>4560.49093768085</v>
      </c>
      <c r="CO215" s="2">
        <f>Table834[[#This Row],[Waist]]*Table834[[#This Row],[Fiber]]</f>
        <v>1250.3385493730545</v>
      </c>
      <c r="CP215" s="2">
        <f>Table834[[#This Row],[Waist]]*Table834[[#This Row],[Sugar]]</f>
        <v>10767.994225172459</v>
      </c>
      <c r="CQ215" s="2">
        <f>Table834[[#This Row],[Waist]]*Table834[[#This Row],[Servings]]</f>
        <v>2539.5643835616434</v>
      </c>
      <c r="CR215" s="2">
        <f>Table834[[#This Row],[Waist]]*Table834[[#This Row],[Water]]</f>
        <v>49.613013698630134</v>
      </c>
      <c r="CS215" s="2">
        <f>Table834[[#This Row],[Waist]]*Table834[[#This Row],[Fat Calories]]</f>
        <v>42390.725096267146</v>
      </c>
    </row>
    <row r="216" spans="1:97" x14ac:dyDescent="0.25">
      <c r="A216" s="2">
        <v>256.2</v>
      </c>
      <c r="B216" s="2">
        <f>Table834[[#This Row],[Weight]]^2</f>
        <v>65638.439999999988</v>
      </c>
      <c r="C216" s="2">
        <v>44.5</v>
      </c>
      <c r="D216" s="2">
        <f>Table834[[#This Row],[Waist]]^2</f>
        <v>1980.25</v>
      </c>
      <c r="E216" s="2">
        <v>16.5</v>
      </c>
      <c r="F216" s="2">
        <f>Table834[[#This Row],[Neck]]^2</f>
        <v>272.25</v>
      </c>
      <c r="G216" s="2">
        <v>96.4</v>
      </c>
      <c r="H216" s="2">
        <f>Table834[[#This Row],[Morning Body Temp]]^2</f>
        <v>9292.9600000000009</v>
      </c>
      <c r="I216" s="2">
        <v>146</v>
      </c>
      <c r="J216" s="2">
        <f>Table834[[#This Row],[Morning Systolic Pressure]]^2</f>
        <v>21316</v>
      </c>
      <c r="K216" s="2">
        <v>80</v>
      </c>
      <c r="L216" s="2">
        <f>Table834[[#This Row],[Morning Diastolic Pressure]]^2</f>
        <v>6400</v>
      </c>
      <c r="M216" s="2">
        <v>82</v>
      </c>
      <c r="N216" s="2">
        <f>Table834[[#This Row],[Morning Pulse]]^2</f>
        <v>6724</v>
      </c>
      <c r="O216" s="2">
        <v>97.1</v>
      </c>
      <c r="P216" s="2">
        <f>Table834[[#This Row],[Night Body Temp]]^2</f>
        <v>9428.409999999998</v>
      </c>
      <c r="Q216" s="2">
        <v>124</v>
      </c>
      <c r="R216" s="2">
        <f>Table834[[#This Row],[Night Systolic Pressure]]^2</f>
        <v>15376</v>
      </c>
      <c r="S216" s="2">
        <v>81</v>
      </c>
      <c r="T216" s="2">
        <f>Table834[[#This Row],[Night Diastolic Pressure]]^2</f>
        <v>6561</v>
      </c>
      <c r="U216" s="2">
        <v>63</v>
      </c>
      <c r="V216" s="2">
        <f>Table834[[#This Row],[Night Pulse]]^2</f>
        <v>3969</v>
      </c>
      <c r="W216" s="2">
        <v>17</v>
      </c>
      <c r="X216" s="2">
        <f>Table834[[#This Row],[Sleep]]^2</f>
        <v>289</v>
      </c>
      <c r="Y216" s="2">
        <f t="shared" si="7"/>
        <v>36.756857142857143</v>
      </c>
      <c r="Z216" s="2">
        <f>Table834[[#This Row],[BMI]]^2</f>
        <v>1351.0665470204083</v>
      </c>
      <c r="AA216" s="2">
        <f t="shared" si="6"/>
        <v>31.997550455105717</v>
      </c>
      <c r="AB216" s="2">
        <f>Table834[[#This Row],[CBF]]^2</f>
        <v>1023.8432351270361</v>
      </c>
      <c r="AC216" s="2">
        <v>0</v>
      </c>
      <c r="AD216" s="2">
        <f>Table834[[#This Row],[Gym]]^2</f>
        <v>0</v>
      </c>
      <c r="AE216" s="2">
        <v>1</v>
      </c>
      <c r="AF216" s="2">
        <f>Table834[[#This Row],[Cardio]]^2</f>
        <v>1</v>
      </c>
      <c r="AG216" s="2">
        <v>2914.3553395667836</v>
      </c>
      <c r="AH216" s="2">
        <f>Table834[[#This Row],[Calories]]^2</f>
        <v>8493467.0452614222</v>
      </c>
      <c r="AI216" s="2">
        <v>397.84503909680592</v>
      </c>
      <c r="AJ216" s="2">
        <f>Table834[[#This Row],[Carbs]]^2</f>
        <v>158280.67513393902</v>
      </c>
      <c r="AK216" s="2">
        <v>105.42853820488766</v>
      </c>
      <c r="AL216" s="2">
        <f>Table834[[#This Row],[Fat ]]^2</f>
        <v>11115.176668019456</v>
      </c>
      <c r="AM216" s="2">
        <v>101.34424305957444</v>
      </c>
      <c r="AN216" s="2">
        <f>Table834[[#This Row],[Protein]]^2</f>
        <v>10270.655601318102</v>
      </c>
      <c r="AO216" s="2">
        <v>27.785301097178991</v>
      </c>
      <c r="AP216" s="2">
        <f>Table834[[#This Row],[Fiber]]^2</f>
        <v>772.02295706089603</v>
      </c>
      <c r="AQ216" s="2">
        <v>239.28876055938798</v>
      </c>
      <c r="AR216" s="2">
        <f>Table834[[#This Row],[Sugar]]^2</f>
        <v>57259.110930048111</v>
      </c>
      <c r="AS216" s="2">
        <v>56.434764079147634</v>
      </c>
      <c r="AT216" s="2">
        <f>Table834[[#This Row],[Servings]]^2</f>
        <v>3184.882596669052</v>
      </c>
      <c r="AU216" s="2">
        <v>1.1025114155251141</v>
      </c>
      <c r="AV216" s="2">
        <f>Table834[[#This Row],[Water]]^2</f>
        <v>1.2155314213631909</v>
      </c>
      <c r="AW216" s="2">
        <v>942.01611325038107</v>
      </c>
      <c r="AX216" s="2">
        <f>Table834[[#This Row],[Fat Calories]]^2</f>
        <v>887394.35762335476</v>
      </c>
      <c r="AY216" s="3">
        <f>Table834[[#This Row],[Weight]]*Table834[[#This Row],[Waist]]</f>
        <v>11400.9</v>
      </c>
      <c r="AZ216" s="4">
        <f>Table834[[#This Row],[Weight]]*Table834[[#This Row],[Neck]]</f>
        <v>4227.3</v>
      </c>
      <c r="BA216" s="4">
        <f>Table834[[#This Row],[Weight]]*Table834[[#This Row],[Morning Body Temp]]</f>
        <v>24697.68</v>
      </c>
      <c r="BB216" s="4">
        <f>Table834[[#This Row],[Weight]]*Table834[[#This Row],[Morning Systolic Pressure]]</f>
        <v>37405.199999999997</v>
      </c>
      <c r="BC216" s="11">
        <f>Table834[[#This Row],[Weight]]*Table834[[#This Row],[Morning Diastolic Pressure]]</f>
        <v>20496</v>
      </c>
      <c r="BD216" s="2">
        <f>Table834[[#This Row],[Weight]]*Table834[[#This Row],[Morning Pulse]]</f>
        <v>21008.399999999998</v>
      </c>
      <c r="BE216" s="2">
        <f>Table834[[#This Row],[Weight]]*Table834[[#This Row],[Night Body Temp]]</f>
        <v>24877.019999999997</v>
      </c>
      <c r="BF216" s="2">
        <f>Table834[[#This Row],[Weight]]*Table834[[#This Row],[Night Systolic Pressure]]</f>
        <v>31768.799999999999</v>
      </c>
      <c r="BG216" s="4">
        <f>Table83[[#This Row],[Weight]]*Table83[[#This Row],[Night Diastolic Pressure]]</f>
        <v>20752.2</v>
      </c>
      <c r="BH216" s="2">
        <f>Table834[[#This Row],[Weight]]*Table834[[#This Row],[Night Pulse]]</f>
        <v>16140.599999999999</v>
      </c>
      <c r="BI216" s="2">
        <f>Table834[[#This Row],[Weight]]*Table834[[#This Row],[Sleep]]</f>
        <v>4355.3999999999996</v>
      </c>
      <c r="BJ216" s="2">
        <f>Table834[[#This Row],[Weight]]*Table834[[#This Row],[BMI]]</f>
        <v>9417.1067999999996</v>
      </c>
      <c r="BK216" s="2">
        <f>Table834[[#This Row],[Weight]]*Table834[[#This Row],[CBF]]</f>
        <v>8197.7724265980851</v>
      </c>
      <c r="BL216" s="2">
        <f>Table834[[#This Row],[Weight]]*Table834[[#This Row],[Gym]]</f>
        <v>0</v>
      </c>
      <c r="BM216" s="2">
        <f>Table834[[#This Row],[Weight]]*Table834[[#This Row],[Cardio]]</f>
        <v>256.2</v>
      </c>
      <c r="BN216" s="2">
        <f>Table834[[#This Row],[Weight]]*Table834[[#This Row],[Calories]]</f>
        <v>746657.83799700998</v>
      </c>
      <c r="BO216" s="2">
        <f>Table834[[#This Row],[Weight]]*Table834[[#This Row],[Carbs]]</f>
        <v>101927.89901660167</v>
      </c>
      <c r="BP216" s="2">
        <f>Table834[[#This Row],[Weight]]*Table834[[#This Row],[Fat ]]</f>
        <v>27010.791488092218</v>
      </c>
      <c r="BQ216" s="2">
        <f>Table834[[#This Row],[Weight]]*Table834[[#This Row],[Protein]]</f>
        <v>25964.395071862971</v>
      </c>
      <c r="BR216" s="2">
        <f>Table834[[#This Row],[Weight]]*Table834[[#This Row],[Fiber]]</f>
        <v>7118.5941410972573</v>
      </c>
      <c r="BS216" s="2">
        <f>Table834[[#This Row],[Weight]]*Table834[[#This Row],[Sugar]]</f>
        <v>61305.780455315195</v>
      </c>
      <c r="BT216" s="2">
        <f>Table834[[#This Row],[Weight]]*Table834[[#This Row],[Servings]]</f>
        <v>14458.586557077622</v>
      </c>
      <c r="BU216" s="2">
        <f>Table834[[#This Row],[Weight]]*Table834[[#This Row],[Water]]</f>
        <v>282.46342465753423</v>
      </c>
      <c r="BV216" s="2">
        <f>Table834[[#This Row],[Weight]]*Table834[[#This Row],[Fat Calories]]</f>
        <v>241344.52821474761</v>
      </c>
      <c r="BW216" s="2">
        <f>Table834[[#This Row],[Waist]]*Table834[[#This Row],[Neck]]</f>
        <v>734.25</v>
      </c>
      <c r="BX216" s="2">
        <f>Table834[[#This Row],[Waist]]*Table834[[#This Row],[Morning Body Temp]]</f>
        <v>4289.8</v>
      </c>
      <c r="BY216" s="2">
        <f>Table834[[#This Row],[Waist]]*Table834[[#This Row],[Morning Systolic Pressure]]</f>
        <v>6497</v>
      </c>
      <c r="BZ216" s="2">
        <f>Table834[[#This Row],[Waist]]*Table834[[#This Row],[Morning Diastolic Pressure]]</f>
        <v>3560</v>
      </c>
      <c r="CA216" s="2">
        <f>Table834[[#This Row],[Waist]]*Table834[[#This Row],[Morning Pulse]]</f>
        <v>3649</v>
      </c>
      <c r="CB216" s="2">
        <f>Table834[[#This Row],[Waist]]*Table834[[#This Row],[Night Body Temp]]</f>
        <v>4320.95</v>
      </c>
      <c r="CC216" s="2">
        <f>Table834[[#This Row],[Waist]]*Table834[[#This Row],[Night Systolic Pressure]]</f>
        <v>5518</v>
      </c>
      <c r="CD216" s="4">
        <f>Table83[[#This Row],[Waist]]*Table83[[#This Row],[Night Diastolic Pressure]]</f>
        <v>3604.5</v>
      </c>
      <c r="CE216" s="2">
        <f>Table834[[#This Row],[Waist]]*Table834[[#This Row],[Night Pulse]]</f>
        <v>2803.5</v>
      </c>
      <c r="CF216" s="2">
        <f>Table834[[#This Row],[Waist]]*Table834[[#This Row],[Sleep]]</f>
        <v>756.5</v>
      </c>
      <c r="CG216" s="2">
        <f>Table834[[#This Row],[Waist]]*Table834[[#This Row],[BMI]]</f>
        <v>1635.680142857143</v>
      </c>
      <c r="CH216" s="2">
        <f>Table834[[#This Row],[Waist]]*Table834[[#This Row],[CBF]]</f>
        <v>1423.8909952522044</v>
      </c>
      <c r="CI216" s="2">
        <f>Table834[[#This Row],[Waist]]*Table834[[#This Row],[Gym]]</f>
        <v>0</v>
      </c>
      <c r="CJ216" s="2">
        <f>Table834[[#This Row],[Waist]]*Table834[[#This Row],[Cardio]]</f>
        <v>44.5</v>
      </c>
      <c r="CK216" s="2">
        <f>Table834[[#This Row],[Waist]]*Table834[[#This Row],[Calories]]</f>
        <v>129688.81261072187</v>
      </c>
      <c r="CL216" s="2">
        <f>Table834[[#This Row],[Waist]]*Table834[[#This Row],[Carbs]]</f>
        <v>17704.104239807864</v>
      </c>
      <c r="CM216" s="2">
        <f>Table834[[#This Row],[Waist]]*Table834[[#This Row],[Fat ]]</f>
        <v>4691.5699501175004</v>
      </c>
      <c r="CN216" s="2">
        <f>Table834[[#This Row],[Waist]]*Table834[[#This Row],[Protein]]</f>
        <v>4509.8188161510625</v>
      </c>
      <c r="CO216" s="2">
        <f>Table834[[#This Row],[Waist]]*Table834[[#This Row],[Fiber]]</f>
        <v>1236.4458988244651</v>
      </c>
      <c r="CP216" s="2">
        <f>Table834[[#This Row],[Waist]]*Table834[[#This Row],[Sugar]]</f>
        <v>10648.349844892766</v>
      </c>
      <c r="CQ216" s="2">
        <f>Table834[[#This Row],[Waist]]*Table834[[#This Row],[Servings]]</f>
        <v>2511.3470015220696</v>
      </c>
      <c r="CR216" s="2">
        <f>Table834[[#This Row],[Waist]]*Table834[[#This Row],[Water]]</f>
        <v>49.061757990867576</v>
      </c>
      <c r="CS216" s="2">
        <f>Table834[[#This Row],[Waist]]*Table834[[#This Row],[Fat Calories]]</f>
        <v>41919.717039641961</v>
      </c>
    </row>
    <row r="217" spans="1:97" x14ac:dyDescent="0.25">
      <c r="A217" s="2">
        <v>256.8</v>
      </c>
      <c r="B217" s="2">
        <f>Table834[[#This Row],[Weight]]^2</f>
        <v>65946.240000000005</v>
      </c>
      <c r="C217" s="2">
        <v>44.5</v>
      </c>
      <c r="D217" s="2">
        <f>Table834[[#This Row],[Waist]]^2</f>
        <v>1980.25</v>
      </c>
      <c r="E217" s="2">
        <v>16.5</v>
      </c>
      <c r="F217" s="2">
        <f>Table834[[#This Row],[Neck]]^2</f>
        <v>272.25</v>
      </c>
      <c r="G217" s="2">
        <v>96.2</v>
      </c>
      <c r="H217" s="2">
        <f>Table834[[#This Row],[Morning Body Temp]]^2</f>
        <v>9254.44</v>
      </c>
      <c r="I217" s="2">
        <v>119</v>
      </c>
      <c r="J217" s="2">
        <f>Table834[[#This Row],[Morning Systolic Pressure]]^2</f>
        <v>14161</v>
      </c>
      <c r="K217" s="2">
        <v>80</v>
      </c>
      <c r="L217" s="2">
        <f>Table834[[#This Row],[Morning Diastolic Pressure]]^2</f>
        <v>6400</v>
      </c>
      <c r="M217" s="2">
        <v>61</v>
      </c>
      <c r="N217" s="2">
        <f>Table834[[#This Row],[Morning Pulse]]^2</f>
        <v>3721</v>
      </c>
      <c r="O217" s="2">
        <v>96.8</v>
      </c>
      <c r="P217" s="2">
        <f>Table834[[#This Row],[Night Body Temp]]^2</f>
        <v>9370.24</v>
      </c>
      <c r="Q217" s="2">
        <v>144</v>
      </c>
      <c r="R217" s="2">
        <f>Table834[[#This Row],[Night Systolic Pressure]]^2</f>
        <v>20736</v>
      </c>
      <c r="S217" s="2">
        <v>83</v>
      </c>
      <c r="T217" s="2">
        <f>Table834[[#This Row],[Night Diastolic Pressure]]^2</f>
        <v>6889</v>
      </c>
      <c r="U217" s="2">
        <v>62</v>
      </c>
      <c r="V217" s="2">
        <f>Table834[[#This Row],[Night Pulse]]^2</f>
        <v>3844</v>
      </c>
      <c r="W217" s="2">
        <v>1</v>
      </c>
      <c r="X217" s="2">
        <f>Table834[[#This Row],[Sleep]]^2</f>
        <v>1</v>
      </c>
      <c r="Y217" s="2">
        <f t="shared" si="7"/>
        <v>36.842938775510206</v>
      </c>
      <c r="Z217" s="2">
        <f>Table834[[#This Row],[BMI]]^2</f>
        <v>1357.4021376159935</v>
      </c>
      <c r="AA217" s="2">
        <f t="shared" si="6"/>
        <v>31.997550455105717</v>
      </c>
      <c r="AB217" s="2">
        <f>Table834[[#This Row],[CBF]]^2</f>
        <v>1023.8432351270361</v>
      </c>
      <c r="AC217" s="2">
        <v>1</v>
      </c>
      <c r="AD217" s="2">
        <f>Table834[[#This Row],[Gym]]^2</f>
        <v>1</v>
      </c>
      <c r="AE217" s="2">
        <v>1</v>
      </c>
      <c r="AF217" s="2">
        <f>Table834[[#This Row],[Cardio]]^2</f>
        <v>1</v>
      </c>
      <c r="AG217" s="2">
        <v>2914.3553395667836</v>
      </c>
      <c r="AH217" s="2">
        <f>Table834[[#This Row],[Calories]]^2</f>
        <v>8493467.0452614222</v>
      </c>
      <c r="AI217" s="2">
        <v>397.84503909680592</v>
      </c>
      <c r="AJ217" s="2">
        <f>Table834[[#This Row],[Carbs]]^2</f>
        <v>158280.67513393902</v>
      </c>
      <c r="AK217" s="2">
        <v>105.42853820488766</v>
      </c>
      <c r="AL217" s="2">
        <f>Table834[[#This Row],[Fat ]]^2</f>
        <v>11115.176668019456</v>
      </c>
      <c r="AM217" s="2">
        <v>101.34424305957444</v>
      </c>
      <c r="AN217" s="2">
        <f>Table834[[#This Row],[Protein]]^2</f>
        <v>10270.655601318102</v>
      </c>
      <c r="AO217" s="2">
        <v>27.785301097178991</v>
      </c>
      <c r="AP217" s="2">
        <f>Table834[[#This Row],[Fiber]]^2</f>
        <v>772.02295706089603</v>
      </c>
      <c r="AQ217" s="2">
        <v>239.28876055938798</v>
      </c>
      <c r="AR217" s="2">
        <f>Table834[[#This Row],[Sugar]]^2</f>
        <v>57259.110930048111</v>
      </c>
      <c r="AS217" s="2">
        <v>56.434764079147634</v>
      </c>
      <c r="AT217" s="2">
        <f>Table834[[#This Row],[Servings]]^2</f>
        <v>3184.882596669052</v>
      </c>
      <c r="AU217" s="2">
        <v>1.1025114155251141</v>
      </c>
      <c r="AV217" s="2">
        <f>Table834[[#This Row],[Water]]^2</f>
        <v>1.2155314213631909</v>
      </c>
      <c r="AW217" s="2">
        <v>942.01611325038107</v>
      </c>
      <c r="AX217" s="2">
        <f>Table834[[#This Row],[Fat Calories]]^2</f>
        <v>887394.35762335476</v>
      </c>
      <c r="AY217" s="5">
        <f>Table834[[#This Row],[Weight]]*Table834[[#This Row],[Waist]]</f>
        <v>11427.6</v>
      </c>
      <c r="AZ217" s="6">
        <f>Table834[[#This Row],[Weight]]*Table834[[#This Row],[Neck]]</f>
        <v>4237.2</v>
      </c>
      <c r="BA217" s="6">
        <f>Table834[[#This Row],[Weight]]*Table834[[#This Row],[Morning Body Temp]]</f>
        <v>24704.160000000003</v>
      </c>
      <c r="BB217" s="6">
        <f>Table834[[#This Row],[Weight]]*Table834[[#This Row],[Morning Systolic Pressure]]</f>
        <v>30559.200000000001</v>
      </c>
      <c r="BC217" s="12">
        <f>Table834[[#This Row],[Weight]]*Table834[[#This Row],[Morning Diastolic Pressure]]</f>
        <v>20544</v>
      </c>
      <c r="BD217" s="2">
        <f>Table834[[#This Row],[Weight]]*Table834[[#This Row],[Morning Pulse]]</f>
        <v>15664.800000000001</v>
      </c>
      <c r="BE217" s="2">
        <f>Table834[[#This Row],[Weight]]*Table834[[#This Row],[Night Body Temp]]</f>
        <v>24858.240000000002</v>
      </c>
      <c r="BF217" s="2">
        <f>Table834[[#This Row],[Weight]]*Table834[[#This Row],[Night Systolic Pressure]]</f>
        <v>36979.200000000004</v>
      </c>
      <c r="BG217" s="4">
        <f>Table83[[#This Row],[Weight]]*Table83[[#This Row],[Night Diastolic Pressure]]</f>
        <v>21314.400000000001</v>
      </c>
      <c r="BH217" s="2">
        <f>Table834[[#This Row],[Weight]]*Table834[[#This Row],[Night Pulse]]</f>
        <v>15921.6</v>
      </c>
      <c r="BI217" s="2">
        <f>Table834[[#This Row],[Weight]]*Table834[[#This Row],[Sleep]]</f>
        <v>256.8</v>
      </c>
      <c r="BJ217" s="2">
        <f>Table834[[#This Row],[Weight]]*Table834[[#This Row],[BMI]]</f>
        <v>9461.2666775510206</v>
      </c>
      <c r="BK217" s="2">
        <f>Table834[[#This Row],[Weight]]*Table834[[#This Row],[CBF]]</f>
        <v>8216.9709568711478</v>
      </c>
      <c r="BL217" s="2">
        <f>Table834[[#This Row],[Weight]]*Table834[[#This Row],[Gym]]</f>
        <v>256.8</v>
      </c>
      <c r="BM217" s="2">
        <f>Table834[[#This Row],[Weight]]*Table834[[#This Row],[Cardio]]</f>
        <v>256.8</v>
      </c>
      <c r="BN217" s="2">
        <f>Table834[[#This Row],[Weight]]*Table834[[#This Row],[Calories]]</f>
        <v>748406.45120075007</v>
      </c>
      <c r="BO217" s="2">
        <f>Table834[[#This Row],[Weight]]*Table834[[#This Row],[Carbs]]</f>
        <v>102166.60604005976</v>
      </c>
      <c r="BP217" s="2">
        <f>Table834[[#This Row],[Weight]]*Table834[[#This Row],[Fat ]]</f>
        <v>27074.048611015151</v>
      </c>
      <c r="BQ217" s="2">
        <f>Table834[[#This Row],[Weight]]*Table834[[#This Row],[Protein]]</f>
        <v>26025.201617698716</v>
      </c>
      <c r="BR217" s="2">
        <f>Table834[[#This Row],[Weight]]*Table834[[#This Row],[Fiber]]</f>
        <v>7135.2653217555653</v>
      </c>
      <c r="BS217" s="2">
        <f>Table834[[#This Row],[Weight]]*Table834[[#This Row],[Sugar]]</f>
        <v>61449.353711650838</v>
      </c>
      <c r="BT217" s="2">
        <f>Table834[[#This Row],[Weight]]*Table834[[#This Row],[Servings]]</f>
        <v>14492.447415525114</v>
      </c>
      <c r="BU217" s="2">
        <f>Table834[[#This Row],[Weight]]*Table834[[#This Row],[Water]]</f>
        <v>283.12493150684929</v>
      </c>
      <c r="BV217" s="2">
        <f>Table834[[#This Row],[Weight]]*Table834[[#This Row],[Fat Calories]]</f>
        <v>241909.73788269787</v>
      </c>
      <c r="BW217" s="2">
        <f>Table834[[#This Row],[Waist]]*Table834[[#This Row],[Neck]]</f>
        <v>734.25</v>
      </c>
      <c r="BX217" s="2">
        <f>Table834[[#This Row],[Waist]]*Table834[[#This Row],[Morning Body Temp]]</f>
        <v>4280.9000000000005</v>
      </c>
      <c r="BY217" s="2">
        <f>Table834[[#This Row],[Waist]]*Table834[[#This Row],[Morning Systolic Pressure]]</f>
        <v>5295.5</v>
      </c>
      <c r="BZ217" s="2">
        <f>Table834[[#This Row],[Waist]]*Table834[[#This Row],[Morning Diastolic Pressure]]</f>
        <v>3560</v>
      </c>
      <c r="CA217" s="2">
        <f>Table834[[#This Row],[Waist]]*Table834[[#This Row],[Morning Pulse]]</f>
        <v>2714.5</v>
      </c>
      <c r="CB217" s="2">
        <f>Table834[[#This Row],[Waist]]*Table834[[#This Row],[Night Body Temp]]</f>
        <v>4307.5999999999995</v>
      </c>
      <c r="CC217" s="2">
        <f>Table834[[#This Row],[Waist]]*Table834[[#This Row],[Night Systolic Pressure]]</f>
        <v>6408</v>
      </c>
      <c r="CD217" s="4">
        <f>Table83[[#This Row],[Waist]]*Table83[[#This Row],[Night Diastolic Pressure]]</f>
        <v>3693.5</v>
      </c>
      <c r="CE217" s="2">
        <f>Table834[[#This Row],[Waist]]*Table834[[#This Row],[Night Pulse]]</f>
        <v>2759</v>
      </c>
      <c r="CF217" s="2">
        <f>Table834[[#This Row],[Waist]]*Table834[[#This Row],[Sleep]]</f>
        <v>44.5</v>
      </c>
      <c r="CG217" s="2">
        <f>Table834[[#This Row],[Waist]]*Table834[[#This Row],[BMI]]</f>
        <v>1639.5107755102042</v>
      </c>
      <c r="CH217" s="2">
        <f>Table834[[#This Row],[Waist]]*Table834[[#This Row],[CBF]]</f>
        <v>1423.8909952522044</v>
      </c>
      <c r="CI217" s="2">
        <f>Table834[[#This Row],[Waist]]*Table834[[#This Row],[Gym]]</f>
        <v>44.5</v>
      </c>
      <c r="CJ217" s="2">
        <f>Table834[[#This Row],[Waist]]*Table834[[#This Row],[Cardio]]</f>
        <v>44.5</v>
      </c>
      <c r="CK217" s="2">
        <f>Table834[[#This Row],[Waist]]*Table834[[#This Row],[Calories]]</f>
        <v>129688.81261072187</v>
      </c>
      <c r="CL217" s="2">
        <f>Table834[[#This Row],[Waist]]*Table834[[#This Row],[Carbs]]</f>
        <v>17704.104239807864</v>
      </c>
      <c r="CM217" s="2">
        <f>Table834[[#This Row],[Waist]]*Table834[[#This Row],[Fat ]]</f>
        <v>4691.5699501175004</v>
      </c>
      <c r="CN217" s="2">
        <f>Table834[[#This Row],[Waist]]*Table834[[#This Row],[Protein]]</f>
        <v>4509.8188161510625</v>
      </c>
      <c r="CO217" s="2">
        <f>Table834[[#This Row],[Waist]]*Table834[[#This Row],[Fiber]]</f>
        <v>1236.4458988244651</v>
      </c>
      <c r="CP217" s="2">
        <f>Table834[[#This Row],[Waist]]*Table834[[#This Row],[Sugar]]</f>
        <v>10648.349844892766</v>
      </c>
      <c r="CQ217" s="2">
        <f>Table834[[#This Row],[Waist]]*Table834[[#This Row],[Servings]]</f>
        <v>2511.3470015220696</v>
      </c>
      <c r="CR217" s="2">
        <f>Table834[[#This Row],[Waist]]*Table834[[#This Row],[Water]]</f>
        <v>49.061757990867576</v>
      </c>
      <c r="CS217" s="2">
        <f>Table834[[#This Row],[Waist]]*Table834[[#This Row],[Fat Calories]]</f>
        <v>41919.717039641961</v>
      </c>
    </row>
    <row r="218" spans="1:97" x14ac:dyDescent="0.25">
      <c r="A218" s="2">
        <v>258</v>
      </c>
      <c r="B218" s="2">
        <f>Table834[[#This Row],[Weight]]^2</f>
        <v>66564</v>
      </c>
      <c r="C218" s="2">
        <v>45</v>
      </c>
      <c r="D218" s="2">
        <f>Table834[[#This Row],[Waist]]^2</f>
        <v>2025</v>
      </c>
      <c r="E218" s="2">
        <v>16.5</v>
      </c>
      <c r="F218" s="2">
        <f>Table834[[#This Row],[Neck]]^2</f>
        <v>272.25</v>
      </c>
      <c r="G218" s="2">
        <v>96.6</v>
      </c>
      <c r="H218" s="2">
        <f>Table834[[#This Row],[Morning Body Temp]]^2</f>
        <v>9331.56</v>
      </c>
      <c r="I218" s="2">
        <v>134</v>
      </c>
      <c r="J218" s="2">
        <f>Table834[[#This Row],[Morning Systolic Pressure]]^2</f>
        <v>17956</v>
      </c>
      <c r="K218" s="2">
        <v>73</v>
      </c>
      <c r="L218" s="2">
        <f>Table834[[#This Row],[Morning Diastolic Pressure]]^2</f>
        <v>5329</v>
      </c>
      <c r="M218" s="2">
        <v>79</v>
      </c>
      <c r="N218" s="2">
        <f>Table834[[#This Row],[Morning Pulse]]^2</f>
        <v>6241</v>
      </c>
      <c r="O218" s="2">
        <v>97.2</v>
      </c>
      <c r="P218" s="2">
        <f>Table834[[#This Row],[Night Body Temp]]^2</f>
        <v>9447.84</v>
      </c>
      <c r="Q218" s="2">
        <v>135</v>
      </c>
      <c r="R218" s="2">
        <f>Table834[[#This Row],[Night Systolic Pressure]]^2</f>
        <v>18225</v>
      </c>
      <c r="S218" s="2">
        <v>81</v>
      </c>
      <c r="T218" s="2">
        <f>Table834[[#This Row],[Night Diastolic Pressure]]^2</f>
        <v>6561</v>
      </c>
      <c r="U218" s="2">
        <v>67</v>
      </c>
      <c r="V218" s="2">
        <f>Table834[[#This Row],[Night Pulse]]^2</f>
        <v>4489</v>
      </c>
      <c r="W218" s="2">
        <v>3</v>
      </c>
      <c r="X218" s="2">
        <f>Table834[[#This Row],[Sleep]]^2</f>
        <v>9</v>
      </c>
      <c r="Y218" s="2">
        <f t="shared" si="7"/>
        <v>37.015102040816323</v>
      </c>
      <c r="Z218" s="2">
        <f>Table834[[#This Row],[BMI]]^2</f>
        <v>1370.1177790920447</v>
      </c>
      <c r="AA218" s="2">
        <f t="shared" si="6"/>
        <v>32.6586945886934</v>
      </c>
      <c r="AB218" s="2">
        <f>Table834[[#This Row],[CBF]]^2</f>
        <v>1066.5903322375516</v>
      </c>
      <c r="AC218" s="2">
        <v>1</v>
      </c>
      <c r="AD218" s="2">
        <f>Table834[[#This Row],[Gym]]^2</f>
        <v>1</v>
      </c>
      <c r="AE218" s="2">
        <v>1</v>
      </c>
      <c r="AF218" s="2">
        <f>Table834[[#This Row],[Cardio]]^2</f>
        <v>1</v>
      </c>
      <c r="AG218" s="2">
        <v>2914.3553395667836</v>
      </c>
      <c r="AH218" s="2">
        <f>Table834[[#This Row],[Calories]]^2</f>
        <v>8493467.0452614222</v>
      </c>
      <c r="AI218" s="2">
        <v>397.84503909680592</v>
      </c>
      <c r="AJ218" s="2">
        <f>Table834[[#This Row],[Carbs]]^2</f>
        <v>158280.67513393902</v>
      </c>
      <c r="AK218" s="2">
        <v>105.42853820488766</v>
      </c>
      <c r="AL218" s="2">
        <f>Table834[[#This Row],[Fat ]]^2</f>
        <v>11115.176668019456</v>
      </c>
      <c r="AM218" s="2">
        <v>101.34424305957444</v>
      </c>
      <c r="AN218" s="2">
        <f>Table834[[#This Row],[Protein]]^2</f>
        <v>10270.655601318102</v>
      </c>
      <c r="AO218" s="2">
        <v>27.785301097178991</v>
      </c>
      <c r="AP218" s="2">
        <f>Table834[[#This Row],[Fiber]]^2</f>
        <v>772.02295706089603</v>
      </c>
      <c r="AQ218" s="2">
        <v>239.28876055938798</v>
      </c>
      <c r="AR218" s="2">
        <f>Table834[[#This Row],[Sugar]]^2</f>
        <v>57259.110930048111</v>
      </c>
      <c r="AS218" s="2">
        <v>56.434764079147634</v>
      </c>
      <c r="AT218" s="2">
        <f>Table834[[#This Row],[Servings]]^2</f>
        <v>3184.882596669052</v>
      </c>
      <c r="AU218" s="2">
        <v>1.1025114155251141</v>
      </c>
      <c r="AV218" s="2">
        <f>Table834[[#This Row],[Water]]^2</f>
        <v>1.2155314213631909</v>
      </c>
      <c r="AW218" s="2">
        <v>942.01611325038107</v>
      </c>
      <c r="AX218" s="2">
        <f>Table834[[#This Row],[Fat Calories]]^2</f>
        <v>887394.35762335476</v>
      </c>
      <c r="AY218" s="3">
        <f>Table834[[#This Row],[Weight]]*Table834[[#This Row],[Waist]]</f>
        <v>11610</v>
      </c>
      <c r="AZ218" s="4">
        <f>Table834[[#This Row],[Weight]]*Table834[[#This Row],[Neck]]</f>
        <v>4257</v>
      </c>
      <c r="BA218" s="4">
        <f>Table834[[#This Row],[Weight]]*Table834[[#This Row],[Morning Body Temp]]</f>
        <v>24922.799999999999</v>
      </c>
      <c r="BB218" s="4">
        <f>Table834[[#This Row],[Weight]]*Table834[[#This Row],[Morning Systolic Pressure]]</f>
        <v>34572</v>
      </c>
      <c r="BC218" s="11">
        <f>Table834[[#This Row],[Weight]]*Table834[[#This Row],[Morning Diastolic Pressure]]</f>
        <v>18834</v>
      </c>
      <c r="BD218" s="2">
        <f>Table834[[#This Row],[Weight]]*Table834[[#This Row],[Morning Pulse]]</f>
        <v>20382</v>
      </c>
      <c r="BE218" s="2">
        <f>Table834[[#This Row],[Weight]]*Table834[[#This Row],[Night Body Temp]]</f>
        <v>25077.600000000002</v>
      </c>
      <c r="BF218" s="2">
        <f>Table834[[#This Row],[Weight]]*Table834[[#This Row],[Night Systolic Pressure]]</f>
        <v>34830</v>
      </c>
      <c r="BG218" s="4">
        <f>Table83[[#This Row],[Weight]]*Table83[[#This Row],[Night Diastolic Pressure]]</f>
        <v>20898</v>
      </c>
      <c r="BH218" s="2">
        <f>Table834[[#This Row],[Weight]]*Table834[[#This Row],[Night Pulse]]</f>
        <v>17286</v>
      </c>
      <c r="BI218" s="2">
        <f>Table834[[#This Row],[Weight]]*Table834[[#This Row],[Sleep]]</f>
        <v>774</v>
      </c>
      <c r="BJ218" s="2">
        <f>Table834[[#This Row],[Weight]]*Table834[[#This Row],[BMI]]</f>
        <v>9549.896326530612</v>
      </c>
      <c r="BK218" s="2">
        <f>Table834[[#This Row],[Weight]]*Table834[[#This Row],[CBF]]</f>
        <v>8425.9432038828982</v>
      </c>
      <c r="BL218" s="2">
        <f>Table834[[#This Row],[Weight]]*Table834[[#This Row],[Gym]]</f>
        <v>258</v>
      </c>
      <c r="BM218" s="2">
        <f>Table834[[#This Row],[Weight]]*Table834[[#This Row],[Cardio]]</f>
        <v>258</v>
      </c>
      <c r="BN218" s="2">
        <f>Table834[[#This Row],[Weight]]*Table834[[#This Row],[Calories]]</f>
        <v>751903.67760823015</v>
      </c>
      <c r="BO218" s="2">
        <f>Table834[[#This Row],[Weight]]*Table834[[#This Row],[Carbs]]</f>
        <v>102644.02008697593</v>
      </c>
      <c r="BP218" s="2">
        <f>Table834[[#This Row],[Weight]]*Table834[[#This Row],[Fat ]]</f>
        <v>27200.562856861015</v>
      </c>
      <c r="BQ218" s="2">
        <f>Table834[[#This Row],[Weight]]*Table834[[#This Row],[Protein]]</f>
        <v>26146.814709370206</v>
      </c>
      <c r="BR218" s="2">
        <f>Table834[[#This Row],[Weight]]*Table834[[#This Row],[Fiber]]</f>
        <v>7168.6076830721795</v>
      </c>
      <c r="BS218" s="2">
        <f>Table834[[#This Row],[Weight]]*Table834[[#This Row],[Sugar]]</f>
        <v>61736.500224322102</v>
      </c>
      <c r="BT218" s="2">
        <f>Table834[[#This Row],[Weight]]*Table834[[#This Row],[Servings]]</f>
        <v>14560.169132420089</v>
      </c>
      <c r="BU218" s="2">
        <f>Table834[[#This Row],[Weight]]*Table834[[#This Row],[Water]]</f>
        <v>284.44794520547941</v>
      </c>
      <c r="BV218" s="2">
        <f>Table834[[#This Row],[Weight]]*Table834[[#This Row],[Fat Calories]]</f>
        <v>243040.15721859832</v>
      </c>
      <c r="BW218" s="2">
        <f>Table834[[#This Row],[Waist]]*Table834[[#This Row],[Neck]]</f>
        <v>742.5</v>
      </c>
      <c r="BX218" s="2">
        <f>Table834[[#This Row],[Waist]]*Table834[[#This Row],[Morning Body Temp]]</f>
        <v>4347</v>
      </c>
      <c r="BY218" s="2">
        <f>Table834[[#This Row],[Waist]]*Table834[[#This Row],[Morning Systolic Pressure]]</f>
        <v>6030</v>
      </c>
      <c r="BZ218" s="2">
        <f>Table834[[#This Row],[Waist]]*Table834[[#This Row],[Morning Diastolic Pressure]]</f>
        <v>3285</v>
      </c>
      <c r="CA218" s="2">
        <f>Table834[[#This Row],[Waist]]*Table834[[#This Row],[Morning Pulse]]</f>
        <v>3555</v>
      </c>
      <c r="CB218" s="2">
        <f>Table834[[#This Row],[Waist]]*Table834[[#This Row],[Night Body Temp]]</f>
        <v>4374</v>
      </c>
      <c r="CC218" s="2">
        <f>Table834[[#This Row],[Waist]]*Table834[[#This Row],[Night Systolic Pressure]]</f>
        <v>6075</v>
      </c>
      <c r="CD218" s="4">
        <f>Table83[[#This Row],[Waist]]*Table83[[#This Row],[Night Diastolic Pressure]]</f>
        <v>3645</v>
      </c>
      <c r="CE218" s="2">
        <f>Table834[[#This Row],[Waist]]*Table834[[#This Row],[Night Pulse]]</f>
        <v>3015</v>
      </c>
      <c r="CF218" s="2">
        <f>Table834[[#This Row],[Waist]]*Table834[[#This Row],[Sleep]]</f>
        <v>135</v>
      </c>
      <c r="CG218" s="2">
        <f>Table834[[#This Row],[Waist]]*Table834[[#This Row],[BMI]]</f>
        <v>1665.6795918367345</v>
      </c>
      <c r="CH218" s="2">
        <f>Table834[[#This Row],[Waist]]*Table834[[#This Row],[CBF]]</f>
        <v>1469.641256491203</v>
      </c>
      <c r="CI218" s="2">
        <f>Table834[[#This Row],[Waist]]*Table834[[#This Row],[Gym]]</f>
        <v>45</v>
      </c>
      <c r="CJ218" s="2">
        <f>Table834[[#This Row],[Waist]]*Table834[[#This Row],[Cardio]]</f>
        <v>45</v>
      </c>
      <c r="CK218" s="2">
        <f>Table834[[#This Row],[Waist]]*Table834[[#This Row],[Calories]]</f>
        <v>131145.99028050527</v>
      </c>
      <c r="CL218" s="2">
        <f>Table834[[#This Row],[Waist]]*Table834[[#This Row],[Carbs]]</f>
        <v>17903.026759356268</v>
      </c>
      <c r="CM218" s="2">
        <f>Table834[[#This Row],[Waist]]*Table834[[#This Row],[Fat ]]</f>
        <v>4744.284219219945</v>
      </c>
      <c r="CN218" s="2">
        <f>Table834[[#This Row],[Waist]]*Table834[[#This Row],[Protein]]</f>
        <v>4560.49093768085</v>
      </c>
      <c r="CO218" s="2">
        <f>Table834[[#This Row],[Waist]]*Table834[[#This Row],[Fiber]]</f>
        <v>1250.3385493730545</v>
      </c>
      <c r="CP218" s="2">
        <f>Table834[[#This Row],[Waist]]*Table834[[#This Row],[Sugar]]</f>
        <v>10767.994225172459</v>
      </c>
      <c r="CQ218" s="2">
        <f>Table834[[#This Row],[Waist]]*Table834[[#This Row],[Servings]]</f>
        <v>2539.5643835616434</v>
      </c>
      <c r="CR218" s="2">
        <f>Table834[[#This Row],[Waist]]*Table834[[#This Row],[Water]]</f>
        <v>49.613013698630134</v>
      </c>
      <c r="CS218" s="2">
        <f>Table834[[#This Row],[Waist]]*Table834[[#This Row],[Fat Calories]]</f>
        <v>42390.725096267146</v>
      </c>
    </row>
    <row r="219" spans="1:97" x14ac:dyDescent="0.25">
      <c r="A219" s="2">
        <v>258.8</v>
      </c>
      <c r="B219" s="2">
        <f>Table834[[#This Row],[Weight]]^2</f>
        <v>66977.440000000002</v>
      </c>
      <c r="C219" s="2">
        <v>44.5</v>
      </c>
      <c r="D219" s="2">
        <f>Table834[[#This Row],[Waist]]^2</f>
        <v>1980.25</v>
      </c>
      <c r="E219" s="2">
        <v>16.5</v>
      </c>
      <c r="F219" s="2">
        <f>Table834[[#This Row],[Neck]]^2</f>
        <v>272.25</v>
      </c>
      <c r="G219" s="2">
        <v>96.6</v>
      </c>
      <c r="H219" s="2">
        <f>Table834[[#This Row],[Morning Body Temp]]^2</f>
        <v>9331.56</v>
      </c>
      <c r="I219" s="2">
        <v>132</v>
      </c>
      <c r="J219" s="2">
        <f>Table834[[#This Row],[Morning Systolic Pressure]]^2</f>
        <v>17424</v>
      </c>
      <c r="K219" s="2">
        <v>83</v>
      </c>
      <c r="L219" s="2">
        <f>Table834[[#This Row],[Morning Diastolic Pressure]]^2</f>
        <v>6889</v>
      </c>
      <c r="M219" s="2">
        <v>66</v>
      </c>
      <c r="N219" s="2">
        <f>Table834[[#This Row],[Morning Pulse]]^2</f>
        <v>4356</v>
      </c>
      <c r="O219" s="2">
        <v>98.3</v>
      </c>
      <c r="P219" s="2">
        <f>Table834[[#This Row],[Night Body Temp]]^2</f>
        <v>9662.89</v>
      </c>
      <c r="Q219" s="2">
        <v>125</v>
      </c>
      <c r="R219" s="2">
        <f>Table834[[#This Row],[Night Systolic Pressure]]^2</f>
        <v>15625</v>
      </c>
      <c r="S219" s="2">
        <v>69</v>
      </c>
      <c r="T219" s="2">
        <f>Table834[[#This Row],[Night Diastolic Pressure]]^2</f>
        <v>4761</v>
      </c>
      <c r="U219" s="2">
        <v>88</v>
      </c>
      <c r="V219" s="2">
        <f>Table834[[#This Row],[Night Pulse]]^2</f>
        <v>7744</v>
      </c>
      <c r="W219" s="2">
        <v>9</v>
      </c>
      <c r="X219" s="2">
        <f>Table834[[#This Row],[Sleep]]^2</f>
        <v>81</v>
      </c>
      <c r="Y219" s="2">
        <f t="shared" si="7"/>
        <v>37.129877551020407</v>
      </c>
      <c r="Z219" s="2">
        <f>Table834[[#This Row],[BMI]]^2</f>
        <v>1378.6278069537691</v>
      </c>
      <c r="AA219" s="2">
        <f t="shared" si="6"/>
        <v>31.997550455105717</v>
      </c>
      <c r="AB219" s="2">
        <f>Table834[[#This Row],[CBF]]^2</f>
        <v>1023.8432351270361</v>
      </c>
      <c r="AC219" s="2">
        <v>0</v>
      </c>
      <c r="AD219" s="2">
        <f>Table834[[#This Row],[Gym]]^2</f>
        <v>0</v>
      </c>
      <c r="AE219" s="2">
        <v>0</v>
      </c>
      <c r="AF219" s="2">
        <f>Table834[[#This Row],[Cardio]]^2</f>
        <v>0</v>
      </c>
      <c r="AG219" s="2">
        <v>2914.3553395667836</v>
      </c>
      <c r="AH219" s="2">
        <f>Table834[[#This Row],[Calories]]^2</f>
        <v>8493467.0452614222</v>
      </c>
      <c r="AI219" s="2">
        <v>397.84503909680592</v>
      </c>
      <c r="AJ219" s="2">
        <f>Table834[[#This Row],[Carbs]]^2</f>
        <v>158280.67513393902</v>
      </c>
      <c r="AK219" s="2">
        <v>105.42853820488766</v>
      </c>
      <c r="AL219" s="2">
        <f>Table834[[#This Row],[Fat ]]^2</f>
        <v>11115.176668019456</v>
      </c>
      <c r="AM219" s="2">
        <v>101.34424305957444</v>
      </c>
      <c r="AN219" s="2">
        <f>Table834[[#This Row],[Protein]]^2</f>
        <v>10270.655601318102</v>
      </c>
      <c r="AO219" s="2">
        <v>27.785301097178991</v>
      </c>
      <c r="AP219" s="2">
        <f>Table834[[#This Row],[Fiber]]^2</f>
        <v>772.02295706089603</v>
      </c>
      <c r="AQ219" s="2">
        <v>239.28876055938798</v>
      </c>
      <c r="AR219" s="2">
        <f>Table834[[#This Row],[Sugar]]^2</f>
        <v>57259.110930048111</v>
      </c>
      <c r="AS219" s="2">
        <v>56.434764079147634</v>
      </c>
      <c r="AT219" s="2">
        <f>Table834[[#This Row],[Servings]]^2</f>
        <v>3184.882596669052</v>
      </c>
      <c r="AU219" s="2">
        <v>1.1025114155251141</v>
      </c>
      <c r="AV219" s="2">
        <f>Table834[[#This Row],[Water]]^2</f>
        <v>1.2155314213631909</v>
      </c>
      <c r="AW219" s="2">
        <v>942.01611325038107</v>
      </c>
      <c r="AX219" s="2">
        <f>Table834[[#This Row],[Fat Calories]]^2</f>
        <v>887394.35762335476</v>
      </c>
      <c r="AY219" s="5">
        <f>Table834[[#This Row],[Weight]]*Table834[[#This Row],[Waist]]</f>
        <v>11516.6</v>
      </c>
      <c r="AZ219" s="6">
        <f>Table834[[#This Row],[Weight]]*Table834[[#This Row],[Neck]]</f>
        <v>4270.2</v>
      </c>
      <c r="BA219" s="6">
        <f>Table834[[#This Row],[Weight]]*Table834[[#This Row],[Morning Body Temp]]</f>
        <v>25000.079999999998</v>
      </c>
      <c r="BB219" s="6">
        <f>Table834[[#This Row],[Weight]]*Table834[[#This Row],[Morning Systolic Pressure]]</f>
        <v>34161.599999999999</v>
      </c>
      <c r="BC219" s="12">
        <f>Table834[[#This Row],[Weight]]*Table834[[#This Row],[Morning Diastolic Pressure]]</f>
        <v>21480.400000000001</v>
      </c>
      <c r="BD219" s="2">
        <f>Table834[[#This Row],[Weight]]*Table834[[#This Row],[Morning Pulse]]</f>
        <v>17080.8</v>
      </c>
      <c r="BE219" s="2">
        <f>Table834[[#This Row],[Weight]]*Table834[[#This Row],[Night Body Temp]]</f>
        <v>25440.04</v>
      </c>
      <c r="BF219" s="2">
        <f>Table834[[#This Row],[Weight]]*Table834[[#This Row],[Night Systolic Pressure]]</f>
        <v>32350</v>
      </c>
      <c r="BG219" s="4">
        <f>Table83[[#This Row],[Weight]]*Table83[[#This Row],[Night Diastolic Pressure]]</f>
        <v>17857.2</v>
      </c>
      <c r="BH219" s="2">
        <f>Table834[[#This Row],[Weight]]*Table834[[#This Row],[Night Pulse]]</f>
        <v>22774.400000000001</v>
      </c>
      <c r="BI219" s="2">
        <f>Table834[[#This Row],[Weight]]*Table834[[#This Row],[Sleep]]</f>
        <v>2329.2000000000003</v>
      </c>
      <c r="BJ219" s="2">
        <f>Table834[[#This Row],[Weight]]*Table834[[#This Row],[BMI]]</f>
        <v>9609.2123102040823</v>
      </c>
      <c r="BK219" s="2">
        <f>Table834[[#This Row],[Weight]]*Table834[[#This Row],[CBF]]</f>
        <v>8280.9660577813593</v>
      </c>
      <c r="BL219" s="2">
        <f>Table834[[#This Row],[Weight]]*Table834[[#This Row],[Gym]]</f>
        <v>0</v>
      </c>
      <c r="BM219" s="2">
        <f>Table834[[#This Row],[Weight]]*Table834[[#This Row],[Cardio]]</f>
        <v>0</v>
      </c>
      <c r="BN219" s="2">
        <f>Table834[[#This Row],[Weight]]*Table834[[#This Row],[Calories]]</f>
        <v>754235.16187988361</v>
      </c>
      <c r="BO219" s="2">
        <f>Table834[[#This Row],[Weight]]*Table834[[#This Row],[Carbs]]</f>
        <v>102962.29611825338</v>
      </c>
      <c r="BP219" s="2">
        <f>Table834[[#This Row],[Weight]]*Table834[[#This Row],[Fat ]]</f>
        <v>27284.905687424925</v>
      </c>
      <c r="BQ219" s="2">
        <f>Table834[[#This Row],[Weight]]*Table834[[#This Row],[Protein]]</f>
        <v>26227.890103817866</v>
      </c>
      <c r="BR219" s="2">
        <f>Table834[[#This Row],[Weight]]*Table834[[#This Row],[Fiber]]</f>
        <v>7190.8359239499232</v>
      </c>
      <c r="BS219" s="2">
        <f>Table834[[#This Row],[Weight]]*Table834[[#This Row],[Sugar]]</f>
        <v>61927.93123276961</v>
      </c>
      <c r="BT219" s="2">
        <f>Table834[[#This Row],[Weight]]*Table834[[#This Row],[Servings]]</f>
        <v>14605.316943683409</v>
      </c>
      <c r="BU219" s="2">
        <f>Table834[[#This Row],[Weight]]*Table834[[#This Row],[Water]]</f>
        <v>285.32995433789955</v>
      </c>
      <c r="BV219" s="2">
        <f>Table834[[#This Row],[Weight]]*Table834[[#This Row],[Fat Calories]]</f>
        <v>243793.77010919864</v>
      </c>
      <c r="BW219" s="2">
        <f>Table834[[#This Row],[Waist]]*Table834[[#This Row],[Neck]]</f>
        <v>734.25</v>
      </c>
      <c r="BX219" s="2">
        <f>Table834[[#This Row],[Waist]]*Table834[[#This Row],[Morning Body Temp]]</f>
        <v>4298.7</v>
      </c>
      <c r="BY219" s="2">
        <f>Table834[[#This Row],[Waist]]*Table834[[#This Row],[Morning Systolic Pressure]]</f>
        <v>5874</v>
      </c>
      <c r="BZ219" s="2">
        <f>Table834[[#This Row],[Waist]]*Table834[[#This Row],[Morning Diastolic Pressure]]</f>
        <v>3693.5</v>
      </c>
      <c r="CA219" s="2">
        <f>Table834[[#This Row],[Waist]]*Table834[[#This Row],[Morning Pulse]]</f>
        <v>2937</v>
      </c>
      <c r="CB219" s="2">
        <f>Table834[[#This Row],[Waist]]*Table834[[#This Row],[Night Body Temp]]</f>
        <v>4374.3499999999995</v>
      </c>
      <c r="CC219" s="2">
        <f>Table834[[#This Row],[Waist]]*Table834[[#This Row],[Night Systolic Pressure]]</f>
        <v>5562.5</v>
      </c>
      <c r="CD219" s="4">
        <f>Table83[[#This Row],[Waist]]*Table83[[#This Row],[Night Diastolic Pressure]]</f>
        <v>3070.5</v>
      </c>
      <c r="CE219" s="2">
        <f>Table834[[#This Row],[Waist]]*Table834[[#This Row],[Night Pulse]]</f>
        <v>3916</v>
      </c>
      <c r="CF219" s="2">
        <f>Table834[[#This Row],[Waist]]*Table834[[#This Row],[Sleep]]</f>
        <v>400.5</v>
      </c>
      <c r="CG219" s="2">
        <f>Table834[[#This Row],[Waist]]*Table834[[#This Row],[BMI]]</f>
        <v>1652.279551020408</v>
      </c>
      <c r="CH219" s="2">
        <f>Table834[[#This Row],[Waist]]*Table834[[#This Row],[CBF]]</f>
        <v>1423.8909952522044</v>
      </c>
      <c r="CI219" s="2">
        <f>Table834[[#This Row],[Waist]]*Table834[[#This Row],[Gym]]</f>
        <v>0</v>
      </c>
      <c r="CJ219" s="2">
        <f>Table834[[#This Row],[Waist]]*Table834[[#This Row],[Cardio]]</f>
        <v>0</v>
      </c>
      <c r="CK219" s="2">
        <f>Table834[[#This Row],[Waist]]*Table834[[#This Row],[Calories]]</f>
        <v>129688.81261072187</v>
      </c>
      <c r="CL219" s="2">
        <f>Table834[[#This Row],[Waist]]*Table834[[#This Row],[Carbs]]</f>
        <v>17704.104239807864</v>
      </c>
      <c r="CM219" s="2">
        <f>Table834[[#This Row],[Waist]]*Table834[[#This Row],[Fat ]]</f>
        <v>4691.5699501175004</v>
      </c>
      <c r="CN219" s="2">
        <f>Table834[[#This Row],[Waist]]*Table834[[#This Row],[Protein]]</f>
        <v>4509.8188161510625</v>
      </c>
      <c r="CO219" s="2">
        <f>Table834[[#This Row],[Waist]]*Table834[[#This Row],[Fiber]]</f>
        <v>1236.4458988244651</v>
      </c>
      <c r="CP219" s="2">
        <f>Table834[[#This Row],[Waist]]*Table834[[#This Row],[Sugar]]</f>
        <v>10648.349844892766</v>
      </c>
      <c r="CQ219" s="2">
        <f>Table834[[#This Row],[Waist]]*Table834[[#This Row],[Servings]]</f>
        <v>2511.3470015220696</v>
      </c>
      <c r="CR219" s="2">
        <f>Table834[[#This Row],[Waist]]*Table834[[#This Row],[Water]]</f>
        <v>49.061757990867576</v>
      </c>
      <c r="CS219" s="2">
        <f>Table834[[#This Row],[Waist]]*Table834[[#This Row],[Fat Calories]]</f>
        <v>41919.717039641961</v>
      </c>
    </row>
    <row r="220" spans="1:97" x14ac:dyDescent="0.25">
      <c r="A220" s="2">
        <v>258.8</v>
      </c>
      <c r="B220" s="2">
        <f>Table834[[#This Row],[Weight]]^2</f>
        <v>66977.440000000002</v>
      </c>
      <c r="C220" s="2">
        <v>44.5</v>
      </c>
      <c r="D220" s="2">
        <f>Table834[[#This Row],[Waist]]^2</f>
        <v>1980.25</v>
      </c>
      <c r="E220" s="2">
        <v>16.5</v>
      </c>
      <c r="F220" s="2">
        <f>Table834[[#This Row],[Neck]]^2</f>
        <v>272.25</v>
      </c>
      <c r="G220" s="2">
        <v>96.6</v>
      </c>
      <c r="H220" s="2">
        <f>Table834[[#This Row],[Morning Body Temp]]^2</f>
        <v>9331.56</v>
      </c>
      <c r="I220" s="2">
        <v>137</v>
      </c>
      <c r="J220" s="2">
        <f>Table834[[#This Row],[Morning Systolic Pressure]]^2</f>
        <v>18769</v>
      </c>
      <c r="K220" s="2">
        <v>81</v>
      </c>
      <c r="L220" s="2">
        <f>Table834[[#This Row],[Morning Diastolic Pressure]]^2</f>
        <v>6561</v>
      </c>
      <c r="M220" s="2">
        <v>83</v>
      </c>
      <c r="N220" s="2">
        <f>Table834[[#This Row],[Morning Pulse]]^2</f>
        <v>6889</v>
      </c>
      <c r="O220" s="2">
        <v>97.4</v>
      </c>
      <c r="P220" s="2">
        <f>Table834[[#This Row],[Night Body Temp]]^2</f>
        <v>9486.76</v>
      </c>
      <c r="Q220" s="2">
        <v>151</v>
      </c>
      <c r="R220" s="2">
        <f>Table834[[#This Row],[Night Systolic Pressure]]^2</f>
        <v>22801</v>
      </c>
      <c r="S220" s="2">
        <v>79</v>
      </c>
      <c r="T220" s="2">
        <f>Table834[[#This Row],[Night Diastolic Pressure]]^2</f>
        <v>6241</v>
      </c>
      <c r="U220" s="2">
        <v>71</v>
      </c>
      <c r="V220" s="2">
        <f>Table834[[#This Row],[Night Pulse]]^2</f>
        <v>5041</v>
      </c>
      <c r="W220" s="2">
        <v>5</v>
      </c>
      <c r="X220" s="2">
        <f>Table834[[#This Row],[Sleep]]^2</f>
        <v>25</v>
      </c>
      <c r="Y220" s="2">
        <f t="shared" si="7"/>
        <v>37.129877551020407</v>
      </c>
      <c r="Z220" s="2">
        <f>Table834[[#This Row],[BMI]]^2</f>
        <v>1378.6278069537691</v>
      </c>
      <c r="AA220" s="2">
        <f t="shared" si="6"/>
        <v>31.997550455105717</v>
      </c>
      <c r="AB220" s="2">
        <f>Table834[[#This Row],[CBF]]^2</f>
        <v>1023.8432351270361</v>
      </c>
      <c r="AC220" s="2">
        <v>0</v>
      </c>
      <c r="AD220" s="2">
        <f>Table834[[#This Row],[Gym]]^2</f>
        <v>0</v>
      </c>
      <c r="AE220" s="2">
        <v>0</v>
      </c>
      <c r="AF220" s="2">
        <f>Table834[[#This Row],[Cardio]]^2</f>
        <v>0</v>
      </c>
      <c r="AG220" s="2">
        <v>3404.6666666666665</v>
      </c>
      <c r="AH220" s="2">
        <f>Table834[[#This Row],[Calories]]^2</f>
        <v>11591755.11111111</v>
      </c>
      <c r="AI220" s="2">
        <v>638.76666666666665</v>
      </c>
      <c r="AJ220" s="2">
        <f>Table834[[#This Row],[Carbs]]^2</f>
        <v>408022.85444444441</v>
      </c>
      <c r="AK220" s="2">
        <v>62.25</v>
      </c>
      <c r="AL220" s="2">
        <f>Table834[[#This Row],[Fat ]]^2</f>
        <v>3875.0625</v>
      </c>
      <c r="AM220" s="2">
        <v>109.2</v>
      </c>
      <c r="AN220" s="2">
        <f>Table834[[#This Row],[Protein]]^2</f>
        <v>11924.640000000001</v>
      </c>
      <c r="AO220" s="2">
        <v>29.866666666666664</v>
      </c>
      <c r="AP220" s="2">
        <f>Table834[[#This Row],[Fiber]]^2</f>
        <v>892.01777777777761</v>
      </c>
      <c r="AQ220" s="2">
        <v>407.61666666666667</v>
      </c>
      <c r="AR220" s="2">
        <f>Table834[[#This Row],[Sugar]]^2</f>
        <v>166151.34694444446</v>
      </c>
      <c r="AS220" s="2">
        <v>80</v>
      </c>
      <c r="AT220" s="2">
        <f>Table834[[#This Row],[Servings]]^2</f>
        <v>6400</v>
      </c>
      <c r="AU220" s="2">
        <v>0.5</v>
      </c>
      <c r="AV220" s="2">
        <f>Table834[[#This Row],[Water]]^2</f>
        <v>0.25</v>
      </c>
      <c r="AW220" s="2">
        <v>560.25</v>
      </c>
      <c r="AX220" s="2">
        <f>Table834[[#This Row],[Fat Calories]]^2</f>
        <v>313880.0625</v>
      </c>
      <c r="AY220" s="3">
        <f>Table834[[#This Row],[Weight]]*Table834[[#This Row],[Waist]]</f>
        <v>11516.6</v>
      </c>
      <c r="AZ220" s="4">
        <f>Table834[[#This Row],[Weight]]*Table834[[#This Row],[Neck]]</f>
        <v>4270.2</v>
      </c>
      <c r="BA220" s="4">
        <f>Table834[[#This Row],[Weight]]*Table834[[#This Row],[Morning Body Temp]]</f>
        <v>25000.079999999998</v>
      </c>
      <c r="BB220" s="4">
        <f>Table834[[#This Row],[Weight]]*Table834[[#This Row],[Morning Systolic Pressure]]</f>
        <v>35455.599999999999</v>
      </c>
      <c r="BC220" s="11">
        <f>Table834[[#This Row],[Weight]]*Table834[[#This Row],[Morning Diastolic Pressure]]</f>
        <v>20962.8</v>
      </c>
      <c r="BD220" s="2">
        <f>Table834[[#This Row],[Weight]]*Table834[[#This Row],[Morning Pulse]]</f>
        <v>21480.400000000001</v>
      </c>
      <c r="BE220" s="2">
        <f>Table834[[#This Row],[Weight]]*Table834[[#This Row],[Night Body Temp]]</f>
        <v>25207.120000000003</v>
      </c>
      <c r="BF220" s="2">
        <f>Table834[[#This Row],[Weight]]*Table834[[#This Row],[Night Systolic Pressure]]</f>
        <v>39078.800000000003</v>
      </c>
      <c r="BG220" s="4">
        <f>Table83[[#This Row],[Weight]]*Table83[[#This Row],[Night Diastolic Pressure]]</f>
        <v>20445.2</v>
      </c>
      <c r="BH220" s="2">
        <f>Table834[[#This Row],[Weight]]*Table834[[#This Row],[Night Pulse]]</f>
        <v>18374.8</v>
      </c>
      <c r="BI220" s="2">
        <f>Table834[[#This Row],[Weight]]*Table834[[#This Row],[Sleep]]</f>
        <v>1294</v>
      </c>
      <c r="BJ220" s="2">
        <f>Table834[[#This Row],[Weight]]*Table834[[#This Row],[BMI]]</f>
        <v>9609.2123102040823</v>
      </c>
      <c r="BK220" s="2">
        <f>Table834[[#This Row],[Weight]]*Table834[[#This Row],[CBF]]</f>
        <v>8280.9660577813593</v>
      </c>
      <c r="BL220" s="2">
        <f>Table834[[#This Row],[Weight]]*Table834[[#This Row],[Gym]]</f>
        <v>0</v>
      </c>
      <c r="BM220" s="2">
        <f>Table834[[#This Row],[Weight]]*Table834[[#This Row],[Cardio]]</f>
        <v>0</v>
      </c>
      <c r="BN220" s="2">
        <f>Table834[[#This Row],[Weight]]*Table834[[#This Row],[Calories]]</f>
        <v>881127.73333333328</v>
      </c>
      <c r="BO220" s="2">
        <f>Table834[[#This Row],[Weight]]*Table834[[#This Row],[Carbs]]</f>
        <v>165312.81333333332</v>
      </c>
      <c r="BP220" s="2">
        <f>Table834[[#This Row],[Weight]]*Table834[[#This Row],[Fat ]]</f>
        <v>16110.300000000001</v>
      </c>
      <c r="BQ220" s="2">
        <f>Table834[[#This Row],[Weight]]*Table834[[#This Row],[Protein]]</f>
        <v>28260.960000000003</v>
      </c>
      <c r="BR220" s="2">
        <f>Table834[[#This Row],[Weight]]*Table834[[#This Row],[Fiber]]</f>
        <v>7729.4933333333329</v>
      </c>
      <c r="BS220" s="2">
        <f>Table834[[#This Row],[Weight]]*Table834[[#This Row],[Sugar]]</f>
        <v>105491.19333333334</v>
      </c>
      <c r="BT220" s="2">
        <f>Table834[[#This Row],[Weight]]*Table834[[#This Row],[Servings]]</f>
        <v>20704</v>
      </c>
      <c r="BU220" s="2">
        <f>Table834[[#This Row],[Weight]]*Table834[[#This Row],[Water]]</f>
        <v>129.4</v>
      </c>
      <c r="BV220" s="2">
        <f>Table834[[#This Row],[Weight]]*Table834[[#This Row],[Fat Calories]]</f>
        <v>144992.70000000001</v>
      </c>
      <c r="BW220" s="2">
        <f>Table834[[#This Row],[Waist]]*Table834[[#This Row],[Neck]]</f>
        <v>734.25</v>
      </c>
      <c r="BX220" s="2">
        <f>Table834[[#This Row],[Waist]]*Table834[[#This Row],[Morning Body Temp]]</f>
        <v>4298.7</v>
      </c>
      <c r="BY220" s="2">
        <f>Table834[[#This Row],[Waist]]*Table834[[#This Row],[Morning Systolic Pressure]]</f>
        <v>6096.5</v>
      </c>
      <c r="BZ220" s="2">
        <f>Table834[[#This Row],[Waist]]*Table834[[#This Row],[Morning Diastolic Pressure]]</f>
        <v>3604.5</v>
      </c>
      <c r="CA220" s="2">
        <f>Table834[[#This Row],[Waist]]*Table834[[#This Row],[Morning Pulse]]</f>
        <v>3693.5</v>
      </c>
      <c r="CB220" s="2">
        <f>Table834[[#This Row],[Waist]]*Table834[[#This Row],[Night Body Temp]]</f>
        <v>4334.3</v>
      </c>
      <c r="CC220" s="2">
        <f>Table834[[#This Row],[Waist]]*Table834[[#This Row],[Night Systolic Pressure]]</f>
        <v>6719.5</v>
      </c>
      <c r="CD220" s="4">
        <f>Table83[[#This Row],[Waist]]*Table83[[#This Row],[Night Diastolic Pressure]]</f>
        <v>3515.5</v>
      </c>
      <c r="CE220" s="2">
        <f>Table834[[#This Row],[Waist]]*Table834[[#This Row],[Night Pulse]]</f>
        <v>3159.5</v>
      </c>
      <c r="CF220" s="2">
        <f>Table834[[#This Row],[Waist]]*Table834[[#This Row],[Sleep]]</f>
        <v>222.5</v>
      </c>
      <c r="CG220" s="2">
        <f>Table834[[#This Row],[Waist]]*Table834[[#This Row],[BMI]]</f>
        <v>1652.279551020408</v>
      </c>
      <c r="CH220" s="2">
        <f>Table834[[#This Row],[Waist]]*Table834[[#This Row],[CBF]]</f>
        <v>1423.8909952522044</v>
      </c>
      <c r="CI220" s="2">
        <f>Table834[[#This Row],[Waist]]*Table834[[#This Row],[Gym]]</f>
        <v>0</v>
      </c>
      <c r="CJ220" s="2">
        <f>Table834[[#This Row],[Waist]]*Table834[[#This Row],[Cardio]]</f>
        <v>0</v>
      </c>
      <c r="CK220" s="2">
        <f>Table834[[#This Row],[Waist]]*Table834[[#This Row],[Calories]]</f>
        <v>151507.66666666666</v>
      </c>
      <c r="CL220" s="2">
        <f>Table834[[#This Row],[Waist]]*Table834[[#This Row],[Carbs]]</f>
        <v>28425.116666666665</v>
      </c>
      <c r="CM220" s="2">
        <f>Table834[[#This Row],[Waist]]*Table834[[#This Row],[Fat ]]</f>
        <v>2770.125</v>
      </c>
      <c r="CN220" s="2">
        <f>Table834[[#This Row],[Waist]]*Table834[[#This Row],[Protein]]</f>
        <v>4859.4000000000005</v>
      </c>
      <c r="CO220" s="2">
        <f>Table834[[#This Row],[Waist]]*Table834[[#This Row],[Fiber]]</f>
        <v>1329.0666666666666</v>
      </c>
      <c r="CP220" s="2">
        <f>Table834[[#This Row],[Waist]]*Table834[[#This Row],[Sugar]]</f>
        <v>18138.941666666666</v>
      </c>
      <c r="CQ220" s="2">
        <f>Table834[[#This Row],[Waist]]*Table834[[#This Row],[Servings]]</f>
        <v>3560</v>
      </c>
      <c r="CR220" s="2">
        <f>Table834[[#This Row],[Waist]]*Table834[[#This Row],[Water]]</f>
        <v>22.25</v>
      </c>
      <c r="CS220" s="2">
        <f>Table834[[#This Row],[Waist]]*Table834[[#This Row],[Fat Calories]]</f>
        <v>24931.125</v>
      </c>
    </row>
    <row r="221" spans="1:97" x14ac:dyDescent="0.25">
      <c r="A221" s="2">
        <v>261</v>
      </c>
      <c r="B221" s="2">
        <f>Table834[[#This Row],[Weight]]^2</f>
        <v>68121</v>
      </c>
      <c r="C221" s="2">
        <v>45</v>
      </c>
      <c r="D221" s="2">
        <f>Table834[[#This Row],[Waist]]^2</f>
        <v>2025</v>
      </c>
      <c r="E221" s="2">
        <v>16.5</v>
      </c>
      <c r="F221" s="2">
        <f>Table834[[#This Row],[Neck]]^2</f>
        <v>272.25</v>
      </c>
      <c r="G221" s="2">
        <v>95.6</v>
      </c>
      <c r="H221" s="2">
        <f>Table834[[#This Row],[Morning Body Temp]]^2</f>
        <v>9139.3599999999988</v>
      </c>
      <c r="I221" s="2">
        <v>134</v>
      </c>
      <c r="J221" s="2">
        <f>Table834[[#This Row],[Morning Systolic Pressure]]^2</f>
        <v>17956</v>
      </c>
      <c r="K221" s="2">
        <v>76</v>
      </c>
      <c r="L221" s="2">
        <f>Table834[[#This Row],[Morning Diastolic Pressure]]^2</f>
        <v>5776</v>
      </c>
      <c r="M221" s="2">
        <v>66</v>
      </c>
      <c r="N221" s="2">
        <f>Table834[[#This Row],[Morning Pulse]]^2</f>
        <v>4356</v>
      </c>
      <c r="O221" s="2">
        <v>98.3</v>
      </c>
      <c r="P221" s="2">
        <f>Table834[[#This Row],[Night Body Temp]]^2</f>
        <v>9662.89</v>
      </c>
      <c r="Q221" s="2">
        <v>114</v>
      </c>
      <c r="R221" s="2">
        <f>Table834[[#This Row],[Night Systolic Pressure]]^2</f>
        <v>12996</v>
      </c>
      <c r="S221" s="2">
        <v>71</v>
      </c>
      <c r="T221" s="2">
        <f>Table834[[#This Row],[Night Diastolic Pressure]]^2</f>
        <v>5041</v>
      </c>
      <c r="U221" s="2">
        <v>95</v>
      </c>
      <c r="V221" s="2">
        <f>Table834[[#This Row],[Night Pulse]]^2</f>
        <v>9025</v>
      </c>
      <c r="W221" s="2">
        <v>5</v>
      </c>
      <c r="X221" s="2">
        <f>Table834[[#This Row],[Sleep]]^2</f>
        <v>25</v>
      </c>
      <c r="Y221" s="2">
        <f t="shared" si="7"/>
        <v>37.445510204081636</v>
      </c>
      <c r="Z221" s="2">
        <f>Table834[[#This Row],[BMI]]^2</f>
        <v>1402.1662344439819</v>
      </c>
      <c r="AA221" s="2">
        <f t="shared" si="6"/>
        <v>32.6586945886934</v>
      </c>
      <c r="AB221" s="2">
        <f>Table834[[#This Row],[CBF]]^2</f>
        <v>1066.5903322375516</v>
      </c>
      <c r="AC221" s="2">
        <v>0</v>
      </c>
      <c r="AD221" s="2">
        <f>Table834[[#This Row],[Gym]]^2</f>
        <v>0</v>
      </c>
      <c r="AE221" s="2">
        <v>1</v>
      </c>
      <c r="AF221" s="2">
        <f>Table834[[#This Row],[Cardio]]^2</f>
        <v>1</v>
      </c>
      <c r="AG221" s="2">
        <v>3011</v>
      </c>
      <c r="AH221" s="2">
        <f>Table834[[#This Row],[Calories]]^2</f>
        <v>9066121</v>
      </c>
      <c r="AI221" s="2">
        <v>478.1</v>
      </c>
      <c r="AJ221" s="2">
        <f>Table834[[#This Row],[Carbs]]^2</f>
        <v>228579.61000000002</v>
      </c>
      <c r="AK221" s="2">
        <v>91.25</v>
      </c>
      <c r="AL221" s="2">
        <f>Table834[[#This Row],[Fat ]]^2</f>
        <v>8326.5625</v>
      </c>
      <c r="AM221" s="2">
        <v>78.900000000000006</v>
      </c>
      <c r="AN221" s="2">
        <f>Table834[[#This Row],[Protein]]^2</f>
        <v>6225.2100000000009</v>
      </c>
      <c r="AO221" s="2">
        <v>23.9</v>
      </c>
      <c r="AP221" s="2">
        <f>Table834[[#This Row],[Fiber]]^2</f>
        <v>571.20999999999992</v>
      </c>
      <c r="AQ221" s="2">
        <v>297.3</v>
      </c>
      <c r="AR221" s="2">
        <f>Table834[[#This Row],[Sugar]]^2</f>
        <v>88387.290000000008</v>
      </c>
      <c r="AS221" s="2">
        <v>82.7</v>
      </c>
      <c r="AT221" s="2">
        <f>Table834[[#This Row],[Servings]]^2</f>
        <v>6839.2900000000009</v>
      </c>
      <c r="AU221" s="2">
        <v>0.5</v>
      </c>
      <c r="AV221" s="2">
        <f>Table834[[#This Row],[Water]]^2</f>
        <v>0.25</v>
      </c>
      <c r="AW221" s="2">
        <v>821.25</v>
      </c>
      <c r="AX221" s="2">
        <f>Table834[[#This Row],[Fat Calories]]^2</f>
        <v>674451.5625</v>
      </c>
      <c r="AY221" s="5">
        <f>Table834[[#This Row],[Weight]]*Table834[[#This Row],[Waist]]</f>
        <v>11745</v>
      </c>
      <c r="AZ221" s="6">
        <f>Table834[[#This Row],[Weight]]*Table834[[#This Row],[Neck]]</f>
        <v>4306.5</v>
      </c>
      <c r="BA221" s="6">
        <f>Table834[[#This Row],[Weight]]*Table834[[#This Row],[Morning Body Temp]]</f>
        <v>24951.599999999999</v>
      </c>
      <c r="BB221" s="6">
        <f>Table834[[#This Row],[Weight]]*Table834[[#This Row],[Morning Systolic Pressure]]</f>
        <v>34974</v>
      </c>
      <c r="BC221" s="12">
        <f>Table834[[#This Row],[Weight]]*Table834[[#This Row],[Morning Diastolic Pressure]]</f>
        <v>19836</v>
      </c>
      <c r="BD221" s="2">
        <f>Table834[[#This Row],[Weight]]*Table834[[#This Row],[Morning Pulse]]</f>
        <v>17226</v>
      </c>
      <c r="BE221" s="2">
        <f>Table834[[#This Row],[Weight]]*Table834[[#This Row],[Night Body Temp]]</f>
        <v>25656.3</v>
      </c>
      <c r="BF221" s="2">
        <f>Table834[[#This Row],[Weight]]*Table834[[#This Row],[Night Systolic Pressure]]</f>
        <v>29754</v>
      </c>
      <c r="BG221" s="4">
        <f>Table83[[#This Row],[Weight]]*Table83[[#This Row],[Night Diastolic Pressure]]</f>
        <v>18531</v>
      </c>
      <c r="BH221" s="2">
        <f>Table834[[#This Row],[Weight]]*Table834[[#This Row],[Night Pulse]]</f>
        <v>24795</v>
      </c>
      <c r="BI221" s="2">
        <f>Table834[[#This Row],[Weight]]*Table834[[#This Row],[Sleep]]</f>
        <v>1305</v>
      </c>
      <c r="BJ221" s="2">
        <f>Table834[[#This Row],[Weight]]*Table834[[#This Row],[BMI]]</f>
        <v>9773.2781632653077</v>
      </c>
      <c r="BK221" s="2">
        <f>Table834[[#This Row],[Weight]]*Table834[[#This Row],[CBF]]</f>
        <v>8523.9192876489778</v>
      </c>
      <c r="BL221" s="2">
        <f>Table834[[#This Row],[Weight]]*Table834[[#This Row],[Gym]]</f>
        <v>0</v>
      </c>
      <c r="BM221" s="2">
        <f>Table834[[#This Row],[Weight]]*Table834[[#This Row],[Cardio]]</f>
        <v>261</v>
      </c>
      <c r="BN221" s="2">
        <f>Table834[[#This Row],[Weight]]*Table834[[#This Row],[Calories]]</f>
        <v>785871</v>
      </c>
      <c r="BO221" s="2">
        <f>Table834[[#This Row],[Weight]]*Table834[[#This Row],[Carbs]]</f>
        <v>124784.1</v>
      </c>
      <c r="BP221" s="2">
        <f>Table834[[#This Row],[Weight]]*Table834[[#This Row],[Fat ]]</f>
        <v>23816.25</v>
      </c>
      <c r="BQ221" s="2">
        <f>Table834[[#This Row],[Weight]]*Table834[[#This Row],[Protein]]</f>
        <v>20592.900000000001</v>
      </c>
      <c r="BR221" s="2">
        <f>Table834[[#This Row],[Weight]]*Table834[[#This Row],[Fiber]]</f>
        <v>6237.9</v>
      </c>
      <c r="BS221" s="2">
        <f>Table834[[#This Row],[Weight]]*Table834[[#This Row],[Sugar]]</f>
        <v>77595.3</v>
      </c>
      <c r="BT221" s="2">
        <f>Table834[[#This Row],[Weight]]*Table834[[#This Row],[Servings]]</f>
        <v>21584.7</v>
      </c>
      <c r="BU221" s="2">
        <f>Table834[[#This Row],[Weight]]*Table834[[#This Row],[Water]]</f>
        <v>130.5</v>
      </c>
      <c r="BV221" s="2">
        <f>Table834[[#This Row],[Weight]]*Table834[[#This Row],[Fat Calories]]</f>
        <v>214346.25</v>
      </c>
      <c r="BW221" s="2">
        <f>Table834[[#This Row],[Waist]]*Table834[[#This Row],[Neck]]</f>
        <v>742.5</v>
      </c>
      <c r="BX221" s="2">
        <f>Table834[[#This Row],[Waist]]*Table834[[#This Row],[Morning Body Temp]]</f>
        <v>4302</v>
      </c>
      <c r="BY221" s="2">
        <f>Table834[[#This Row],[Waist]]*Table834[[#This Row],[Morning Systolic Pressure]]</f>
        <v>6030</v>
      </c>
      <c r="BZ221" s="2">
        <f>Table834[[#This Row],[Waist]]*Table834[[#This Row],[Morning Diastolic Pressure]]</f>
        <v>3420</v>
      </c>
      <c r="CA221" s="2">
        <f>Table834[[#This Row],[Waist]]*Table834[[#This Row],[Morning Pulse]]</f>
        <v>2970</v>
      </c>
      <c r="CB221" s="2">
        <f>Table834[[#This Row],[Waist]]*Table834[[#This Row],[Night Body Temp]]</f>
        <v>4423.5</v>
      </c>
      <c r="CC221" s="2">
        <f>Table834[[#This Row],[Waist]]*Table834[[#This Row],[Night Systolic Pressure]]</f>
        <v>5130</v>
      </c>
      <c r="CD221" s="4">
        <f>Table83[[#This Row],[Waist]]*Table83[[#This Row],[Night Diastolic Pressure]]</f>
        <v>3195</v>
      </c>
      <c r="CE221" s="2">
        <f>Table834[[#This Row],[Waist]]*Table834[[#This Row],[Night Pulse]]</f>
        <v>4275</v>
      </c>
      <c r="CF221" s="2">
        <f>Table834[[#This Row],[Waist]]*Table834[[#This Row],[Sleep]]</f>
        <v>225</v>
      </c>
      <c r="CG221" s="2">
        <f>Table834[[#This Row],[Waist]]*Table834[[#This Row],[BMI]]</f>
        <v>1685.0479591836736</v>
      </c>
      <c r="CH221" s="2">
        <f>Table834[[#This Row],[Waist]]*Table834[[#This Row],[CBF]]</f>
        <v>1469.641256491203</v>
      </c>
      <c r="CI221" s="2">
        <f>Table834[[#This Row],[Waist]]*Table834[[#This Row],[Gym]]</f>
        <v>0</v>
      </c>
      <c r="CJ221" s="2">
        <f>Table834[[#This Row],[Waist]]*Table834[[#This Row],[Cardio]]</f>
        <v>45</v>
      </c>
      <c r="CK221" s="2">
        <f>Table834[[#This Row],[Waist]]*Table834[[#This Row],[Calories]]</f>
        <v>135495</v>
      </c>
      <c r="CL221" s="2">
        <f>Table834[[#This Row],[Waist]]*Table834[[#This Row],[Carbs]]</f>
        <v>21514.5</v>
      </c>
      <c r="CM221" s="2">
        <f>Table834[[#This Row],[Waist]]*Table834[[#This Row],[Fat ]]</f>
        <v>4106.25</v>
      </c>
      <c r="CN221" s="2">
        <f>Table834[[#This Row],[Waist]]*Table834[[#This Row],[Protein]]</f>
        <v>3550.5000000000005</v>
      </c>
      <c r="CO221" s="2">
        <f>Table834[[#This Row],[Waist]]*Table834[[#This Row],[Fiber]]</f>
        <v>1075.5</v>
      </c>
      <c r="CP221" s="2">
        <f>Table834[[#This Row],[Waist]]*Table834[[#This Row],[Sugar]]</f>
        <v>13378.5</v>
      </c>
      <c r="CQ221" s="2">
        <f>Table834[[#This Row],[Waist]]*Table834[[#This Row],[Servings]]</f>
        <v>3721.5</v>
      </c>
      <c r="CR221" s="2">
        <f>Table834[[#This Row],[Waist]]*Table834[[#This Row],[Water]]</f>
        <v>22.5</v>
      </c>
      <c r="CS221" s="2">
        <f>Table834[[#This Row],[Waist]]*Table834[[#This Row],[Fat Calories]]</f>
        <v>36956.25</v>
      </c>
    </row>
    <row r="222" spans="1:97" x14ac:dyDescent="0.25">
      <c r="A222" s="2">
        <v>261.2</v>
      </c>
      <c r="B222" s="2">
        <f>Table834[[#This Row],[Weight]]^2</f>
        <v>68225.439999999988</v>
      </c>
      <c r="C222" s="2">
        <v>45</v>
      </c>
      <c r="D222" s="2">
        <f>Table834[[#This Row],[Waist]]^2</f>
        <v>2025</v>
      </c>
      <c r="E222" s="2">
        <v>16.5</v>
      </c>
      <c r="F222" s="2">
        <f>Table834[[#This Row],[Neck]]^2</f>
        <v>272.25</v>
      </c>
      <c r="G222" s="2">
        <v>97.01</v>
      </c>
      <c r="H222" s="2">
        <f>Table834[[#This Row],[Morning Body Temp]]^2</f>
        <v>9410.9401000000016</v>
      </c>
      <c r="I222" s="2">
        <v>124</v>
      </c>
      <c r="J222" s="2">
        <f>Table834[[#This Row],[Morning Systolic Pressure]]^2</f>
        <v>15376</v>
      </c>
      <c r="K222" s="2">
        <v>73</v>
      </c>
      <c r="L222" s="2">
        <f>Table834[[#This Row],[Morning Diastolic Pressure]]^2</f>
        <v>5329</v>
      </c>
      <c r="M222" s="2">
        <v>67</v>
      </c>
      <c r="N222" s="2">
        <f>Table834[[#This Row],[Morning Pulse]]^2</f>
        <v>4489</v>
      </c>
      <c r="O222" s="2">
        <v>97.9</v>
      </c>
      <c r="P222" s="2">
        <f>Table834[[#This Row],[Night Body Temp]]^2</f>
        <v>9584.4100000000017</v>
      </c>
      <c r="Q222" s="2">
        <v>117</v>
      </c>
      <c r="R222" s="2">
        <f>Table834[[#This Row],[Night Systolic Pressure]]^2</f>
        <v>13689</v>
      </c>
      <c r="S222" s="2">
        <v>72</v>
      </c>
      <c r="T222" s="2">
        <f>Table834[[#This Row],[Night Diastolic Pressure]]^2</f>
        <v>5184</v>
      </c>
      <c r="U222" s="2">
        <v>87</v>
      </c>
      <c r="V222" s="2">
        <f>Table834[[#This Row],[Night Pulse]]^2</f>
        <v>7569</v>
      </c>
      <c r="W222" s="2">
        <v>8</v>
      </c>
      <c r="X222" s="2">
        <f>Table834[[#This Row],[Sleep]]^2</f>
        <v>64</v>
      </c>
      <c r="Y222" s="2">
        <f t="shared" si="7"/>
        <v>37.474204081632649</v>
      </c>
      <c r="Z222" s="2">
        <f>Table834[[#This Row],[BMI]]^2</f>
        <v>1404.3159715518532</v>
      </c>
      <c r="AA222" s="2">
        <f t="shared" si="6"/>
        <v>32.6586945886934</v>
      </c>
      <c r="AB222" s="2">
        <f>Table834[[#This Row],[CBF]]^2</f>
        <v>1066.5903322375516</v>
      </c>
      <c r="AC222" s="2">
        <v>0</v>
      </c>
      <c r="AD222" s="2">
        <f>Table834[[#This Row],[Gym]]^2</f>
        <v>0</v>
      </c>
      <c r="AE222" s="2">
        <v>1</v>
      </c>
      <c r="AF222" s="2">
        <f>Table834[[#This Row],[Cardio]]^2</f>
        <v>1</v>
      </c>
      <c r="AG222" s="2">
        <v>1508</v>
      </c>
      <c r="AH222" s="2">
        <f>Table834[[#This Row],[Calories]]^2</f>
        <v>2274064</v>
      </c>
      <c r="AI222" s="2">
        <v>238.3</v>
      </c>
      <c r="AJ222" s="2">
        <f>Table834[[#This Row],[Carbs]]^2</f>
        <v>56786.890000000007</v>
      </c>
      <c r="AK222" s="2">
        <v>52</v>
      </c>
      <c r="AL222" s="2">
        <f>Table834[[#This Row],[Fat ]]^2</f>
        <v>2704</v>
      </c>
      <c r="AM222" s="2">
        <v>28.2</v>
      </c>
      <c r="AN222" s="2">
        <f>Table834[[#This Row],[Protein]]^2</f>
        <v>795.24</v>
      </c>
      <c r="AO222" s="2">
        <v>5.2</v>
      </c>
      <c r="AP222" s="2">
        <f>Table834[[#This Row],[Fiber]]^2</f>
        <v>27.040000000000003</v>
      </c>
      <c r="AQ222" s="2">
        <v>150.4</v>
      </c>
      <c r="AR222" s="2">
        <f>Table834[[#This Row],[Sugar]]^2</f>
        <v>22620.160000000003</v>
      </c>
      <c r="AS222" s="2">
        <v>52</v>
      </c>
      <c r="AT222" s="2">
        <f>Table834[[#This Row],[Servings]]^2</f>
        <v>2704</v>
      </c>
      <c r="AU222" s="2">
        <v>0.5</v>
      </c>
      <c r="AV222" s="2">
        <f>Table834[[#This Row],[Water]]^2</f>
        <v>0.25</v>
      </c>
      <c r="AW222" s="2">
        <v>468</v>
      </c>
      <c r="AX222" s="2">
        <f>Table834[[#This Row],[Fat Calories]]^2</f>
        <v>219024</v>
      </c>
      <c r="AY222" s="3">
        <f>Table834[[#This Row],[Weight]]*Table834[[#This Row],[Waist]]</f>
        <v>11754</v>
      </c>
      <c r="AZ222" s="4">
        <f>Table834[[#This Row],[Weight]]*Table834[[#This Row],[Neck]]</f>
        <v>4309.8</v>
      </c>
      <c r="BA222" s="4">
        <f>Table834[[#This Row],[Weight]]*Table834[[#This Row],[Morning Body Temp]]</f>
        <v>25339.011999999999</v>
      </c>
      <c r="BB222" s="4">
        <f>Table834[[#This Row],[Weight]]*Table834[[#This Row],[Morning Systolic Pressure]]</f>
        <v>32388.799999999999</v>
      </c>
      <c r="BC222" s="11">
        <f>Table834[[#This Row],[Weight]]*Table834[[#This Row],[Morning Diastolic Pressure]]</f>
        <v>19067.599999999999</v>
      </c>
      <c r="BD222" s="2">
        <f>Table834[[#This Row],[Weight]]*Table834[[#This Row],[Morning Pulse]]</f>
        <v>17500.399999999998</v>
      </c>
      <c r="BE222" s="2">
        <f>Table834[[#This Row],[Weight]]*Table834[[#This Row],[Night Body Temp]]</f>
        <v>25571.48</v>
      </c>
      <c r="BF222" s="2">
        <f>Table834[[#This Row],[Weight]]*Table834[[#This Row],[Night Systolic Pressure]]</f>
        <v>30560.399999999998</v>
      </c>
      <c r="BG222" s="4">
        <f>Table83[[#This Row],[Weight]]*Table83[[#This Row],[Night Diastolic Pressure]]</f>
        <v>18806.399999999998</v>
      </c>
      <c r="BH222" s="2">
        <f>Table834[[#This Row],[Weight]]*Table834[[#This Row],[Night Pulse]]</f>
        <v>22724.399999999998</v>
      </c>
      <c r="BI222" s="2">
        <f>Table834[[#This Row],[Weight]]*Table834[[#This Row],[Sleep]]</f>
        <v>2089.6</v>
      </c>
      <c r="BJ222" s="2">
        <f>Table834[[#This Row],[Weight]]*Table834[[#This Row],[BMI]]</f>
        <v>9788.2621061224472</v>
      </c>
      <c r="BK222" s="2">
        <f>Table834[[#This Row],[Weight]]*Table834[[#This Row],[CBF]]</f>
        <v>8530.4510265667159</v>
      </c>
      <c r="BL222" s="2">
        <f>Table834[[#This Row],[Weight]]*Table834[[#This Row],[Gym]]</f>
        <v>0</v>
      </c>
      <c r="BM222" s="2">
        <f>Table834[[#This Row],[Weight]]*Table834[[#This Row],[Cardio]]</f>
        <v>261.2</v>
      </c>
      <c r="BN222" s="2">
        <f>Table834[[#This Row],[Weight]]*Table834[[#This Row],[Calories]]</f>
        <v>393889.6</v>
      </c>
      <c r="BO222" s="2">
        <f>Table834[[#This Row],[Weight]]*Table834[[#This Row],[Carbs]]</f>
        <v>62243.96</v>
      </c>
      <c r="BP222" s="2">
        <f>Table834[[#This Row],[Weight]]*Table834[[#This Row],[Fat ]]</f>
        <v>13582.4</v>
      </c>
      <c r="BQ222" s="2">
        <f>Table834[[#This Row],[Weight]]*Table834[[#This Row],[Protein]]</f>
        <v>7365.8399999999992</v>
      </c>
      <c r="BR222" s="2">
        <f>Table834[[#This Row],[Weight]]*Table834[[#This Row],[Fiber]]</f>
        <v>1358.24</v>
      </c>
      <c r="BS222" s="2">
        <f>Table834[[#This Row],[Weight]]*Table834[[#This Row],[Sugar]]</f>
        <v>39284.480000000003</v>
      </c>
      <c r="BT222" s="2">
        <f>Table834[[#This Row],[Weight]]*Table834[[#This Row],[Servings]]</f>
        <v>13582.4</v>
      </c>
      <c r="BU222" s="2">
        <f>Table834[[#This Row],[Weight]]*Table834[[#This Row],[Water]]</f>
        <v>130.6</v>
      </c>
      <c r="BV222" s="2">
        <f>Table834[[#This Row],[Weight]]*Table834[[#This Row],[Fat Calories]]</f>
        <v>122241.59999999999</v>
      </c>
      <c r="BW222" s="2">
        <f>Table834[[#This Row],[Waist]]*Table834[[#This Row],[Neck]]</f>
        <v>742.5</v>
      </c>
      <c r="BX222" s="2">
        <f>Table834[[#This Row],[Waist]]*Table834[[#This Row],[Morning Body Temp]]</f>
        <v>4365.45</v>
      </c>
      <c r="BY222" s="2">
        <f>Table834[[#This Row],[Waist]]*Table834[[#This Row],[Morning Systolic Pressure]]</f>
        <v>5580</v>
      </c>
      <c r="BZ222" s="2">
        <f>Table834[[#This Row],[Waist]]*Table834[[#This Row],[Morning Diastolic Pressure]]</f>
        <v>3285</v>
      </c>
      <c r="CA222" s="2">
        <f>Table834[[#This Row],[Waist]]*Table834[[#This Row],[Morning Pulse]]</f>
        <v>3015</v>
      </c>
      <c r="CB222" s="2">
        <f>Table834[[#This Row],[Waist]]*Table834[[#This Row],[Night Body Temp]]</f>
        <v>4405.5</v>
      </c>
      <c r="CC222" s="2">
        <f>Table834[[#This Row],[Waist]]*Table834[[#This Row],[Night Systolic Pressure]]</f>
        <v>5265</v>
      </c>
      <c r="CD222" s="4">
        <f>Table83[[#This Row],[Waist]]*Table83[[#This Row],[Night Diastolic Pressure]]</f>
        <v>3240</v>
      </c>
      <c r="CE222" s="2">
        <f>Table834[[#This Row],[Waist]]*Table834[[#This Row],[Night Pulse]]</f>
        <v>3915</v>
      </c>
      <c r="CF222" s="2">
        <f>Table834[[#This Row],[Waist]]*Table834[[#This Row],[Sleep]]</f>
        <v>360</v>
      </c>
      <c r="CG222" s="2">
        <f>Table834[[#This Row],[Waist]]*Table834[[#This Row],[BMI]]</f>
        <v>1686.3391836734693</v>
      </c>
      <c r="CH222" s="2">
        <f>Table834[[#This Row],[Waist]]*Table834[[#This Row],[CBF]]</f>
        <v>1469.641256491203</v>
      </c>
      <c r="CI222" s="2">
        <f>Table834[[#This Row],[Waist]]*Table834[[#This Row],[Gym]]</f>
        <v>0</v>
      </c>
      <c r="CJ222" s="2">
        <f>Table834[[#This Row],[Waist]]*Table834[[#This Row],[Cardio]]</f>
        <v>45</v>
      </c>
      <c r="CK222" s="2">
        <f>Table834[[#This Row],[Waist]]*Table834[[#This Row],[Calories]]</f>
        <v>67860</v>
      </c>
      <c r="CL222" s="2">
        <f>Table834[[#This Row],[Waist]]*Table834[[#This Row],[Carbs]]</f>
        <v>10723.5</v>
      </c>
      <c r="CM222" s="2">
        <f>Table834[[#This Row],[Waist]]*Table834[[#This Row],[Fat ]]</f>
        <v>2340</v>
      </c>
      <c r="CN222" s="2">
        <f>Table834[[#This Row],[Waist]]*Table834[[#This Row],[Protein]]</f>
        <v>1269</v>
      </c>
      <c r="CO222" s="2">
        <f>Table834[[#This Row],[Waist]]*Table834[[#This Row],[Fiber]]</f>
        <v>234</v>
      </c>
      <c r="CP222" s="2">
        <f>Table834[[#This Row],[Waist]]*Table834[[#This Row],[Sugar]]</f>
        <v>6768</v>
      </c>
      <c r="CQ222" s="2">
        <f>Table834[[#This Row],[Waist]]*Table834[[#This Row],[Servings]]</f>
        <v>2340</v>
      </c>
      <c r="CR222" s="2">
        <f>Table834[[#This Row],[Waist]]*Table834[[#This Row],[Water]]</f>
        <v>22.5</v>
      </c>
      <c r="CS222" s="2">
        <f>Table834[[#This Row],[Waist]]*Table834[[#This Row],[Fat Calories]]</f>
        <v>21060</v>
      </c>
    </row>
    <row r="223" spans="1:97" x14ac:dyDescent="0.25">
      <c r="A223" s="2">
        <v>261</v>
      </c>
      <c r="B223" s="2">
        <f>Table834[[#This Row],[Weight]]^2</f>
        <v>68121</v>
      </c>
      <c r="C223" s="2">
        <v>44.5</v>
      </c>
      <c r="D223" s="2">
        <f>Table834[[#This Row],[Waist]]^2</f>
        <v>1980.25</v>
      </c>
      <c r="E223" s="2">
        <v>16.5</v>
      </c>
      <c r="F223" s="2">
        <f>Table834[[#This Row],[Neck]]^2</f>
        <v>272.25</v>
      </c>
      <c r="G223" s="2">
        <v>96.4</v>
      </c>
      <c r="H223" s="2">
        <f>Table834[[#This Row],[Morning Body Temp]]^2</f>
        <v>9292.9600000000009</v>
      </c>
      <c r="I223" s="2">
        <v>137</v>
      </c>
      <c r="J223" s="2">
        <f>Table834[[#This Row],[Morning Systolic Pressure]]^2</f>
        <v>18769</v>
      </c>
      <c r="K223" s="2">
        <v>84</v>
      </c>
      <c r="L223" s="2">
        <f>Table834[[#This Row],[Morning Diastolic Pressure]]^2</f>
        <v>7056</v>
      </c>
      <c r="M223" s="2">
        <v>68</v>
      </c>
      <c r="N223" s="2">
        <f>Table834[[#This Row],[Morning Pulse]]^2</f>
        <v>4624</v>
      </c>
      <c r="O223" s="2">
        <v>98.3</v>
      </c>
      <c r="P223" s="2">
        <f>Table834[[#This Row],[Night Body Temp]]^2</f>
        <v>9662.89</v>
      </c>
      <c r="Q223" s="2">
        <v>109</v>
      </c>
      <c r="R223" s="2">
        <f>Table834[[#This Row],[Night Systolic Pressure]]^2</f>
        <v>11881</v>
      </c>
      <c r="S223" s="2">
        <v>69</v>
      </c>
      <c r="T223" s="2">
        <f>Table834[[#This Row],[Night Diastolic Pressure]]^2</f>
        <v>4761</v>
      </c>
      <c r="U223" s="2">
        <v>86</v>
      </c>
      <c r="V223" s="2">
        <f>Table834[[#This Row],[Night Pulse]]^2</f>
        <v>7396</v>
      </c>
      <c r="W223" s="2">
        <v>12</v>
      </c>
      <c r="X223" s="2">
        <f>Table834[[#This Row],[Sleep]]^2</f>
        <v>144</v>
      </c>
      <c r="Y223" s="2">
        <f t="shared" si="7"/>
        <v>37.445510204081636</v>
      </c>
      <c r="Z223" s="2">
        <f>Table834[[#This Row],[BMI]]^2</f>
        <v>1402.1662344439819</v>
      </c>
      <c r="AA223" s="2">
        <f t="shared" si="6"/>
        <v>31.997550455105717</v>
      </c>
      <c r="AB223" s="2">
        <f>Table834[[#This Row],[CBF]]^2</f>
        <v>1023.8432351270361</v>
      </c>
      <c r="AC223" s="2">
        <v>0</v>
      </c>
      <c r="AD223" s="2">
        <f>Table834[[#This Row],[Gym]]^2</f>
        <v>0</v>
      </c>
      <c r="AE223" s="2">
        <v>1</v>
      </c>
      <c r="AF223" s="2">
        <f>Table834[[#This Row],[Cardio]]^2</f>
        <v>1</v>
      </c>
      <c r="AG223" s="2">
        <v>4368</v>
      </c>
      <c r="AH223" s="2">
        <f>Table834[[#This Row],[Calories]]^2</f>
        <v>19079424</v>
      </c>
      <c r="AI223" s="2">
        <v>526.29999999999995</v>
      </c>
      <c r="AJ223" s="2">
        <f>Table834[[#This Row],[Carbs]]^2</f>
        <v>276991.68999999994</v>
      </c>
      <c r="AK223" s="2">
        <v>200.5</v>
      </c>
      <c r="AL223" s="2">
        <f>Table834[[#This Row],[Fat ]]^2</f>
        <v>40200.25</v>
      </c>
      <c r="AM223" s="2">
        <v>92.7</v>
      </c>
      <c r="AN223" s="2">
        <f>Table834[[#This Row],[Protein]]^2</f>
        <v>8593.2900000000009</v>
      </c>
      <c r="AO223" s="2">
        <v>37.200000000000003</v>
      </c>
      <c r="AP223" s="2">
        <f>Table834[[#This Row],[Fiber]]^2</f>
        <v>1383.8400000000001</v>
      </c>
      <c r="AQ223" s="2">
        <v>208.4</v>
      </c>
      <c r="AR223" s="2">
        <f>Table834[[#This Row],[Sugar]]^2</f>
        <v>43430.560000000005</v>
      </c>
      <c r="AS223" s="2">
        <v>22.5</v>
      </c>
      <c r="AT223" s="2">
        <f>Table834[[#This Row],[Servings]]^2</f>
        <v>506.25</v>
      </c>
      <c r="AU223" s="2">
        <v>2</v>
      </c>
      <c r="AV223" s="2">
        <f>Table834[[#This Row],[Water]]^2</f>
        <v>4</v>
      </c>
      <c r="AW223" s="2">
        <v>1804.5</v>
      </c>
      <c r="AX223" s="2">
        <f>Table834[[#This Row],[Fat Calories]]^2</f>
        <v>3256220.25</v>
      </c>
      <c r="AY223" s="5">
        <f>Table834[[#This Row],[Weight]]*Table834[[#This Row],[Waist]]</f>
        <v>11614.5</v>
      </c>
      <c r="AZ223" s="6">
        <f>Table834[[#This Row],[Weight]]*Table834[[#This Row],[Neck]]</f>
        <v>4306.5</v>
      </c>
      <c r="BA223" s="6">
        <f>Table834[[#This Row],[Weight]]*Table834[[#This Row],[Morning Body Temp]]</f>
        <v>25160.400000000001</v>
      </c>
      <c r="BB223" s="6">
        <f>Table834[[#This Row],[Weight]]*Table834[[#This Row],[Morning Systolic Pressure]]</f>
        <v>35757</v>
      </c>
      <c r="BC223" s="12">
        <f>Table834[[#This Row],[Weight]]*Table834[[#This Row],[Morning Diastolic Pressure]]</f>
        <v>21924</v>
      </c>
      <c r="BD223" s="2">
        <f>Table834[[#This Row],[Weight]]*Table834[[#This Row],[Morning Pulse]]</f>
        <v>17748</v>
      </c>
      <c r="BE223" s="2">
        <f>Table834[[#This Row],[Weight]]*Table834[[#This Row],[Night Body Temp]]</f>
        <v>25656.3</v>
      </c>
      <c r="BF223" s="2">
        <f>Table834[[#This Row],[Weight]]*Table834[[#This Row],[Night Systolic Pressure]]</f>
        <v>28449</v>
      </c>
      <c r="BG223" s="4">
        <f>Table83[[#This Row],[Weight]]*Table83[[#This Row],[Night Diastolic Pressure]]</f>
        <v>18009</v>
      </c>
      <c r="BH223" s="2">
        <f>Table834[[#This Row],[Weight]]*Table834[[#This Row],[Night Pulse]]</f>
        <v>22446</v>
      </c>
      <c r="BI223" s="2">
        <f>Table834[[#This Row],[Weight]]*Table834[[#This Row],[Sleep]]</f>
        <v>3132</v>
      </c>
      <c r="BJ223" s="2">
        <f>Table834[[#This Row],[Weight]]*Table834[[#This Row],[BMI]]</f>
        <v>9773.2781632653077</v>
      </c>
      <c r="BK223" s="2">
        <f>Table834[[#This Row],[Weight]]*Table834[[#This Row],[CBF]]</f>
        <v>8351.3606687825923</v>
      </c>
      <c r="BL223" s="2">
        <f>Table834[[#This Row],[Weight]]*Table834[[#This Row],[Gym]]</f>
        <v>0</v>
      </c>
      <c r="BM223" s="2">
        <f>Table834[[#This Row],[Weight]]*Table834[[#This Row],[Cardio]]</f>
        <v>261</v>
      </c>
      <c r="BN223" s="2">
        <f>Table834[[#This Row],[Weight]]*Table834[[#This Row],[Calories]]</f>
        <v>1140048</v>
      </c>
      <c r="BO223" s="2">
        <f>Table834[[#This Row],[Weight]]*Table834[[#This Row],[Carbs]]</f>
        <v>137364.29999999999</v>
      </c>
      <c r="BP223" s="2">
        <f>Table834[[#This Row],[Weight]]*Table834[[#This Row],[Fat ]]</f>
        <v>52330.5</v>
      </c>
      <c r="BQ223" s="2">
        <f>Table834[[#This Row],[Weight]]*Table834[[#This Row],[Protein]]</f>
        <v>24194.7</v>
      </c>
      <c r="BR223" s="2">
        <f>Table834[[#This Row],[Weight]]*Table834[[#This Row],[Fiber]]</f>
        <v>9709.2000000000007</v>
      </c>
      <c r="BS223" s="2">
        <f>Table834[[#This Row],[Weight]]*Table834[[#This Row],[Sugar]]</f>
        <v>54392.4</v>
      </c>
      <c r="BT223" s="2">
        <f>Table834[[#This Row],[Weight]]*Table834[[#This Row],[Servings]]</f>
        <v>5872.5</v>
      </c>
      <c r="BU223" s="2">
        <f>Table834[[#This Row],[Weight]]*Table834[[#This Row],[Water]]</f>
        <v>522</v>
      </c>
      <c r="BV223" s="2">
        <f>Table834[[#This Row],[Weight]]*Table834[[#This Row],[Fat Calories]]</f>
        <v>470974.5</v>
      </c>
      <c r="BW223" s="2">
        <f>Table834[[#This Row],[Waist]]*Table834[[#This Row],[Neck]]</f>
        <v>734.25</v>
      </c>
      <c r="BX223" s="2">
        <f>Table834[[#This Row],[Waist]]*Table834[[#This Row],[Morning Body Temp]]</f>
        <v>4289.8</v>
      </c>
      <c r="BY223" s="2">
        <f>Table834[[#This Row],[Waist]]*Table834[[#This Row],[Morning Systolic Pressure]]</f>
        <v>6096.5</v>
      </c>
      <c r="BZ223" s="2">
        <f>Table834[[#This Row],[Waist]]*Table834[[#This Row],[Morning Diastolic Pressure]]</f>
        <v>3738</v>
      </c>
      <c r="CA223" s="2">
        <f>Table834[[#This Row],[Waist]]*Table834[[#This Row],[Morning Pulse]]</f>
        <v>3026</v>
      </c>
      <c r="CB223" s="2">
        <f>Table834[[#This Row],[Waist]]*Table834[[#This Row],[Night Body Temp]]</f>
        <v>4374.3499999999995</v>
      </c>
      <c r="CC223" s="2">
        <f>Table834[[#This Row],[Waist]]*Table834[[#This Row],[Night Systolic Pressure]]</f>
        <v>4850.5</v>
      </c>
      <c r="CD223" s="4">
        <f>Table83[[#This Row],[Waist]]*Table83[[#This Row],[Night Diastolic Pressure]]</f>
        <v>3070.5</v>
      </c>
      <c r="CE223" s="2">
        <f>Table834[[#This Row],[Waist]]*Table834[[#This Row],[Night Pulse]]</f>
        <v>3827</v>
      </c>
      <c r="CF223" s="2">
        <f>Table834[[#This Row],[Waist]]*Table834[[#This Row],[Sleep]]</f>
        <v>534</v>
      </c>
      <c r="CG223" s="2">
        <f>Table834[[#This Row],[Waist]]*Table834[[#This Row],[BMI]]</f>
        <v>1666.3252040816328</v>
      </c>
      <c r="CH223" s="2">
        <f>Table834[[#This Row],[Waist]]*Table834[[#This Row],[CBF]]</f>
        <v>1423.8909952522044</v>
      </c>
      <c r="CI223" s="2">
        <f>Table834[[#This Row],[Waist]]*Table834[[#This Row],[Gym]]</f>
        <v>0</v>
      </c>
      <c r="CJ223" s="2">
        <f>Table834[[#This Row],[Waist]]*Table834[[#This Row],[Cardio]]</f>
        <v>44.5</v>
      </c>
      <c r="CK223" s="2">
        <f>Table834[[#This Row],[Waist]]*Table834[[#This Row],[Calories]]</f>
        <v>194376</v>
      </c>
      <c r="CL223" s="2">
        <f>Table834[[#This Row],[Waist]]*Table834[[#This Row],[Carbs]]</f>
        <v>23420.35</v>
      </c>
      <c r="CM223" s="2">
        <f>Table834[[#This Row],[Waist]]*Table834[[#This Row],[Fat ]]</f>
        <v>8922.25</v>
      </c>
      <c r="CN223" s="2">
        <f>Table834[[#This Row],[Waist]]*Table834[[#This Row],[Protein]]</f>
        <v>4125.1500000000005</v>
      </c>
      <c r="CO223" s="2">
        <f>Table834[[#This Row],[Waist]]*Table834[[#This Row],[Fiber]]</f>
        <v>1655.4</v>
      </c>
      <c r="CP223" s="2">
        <f>Table834[[#This Row],[Waist]]*Table834[[#This Row],[Sugar]]</f>
        <v>9273.8000000000011</v>
      </c>
      <c r="CQ223" s="2">
        <f>Table834[[#This Row],[Waist]]*Table834[[#This Row],[Servings]]</f>
        <v>1001.25</v>
      </c>
      <c r="CR223" s="2">
        <f>Table834[[#This Row],[Waist]]*Table834[[#This Row],[Water]]</f>
        <v>89</v>
      </c>
      <c r="CS223" s="2">
        <f>Table834[[#This Row],[Waist]]*Table834[[#This Row],[Fat Calories]]</f>
        <v>80300.25</v>
      </c>
    </row>
    <row r="224" spans="1:97" x14ac:dyDescent="0.25">
      <c r="A224" s="2">
        <v>259</v>
      </c>
      <c r="B224" s="2">
        <f>Table834[[#This Row],[Weight]]^2</f>
        <v>67081</v>
      </c>
      <c r="C224" s="2">
        <v>45.5</v>
      </c>
      <c r="D224" s="2">
        <f>Table834[[#This Row],[Waist]]^2</f>
        <v>2070.25</v>
      </c>
      <c r="E224" s="2">
        <v>16.5</v>
      </c>
      <c r="F224" s="2">
        <f>Table834[[#This Row],[Neck]]^2</f>
        <v>272.25</v>
      </c>
      <c r="G224" s="2">
        <v>97.5</v>
      </c>
      <c r="H224" s="2">
        <f>Table834[[#This Row],[Morning Body Temp]]^2</f>
        <v>9506.25</v>
      </c>
      <c r="I224" s="2">
        <v>140</v>
      </c>
      <c r="J224" s="2">
        <f>Table834[[#This Row],[Morning Systolic Pressure]]^2</f>
        <v>19600</v>
      </c>
      <c r="K224" s="2">
        <v>86</v>
      </c>
      <c r="L224" s="2">
        <f>Table834[[#This Row],[Morning Diastolic Pressure]]^2</f>
        <v>7396</v>
      </c>
      <c r="M224" s="2">
        <v>78</v>
      </c>
      <c r="N224" s="2">
        <f>Table834[[#This Row],[Morning Pulse]]^2</f>
        <v>6084</v>
      </c>
      <c r="O224" s="2">
        <v>97.7</v>
      </c>
      <c r="P224" s="2">
        <f>Table834[[#This Row],[Night Body Temp]]^2</f>
        <v>9545.2900000000009</v>
      </c>
      <c r="Q224" s="2">
        <v>148</v>
      </c>
      <c r="R224" s="2">
        <f>Table834[[#This Row],[Night Systolic Pressure]]^2</f>
        <v>21904</v>
      </c>
      <c r="S224" s="2">
        <v>72</v>
      </c>
      <c r="T224" s="2">
        <f>Table834[[#This Row],[Night Diastolic Pressure]]^2</f>
        <v>5184</v>
      </c>
      <c r="U224" s="2">
        <v>68</v>
      </c>
      <c r="V224" s="2">
        <f>Table834[[#This Row],[Night Pulse]]^2</f>
        <v>4624</v>
      </c>
      <c r="W224" s="2">
        <v>12</v>
      </c>
      <c r="X224" s="2">
        <f>Table834[[#This Row],[Sleep]]^2</f>
        <v>144</v>
      </c>
      <c r="Y224" s="2">
        <f t="shared" si="7"/>
        <v>37.158571428571427</v>
      </c>
      <c r="Z224" s="2">
        <f>Table834[[#This Row],[BMI]]^2</f>
        <v>1380.7594306122448</v>
      </c>
      <c r="AA224" s="2">
        <f t="shared" si="6"/>
        <v>33.308339978650658</v>
      </c>
      <c r="AB224" s="2">
        <f>Table834[[#This Row],[CBF]]^2</f>
        <v>1109.4455121333776</v>
      </c>
      <c r="AC224" s="2">
        <v>1</v>
      </c>
      <c r="AD224" s="2">
        <f>Table834[[#This Row],[Gym]]^2</f>
        <v>1</v>
      </c>
      <c r="AE224" s="2">
        <v>0</v>
      </c>
      <c r="AF224" s="2">
        <f>Table834[[#This Row],[Cardio]]^2</f>
        <v>0</v>
      </c>
      <c r="AG224" s="2">
        <v>1983.9</v>
      </c>
      <c r="AH224" s="2">
        <f>Table834[[#This Row],[Calories]]^2</f>
        <v>3935859.2100000004</v>
      </c>
      <c r="AI224" s="2">
        <v>341.87333333333328</v>
      </c>
      <c r="AJ224" s="2">
        <f>Table834[[#This Row],[Carbs]]^2</f>
        <v>116877.37604444441</v>
      </c>
      <c r="AK224" s="2">
        <v>49.655000000000001</v>
      </c>
      <c r="AL224" s="2">
        <f>Table834[[#This Row],[Fat ]]^2</f>
        <v>2465.619025</v>
      </c>
      <c r="AM224" s="2">
        <v>66.016666666666666</v>
      </c>
      <c r="AN224" s="2">
        <f>Table834[[#This Row],[Protein]]^2</f>
        <v>4358.200277777778</v>
      </c>
      <c r="AO224" s="2">
        <v>37.633333333333333</v>
      </c>
      <c r="AP224" s="2">
        <f>Table834[[#This Row],[Fiber]]^2</f>
        <v>1416.2677777777778</v>
      </c>
      <c r="AQ224" s="2">
        <v>228.15166666666667</v>
      </c>
      <c r="AR224" s="2">
        <f>Table834[[#This Row],[Sugar]]^2</f>
        <v>52053.183002777783</v>
      </c>
      <c r="AS224" s="2">
        <v>66.2</v>
      </c>
      <c r="AT224" s="2">
        <f>Table834[[#This Row],[Servings]]^2</f>
        <v>4382.4400000000005</v>
      </c>
      <c r="AU224" s="2">
        <v>1.5</v>
      </c>
      <c r="AV224" s="2">
        <f>Table834[[#This Row],[Water]]^2</f>
        <v>2.25</v>
      </c>
      <c r="AW224" s="2">
        <v>446.89499999999998</v>
      </c>
      <c r="AX224" s="2">
        <f>Table834[[#This Row],[Fat Calories]]^2</f>
        <v>199715.14102499999</v>
      </c>
      <c r="AY224" s="3">
        <f>Table834[[#This Row],[Weight]]*Table834[[#This Row],[Waist]]</f>
        <v>11784.5</v>
      </c>
      <c r="AZ224" s="4">
        <f>Table834[[#This Row],[Weight]]*Table834[[#This Row],[Neck]]</f>
        <v>4273.5</v>
      </c>
      <c r="BA224" s="4">
        <f>Table834[[#This Row],[Weight]]*Table834[[#This Row],[Morning Body Temp]]</f>
        <v>25252.5</v>
      </c>
      <c r="BB224" s="4">
        <f>Table834[[#This Row],[Weight]]*Table834[[#This Row],[Morning Systolic Pressure]]</f>
        <v>36260</v>
      </c>
      <c r="BC224" s="11">
        <f>Table834[[#This Row],[Weight]]*Table834[[#This Row],[Morning Diastolic Pressure]]</f>
        <v>22274</v>
      </c>
      <c r="BD224" s="2">
        <f>Table834[[#This Row],[Weight]]*Table834[[#This Row],[Morning Pulse]]</f>
        <v>20202</v>
      </c>
      <c r="BE224" s="2">
        <f>Table834[[#This Row],[Weight]]*Table834[[#This Row],[Night Body Temp]]</f>
        <v>25304.3</v>
      </c>
      <c r="BF224" s="2">
        <f>Table834[[#This Row],[Weight]]*Table834[[#This Row],[Night Systolic Pressure]]</f>
        <v>38332</v>
      </c>
      <c r="BG224" s="4">
        <f>Table83[[#This Row],[Weight]]*Table83[[#This Row],[Night Diastolic Pressure]]</f>
        <v>18648</v>
      </c>
      <c r="BH224" s="2">
        <f>Table834[[#This Row],[Weight]]*Table834[[#This Row],[Night Pulse]]</f>
        <v>17612</v>
      </c>
      <c r="BI224" s="2">
        <f>Table834[[#This Row],[Weight]]*Table834[[#This Row],[Sleep]]</f>
        <v>3108</v>
      </c>
      <c r="BJ224" s="2">
        <f>Table834[[#This Row],[Weight]]*Table834[[#This Row],[BMI]]</f>
        <v>9624.07</v>
      </c>
      <c r="BK224" s="2">
        <f>Table834[[#This Row],[Weight]]*Table834[[#This Row],[CBF]]</f>
        <v>8626.8600544705205</v>
      </c>
      <c r="BL224" s="2">
        <f>Table834[[#This Row],[Weight]]*Table834[[#This Row],[Gym]]</f>
        <v>259</v>
      </c>
      <c r="BM224" s="2">
        <f>Table834[[#This Row],[Weight]]*Table834[[#This Row],[Cardio]]</f>
        <v>0</v>
      </c>
      <c r="BN224" s="2">
        <f>Table834[[#This Row],[Weight]]*Table834[[#This Row],[Calories]]</f>
        <v>513830.10000000003</v>
      </c>
      <c r="BO224" s="2">
        <f>Table834[[#This Row],[Weight]]*Table834[[#This Row],[Carbs]]</f>
        <v>88545.193333333315</v>
      </c>
      <c r="BP224" s="2">
        <f>Table834[[#This Row],[Weight]]*Table834[[#This Row],[Fat ]]</f>
        <v>12860.645</v>
      </c>
      <c r="BQ224" s="2">
        <f>Table834[[#This Row],[Weight]]*Table834[[#This Row],[Protein]]</f>
        <v>17098.316666666666</v>
      </c>
      <c r="BR224" s="2">
        <f>Table834[[#This Row],[Weight]]*Table834[[#This Row],[Fiber]]</f>
        <v>9747.0333333333328</v>
      </c>
      <c r="BS224" s="2">
        <f>Table834[[#This Row],[Weight]]*Table834[[#This Row],[Sugar]]</f>
        <v>59091.281666666669</v>
      </c>
      <c r="BT224" s="2">
        <f>Table834[[#This Row],[Weight]]*Table834[[#This Row],[Servings]]</f>
        <v>17145.8</v>
      </c>
      <c r="BU224" s="2">
        <f>Table834[[#This Row],[Weight]]*Table834[[#This Row],[Water]]</f>
        <v>388.5</v>
      </c>
      <c r="BV224" s="2">
        <f>Table834[[#This Row],[Weight]]*Table834[[#This Row],[Fat Calories]]</f>
        <v>115745.80499999999</v>
      </c>
      <c r="BW224" s="2">
        <f>Table834[[#This Row],[Waist]]*Table834[[#This Row],[Neck]]</f>
        <v>750.75</v>
      </c>
      <c r="BX224" s="2">
        <f>Table834[[#This Row],[Waist]]*Table834[[#This Row],[Morning Body Temp]]</f>
        <v>4436.25</v>
      </c>
      <c r="BY224" s="2">
        <f>Table834[[#This Row],[Waist]]*Table834[[#This Row],[Morning Systolic Pressure]]</f>
        <v>6370</v>
      </c>
      <c r="BZ224" s="2">
        <f>Table834[[#This Row],[Waist]]*Table834[[#This Row],[Morning Diastolic Pressure]]</f>
        <v>3913</v>
      </c>
      <c r="CA224" s="2">
        <f>Table834[[#This Row],[Waist]]*Table834[[#This Row],[Morning Pulse]]</f>
        <v>3549</v>
      </c>
      <c r="CB224" s="2">
        <f>Table834[[#This Row],[Waist]]*Table834[[#This Row],[Night Body Temp]]</f>
        <v>4445.3500000000004</v>
      </c>
      <c r="CC224" s="2">
        <f>Table834[[#This Row],[Waist]]*Table834[[#This Row],[Night Systolic Pressure]]</f>
        <v>6734</v>
      </c>
      <c r="CD224" s="4">
        <f>Table83[[#This Row],[Waist]]*Table83[[#This Row],[Night Diastolic Pressure]]</f>
        <v>3276</v>
      </c>
      <c r="CE224" s="2">
        <f>Table834[[#This Row],[Waist]]*Table834[[#This Row],[Night Pulse]]</f>
        <v>3094</v>
      </c>
      <c r="CF224" s="2">
        <f>Table834[[#This Row],[Waist]]*Table834[[#This Row],[Sleep]]</f>
        <v>546</v>
      </c>
      <c r="CG224" s="2">
        <f>Table834[[#This Row],[Waist]]*Table834[[#This Row],[BMI]]</f>
        <v>1690.7149999999999</v>
      </c>
      <c r="CH224" s="2">
        <f>Table834[[#This Row],[Waist]]*Table834[[#This Row],[CBF]]</f>
        <v>1515.5294690286048</v>
      </c>
      <c r="CI224" s="2">
        <f>Table834[[#This Row],[Waist]]*Table834[[#This Row],[Gym]]</f>
        <v>45.5</v>
      </c>
      <c r="CJ224" s="2">
        <f>Table834[[#This Row],[Waist]]*Table834[[#This Row],[Cardio]]</f>
        <v>0</v>
      </c>
      <c r="CK224" s="2">
        <f>Table834[[#This Row],[Waist]]*Table834[[#This Row],[Calories]]</f>
        <v>90267.45</v>
      </c>
      <c r="CL224" s="2">
        <f>Table834[[#This Row],[Waist]]*Table834[[#This Row],[Carbs]]</f>
        <v>15555.236666666664</v>
      </c>
      <c r="CM224" s="2">
        <f>Table834[[#This Row],[Waist]]*Table834[[#This Row],[Fat ]]</f>
        <v>2259.3025000000002</v>
      </c>
      <c r="CN224" s="2">
        <f>Table834[[#This Row],[Waist]]*Table834[[#This Row],[Protein]]</f>
        <v>3003.7583333333332</v>
      </c>
      <c r="CO224" s="2">
        <f>Table834[[#This Row],[Waist]]*Table834[[#This Row],[Fiber]]</f>
        <v>1712.3166666666666</v>
      </c>
      <c r="CP224" s="2">
        <f>Table834[[#This Row],[Waist]]*Table834[[#This Row],[Sugar]]</f>
        <v>10380.900833333333</v>
      </c>
      <c r="CQ224" s="2">
        <f>Table834[[#This Row],[Waist]]*Table834[[#This Row],[Servings]]</f>
        <v>3012.1</v>
      </c>
      <c r="CR224" s="2">
        <f>Table834[[#This Row],[Waist]]*Table834[[#This Row],[Water]]</f>
        <v>68.25</v>
      </c>
      <c r="CS224" s="2">
        <f>Table834[[#This Row],[Waist]]*Table834[[#This Row],[Fat Calories]]</f>
        <v>20333.7225</v>
      </c>
    </row>
    <row r="225" spans="1:97" x14ac:dyDescent="0.25">
      <c r="A225" s="2">
        <v>258.60000000000002</v>
      </c>
      <c r="B225" s="2">
        <f>Table834[[#This Row],[Weight]]^2</f>
        <v>66873.960000000006</v>
      </c>
      <c r="C225" s="2">
        <v>45</v>
      </c>
      <c r="D225" s="2">
        <f>Table834[[#This Row],[Waist]]^2</f>
        <v>2025</v>
      </c>
      <c r="E225" s="2">
        <v>16.5</v>
      </c>
      <c r="F225" s="2">
        <f>Table834[[#This Row],[Neck]]^2</f>
        <v>272.25</v>
      </c>
      <c r="G225" s="2">
        <v>96.1</v>
      </c>
      <c r="H225" s="2">
        <f>Table834[[#This Row],[Morning Body Temp]]^2</f>
        <v>9235.2099999999991</v>
      </c>
      <c r="I225" s="2">
        <v>130</v>
      </c>
      <c r="J225" s="2">
        <f>Table834[[#This Row],[Morning Systolic Pressure]]^2</f>
        <v>16900</v>
      </c>
      <c r="K225" s="2">
        <v>80</v>
      </c>
      <c r="L225" s="2">
        <f>Table834[[#This Row],[Morning Diastolic Pressure]]^2</f>
        <v>6400</v>
      </c>
      <c r="M225" s="2">
        <v>60</v>
      </c>
      <c r="N225" s="2">
        <f>Table834[[#This Row],[Morning Pulse]]^2</f>
        <v>3600</v>
      </c>
      <c r="O225" s="2">
        <v>96.8</v>
      </c>
      <c r="P225" s="2">
        <f>Table834[[#This Row],[Night Body Temp]]^2</f>
        <v>9370.24</v>
      </c>
      <c r="Q225" s="2">
        <v>132</v>
      </c>
      <c r="R225" s="2">
        <f>Table834[[#This Row],[Night Systolic Pressure]]^2</f>
        <v>17424</v>
      </c>
      <c r="S225" s="2">
        <v>79</v>
      </c>
      <c r="T225" s="2">
        <f>Table834[[#This Row],[Night Diastolic Pressure]]^2</f>
        <v>6241</v>
      </c>
      <c r="U225" s="2">
        <v>65</v>
      </c>
      <c r="V225" s="2">
        <f>Table834[[#This Row],[Night Pulse]]^2</f>
        <v>4225</v>
      </c>
      <c r="W225" s="2">
        <v>3.5</v>
      </c>
      <c r="X225" s="2">
        <f>Table834[[#This Row],[Sleep]]^2</f>
        <v>12.25</v>
      </c>
      <c r="Y225" s="2">
        <f t="shared" si="7"/>
        <v>37.101183673469393</v>
      </c>
      <c r="Z225" s="2">
        <f>Table834[[#This Row],[BMI]]^2</f>
        <v>1376.4978299725119</v>
      </c>
      <c r="AA225" s="2">
        <f t="shared" si="6"/>
        <v>32.6586945886934</v>
      </c>
      <c r="AB225" s="2">
        <f>Table834[[#This Row],[CBF]]^2</f>
        <v>1066.5903322375516</v>
      </c>
      <c r="AC225" s="2">
        <v>1</v>
      </c>
      <c r="AD225" s="2">
        <f>Table834[[#This Row],[Gym]]^2</f>
        <v>1</v>
      </c>
      <c r="AE225" s="2">
        <v>1</v>
      </c>
      <c r="AF225" s="2">
        <f>Table834[[#This Row],[Cardio]]^2</f>
        <v>1</v>
      </c>
      <c r="AG225" s="2">
        <v>1723.8200000000002</v>
      </c>
      <c r="AH225" s="2">
        <f>Table834[[#This Row],[Calories]]^2</f>
        <v>2971555.3924000007</v>
      </c>
      <c r="AI225" s="2">
        <v>269.86933333333332</v>
      </c>
      <c r="AJ225" s="2">
        <f>Table834[[#This Row],[Carbs]]^2</f>
        <v>72829.457073777769</v>
      </c>
      <c r="AK225" s="2">
        <v>44.442999999999998</v>
      </c>
      <c r="AL225" s="2">
        <f>Table834[[#This Row],[Fat ]]^2</f>
        <v>1975.1802489999998</v>
      </c>
      <c r="AM225" s="2">
        <v>67.25266666666667</v>
      </c>
      <c r="AN225" s="2">
        <f>Table834[[#This Row],[Protein]]^2</f>
        <v>4522.9211737777778</v>
      </c>
      <c r="AO225" s="2">
        <v>44.481333333333332</v>
      </c>
      <c r="AP225" s="2">
        <f>Table834[[#This Row],[Fiber]]^2</f>
        <v>1978.5890151111109</v>
      </c>
      <c r="AQ225" s="2">
        <v>128.01566666666668</v>
      </c>
      <c r="AR225" s="2">
        <f>Table834[[#This Row],[Sugar]]^2</f>
        <v>16388.010912111113</v>
      </c>
      <c r="AS225" s="2">
        <v>32.44</v>
      </c>
      <c r="AT225" s="2">
        <f>Table834[[#This Row],[Servings]]^2</f>
        <v>1052.3535999999999</v>
      </c>
      <c r="AU225" s="2">
        <v>2</v>
      </c>
      <c r="AV225" s="2">
        <f>Table834[[#This Row],[Water]]^2</f>
        <v>4</v>
      </c>
      <c r="AW225" s="2">
        <v>399.98700000000002</v>
      </c>
      <c r="AX225" s="2">
        <f>Table834[[#This Row],[Fat Calories]]^2</f>
        <v>159989.60016900001</v>
      </c>
      <c r="AY225" s="5">
        <f>Table834[[#This Row],[Weight]]*Table834[[#This Row],[Waist]]</f>
        <v>11637.000000000002</v>
      </c>
      <c r="AZ225" s="6">
        <f>Table834[[#This Row],[Weight]]*Table834[[#This Row],[Neck]]</f>
        <v>4266.9000000000005</v>
      </c>
      <c r="BA225" s="6">
        <f>Table834[[#This Row],[Weight]]*Table834[[#This Row],[Morning Body Temp]]</f>
        <v>24851.46</v>
      </c>
      <c r="BB225" s="6">
        <f>Table834[[#This Row],[Weight]]*Table834[[#This Row],[Morning Systolic Pressure]]</f>
        <v>33618</v>
      </c>
      <c r="BC225" s="12">
        <f>Table834[[#This Row],[Weight]]*Table834[[#This Row],[Morning Diastolic Pressure]]</f>
        <v>20688</v>
      </c>
      <c r="BD225" s="2">
        <f>Table834[[#This Row],[Weight]]*Table834[[#This Row],[Morning Pulse]]</f>
        <v>15516.000000000002</v>
      </c>
      <c r="BE225" s="2">
        <f>Table834[[#This Row],[Weight]]*Table834[[#This Row],[Night Body Temp]]</f>
        <v>25032.480000000003</v>
      </c>
      <c r="BF225" s="2">
        <f>Table834[[#This Row],[Weight]]*Table834[[#This Row],[Night Systolic Pressure]]</f>
        <v>34135.200000000004</v>
      </c>
      <c r="BG225" s="4">
        <f>Table83[[#This Row],[Weight]]*Table83[[#This Row],[Night Diastolic Pressure]]</f>
        <v>20429.400000000001</v>
      </c>
      <c r="BH225" s="2">
        <f>Table834[[#This Row],[Weight]]*Table834[[#This Row],[Night Pulse]]</f>
        <v>16809</v>
      </c>
      <c r="BI225" s="2">
        <f>Table834[[#This Row],[Weight]]*Table834[[#This Row],[Sleep]]</f>
        <v>905.10000000000014</v>
      </c>
      <c r="BJ225" s="2">
        <f>Table834[[#This Row],[Weight]]*Table834[[#This Row],[BMI]]</f>
        <v>9594.3660979591859</v>
      </c>
      <c r="BK225" s="2">
        <f>Table834[[#This Row],[Weight]]*Table834[[#This Row],[CBF]]</f>
        <v>8445.5384206361141</v>
      </c>
      <c r="BL225" s="2">
        <f>Table834[[#This Row],[Weight]]*Table834[[#This Row],[Gym]]</f>
        <v>258.60000000000002</v>
      </c>
      <c r="BM225" s="2">
        <f>Table834[[#This Row],[Weight]]*Table834[[#This Row],[Cardio]]</f>
        <v>258.60000000000002</v>
      </c>
      <c r="BN225" s="2">
        <f>Table834[[#This Row],[Weight]]*Table834[[#This Row],[Calories]]</f>
        <v>445779.85200000007</v>
      </c>
      <c r="BO225" s="2">
        <f>Table834[[#This Row],[Weight]]*Table834[[#This Row],[Carbs]]</f>
        <v>69788.209600000002</v>
      </c>
      <c r="BP225" s="2">
        <f>Table834[[#This Row],[Weight]]*Table834[[#This Row],[Fat ]]</f>
        <v>11492.959800000001</v>
      </c>
      <c r="BQ225" s="2">
        <f>Table834[[#This Row],[Weight]]*Table834[[#This Row],[Protein]]</f>
        <v>17391.539600000004</v>
      </c>
      <c r="BR225" s="2">
        <f>Table834[[#This Row],[Weight]]*Table834[[#This Row],[Fiber]]</f>
        <v>11502.872800000001</v>
      </c>
      <c r="BS225" s="2">
        <f>Table834[[#This Row],[Weight]]*Table834[[#This Row],[Sugar]]</f>
        <v>33104.851400000007</v>
      </c>
      <c r="BT225" s="2">
        <f>Table834[[#This Row],[Weight]]*Table834[[#This Row],[Servings]]</f>
        <v>8388.9840000000004</v>
      </c>
      <c r="BU225" s="2">
        <f>Table834[[#This Row],[Weight]]*Table834[[#This Row],[Water]]</f>
        <v>517.20000000000005</v>
      </c>
      <c r="BV225" s="2">
        <f>Table834[[#This Row],[Weight]]*Table834[[#This Row],[Fat Calories]]</f>
        <v>103436.63820000002</v>
      </c>
      <c r="BW225" s="2">
        <f>Table834[[#This Row],[Waist]]*Table834[[#This Row],[Neck]]</f>
        <v>742.5</v>
      </c>
      <c r="BX225" s="2">
        <f>Table834[[#This Row],[Waist]]*Table834[[#This Row],[Morning Body Temp]]</f>
        <v>4324.5</v>
      </c>
      <c r="BY225" s="2">
        <f>Table834[[#This Row],[Waist]]*Table834[[#This Row],[Morning Systolic Pressure]]</f>
        <v>5850</v>
      </c>
      <c r="BZ225" s="2">
        <f>Table834[[#This Row],[Waist]]*Table834[[#This Row],[Morning Diastolic Pressure]]</f>
        <v>3600</v>
      </c>
      <c r="CA225" s="2">
        <f>Table834[[#This Row],[Waist]]*Table834[[#This Row],[Morning Pulse]]</f>
        <v>2700</v>
      </c>
      <c r="CB225" s="2">
        <f>Table834[[#This Row],[Waist]]*Table834[[#This Row],[Night Body Temp]]</f>
        <v>4356</v>
      </c>
      <c r="CC225" s="2">
        <f>Table834[[#This Row],[Waist]]*Table834[[#This Row],[Night Systolic Pressure]]</f>
        <v>5940</v>
      </c>
      <c r="CD225" s="4">
        <f>Table83[[#This Row],[Waist]]*Table83[[#This Row],[Night Diastolic Pressure]]</f>
        <v>3555</v>
      </c>
      <c r="CE225" s="2">
        <f>Table834[[#This Row],[Waist]]*Table834[[#This Row],[Night Pulse]]</f>
        <v>2925</v>
      </c>
      <c r="CF225" s="2">
        <f>Table834[[#This Row],[Waist]]*Table834[[#This Row],[Sleep]]</f>
        <v>157.5</v>
      </c>
      <c r="CG225" s="2">
        <f>Table834[[#This Row],[Waist]]*Table834[[#This Row],[BMI]]</f>
        <v>1669.5532653061227</v>
      </c>
      <c r="CH225" s="2">
        <f>Table834[[#This Row],[Waist]]*Table834[[#This Row],[CBF]]</f>
        <v>1469.641256491203</v>
      </c>
      <c r="CI225" s="2">
        <f>Table834[[#This Row],[Waist]]*Table834[[#This Row],[Gym]]</f>
        <v>45</v>
      </c>
      <c r="CJ225" s="2">
        <f>Table834[[#This Row],[Waist]]*Table834[[#This Row],[Cardio]]</f>
        <v>45</v>
      </c>
      <c r="CK225" s="2">
        <f>Table834[[#This Row],[Waist]]*Table834[[#This Row],[Calories]]</f>
        <v>77571.900000000009</v>
      </c>
      <c r="CL225" s="2">
        <f>Table834[[#This Row],[Waist]]*Table834[[#This Row],[Carbs]]</f>
        <v>12144.119999999999</v>
      </c>
      <c r="CM225" s="2">
        <f>Table834[[#This Row],[Waist]]*Table834[[#This Row],[Fat ]]</f>
        <v>1999.9349999999999</v>
      </c>
      <c r="CN225" s="2">
        <f>Table834[[#This Row],[Waist]]*Table834[[#This Row],[Protein]]</f>
        <v>3026.3700000000003</v>
      </c>
      <c r="CO225" s="2">
        <f>Table834[[#This Row],[Waist]]*Table834[[#This Row],[Fiber]]</f>
        <v>2001.6599999999999</v>
      </c>
      <c r="CP225" s="2">
        <f>Table834[[#This Row],[Waist]]*Table834[[#This Row],[Sugar]]</f>
        <v>5760.7049999999999</v>
      </c>
      <c r="CQ225" s="2">
        <f>Table834[[#This Row],[Waist]]*Table834[[#This Row],[Servings]]</f>
        <v>1459.8</v>
      </c>
      <c r="CR225" s="2">
        <f>Table834[[#This Row],[Waist]]*Table834[[#This Row],[Water]]</f>
        <v>90</v>
      </c>
      <c r="CS225" s="2">
        <f>Table834[[#This Row],[Waist]]*Table834[[#This Row],[Fat Calories]]</f>
        <v>17999.415000000001</v>
      </c>
    </row>
    <row r="226" spans="1:97" x14ac:dyDescent="0.25">
      <c r="A226" s="2">
        <v>255.8</v>
      </c>
      <c r="B226" s="2">
        <f>Table834[[#This Row],[Weight]]^2</f>
        <v>65433.640000000007</v>
      </c>
      <c r="C226" s="2">
        <v>45</v>
      </c>
      <c r="D226" s="2">
        <f>Table834[[#This Row],[Waist]]^2</f>
        <v>2025</v>
      </c>
      <c r="E226" s="2">
        <v>16.5</v>
      </c>
      <c r="F226" s="2">
        <f>Table834[[#This Row],[Neck]]^2</f>
        <v>272.25</v>
      </c>
      <c r="G226" s="2">
        <v>95.8</v>
      </c>
      <c r="H226" s="2">
        <f>Table834[[#This Row],[Morning Body Temp]]^2</f>
        <v>9177.64</v>
      </c>
      <c r="I226" s="2">
        <v>136</v>
      </c>
      <c r="J226" s="2">
        <f>Table834[[#This Row],[Morning Systolic Pressure]]^2</f>
        <v>18496</v>
      </c>
      <c r="K226" s="2">
        <v>75</v>
      </c>
      <c r="L226" s="2">
        <f>Table834[[#This Row],[Morning Diastolic Pressure]]^2</f>
        <v>5625</v>
      </c>
      <c r="M226" s="2">
        <v>60</v>
      </c>
      <c r="N226" s="2">
        <f>Table834[[#This Row],[Morning Pulse]]^2</f>
        <v>3600</v>
      </c>
      <c r="O226" s="2">
        <v>98.1</v>
      </c>
      <c r="P226" s="2">
        <f>Table834[[#This Row],[Night Body Temp]]^2</f>
        <v>9623.6099999999988</v>
      </c>
      <c r="Q226" s="2">
        <v>132</v>
      </c>
      <c r="R226" s="2">
        <f>Table834[[#This Row],[Night Systolic Pressure]]^2</f>
        <v>17424</v>
      </c>
      <c r="S226" s="2">
        <v>76</v>
      </c>
      <c r="T226" s="2">
        <f>Table834[[#This Row],[Night Diastolic Pressure]]^2</f>
        <v>5776</v>
      </c>
      <c r="U226" s="2">
        <v>91</v>
      </c>
      <c r="V226" s="2">
        <f>Table834[[#This Row],[Night Pulse]]^2</f>
        <v>8281</v>
      </c>
      <c r="W226" s="2">
        <v>4.5</v>
      </c>
      <c r="X226" s="2">
        <f>Table834[[#This Row],[Sleep]]^2</f>
        <v>20.25</v>
      </c>
      <c r="Y226" s="2">
        <f t="shared" si="7"/>
        <v>36.699469387755101</v>
      </c>
      <c r="Z226" s="2">
        <f>Table834[[#This Row],[BMI]]^2</f>
        <v>1346.8510533427739</v>
      </c>
      <c r="AA226" s="2">
        <f t="shared" si="6"/>
        <v>32.6586945886934</v>
      </c>
      <c r="AB226" s="2">
        <f>Table834[[#This Row],[CBF]]^2</f>
        <v>1066.5903322375516</v>
      </c>
      <c r="AC226" s="2">
        <v>1</v>
      </c>
      <c r="AD226" s="2">
        <f>Table834[[#This Row],[Gym]]^2</f>
        <v>1</v>
      </c>
      <c r="AE226" s="2">
        <v>1</v>
      </c>
      <c r="AF226" s="2">
        <f>Table834[[#This Row],[Cardio]]^2</f>
        <v>1</v>
      </c>
      <c r="AG226" s="2">
        <v>2553.94</v>
      </c>
      <c r="AH226" s="2">
        <f>Table834[[#This Row],[Calories]]^2</f>
        <v>6522609.5236</v>
      </c>
      <c r="AI226" s="2">
        <v>452.02033333333333</v>
      </c>
      <c r="AJ226" s="2">
        <f>Table834[[#This Row],[Carbs]]^2</f>
        <v>204322.38174677777</v>
      </c>
      <c r="AK226" s="2">
        <v>58.711000000000006</v>
      </c>
      <c r="AL226" s="2">
        <f>Table834[[#This Row],[Fat ]]^2</f>
        <v>3446.9815210000006</v>
      </c>
      <c r="AM226" s="2">
        <v>82.283666666666676</v>
      </c>
      <c r="AN226" s="2">
        <f>Table834[[#This Row],[Protein]]^2</f>
        <v>6770.6018001111124</v>
      </c>
      <c r="AO226" s="2">
        <v>38.439333333333337</v>
      </c>
      <c r="AP226" s="2">
        <f>Table834[[#This Row],[Fiber]]^2</f>
        <v>1477.5823471111114</v>
      </c>
      <c r="AQ226" s="2">
        <v>302.9496666666667</v>
      </c>
      <c r="AR226" s="2">
        <f>Table834[[#This Row],[Sugar]]^2</f>
        <v>91778.500533444472</v>
      </c>
      <c r="AS226" s="2">
        <v>84.53</v>
      </c>
      <c r="AT226" s="2">
        <f>Table834[[#This Row],[Servings]]^2</f>
        <v>7145.3209000000006</v>
      </c>
      <c r="AU226" s="2">
        <v>1.5</v>
      </c>
      <c r="AV226" s="2">
        <f>Table834[[#This Row],[Water]]^2</f>
        <v>2.25</v>
      </c>
      <c r="AW226" s="2">
        <v>528.399</v>
      </c>
      <c r="AX226" s="2">
        <f>Table834[[#This Row],[Fat Calories]]^2</f>
        <v>279205.50320099998</v>
      </c>
      <c r="AY226" s="3">
        <f>Table834[[#This Row],[Weight]]*Table834[[#This Row],[Waist]]</f>
        <v>11511</v>
      </c>
      <c r="AZ226" s="4">
        <f>Table834[[#This Row],[Weight]]*Table834[[#This Row],[Neck]]</f>
        <v>4220.7</v>
      </c>
      <c r="BA226" s="4">
        <f>Table834[[#This Row],[Weight]]*Table834[[#This Row],[Morning Body Temp]]</f>
        <v>24505.64</v>
      </c>
      <c r="BB226" s="4">
        <f>Table834[[#This Row],[Weight]]*Table834[[#This Row],[Morning Systolic Pressure]]</f>
        <v>34788.800000000003</v>
      </c>
      <c r="BC226" s="11">
        <f>Table834[[#This Row],[Weight]]*Table834[[#This Row],[Morning Diastolic Pressure]]</f>
        <v>19185</v>
      </c>
      <c r="BD226" s="2">
        <f>Table834[[#This Row],[Weight]]*Table834[[#This Row],[Morning Pulse]]</f>
        <v>15348</v>
      </c>
      <c r="BE226" s="2">
        <f>Table834[[#This Row],[Weight]]*Table834[[#This Row],[Night Body Temp]]</f>
        <v>25093.98</v>
      </c>
      <c r="BF226" s="2">
        <f>Table834[[#This Row],[Weight]]*Table834[[#This Row],[Night Systolic Pressure]]</f>
        <v>33765.599999999999</v>
      </c>
      <c r="BG226" s="4">
        <f>Table83[[#This Row],[Weight]]*Table83[[#This Row],[Night Diastolic Pressure]]</f>
        <v>19440.8</v>
      </c>
      <c r="BH226" s="2">
        <f>Table834[[#This Row],[Weight]]*Table834[[#This Row],[Night Pulse]]</f>
        <v>23277.8</v>
      </c>
      <c r="BI226" s="2">
        <f>Table834[[#This Row],[Weight]]*Table834[[#This Row],[Sleep]]</f>
        <v>1151.1000000000001</v>
      </c>
      <c r="BJ226" s="2">
        <f>Table834[[#This Row],[Weight]]*Table834[[#This Row],[BMI]]</f>
        <v>9387.7242693877561</v>
      </c>
      <c r="BK226" s="2">
        <f>Table834[[#This Row],[Weight]]*Table834[[#This Row],[CBF]]</f>
        <v>8354.0940757877725</v>
      </c>
      <c r="BL226" s="2">
        <f>Table834[[#This Row],[Weight]]*Table834[[#This Row],[Gym]]</f>
        <v>255.8</v>
      </c>
      <c r="BM226" s="2">
        <f>Table834[[#This Row],[Weight]]*Table834[[#This Row],[Cardio]]</f>
        <v>255.8</v>
      </c>
      <c r="BN226" s="2">
        <f>Table834[[#This Row],[Weight]]*Table834[[#This Row],[Calories]]</f>
        <v>653297.85200000007</v>
      </c>
      <c r="BO226" s="2">
        <f>Table834[[#This Row],[Weight]]*Table834[[#This Row],[Carbs]]</f>
        <v>115626.80126666668</v>
      </c>
      <c r="BP226" s="2">
        <f>Table834[[#This Row],[Weight]]*Table834[[#This Row],[Fat ]]</f>
        <v>15018.273800000003</v>
      </c>
      <c r="BQ226" s="2">
        <f>Table834[[#This Row],[Weight]]*Table834[[#This Row],[Protein]]</f>
        <v>21048.161933333336</v>
      </c>
      <c r="BR226" s="2">
        <f>Table834[[#This Row],[Weight]]*Table834[[#This Row],[Fiber]]</f>
        <v>9832.7814666666673</v>
      </c>
      <c r="BS226" s="2">
        <f>Table834[[#This Row],[Weight]]*Table834[[#This Row],[Sugar]]</f>
        <v>77494.524733333339</v>
      </c>
      <c r="BT226" s="2">
        <f>Table834[[#This Row],[Weight]]*Table834[[#This Row],[Servings]]</f>
        <v>21622.774000000001</v>
      </c>
      <c r="BU226" s="2">
        <f>Table834[[#This Row],[Weight]]*Table834[[#This Row],[Water]]</f>
        <v>383.70000000000005</v>
      </c>
      <c r="BV226" s="2">
        <f>Table834[[#This Row],[Weight]]*Table834[[#This Row],[Fat Calories]]</f>
        <v>135164.46420000002</v>
      </c>
      <c r="BW226" s="2">
        <f>Table834[[#This Row],[Waist]]*Table834[[#This Row],[Neck]]</f>
        <v>742.5</v>
      </c>
      <c r="BX226" s="2">
        <f>Table834[[#This Row],[Waist]]*Table834[[#This Row],[Morning Body Temp]]</f>
        <v>4311</v>
      </c>
      <c r="BY226" s="2">
        <f>Table834[[#This Row],[Waist]]*Table834[[#This Row],[Morning Systolic Pressure]]</f>
        <v>6120</v>
      </c>
      <c r="BZ226" s="2">
        <f>Table834[[#This Row],[Waist]]*Table834[[#This Row],[Morning Diastolic Pressure]]</f>
        <v>3375</v>
      </c>
      <c r="CA226" s="2">
        <f>Table834[[#This Row],[Waist]]*Table834[[#This Row],[Morning Pulse]]</f>
        <v>2700</v>
      </c>
      <c r="CB226" s="2">
        <f>Table834[[#This Row],[Waist]]*Table834[[#This Row],[Night Body Temp]]</f>
        <v>4414.5</v>
      </c>
      <c r="CC226" s="2">
        <f>Table834[[#This Row],[Waist]]*Table834[[#This Row],[Night Systolic Pressure]]</f>
        <v>5940</v>
      </c>
      <c r="CD226" s="4">
        <f>Table83[[#This Row],[Waist]]*Table83[[#This Row],[Night Diastolic Pressure]]</f>
        <v>3420</v>
      </c>
      <c r="CE226" s="2">
        <f>Table834[[#This Row],[Waist]]*Table834[[#This Row],[Night Pulse]]</f>
        <v>4095</v>
      </c>
      <c r="CF226" s="2">
        <f>Table834[[#This Row],[Waist]]*Table834[[#This Row],[Sleep]]</f>
        <v>202.5</v>
      </c>
      <c r="CG226" s="2">
        <f>Table834[[#This Row],[Waist]]*Table834[[#This Row],[BMI]]</f>
        <v>1651.4761224489796</v>
      </c>
      <c r="CH226" s="2">
        <f>Table834[[#This Row],[Waist]]*Table834[[#This Row],[CBF]]</f>
        <v>1469.641256491203</v>
      </c>
      <c r="CI226" s="2">
        <f>Table834[[#This Row],[Waist]]*Table834[[#This Row],[Gym]]</f>
        <v>45</v>
      </c>
      <c r="CJ226" s="2">
        <f>Table834[[#This Row],[Waist]]*Table834[[#This Row],[Cardio]]</f>
        <v>45</v>
      </c>
      <c r="CK226" s="2">
        <f>Table834[[#This Row],[Waist]]*Table834[[#This Row],[Calories]]</f>
        <v>114927.3</v>
      </c>
      <c r="CL226" s="2">
        <f>Table834[[#This Row],[Waist]]*Table834[[#This Row],[Carbs]]</f>
        <v>20340.915000000001</v>
      </c>
      <c r="CM226" s="2">
        <f>Table834[[#This Row],[Waist]]*Table834[[#This Row],[Fat ]]</f>
        <v>2641.9950000000003</v>
      </c>
      <c r="CN226" s="2">
        <f>Table834[[#This Row],[Waist]]*Table834[[#This Row],[Protein]]</f>
        <v>3702.7650000000003</v>
      </c>
      <c r="CO226" s="2">
        <f>Table834[[#This Row],[Waist]]*Table834[[#This Row],[Fiber]]</f>
        <v>1729.7700000000002</v>
      </c>
      <c r="CP226" s="2">
        <f>Table834[[#This Row],[Waist]]*Table834[[#This Row],[Sugar]]</f>
        <v>13632.735000000002</v>
      </c>
      <c r="CQ226" s="2">
        <f>Table834[[#This Row],[Waist]]*Table834[[#This Row],[Servings]]</f>
        <v>3803.85</v>
      </c>
      <c r="CR226" s="2">
        <f>Table834[[#This Row],[Waist]]*Table834[[#This Row],[Water]]</f>
        <v>67.5</v>
      </c>
      <c r="CS226" s="2">
        <f>Table834[[#This Row],[Waist]]*Table834[[#This Row],[Fat Calories]]</f>
        <v>23777.955000000002</v>
      </c>
    </row>
    <row r="227" spans="1:97" x14ac:dyDescent="0.25">
      <c r="A227" s="2">
        <v>255</v>
      </c>
      <c r="B227" s="2">
        <f>Table834[[#This Row],[Weight]]^2</f>
        <v>65025</v>
      </c>
      <c r="C227" s="2">
        <v>45</v>
      </c>
      <c r="D227" s="2">
        <f>Table834[[#This Row],[Waist]]^2</f>
        <v>2025</v>
      </c>
      <c r="E227" s="2">
        <v>16.5</v>
      </c>
      <c r="F227" s="2">
        <f>Table834[[#This Row],[Neck]]^2</f>
        <v>272.25</v>
      </c>
      <c r="G227" s="2">
        <v>95.1</v>
      </c>
      <c r="H227" s="2">
        <f>Table834[[#This Row],[Morning Body Temp]]^2</f>
        <v>9044.0099999999984</v>
      </c>
      <c r="I227" s="2">
        <v>127</v>
      </c>
      <c r="J227" s="2">
        <f>Table834[[#This Row],[Morning Systolic Pressure]]^2</f>
        <v>16129</v>
      </c>
      <c r="K227" s="2">
        <v>70</v>
      </c>
      <c r="L227" s="2">
        <f>Table834[[#This Row],[Morning Diastolic Pressure]]^2</f>
        <v>4900</v>
      </c>
      <c r="M227" s="2">
        <v>63</v>
      </c>
      <c r="N227" s="2">
        <f>Table834[[#This Row],[Morning Pulse]]^2</f>
        <v>3969</v>
      </c>
      <c r="O227" s="2">
        <v>97.1</v>
      </c>
      <c r="P227" s="2">
        <f>Table834[[#This Row],[Night Body Temp]]^2</f>
        <v>9428.409999999998</v>
      </c>
      <c r="Q227" s="2">
        <v>124</v>
      </c>
      <c r="R227" s="2">
        <f>Table834[[#This Row],[Night Systolic Pressure]]^2</f>
        <v>15376</v>
      </c>
      <c r="S227" s="2">
        <v>71</v>
      </c>
      <c r="T227" s="2">
        <f>Table834[[#This Row],[Night Diastolic Pressure]]^2</f>
        <v>5041</v>
      </c>
      <c r="U227" s="2">
        <v>95</v>
      </c>
      <c r="V227" s="2">
        <f>Table834[[#This Row],[Night Pulse]]^2</f>
        <v>9025</v>
      </c>
      <c r="W227" s="2">
        <v>4.5</v>
      </c>
      <c r="X227" s="2">
        <f>Table834[[#This Row],[Sleep]]^2</f>
        <v>20.25</v>
      </c>
      <c r="Y227" s="2">
        <f t="shared" si="7"/>
        <v>36.584693877551018</v>
      </c>
      <c r="Z227" s="2">
        <f>Table834[[#This Row],[BMI]]^2</f>
        <v>1338.4398261141189</v>
      </c>
      <c r="AA227" s="2">
        <f t="shared" si="6"/>
        <v>32.6586945886934</v>
      </c>
      <c r="AB227" s="2">
        <f>Table834[[#This Row],[CBF]]^2</f>
        <v>1066.5903322375516</v>
      </c>
      <c r="AC227" s="2">
        <v>1</v>
      </c>
      <c r="AD227" s="2">
        <f>Table834[[#This Row],[Gym]]^2</f>
        <v>1</v>
      </c>
      <c r="AE227" s="2">
        <v>1</v>
      </c>
      <c r="AF227" s="2">
        <f>Table834[[#This Row],[Cardio]]^2</f>
        <v>1</v>
      </c>
      <c r="AG227" s="2">
        <v>8019</v>
      </c>
      <c r="AH227" s="2">
        <f>Table834[[#This Row],[Calories]]^2</f>
        <v>64304361</v>
      </c>
      <c r="AI227" s="2">
        <v>976.6</v>
      </c>
      <c r="AJ227" s="2">
        <f>Table834[[#This Row],[Carbs]]^2</f>
        <v>953747.56</v>
      </c>
      <c r="AK227" s="2">
        <v>282.3</v>
      </c>
      <c r="AL227" s="2">
        <f>Table834[[#This Row],[Fat ]]^2</f>
        <v>79693.290000000008</v>
      </c>
      <c r="AM227" s="2">
        <v>196.6</v>
      </c>
      <c r="AN227" s="2">
        <f>Table834[[#This Row],[Protein]]^2</f>
        <v>38651.56</v>
      </c>
      <c r="AO227" s="2">
        <v>44.3</v>
      </c>
      <c r="AP227" s="2">
        <f>Table834[[#This Row],[Fiber]]^2</f>
        <v>1962.4899999999998</v>
      </c>
      <c r="AQ227" s="2">
        <v>481.8</v>
      </c>
      <c r="AR227" s="2">
        <f>Table834[[#This Row],[Sugar]]^2</f>
        <v>232131.24000000002</v>
      </c>
      <c r="AS227" s="2">
        <v>64.5</v>
      </c>
      <c r="AT227" s="2">
        <f>Table834[[#This Row],[Servings]]^2</f>
        <v>4160.25</v>
      </c>
      <c r="AU227" s="2">
        <v>1</v>
      </c>
      <c r="AV227" s="2">
        <f>Table834[[#This Row],[Water]]^2</f>
        <v>1</v>
      </c>
      <c r="AW227" s="2">
        <v>2540.6999999999998</v>
      </c>
      <c r="AX227" s="2">
        <f>Table834[[#This Row],[Fat Calories]]^2</f>
        <v>6455156.4899999993</v>
      </c>
      <c r="AY227" s="7">
        <f>Table834[[#This Row],[Weight]]*Table834[[#This Row],[Waist]]</f>
        <v>11475</v>
      </c>
      <c r="AZ227" s="8">
        <f>Table834[[#This Row],[Weight]]*Table834[[#This Row],[Neck]]</f>
        <v>4207.5</v>
      </c>
      <c r="BA227" s="8">
        <f>Table834[[#This Row],[Weight]]*Table834[[#This Row],[Morning Body Temp]]</f>
        <v>24250.5</v>
      </c>
      <c r="BB227" s="8">
        <f>Table834[[#This Row],[Weight]]*Table834[[#This Row],[Morning Systolic Pressure]]</f>
        <v>32385</v>
      </c>
      <c r="BC227" s="13">
        <f>Table834[[#This Row],[Weight]]*Table834[[#This Row],[Morning Diastolic Pressure]]</f>
        <v>17850</v>
      </c>
      <c r="BD227" s="2">
        <f>Table834[[#This Row],[Weight]]*Table834[[#This Row],[Morning Pulse]]</f>
        <v>16065</v>
      </c>
      <c r="BE227" s="2">
        <f>Table834[[#This Row],[Weight]]*Table834[[#This Row],[Night Body Temp]]</f>
        <v>24760.5</v>
      </c>
      <c r="BF227" s="2">
        <f>Table834[[#This Row],[Weight]]*Table834[[#This Row],[Night Systolic Pressure]]</f>
        <v>31620</v>
      </c>
      <c r="BG227" s="4">
        <f>Table83[[#This Row],[Weight]]*Table83[[#This Row],[Night Diastolic Pressure]]</f>
        <v>18105</v>
      </c>
      <c r="BH227" s="2">
        <f>Table834[[#This Row],[Weight]]*Table834[[#This Row],[Night Pulse]]</f>
        <v>24225</v>
      </c>
      <c r="BI227" s="2">
        <f>Table834[[#This Row],[Weight]]*Table834[[#This Row],[Sleep]]</f>
        <v>1147.5</v>
      </c>
      <c r="BJ227" s="2">
        <f>Table834[[#This Row],[Weight]]*Table834[[#This Row],[BMI]]</f>
        <v>9329.0969387755104</v>
      </c>
      <c r="BK227" s="2">
        <f>Table834[[#This Row],[Weight]]*Table834[[#This Row],[CBF]]</f>
        <v>8327.9671201168167</v>
      </c>
      <c r="BL227" s="2">
        <f>Table834[[#This Row],[Weight]]*Table834[[#This Row],[Gym]]</f>
        <v>255</v>
      </c>
      <c r="BM227" s="2">
        <f>Table834[[#This Row],[Weight]]*Table834[[#This Row],[Cardio]]</f>
        <v>255</v>
      </c>
      <c r="BN227" s="2">
        <f>Table834[[#This Row],[Weight]]*Table834[[#This Row],[Calories]]</f>
        <v>2044845</v>
      </c>
      <c r="BO227" s="2">
        <f>Table834[[#This Row],[Weight]]*Table834[[#This Row],[Carbs]]</f>
        <v>249033</v>
      </c>
      <c r="BP227" s="2">
        <f>Table834[[#This Row],[Weight]]*Table834[[#This Row],[Fat ]]</f>
        <v>71986.5</v>
      </c>
      <c r="BQ227" s="2">
        <f>Table834[[#This Row],[Weight]]*Table834[[#This Row],[Protein]]</f>
        <v>50133</v>
      </c>
      <c r="BR227" s="2">
        <f>Table834[[#This Row],[Weight]]*Table834[[#This Row],[Fiber]]</f>
        <v>11296.5</v>
      </c>
      <c r="BS227" s="2">
        <f>Table834[[#This Row],[Weight]]*Table834[[#This Row],[Sugar]]</f>
        <v>122859</v>
      </c>
      <c r="BT227" s="2">
        <f>Table834[[#This Row],[Weight]]*Table834[[#This Row],[Servings]]</f>
        <v>16447.5</v>
      </c>
      <c r="BU227" s="2">
        <f>Table834[[#This Row],[Weight]]*Table834[[#This Row],[Water]]</f>
        <v>255</v>
      </c>
      <c r="BV227" s="2">
        <f>Table834[[#This Row],[Weight]]*Table834[[#This Row],[Fat Calories]]</f>
        <v>647878.5</v>
      </c>
      <c r="BW227" s="2">
        <f>Table834[[#This Row],[Waist]]*Table834[[#This Row],[Neck]]</f>
        <v>742.5</v>
      </c>
      <c r="BX227" s="2">
        <f>Table834[[#This Row],[Waist]]*Table834[[#This Row],[Morning Body Temp]]</f>
        <v>4279.5</v>
      </c>
      <c r="BY227" s="2">
        <f>Table834[[#This Row],[Waist]]*Table834[[#This Row],[Morning Systolic Pressure]]</f>
        <v>5715</v>
      </c>
      <c r="BZ227" s="2">
        <f>Table834[[#This Row],[Waist]]*Table834[[#This Row],[Morning Diastolic Pressure]]</f>
        <v>3150</v>
      </c>
      <c r="CA227" s="2">
        <f>Table834[[#This Row],[Waist]]*Table834[[#This Row],[Morning Pulse]]</f>
        <v>2835</v>
      </c>
      <c r="CB227" s="2">
        <f>Table834[[#This Row],[Waist]]*Table834[[#This Row],[Night Body Temp]]</f>
        <v>4369.5</v>
      </c>
      <c r="CC227" s="2">
        <f>Table834[[#This Row],[Waist]]*Table834[[#This Row],[Night Systolic Pressure]]</f>
        <v>5580</v>
      </c>
      <c r="CD227" s="4">
        <f>Table83[[#This Row],[Waist]]*Table83[[#This Row],[Night Diastolic Pressure]]</f>
        <v>3195</v>
      </c>
      <c r="CE227" s="2">
        <f>Table834[[#This Row],[Waist]]*Table834[[#This Row],[Night Pulse]]</f>
        <v>4275</v>
      </c>
      <c r="CF227" s="2">
        <f>Table834[[#This Row],[Waist]]*Table834[[#This Row],[Sleep]]</f>
        <v>202.5</v>
      </c>
      <c r="CG227" s="2">
        <f>Table834[[#This Row],[Waist]]*Table834[[#This Row],[BMI]]</f>
        <v>1646.3112244897959</v>
      </c>
      <c r="CH227" s="2">
        <f>Table834[[#This Row],[Waist]]*Table834[[#This Row],[CBF]]</f>
        <v>1469.641256491203</v>
      </c>
      <c r="CI227" s="2">
        <f>Table834[[#This Row],[Waist]]*Table834[[#This Row],[Gym]]</f>
        <v>45</v>
      </c>
      <c r="CJ227" s="2">
        <f>Table834[[#This Row],[Waist]]*Table834[[#This Row],[Cardio]]</f>
        <v>45</v>
      </c>
      <c r="CK227" s="2">
        <f>Table834[[#This Row],[Waist]]*Table834[[#This Row],[Calories]]</f>
        <v>360855</v>
      </c>
      <c r="CL227" s="2">
        <f>Table834[[#This Row],[Waist]]*Table834[[#This Row],[Carbs]]</f>
        <v>43947</v>
      </c>
      <c r="CM227" s="2">
        <f>Table834[[#This Row],[Waist]]*Table834[[#This Row],[Fat ]]</f>
        <v>12703.5</v>
      </c>
      <c r="CN227" s="2">
        <f>Table834[[#This Row],[Waist]]*Table834[[#This Row],[Protein]]</f>
        <v>8847</v>
      </c>
      <c r="CO227" s="2">
        <f>Table834[[#This Row],[Waist]]*Table834[[#This Row],[Fiber]]</f>
        <v>1993.4999999999998</v>
      </c>
      <c r="CP227" s="2">
        <f>Table834[[#This Row],[Waist]]*Table834[[#This Row],[Sugar]]</f>
        <v>21681</v>
      </c>
      <c r="CQ227" s="2">
        <f>Table834[[#This Row],[Waist]]*Table834[[#This Row],[Servings]]</f>
        <v>2902.5</v>
      </c>
      <c r="CR227" s="2">
        <f>Table834[[#This Row],[Waist]]*Table834[[#This Row],[Water]]</f>
        <v>45</v>
      </c>
      <c r="CS227" s="2">
        <f>Table834[[#This Row],[Waist]]*Table834[[#This Row],[Fat Calories]]</f>
        <v>114331.49999999999</v>
      </c>
    </row>
  </sheetData>
  <phoneticPr fontId="1" type="noConversion"/>
  <pageMargins left="0.25" right="0.25" top="0.75" bottom="0.75" header="0.3" footer="0.3"/>
  <pageSetup paperSize="5" fitToHeight="0"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1A13-EDB1-4A05-A897-5E302C55A65B}">
  <dimension ref="A1"/>
  <sheetViews>
    <sheetView zoomScale="85" zoomScaleNormal="85" workbookViewId="0">
      <selection activeCell="I33" sqref="I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44D5-73C0-4352-8DB4-9893637DA781}">
  <dimension ref="A1"/>
  <sheetViews>
    <sheetView zoomScale="85" zoomScaleNormal="85" workbookViewId="0">
      <selection activeCell="I33" sqref="I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CF61-D725-4280-A63A-0147583CE302}">
  <dimension ref="A1:AB42"/>
  <sheetViews>
    <sheetView workbookViewId="0">
      <selection activeCell="E11" sqref="E11"/>
    </sheetView>
  </sheetViews>
  <sheetFormatPr defaultRowHeight="15" x14ac:dyDescent="0.25"/>
  <cols>
    <col min="1" max="1" width="11.7109375" style="18" customWidth="1"/>
    <col min="2" max="6" width="20.5703125" customWidth="1"/>
    <col min="7" max="7" width="22.7109375" customWidth="1"/>
    <col min="8" max="26" width="20.5703125" customWidth="1"/>
  </cols>
  <sheetData>
    <row r="1" spans="1:28" s="18" customFormat="1" x14ac:dyDescent="0.25">
      <c r="B1" s="18" t="s">
        <v>28</v>
      </c>
      <c r="C1" s="18" t="s">
        <v>29</v>
      </c>
      <c r="D1" s="18" t="s">
        <v>30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31</v>
      </c>
      <c r="Z1" s="18" t="s">
        <v>25</v>
      </c>
    </row>
    <row r="2" spans="1:28" x14ac:dyDescent="0.25">
      <c r="A2" s="18" t="s">
        <v>49</v>
      </c>
      <c r="B2" s="2">
        <f>B4-(226*(B3^2))</f>
        <v>7969.9688495248556</v>
      </c>
      <c r="C2" s="2">
        <f t="shared" ref="C2:Z2" si="0">C4-(226*(C3^2))</f>
        <v>190.26216814166401</v>
      </c>
      <c r="D2" s="2">
        <f t="shared" si="0"/>
        <v>12.278761061941623</v>
      </c>
      <c r="E2" s="2">
        <f t="shared" si="0"/>
        <v>114.02657743729651</v>
      </c>
      <c r="F2" s="2">
        <f t="shared" si="0"/>
        <v>18755.079646016937</v>
      </c>
      <c r="G2" s="2">
        <f t="shared" si="0"/>
        <v>8135.2787610618398</v>
      </c>
      <c r="H2" s="2">
        <f t="shared" si="0"/>
        <v>14934.570796460146</v>
      </c>
      <c r="I2" s="2">
        <f t="shared" si="0"/>
        <v>104.29504424752668</v>
      </c>
      <c r="J2" s="2">
        <f t="shared" si="0"/>
        <v>29804.637168142479</v>
      </c>
      <c r="K2" s="2">
        <f t="shared" si="0"/>
        <v>9863.7522123893723</v>
      </c>
      <c r="L2" s="2">
        <f t="shared" si="0"/>
        <v>19192.265486725839</v>
      </c>
      <c r="M2" s="2">
        <f t="shared" si="0"/>
        <v>2745.8595132743358</v>
      </c>
      <c r="N2" s="2">
        <f t="shared" si="0"/>
        <v>164.04957664146787</v>
      </c>
      <c r="O2" s="2">
        <f t="shared" si="0"/>
        <v>264.13851516330033</v>
      </c>
      <c r="P2" s="2">
        <f t="shared" si="0"/>
        <v>56.38938053097344</v>
      </c>
      <c r="Q2" s="2">
        <f t="shared" si="0"/>
        <v>54.902654867256643</v>
      </c>
      <c r="R2" s="2">
        <f t="shared" si="0"/>
        <v>736201475.82446003</v>
      </c>
      <c r="S2" s="2">
        <f t="shared" si="0"/>
        <v>16780731.912904792</v>
      </c>
      <c r="T2" s="2">
        <f t="shared" si="0"/>
        <v>1124679.3434520559</v>
      </c>
      <c r="U2" s="2">
        <f t="shared" si="0"/>
        <v>487245.63752631238</v>
      </c>
      <c r="V2" s="2">
        <f t="shared" si="0"/>
        <v>70691.702388837904</v>
      </c>
      <c r="W2" s="2">
        <f t="shared" si="0"/>
        <v>8440451.6818645503</v>
      </c>
      <c r="X2" s="2">
        <f t="shared" si="0"/>
        <v>382224.85188503307</v>
      </c>
      <c r="Y2" s="2">
        <f t="shared" si="0"/>
        <v>178.3511187214616</v>
      </c>
      <c r="Z2" s="2">
        <f t="shared" si="0"/>
        <v>89875995.022298843</v>
      </c>
    </row>
    <row r="3" spans="1:28" x14ac:dyDescent="0.25">
      <c r="A3" s="18" t="s">
        <v>37</v>
      </c>
      <c r="B3" s="2">
        <v>255.11504424778781</v>
      </c>
      <c r="C3" s="2">
        <v>44.453539823008846</v>
      </c>
      <c r="D3" s="2">
        <v>16.628318584070797</v>
      </c>
      <c r="E3" s="2">
        <v>96.578805309734406</v>
      </c>
      <c r="F3" s="2">
        <v>131.65486725663717</v>
      </c>
      <c r="G3" s="2">
        <v>77.128318584070797</v>
      </c>
      <c r="H3" s="2">
        <v>71.23451327433628</v>
      </c>
      <c r="I3" s="2">
        <v>97.256637168141594</v>
      </c>
      <c r="J3" s="2">
        <v>134.20353982300884</v>
      </c>
      <c r="K3" s="2">
        <v>76.442477876106196</v>
      </c>
      <c r="L3" s="2">
        <v>73.159292035398224</v>
      </c>
      <c r="M3" s="2">
        <v>7.860619469026549</v>
      </c>
      <c r="N3" s="2">
        <v>36.601199205345878</v>
      </c>
      <c r="O3" s="2">
        <v>31.747913711657727</v>
      </c>
      <c r="P3" s="2">
        <v>0.52212389380530977</v>
      </c>
      <c r="Q3" s="2">
        <v>0.41592920353982299</v>
      </c>
      <c r="R3" s="2">
        <v>2914.355339566785</v>
      </c>
      <c r="S3" s="2">
        <v>397.84503909680592</v>
      </c>
      <c r="T3" s="2">
        <v>105.42853820488766</v>
      </c>
      <c r="U3" s="2">
        <v>101.34424305957447</v>
      </c>
      <c r="V3" s="2">
        <v>27.785301097179005</v>
      </c>
      <c r="W3" s="2">
        <v>239.28876055938792</v>
      </c>
      <c r="X3" s="2">
        <v>56.434764079147627</v>
      </c>
      <c r="Y3" s="2">
        <v>1.1025114155251137</v>
      </c>
      <c r="Z3" s="2">
        <v>942.01611325038073</v>
      </c>
    </row>
    <row r="4" spans="1:28" x14ac:dyDescent="0.25">
      <c r="A4" s="18" t="s">
        <v>124</v>
      </c>
      <c r="B4" s="2">
        <f>SUM(Table834[Weight^2])</f>
        <v>14716882.95999999</v>
      </c>
      <c r="C4" s="2">
        <f>SUM(Table834[Waist^2])</f>
        <v>446792.75</v>
      </c>
      <c r="D4" s="2">
        <f>SUM(Table834[Neck^2])</f>
        <v>62501.5</v>
      </c>
      <c r="E4" s="2">
        <f>SUM(Table834[Morning Temp^2])</f>
        <v>2108121.2600999991</v>
      </c>
      <c r="F4" s="2">
        <f>SUM(Table834[Morning Sys^2])</f>
        <v>3936014</v>
      </c>
      <c r="G4" s="2">
        <f>SUM(Table834[Morning Dia^2])</f>
        <v>1352559</v>
      </c>
      <c r="H4" s="2">
        <f>SUM(Table834[Morning Pulse^2])</f>
        <v>1161739</v>
      </c>
      <c r="I4" s="2">
        <f>SUM(Table834[Night Temp^2])</f>
        <v>2137805.1800000002</v>
      </c>
      <c r="J4" s="2">
        <f>SUM(Table834[Night Sys^2])</f>
        <v>4100198</v>
      </c>
      <c r="K4" s="2">
        <f>SUM(Table834[Night Dia^2])</f>
        <v>1330484</v>
      </c>
      <c r="L4" s="2">
        <f>SUM(Table834[Night Pulse^2])</f>
        <v>1228808</v>
      </c>
      <c r="M4" s="2">
        <f>SUM(Table834[Sleep^2])</f>
        <v>16710.25</v>
      </c>
      <c r="N4" s="2">
        <f>SUM(Table834[BMI^2])</f>
        <v>302924.44859552855</v>
      </c>
      <c r="O4" s="2">
        <f>SUM(Table834[CBF^2])</f>
        <v>228056.32417485071</v>
      </c>
      <c r="P4" s="2">
        <f>SUM(Table834[Gym^2])</f>
        <v>118</v>
      </c>
      <c r="Q4" s="2">
        <f>SUM(Table834[Cardio^2])</f>
        <v>94</v>
      </c>
      <c r="R4" s="2">
        <f>SUM(Table834[Calories^2])</f>
        <v>2655725028.0535436</v>
      </c>
      <c r="S4" s="2">
        <f>SUM(Table834[Carbs^2])</f>
        <v>52552164.493175007</v>
      </c>
      <c r="T4" s="2">
        <f>SUM(Table834[Fat^2])</f>
        <v>3636709.2704244531</v>
      </c>
      <c r="U4" s="2">
        <f>SUM(Table834[Protein^2])</f>
        <v>2808413.8034242047</v>
      </c>
      <c r="V4" s="2">
        <f>SUM(Table834[Fiber^2])</f>
        <v>245168.8906846006</v>
      </c>
      <c r="W4" s="2">
        <f>SUM(Table834[Sugar^2])</f>
        <v>21381010.752055418</v>
      </c>
      <c r="X4" s="2">
        <f>SUM(Table834[Servings^2])</f>
        <v>1102008.3187322386</v>
      </c>
      <c r="Y4" s="2">
        <f>SUM(Table834[Water^2])</f>
        <v>453.06121994954248</v>
      </c>
      <c r="Z4" s="2">
        <f>SUM(Table834[Fat Cal^2])</f>
        <v>290427119.84517688</v>
      </c>
      <c r="AA4" s="2"/>
      <c r="AB4" s="2"/>
    </row>
    <row r="6" spans="1:28" x14ac:dyDescent="0.25">
      <c r="B6" s="18" t="s">
        <v>51</v>
      </c>
      <c r="C6" s="18" t="s">
        <v>77</v>
      </c>
      <c r="D6" s="18" t="s">
        <v>78</v>
      </c>
      <c r="E6" s="18" t="s">
        <v>79</v>
      </c>
      <c r="F6" s="18" t="s">
        <v>80</v>
      </c>
      <c r="G6" s="18" t="s">
        <v>81</v>
      </c>
      <c r="H6" s="18" t="s">
        <v>82</v>
      </c>
      <c r="I6" s="18" t="s">
        <v>83</v>
      </c>
      <c r="J6" s="18" t="s">
        <v>84</v>
      </c>
      <c r="K6" s="18" t="s">
        <v>85</v>
      </c>
      <c r="L6" s="18" t="s">
        <v>86</v>
      </c>
      <c r="M6" s="18" t="s">
        <v>87</v>
      </c>
      <c r="N6" s="18" t="s">
        <v>88</v>
      </c>
      <c r="O6" s="18" t="s">
        <v>89</v>
      </c>
      <c r="P6" s="18" t="s">
        <v>90</v>
      </c>
      <c r="Q6" s="18" t="s">
        <v>91</v>
      </c>
      <c r="R6" s="18" t="s">
        <v>92</v>
      </c>
      <c r="S6" s="18" t="s">
        <v>93</v>
      </c>
      <c r="T6" s="18" t="s">
        <v>94</v>
      </c>
      <c r="U6" s="18" t="s">
        <v>95</v>
      </c>
      <c r="V6" s="18" t="s">
        <v>96</v>
      </c>
      <c r="W6" s="18" t="s">
        <v>97</v>
      </c>
      <c r="X6" s="18" t="s">
        <v>98</v>
      </c>
      <c r="Y6" s="18" t="s">
        <v>99</v>
      </c>
    </row>
    <row r="7" spans="1:28" x14ac:dyDescent="0.25">
      <c r="A7" s="18" t="s">
        <v>50</v>
      </c>
      <c r="B7" s="2">
        <f>SUM(Table834[Weight v Waist])</f>
        <v>2564099.3000000007</v>
      </c>
      <c r="C7" s="2">
        <f>SUM(Table834[Weight v Neck])</f>
        <v>958896.69999999937</v>
      </c>
      <c r="D7" s="2">
        <f>SUM(Table834[Weight v Morning Temp])</f>
        <v>5568427.8719999958</v>
      </c>
      <c r="E7" s="2">
        <f>SUM(Table834[Weight v Morning Sys])</f>
        <v>7589847.6000000015</v>
      </c>
      <c r="F7" s="2">
        <f>SUM(Table834[Weight v Morning Dia])</f>
        <v>4447734.8</v>
      </c>
      <c r="G7" s="2">
        <f>SUM(Table834[Weight v Morning Pulse])</f>
        <v>4107069.7999999984</v>
      </c>
      <c r="H7" s="2">
        <f>SUM(Table834[Weight v Night Temp])</f>
        <v>5607535.7800000003</v>
      </c>
      <c r="I7" s="2">
        <f>SUM(Table834[Weight v Night Sys])</f>
        <v>7734580.0000000009</v>
      </c>
      <c r="J7" s="2">
        <f>SUM(Table834[Weight v Night Dia])</f>
        <v>4406965.4000000032</v>
      </c>
      <c r="K7" s="2">
        <f>SUM(Table834[Weight v Night Pulse])</f>
        <v>4218661.6000000006</v>
      </c>
      <c r="L7" s="2">
        <f>SUM(Table834[Weight v Sleep])</f>
        <v>453644.99999999977</v>
      </c>
      <c r="M7" s="2">
        <f>SUM(Table834[Weight v BMI])</f>
        <v>2111422.1879346916</v>
      </c>
      <c r="N7" s="2">
        <f>SUM(Table834[Weight v CBF])</f>
        <v>1831665.0518350822</v>
      </c>
      <c r="O7" s="2">
        <f>SUM(Table834[Weight v Gym])</f>
        <v>30145.200000000008</v>
      </c>
      <c r="P7" s="2">
        <f>SUM(Table834[Weight v Cardio])</f>
        <v>24102.599999999995</v>
      </c>
      <c r="Q7" s="2">
        <f>SUM(Table834[Weight v Calories])</f>
        <v>167729173.76769277</v>
      </c>
      <c r="R7" s="2">
        <f>SUM(Table834[Weight v Carbs])</f>
        <v>22885353.885261983</v>
      </c>
      <c r="S7" s="2">
        <f>SUM(Table834[Weight v Fat])</f>
        <v>6071828.4617407909</v>
      </c>
      <c r="T7" s="2">
        <f>SUM(Table834[Weight v Protein])</f>
        <v>5834590.6078556329</v>
      </c>
      <c r="U7" s="2">
        <f>SUM(Table834[Weight v Fiber])</f>
        <v>1602713.9925964447</v>
      </c>
      <c r="V7" s="2">
        <f>SUM(Table834[Weight v Sugar])</f>
        <v>13735747.384397956</v>
      </c>
      <c r="W7" s="2">
        <f>SUM(Table834[Weight v Servings])</f>
        <v>3239192.2569010663</v>
      </c>
      <c r="X7" s="2">
        <f>SUM(Table834[Weight v Water])</f>
        <v>63581.670730593614</v>
      </c>
      <c r="Y7" s="2">
        <f>SUM(Table834[Weight v Fat Calories])</f>
        <v>54249007.500909135</v>
      </c>
    </row>
    <row r="8" spans="1:28" x14ac:dyDescent="0.25">
      <c r="A8" s="18" t="s">
        <v>48</v>
      </c>
      <c r="B8" s="2">
        <f>B7-(226*B3*C3)</f>
        <v>1086.0079646008089</v>
      </c>
      <c r="C8" s="2">
        <f>C7-(226*$B$3*D3)</f>
        <v>174.36371681280434</v>
      </c>
      <c r="D8" s="2">
        <f t="shared" ref="D8" si="1">D7-(226*$B$3*E3)</f>
        <v>80.273061945103109</v>
      </c>
      <c r="E8" s="2">
        <f t="shared" ref="E8" si="2">E7-(226*$B$3*F3)</f>
        <v>-845.42654867749661</v>
      </c>
      <c r="F8" s="2">
        <f t="shared" ref="F8" si="3">F7-(226*$B$3*G3)</f>
        <v>824.46371681056917</v>
      </c>
      <c r="G8" s="2">
        <f t="shared" ref="G8" si="4">G7-(226*$B$3*H3)</f>
        <v>-27.297345137223601</v>
      </c>
      <c r="H8" s="2">
        <f t="shared" ref="H8" si="5">H7-(226*$B$3*I3)</f>
        <v>107.1074336245656</v>
      </c>
      <c r="I8" s="2">
        <f t="shared" ref="I8" si="6">I7-(226*$B$3*J3)</f>
        <v>-3059.2920354027301</v>
      </c>
      <c r="J8" s="2">
        <f t="shared" ref="J8" si="7">J7-(226*$B$3*K3)</f>
        <v>-402.10442477930337</v>
      </c>
      <c r="K8" s="2">
        <f t="shared" ref="K8" si="8">K7-(226*$B$3*L3)</f>
        <v>589.458407077007</v>
      </c>
      <c r="L8" s="2">
        <f t="shared" ref="L8" si="9">L7-(226*$B$3*M3)</f>
        <v>433.12389380473178</v>
      </c>
      <c r="M8" s="2">
        <f t="shared" ref="M8" si="10">M7-(226*$B$3*N3)</f>
        <v>1143.446551267989</v>
      </c>
      <c r="N8" s="2">
        <f t="shared" ref="N8" si="11">N7-(226*$B$3*O3)</f>
        <v>1207.338875742862</v>
      </c>
      <c r="O8" s="2">
        <f t="shared" ref="O8" si="12">O7-(226*$B$3*P3)</f>
        <v>41.624778761044581</v>
      </c>
      <c r="P8" s="2">
        <f t="shared" ref="P8" si="13">P7-(226*$B$3*Q3)</f>
        <v>121.78584070794386</v>
      </c>
      <c r="Q8" s="2">
        <f t="shared" ref="Q8" si="14">Q7-(226*$B$3*R3)</f>
        <v>-300897.69036990404</v>
      </c>
      <c r="R8" s="2">
        <f t="shared" ref="R8" si="15">R7-(226*$B$3*S3)</f>
        <v>-52799.688903477043</v>
      </c>
      <c r="S8" s="2">
        <f t="shared" ref="S8" si="16">S7-(226*$B$3*T3)</f>
        <v>-6759.3370002163574</v>
      </c>
      <c r="T8" s="2">
        <f t="shared" ref="T8" si="17">T7-(226*$B$3*U3)</f>
        <v>-8513.0699871974066</v>
      </c>
      <c r="U8" s="2">
        <f t="shared" ref="U8" si="18">U7-(226*$B$3*V3)</f>
        <v>724.67253749072552</v>
      </c>
      <c r="V8" s="2">
        <f t="shared" ref="V8" si="19">V7-(226*$B$3*W3)</f>
        <v>-60685.39441412501</v>
      </c>
      <c r="W8" s="2">
        <f t="shared" ref="W8" si="20">W7-(226*$B$3*X3)</f>
        <v>-14610.500846271869</v>
      </c>
      <c r="X8" s="2">
        <f t="shared" ref="X8" si="21">X7-(226*$B$3*Y3)</f>
        <v>15.272557077609235</v>
      </c>
      <c r="Y8" s="2">
        <f t="shared" ref="Y8" si="22">Y7-(226*$B$3*Z3)</f>
        <v>-63873.524654857814</v>
      </c>
    </row>
    <row r="9" spans="1:28" x14ac:dyDescent="0.25">
      <c r="A9" s="18" t="s">
        <v>125</v>
      </c>
      <c r="B9" s="2">
        <f>B8/C2</f>
        <v>5.707955371307432</v>
      </c>
      <c r="C9" s="2">
        <f t="shared" ref="C9:Y9" si="23">C8/D2</f>
        <v>14.20043243232819</v>
      </c>
      <c r="D9" s="2">
        <f t="shared" si="23"/>
        <v>0.70398554222365795</v>
      </c>
      <c r="E9" s="2">
        <f t="shared" si="23"/>
        <v>-4.5077203863383326E-2</v>
      </c>
      <c r="F9" s="2">
        <f t="shared" si="23"/>
        <v>0.10134424904487942</v>
      </c>
      <c r="G9" s="2">
        <f t="shared" si="23"/>
        <v>-1.8277957571900046E-3</v>
      </c>
      <c r="H9" s="2">
        <f t="shared" si="23"/>
        <v>1.0269657048168481</v>
      </c>
      <c r="I9" s="2">
        <f t="shared" si="23"/>
        <v>-0.10264483402846923</v>
      </c>
      <c r="J9" s="2">
        <f t="shared" si="23"/>
        <v>-4.076586841610233E-2</v>
      </c>
      <c r="K9" s="2">
        <f t="shared" si="23"/>
        <v>3.0713331236726624E-2</v>
      </c>
      <c r="L9" s="2">
        <f t="shared" si="23"/>
        <v>0.15773709168691138</v>
      </c>
      <c r="M9" s="2">
        <f t="shared" si="23"/>
        <v>6.9701280227440261</v>
      </c>
      <c r="N9" s="2">
        <f t="shared" si="23"/>
        <v>4.5708550871365343</v>
      </c>
      <c r="O9" s="2">
        <f t="shared" si="23"/>
        <v>0.7381669805395541</v>
      </c>
      <c r="P9" s="2">
        <f t="shared" si="23"/>
        <v>2.2182140554477199</v>
      </c>
      <c r="Q9" s="2">
        <f t="shared" si="23"/>
        <v>-4.0871649983169843E-4</v>
      </c>
      <c r="R9" s="2">
        <f t="shared" si="23"/>
        <v>-3.1464473169297699E-3</v>
      </c>
      <c r="S9" s="2">
        <f t="shared" si="23"/>
        <v>-6.0100125778690464E-3</v>
      </c>
      <c r="T9" s="2">
        <f t="shared" si="23"/>
        <v>-1.7471823925232541E-2</v>
      </c>
      <c r="U9" s="2">
        <f t="shared" si="23"/>
        <v>1.025116828428721E-2</v>
      </c>
      <c r="V9" s="2">
        <f t="shared" si="23"/>
        <v>-7.1898278316687445E-3</v>
      </c>
      <c r="W9" s="2">
        <f t="shared" si="23"/>
        <v>-3.8224884578322675E-2</v>
      </c>
      <c r="X9" s="2">
        <f t="shared" si="23"/>
        <v>8.5631966802860518E-2</v>
      </c>
      <c r="Y9" s="15">
        <f t="shared" si="23"/>
        <v>-7.1068503485285873E-4</v>
      </c>
    </row>
    <row r="10" spans="1:28" x14ac:dyDescent="0.25">
      <c r="A10" s="18" t="s">
        <v>126</v>
      </c>
      <c r="B10" s="2">
        <f>$B$3-(B9*C3)</f>
        <v>1.3762228414156255</v>
      </c>
      <c r="C10" s="2">
        <f t="shared" ref="C10:Y10" si="24">$B$3-(C9*D3)</f>
        <v>18.985729731463294</v>
      </c>
      <c r="D10" s="2">
        <f t="shared" si="24"/>
        <v>187.12496162450134</v>
      </c>
      <c r="E10" s="2">
        <f t="shared" si="24"/>
        <v>261.04967753872194</v>
      </c>
      <c r="F10" s="2">
        <f t="shared" si="24"/>
        <v>247.29853272079094</v>
      </c>
      <c r="G10" s="2">
        <f t="shared" si="24"/>
        <v>255.24524638891614</v>
      </c>
      <c r="H10" s="2">
        <f t="shared" si="24"/>
        <v>155.23581331029081</v>
      </c>
      <c r="I10" s="2">
        <f t="shared" si="24"/>
        <v>268.89034431895362</v>
      </c>
      <c r="J10" s="2">
        <f t="shared" si="24"/>
        <v>258.23128824228598</v>
      </c>
      <c r="K10" s="2">
        <f t="shared" si="24"/>
        <v>252.86807867846019</v>
      </c>
      <c r="L10" s="2">
        <f t="shared" si="24"/>
        <v>253.87513299388604</v>
      </c>
      <c r="M10" s="2">
        <f t="shared" si="24"/>
        <v>5.7011106946447399E-10</v>
      </c>
      <c r="N10" s="2">
        <f t="shared" si="24"/>
        <v>109.99993135288534</v>
      </c>
      <c r="O10" s="2">
        <f t="shared" si="24"/>
        <v>254.72962962962998</v>
      </c>
      <c r="P10" s="2">
        <f t="shared" si="24"/>
        <v>254.19242424242461</v>
      </c>
      <c r="Q10" s="2">
        <f t="shared" si="24"/>
        <v>256.30618936144134</v>
      </c>
      <c r="R10" s="2">
        <f t="shared" si="24"/>
        <v>256.36684270360774</v>
      </c>
      <c r="S10" s="2">
        <f t="shared" si="24"/>
        <v>255.74867108846553</v>
      </c>
      <c r="T10" s="2">
        <f t="shared" si="24"/>
        <v>256.88571301836066</v>
      </c>
      <c r="U10" s="2">
        <f t="shared" si="24"/>
        <v>254.83021245041104</v>
      </c>
      <c r="V10" s="2">
        <f t="shared" si="24"/>
        <v>256.83548923826322</v>
      </c>
      <c r="W10" s="2">
        <f t="shared" si="24"/>
        <v>257.27225659091812</v>
      </c>
      <c r="X10" s="2">
        <f t="shared" si="24"/>
        <v>255.0206340268538</v>
      </c>
      <c r="Y10" s="2">
        <f t="shared" si="24"/>
        <v>255.78452100206511</v>
      </c>
    </row>
    <row r="11" spans="1:28" ht="60" x14ac:dyDescent="0.25">
      <c r="A11" s="18" t="s">
        <v>128</v>
      </c>
      <c r="B11" s="20" t="str">
        <f>"Y="&amp;B9&amp;""&amp;"X + "&amp;B10&amp;""</f>
        <v>Y=5.70795537130743X + 1.37622284141563</v>
      </c>
      <c r="C11" s="20" t="str">
        <f t="shared" ref="C11:Y11" si="25">"Y="&amp;C9&amp;""&amp;"X + "&amp;C10&amp;""</f>
        <v>Y=14.2004324323282X + 18.9857297314633</v>
      </c>
      <c r="D11" s="20" t="str">
        <f t="shared" si="25"/>
        <v>Y=0.703985542223658X + 187.124961624501</v>
      </c>
      <c r="E11" s="20" t="str">
        <f t="shared" si="25"/>
        <v>Y=-0.0450772038633833X + 261.049677538722</v>
      </c>
      <c r="F11" s="20" t="str">
        <f t="shared" si="25"/>
        <v>Y=0.101344249044879X + 247.298532720791</v>
      </c>
      <c r="G11" s="20" t="str">
        <f t="shared" si="25"/>
        <v>Y=-0.00182779575719X + 255.245246388916</v>
      </c>
      <c r="H11" s="20" t="str">
        <f t="shared" si="25"/>
        <v>Y=1.02696570481685X + 155.235813310291</v>
      </c>
      <c r="I11" s="20" t="str">
        <f t="shared" si="25"/>
        <v>Y=-0.102644834028469X + 268.890344318954</v>
      </c>
      <c r="J11" s="20" t="str">
        <f t="shared" si="25"/>
        <v>Y=-0.0407658684161023X + 258.231288242286</v>
      </c>
      <c r="K11" s="20" t="str">
        <f t="shared" si="25"/>
        <v>Y=0.0307133312367266X + 252.86807867846</v>
      </c>
      <c r="L11" s="20" t="str">
        <f t="shared" si="25"/>
        <v>Y=0.157737091686911X + 253.875132993886</v>
      </c>
      <c r="M11" s="20" t="str">
        <f t="shared" si="25"/>
        <v>Y=6.97012802274403X + 5.70111069464474E-10</v>
      </c>
      <c r="N11" s="20" t="str">
        <f t="shared" si="25"/>
        <v>Y=4.57085508713653X + 109.999931352885</v>
      </c>
      <c r="O11" s="20" t="str">
        <f t="shared" si="25"/>
        <v>Y=0.738166980539554X + 254.72962962963</v>
      </c>
      <c r="P11" s="20" t="str">
        <f t="shared" si="25"/>
        <v>Y=2.21821405544772X + 254.192424242425</v>
      </c>
      <c r="Q11" s="20" t="str">
        <f t="shared" si="25"/>
        <v>Y=-0.000408716499831698X + 256.306189361441</v>
      </c>
      <c r="R11" s="20" t="str">
        <f t="shared" si="25"/>
        <v>Y=-0.00314644731692977X + 256.366842703608</v>
      </c>
      <c r="S11" s="20" t="str">
        <f t="shared" si="25"/>
        <v>Y=-0.00601001257786905X + 255.748671088466</v>
      </c>
      <c r="T11" s="20" t="str">
        <f t="shared" si="25"/>
        <v>Y=-0.0174718239252325X + 256.885713018361</v>
      </c>
      <c r="U11" s="20" t="str">
        <f t="shared" si="25"/>
        <v>Y=0.0102511682842872X + 254.830212450411</v>
      </c>
      <c r="V11" s="20" t="str">
        <f t="shared" si="25"/>
        <v>Y=-0.00718982783166874X + 256.835489238263</v>
      </c>
      <c r="W11" s="20" t="str">
        <f t="shared" si="25"/>
        <v>Y=-0.0382248845783227X + 257.272256590918</v>
      </c>
      <c r="X11" s="20" t="str">
        <f t="shared" si="25"/>
        <v>Y=0.0856319668028605X + 255.020634026854</v>
      </c>
      <c r="Y11" s="20" t="str">
        <f t="shared" si="25"/>
        <v>Y=-0.000710685034852859X + 255.784521002065</v>
      </c>
    </row>
    <row r="12" spans="1:28" s="17" customFormat="1" x14ac:dyDescent="0.25">
      <c r="A12" s="18" t="s">
        <v>130</v>
      </c>
      <c r="B12" s="2">
        <f>SUM(Table7[Weight v Waist Res])</f>
        <v>-4.5730530473520048E-11</v>
      </c>
      <c r="C12" s="2">
        <f>SUM(Table7[WN Res])</f>
        <v>-4.0301983972312883E-11</v>
      </c>
      <c r="D12" s="2">
        <f>SUM(Table7[WMT Res])</f>
        <v>-6.1106675275368616E-11</v>
      </c>
      <c r="E12" s="2">
        <f>SUM(Table7[WMS Res])</f>
        <v>-4.9965365178650245E-11</v>
      </c>
      <c r="F12" s="2">
        <f>SUM(Table7[WMD Res])</f>
        <v>-4.6156856114976108E-11</v>
      </c>
      <c r="G12" s="2">
        <f>SUM(Table7[WMP Res])</f>
        <v>-4.5702108764089644E-11</v>
      </c>
      <c r="H12" s="2">
        <f>SUM(Table7[WNT Res])</f>
        <v>-4.3826275941682979E-11</v>
      </c>
      <c r="I12" s="2">
        <f>SUM(Table7[WNS Res])</f>
        <v>-4.6355808080988936E-11</v>
      </c>
      <c r="J12" s="2">
        <f>SUM(Table7[WND Res])</f>
        <v>-4.7862158680800349E-11</v>
      </c>
      <c r="K12" s="2">
        <f>SUM(Table7[[WNP Res ]])</f>
        <v>-4.1012526708072983E-11</v>
      </c>
      <c r="L12" s="2">
        <f>SUM(Table7[WS Res])</f>
        <v>-4.1950443119276315E-11</v>
      </c>
      <c r="M12" s="2">
        <f>SUM(Table7[WBMI Res])</f>
        <v>-5.5706550483591855E-12</v>
      </c>
      <c r="N12" s="2">
        <f>SUM(Table7[WCBF Res])</f>
        <v>3.765876499528531E-11</v>
      </c>
      <c r="O12" s="2">
        <f>SUM(Table7[WG Res])</f>
        <v>-4.1723069443833083E-11</v>
      </c>
      <c r="P12" s="2">
        <f>SUM(Table7[WC Res])</f>
        <v>-4.4906300900038332E-11</v>
      </c>
      <c r="Q12" s="2">
        <f>SUM(Table7[WCAL Res])</f>
        <v>-3.8284042602754198E-11</v>
      </c>
      <c r="R12" s="2">
        <f>SUM(Table7[Wcarb Res])</f>
        <v>-3.808509063674137E-11</v>
      </c>
      <c r="S12" s="2">
        <f>SUM(Table7[WF Res])</f>
        <v>-4.3655745685100555E-11</v>
      </c>
      <c r="T12" s="2">
        <f>SUM(Table7[WP Res])</f>
        <v>-4.3087311496492475E-11</v>
      </c>
      <c r="U12" s="2">
        <f>SUM(Table7[Wfib Res])</f>
        <v>-4.482103577174712E-11</v>
      </c>
      <c r="V12" s="2">
        <f>SUM(Table7[Wsugar Res])</f>
        <v>-4.5758952182950452E-11</v>
      </c>
      <c r="W12" s="2">
        <f>SUM(Table7[Wserv Res])</f>
        <v>-4.8743231673142873E-11</v>
      </c>
      <c r="X12" s="2">
        <f>SUM(Table7[Wwater Res])</f>
        <v>-4.6838977141305804E-11</v>
      </c>
      <c r="Y12" s="2">
        <f>SUM(Table7[WFC Res])</f>
        <v>-4.3172576624783687E-11</v>
      </c>
      <c r="Z12" s="2"/>
    </row>
    <row r="13" spans="1:28" x14ac:dyDescent="0.25">
      <c r="A13" s="18" t="s">
        <v>131</v>
      </c>
      <c r="B13" s="2">
        <f>SUM(Table7[WW Res Squared])</f>
        <v>1771.0838547183971</v>
      </c>
      <c r="C13" s="2">
        <f>SUM(Table7[WN Res Squared])</f>
        <v>5493.9286702702748</v>
      </c>
      <c r="D13" s="2">
        <f>SUM(Table7[WMT Res Squared])</f>
        <v>7913.4577745137994</v>
      </c>
      <c r="E13" s="2">
        <f>SUM(Table7[WMS Res Squared])</f>
        <v>7931.8593846717304</v>
      </c>
      <c r="F13" s="2">
        <f>SUM(Table7[WMD Res Squared])</f>
        <v>7886.414193311879</v>
      </c>
      <c r="G13" s="2">
        <f>SUM(Table7[WMP Res Squared])</f>
        <v>7969.9189555859184</v>
      </c>
      <c r="H13" s="2">
        <f>SUM(Table7[WNT Res Squared])</f>
        <v>7859.9731884867206</v>
      </c>
      <c r="I13" s="2">
        <f>SUM(Table7[WNS Res Squared])</f>
        <v>7655.9483263399106</v>
      </c>
      <c r="J13" s="2">
        <f>SUM(Table7[WND Res Squared])</f>
        <v>7953.5767134874886</v>
      </c>
      <c r="K13" s="2">
        <f>SUM(Table7[WNP Res Squared])</f>
        <v>7951.8646182505381</v>
      </c>
      <c r="L13" s="2">
        <f>SUM(Table7[WS Res Squared])</f>
        <v>7901.6491462084805</v>
      </c>
      <c r="M13" s="2">
        <f>SUM(Table7[WBMI Squared])</f>
        <v>3.9777731099501355E-20</v>
      </c>
      <c r="N13" s="2">
        <f>SUM(Table7[WCBF Res Squared])</f>
        <v>2451.3978074310271</v>
      </c>
      <c r="O13" s="2">
        <f>SUM(Table7[WG Res Squared])</f>
        <v>7939.2428123038389</v>
      </c>
      <c r="P13" s="2">
        <f>SUM(Table7[WC Res Squared])</f>
        <v>7699.8217859445522</v>
      </c>
      <c r="Q13" s="2">
        <f>SUM(Table7[WCAL Res Squared])</f>
        <v>7846.9869987422826</v>
      </c>
      <c r="R13" s="2">
        <f>SUM(Table7[Wcarb Res Squared])</f>
        <v>7803.8374100724614</v>
      </c>
      <c r="S13" s="2">
        <f>SUM(Table7[WF Res Squared])</f>
        <v>7929.3451491682381</v>
      </c>
      <c r="T13" s="2">
        <f>SUM(Table7[WP Res Squared])</f>
        <v>7821.2299896780833</v>
      </c>
      <c r="U13" s="2">
        <f>SUM(Table7[Wfib Res Squared])</f>
        <v>7962.5401094246881</v>
      </c>
      <c r="V13" s="2">
        <f>SUM(Table7[Wsugar Res Squared])</f>
        <v>7533.6513118232242</v>
      </c>
      <c r="W13" s="2">
        <f>SUM(Table7[Wserv Res Squared])</f>
        <v>7411.4841410773724</v>
      </c>
      <c r="X13" s="2">
        <f>SUM(Table7[Wwater Res Squared])</f>
        <v>7968.6610304568567</v>
      </c>
      <c r="Y13" s="2">
        <f>SUM(Table7[WFC Res Squared])</f>
        <v>7924.5748914620062</v>
      </c>
      <c r="Z13" s="2"/>
    </row>
    <row r="14" spans="1:28" x14ac:dyDescent="0.25">
      <c r="A14" s="18" t="s">
        <v>132</v>
      </c>
      <c r="B14">
        <f>B13/224</f>
        <v>7.9066243514214154</v>
      </c>
      <c r="C14">
        <f t="shared" ref="C14:Y14" si="26">C13/224</f>
        <v>24.5264672779923</v>
      </c>
      <c r="D14">
        <f t="shared" si="26"/>
        <v>35.327936493365179</v>
      </c>
      <c r="E14">
        <f t="shared" si="26"/>
        <v>35.410086538713081</v>
      </c>
      <c r="F14">
        <f t="shared" si="26"/>
        <v>35.207206220142318</v>
      </c>
      <c r="G14">
        <f t="shared" si="26"/>
        <v>35.579995337437133</v>
      </c>
      <c r="H14">
        <f t="shared" si="26"/>
        <v>35.08916602003</v>
      </c>
      <c r="I14">
        <f t="shared" si="26"/>
        <v>34.178340742588887</v>
      </c>
      <c r="J14">
        <f t="shared" si="26"/>
        <v>35.507038899497715</v>
      </c>
      <c r="K14">
        <f t="shared" si="26"/>
        <v>35.499395617189904</v>
      </c>
      <c r="L14">
        <f t="shared" si="26"/>
        <v>35.275219402716431</v>
      </c>
      <c r="M14">
        <f t="shared" si="26"/>
        <v>1.7757915669420247E-22</v>
      </c>
      <c r="N14">
        <f t="shared" si="26"/>
        <v>10.943740211745657</v>
      </c>
      <c r="O14">
        <f t="shared" si="26"/>
        <v>35.44304826921357</v>
      </c>
      <c r="P14">
        <f t="shared" si="26"/>
        <v>34.374204401538179</v>
      </c>
      <c r="Q14">
        <f t="shared" si="26"/>
        <v>35.031191958670902</v>
      </c>
      <c r="R14">
        <f t="shared" si="26"/>
        <v>34.838559866394917</v>
      </c>
      <c r="S14">
        <f t="shared" si="26"/>
        <v>35.398862273072488</v>
      </c>
      <c r="T14">
        <f t="shared" si="26"/>
        <v>34.916205311062875</v>
      </c>
      <c r="U14">
        <f t="shared" si="26"/>
        <v>35.547054059931646</v>
      </c>
      <c r="V14">
        <f t="shared" si="26"/>
        <v>33.632371927782252</v>
      </c>
      <c r="W14">
        <f t="shared" si="26"/>
        <v>33.086982772666843</v>
      </c>
      <c r="X14">
        <f t="shared" si="26"/>
        <v>35.574379600253828</v>
      </c>
      <c r="Y14">
        <f t="shared" si="26"/>
        <v>35.377566479741098</v>
      </c>
    </row>
    <row r="15" spans="1:28" x14ac:dyDescent="0.25">
      <c r="A15" s="18" t="s">
        <v>133</v>
      </c>
      <c r="B15">
        <f>SQRT(B14)</f>
        <v>2.8118720368148717</v>
      </c>
      <c r="C15">
        <f t="shared" ref="C15:Y15" si="27">SQRT(C14)</f>
        <v>4.9524203454464866</v>
      </c>
      <c r="D15">
        <f t="shared" si="27"/>
        <v>5.9437308564036764</v>
      </c>
      <c r="E15">
        <f t="shared" si="27"/>
        <v>5.9506374901108776</v>
      </c>
      <c r="F15">
        <f t="shared" si="27"/>
        <v>5.9335660626761646</v>
      </c>
      <c r="G15">
        <f t="shared" si="27"/>
        <v>5.964896925969227</v>
      </c>
      <c r="H15">
        <f t="shared" si="27"/>
        <v>5.9236108937057974</v>
      </c>
      <c r="I15">
        <f t="shared" si="27"/>
        <v>5.8462244861610371</v>
      </c>
      <c r="J15">
        <f t="shared" si="27"/>
        <v>5.9587783059531354</v>
      </c>
      <c r="K15">
        <f t="shared" si="27"/>
        <v>5.9581369250118703</v>
      </c>
      <c r="L15">
        <f t="shared" si="27"/>
        <v>5.9392945206241823</v>
      </c>
      <c r="M15">
        <f t="shared" si="27"/>
        <v>1.3325882961147545E-11</v>
      </c>
      <c r="N15">
        <f t="shared" si="27"/>
        <v>3.3081324356418467</v>
      </c>
      <c r="O15">
        <f t="shared" si="27"/>
        <v>5.9534064424675028</v>
      </c>
      <c r="P15">
        <f t="shared" si="27"/>
        <v>5.8629518505219007</v>
      </c>
      <c r="Q15">
        <f t="shared" si="27"/>
        <v>5.9187153976746423</v>
      </c>
      <c r="R15">
        <f t="shared" si="27"/>
        <v>5.9024198314246439</v>
      </c>
      <c r="S15">
        <f t="shared" si="27"/>
        <v>5.9496943008084449</v>
      </c>
      <c r="T15">
        <f t="shared" si="27"/>
        <v>5.9089935954494717</v>
      </c>
      <c r="U15">
        <f t="shared" si="27"/>
        <v>5.9621350253018965</v>
      </c>
      <c r="V15">
        <f t="shared" si="27"/>
        <v>5.7993423702849487</v>
      </c>
      <c r="W15">
        <f t="shared" si="27"/>
        <v>5.7521285427802153</v>
      </c>
      <c r="X15">
        <f t="shared" si="27"/>
        <v>5.9644261752706624</v>
      </c>
      <c r="Y15">
        <f t="shared" si="27"/>
        <v>5.9479043771517626</v>
      </c>
    </row>
    <row r="16" spans="1:28" x14ac:dyDescent="0.25">
      <c r="A16" s="18" t="s">
        <v>134</v>
      </c>
      <c r="B16">
        <f>100*(B15/$B3)</f>
        <v>1.1021976556128772</v>
      </c>
      <c r="C16">
        <f t="shared" ref="C16:Y16" si="28">100*(C15/$B3)</f>
        <v>1.9412498232116433</v>
      </c>
      <c r="D16">
        <f t="shared" si="28"/>
        <v>2.3298237365534025</v>
      </c>
      <c r="E16">
        <f t="shared" si="28"/>
        <v>2.3325309989681164</v>
      </c>
      <c r="F16">
        <f t="shared" si="28"/>
        <v>2.3258393405106359</v>
      </c>
      <c r="G16">
        <f t="shared" si="28"/>
        <v>2.3381204129128701</v>
      </c>
      <c r="H16">
        <f t="shared" si="28"/>
        <v>2.3219371131842466</v>
      </c>
      <c r="I16">
        <f t="shared" si="28"/>
        <v>2.2916031876515772</v>
      </c>
      <c r="J16">
        <f t="shared" si="28"/>
        <v>2.3357220361201048</v>
      </c>
      <c r="K16">
        <f t="shared" si="28"/>
        <v>2.3354706276062882</v>
      </c>
      <c r="L16">
        <f t="shared" si="28"/>
        <v>2.3280847815683781</v>
      </c>
      <c r="M16">
        <f t="shared" si="28"/>
        <v>5.2234798619733293E-12</v>
      </c>
      <c r="N16">
        <f t="shared" si="28"/>
        <v>1.2967218163852101</v>
      </c>
      <c r="O16">
        <f t="shared" si="28"/>
        <v>2.333616372966655</v>
      </c>
      <c r="P16">
        <f t="shared" si="28"/>
        <v>2.2981599802586872</v>
      </c>
      <c r="Q16">
        <f t="shared" si="28"/>
        <v>2.3200181765548566</v>
      </c>
      <c r="R16">
        <f t="shared" si="28"/>
        <v>2.3136306401796318</v>
      </c>
      <c r="S16">
        <f t="shared" si="28"/>
        <v>2.3321612876070272</v>
      </c>
      <c r="T16">
        <f t="shared" si="28"/>
        <v>2.3162074243297828</v>
      </c>
      <c r="U16">
        <f t="shared" si="28"/>
        <v>2.337037803035638</v>
      </c>
      <c r="V16">
        <f t="shared" si="28"/>
        <v>2.273226334959757</v>
      </c>
      <c r="W16">
        <f t="shared" si="28"/>
        <v>2.2547194579372967</v>
      </c>
      <c r="X16">
        <f t="shared" si="28"/>
        <v>2.3379358880449019</v>
      </c>
      <c r="Y16">
        <f t="shared" si="28"/>
        <v>2.3314596732973105</v>
      </c>
    </row>
    <row r="17" spans="1:25" x14ac:dyDescent="0.25">
      <c r="A17" s="18" t="s">
        <v>229</v>
      </c>
      <c r="B17">
        <f>B8/SQRT($B2*C2)</f>
        <v>0.88191855015968745</v>
      </c>
      <c r="C17">
        <f t="shared" ref="C17:Y17" si="29">C8/SQRT($B2*D2)</f>
        <v>0.55737890997568196</v>
      </c>
      <c r="D17">
        <f t="shared" si="29"/>
        <v>8.4205114863154892E-2</v>
      </c>
      <c r="E17">
        <f t="shared" si="29"/>
        <v>-6.9149351788330052E-2</v>
      </c>
      <c r="F17">
        <f t="shared" si="29"/>
        <v>0.10238987585270116</v>
      </c>
      <c r="G17">
        <f t="shared" si="29"/>
        <v>-2.5020485116366876E-3</v>
      </c>
      <c r="H17">
        <f t="shared" si="29"/>
        <v>0.11747879008728779</v>
      </c>
      <c r="I17">
        <f t="shared" si="29"/>
        <v>-0.19849551779557223</v>
      </c>
      <c r="J17">
        <f>J8/SQRT($B2*K2)</f>
        <v>-4.5351271029548723E-2</v>
      </c>
      <c r="K17">
        <f t="shared" si="29"/>
        <v>4.7660844450256465E-2</v>
      </c>
      <c r="L17">
        <f t="shared" si="29"/>
        <v>9.2585861926931509E-2</v>
      </c>
      <c r="M17">
        <f t="shared" si="29"/>
        <v>0.99999999999863032</v>
      </c>
      <c r="N17">
        <f t="shared" si="29"/>
        <v>0.83211817301806212</v>
      </c>
      <c r="O17">
        <f t="shared" si="29"/>
        <v>6.2090472446333436E-2</v>
      </c>
      <c r="P17">
        <f t="shared" si="29"/>
        <v>0.18410764113126313</v>
      </c>
      <c r="Q17">
        <f t="shared" si="29"/>
        <v>-0.12422019319520454</v>
      </c>
      <c r="R17">
        <f t="shared" si="29"/>
        <v>-0.14437686326333973</v>
      </c>
      <c r="S17">
        <f t="shared" si="29"/>
        <v>-7.1393952879047179E-2</v>
      </c>
      <c r="T17">
        <f t="shared" si="29"/>
        <v>-0.13661044691418525</v>
      </c>
      <c r="U17">
        <f t="shared" si="29"/>
        <v>3.0530173420289911E-2</v>
      </c>
      <c r="V17">
        <f t="shared" si="29"/>
        <v>-0.23397692169046599</v>
      </c>
      <c r="W17">
        <f t="shared" si="29"/>
        <v>-0.26471425642425273</v>
      </c>
      <c r="X17">
        <f t="shared" si="29"/>
        <v>1.2809893703462662E-2</v>
      </c>
      <c r="Y17">
        <f t="shared" si="29"/>
        <v>-7.5469368192512001E-2</v>
      </c>
    </row>
    <row r="18" spans="1:25" x14ac:dyDescent="0.25">
      <c r="A18" s="18" t="s">
        <v>129</v>
      </c>
      <c r="B18">
        <f>B17^2</f>
        <v>0.77778032911576511</v>
      </c>
      <c r="C18">
        <f t="shared" ref="C18:Y18" si="30">C17^2</f>
        <v>0.31067124928567935</v>
      </c>
      <c r="D18">
        <f t="shared" si="30"/>
        <v>7.0905013691171092E-3</v>
      </c>
      <c r="E18">
        <f t="shared" si="30"/>
        <v>4.7816328527462244E-3</v>
      </c>
      <c r="F18">
        <f t="shared" si="30"/>
        <v>1.0483686677131556E-2</v>
      </c>
      <c r="G18">
        <f t="shared" si="30"/>
        <v>6.2602467545833641E-6</v>
      </c>
      <c r="H18">
        <f t="shared" si="30"/>
        <v>1.3801266120373027E-2</v>
      </c>
      <c r="I18">
        <f t="shared" si="30"/>
        <v>3.9400470584932332E-2</v>
      </c>
      <c r="J18">
        <f>(B2-J13)/B2</f>
        <v>2.0567377798903479E-3</v>
      </c>
      <c r="K18">
        <f t="shared" si="30"/>
        <v>2.2715560937115425E-3</v>
      </c>
      <c r="L18">
        <f t="shared" si="30"/>
        <v>8.5721418287528252E-3</v>
      </c>
      <c r="M18">
        <f t="shared" si="30"/>
        <v>0.99999999999726064</v>
      </c>
      <c r="N18">
        <f t="shared" si="30"/>
        <v>0.69242065386691753</v>
      </c>
      <c r="O18">
        <f t="shared" si="30"/>
        <v>3.8552267686088916E-3</v>
      </c>
      <c r="P18">
        <f t="shared" si="30"/>
        <v>3.3895623522917973E-2</v>
      </c>
      <c r="Q18">
        <f t="shared" si="30"/>
        <v>1.543065639745394E-2</v>
      </c>
      <c r="R18">
        <f t="shared" si="30"/>
        <v>2.0844678645761099E-2</v>
      </c>
      <c r="S18">
        <f t="shared" si="30"/>
        <v>5.0970965076956093E-3</v>
      </c>
      <c r="T18">
        <f t="shared" si="30"/>
        <v>1.8662414206093426E-2</v>
      </c>
      <c r="U18">
        <f t="shared" si="30"/>
        <v>9.3209148907297658E-4</v>
      </c>
      <c r="V18">
        <f t="shared" si="30"/>
        <v>5.4745199883746459E-2</v>
      </c>
      <c r="W18">
        <f t="shared" si="30"/>
        <v>7.0073637554245019E-2</v>
      </c>
      <c r="X18">
        <f t="shared" si="30"/>
        <v>1.6409337669401236E-4</v>
      </c>
      <c r="Y18">
        <f t="shared" si="30"/>
        <v>5.6956255353769426E-3</v>
      </c>
    </row>
    <row r="19" spans="1:25" x14ac:dyDescent="0.25">
      <c r="A19" s="18" t="s">
        <v>232</v>
      </c>
      <c r="B19">
        <f>B$9/(B$15/SQRT(C$2))</f>
        <v>28.000206659833811</v>
      </c>
      <c r="C19">
        <f t="shared" ref="C19:Y19" si="31">C$9/(C$15/SQRT(D$2))</f>
        <v>10.047577039318385</v>
      </c>
      <c r="D19">
        <f t="shared" si="31"/>
        <v>1.2647586230540733</v>
      </c>
      <c r="E19">
        <f t="shared" si="31"/>
        <v>-1.03741597483558</v>
      </c>
      <c r="F19">
        <f t="shared" si="31"/>
        <v>1.540527822918125</v>
      </c>
      <c r="G19">
        <f t="shared" si="31"/>
        <v>-3.7447350397462192E-2</v>
      </c>
      <c r="H19">
        <f t="shared" si="31"/>
        <v>1.7705216998838129</v>
      </c>
      <c r="I19">
        <f t="shared" si="31"/>
        <v>-3.0311227827921559</v>
      </c>
      <c r="J19">
        <f t="shared" si="31"/>
        <v>-0.67945476277546901</v>
      </c>
      <c r="K19">
        <f t="shared" si="31"/>
        <v>0.71413376137320816</v>
      </c>
      <c r="L19">
        <f t="shared" si="31"/>
        <v>1.3916759565035954</v>
      </c>
      <c r="M19" s="2">
        <f t="shared" si="31"/>
        <v>6699344597185.71</v>
      </c>
      <c r="N19">
        <f t="shared" si="31"/>
        <v>22.455898227570589</v>
      </c>
      <c r="O19">
        <f t="shared" si="31"/>
        <v>0.93108159800602497</v>
      </c>
      <c r="P19">
        <f t="shared" si="31"/>
        <v>2.8033917961867183</v>
      </c>
      <c r="Q19">
        <f t="shared" si="31"/>
        <v>-1.8736697919534675</v>
      </c>
      <c r="R19">
        <f t="shared" si="31"/>
        <v>-2.1837142946113892</v>
      </c>
      <c r="S19">
        <f t="shared" si="31"/>
        <v>-1.0712604915622099</v>
      </c>
      <c r="T19">
        <f t="shared" si="31"/>
        <v>-2.0639477792084344</v>
      </c>
      <c r="U19">
        <f t="shared" si="31"/>
        <v>0.45714689662392344</v>
      </c>
      <c r="V19">
        <f t="shared" si="31"/>
        <v>-3.6018248190758984</v>
      </c>
      <c r="W19">
        <f t="shared" si="31"/>
        <v>-4.1084410566122322</v>
      </c>
      <c r="X19">
        <f t="shared" si="31"/>
        <v>0.19173666560086047</v>
      </c>
      <c r="Y19">
        <f t="shared" si="31"/>
        <v>-1.1327525495220974</v>
      </c>
    </row>
    <row r="20" spans="1:25" x14ac:dyDescent="0.25">
      <c r="A20" s="18" t="s">
        <v>233</v>
      </c>
      <c r="B20">
        <f>B$9+($B$22*(B$15/SQRT(C$2)))</f>
        <v>6.109672385643508</v>
      </c>
      <c r="C20">
        <f t="shared" ref="C20:Y20" si="32">C$9+($B$22*(C$15/SQRT(D$2)))</f>
        <v>16.985534521521807</v>
      </c>
      <c r="D20">
        <f t="shared" si="32"/>
        <v>1.8008601558266837</v>
      </c>
      <c r="E20">
        <f t="shared" si="32"/>
        <v>4.0548653250594112E-2</v>
      </c>
      <c r="F20">
        <f t="shared" si="32"/>
        <v>0.2309816921611153</v>
      </c>
      <c r="G20">
        <f t="shared" si="32"/>
        <v>9.4357229766514783E-2</v>
      </c>
      <c r="H20">
        <f t="shared" si="32"/>
        <v>2.1699903142983925</v>
      </c>
      <c r="I20">
        <f t="shared" si="32"/>
        <v>-3.5912784708214351E-2</v>
      </c>
      <c r="J20">
        <f t="shared" si="32"/>
        <v>7.7466678532979519E-2</v>
      </c>
      <c r="K20">
        <f t="shared" si="32"/>
        <v>0.11546499886644268</v>
      </c>
      <c r="L20">
        <f t="shared" si="32"/>
        <v>0.3810925649190402</v>
      </c>
      <c r="M20">
        <f t="shared" si="32"/>
        <v>6.970128022746076</v>
      </c>
      <c r="N20">
        <f t="shared" si="32"/>
        <v>4.9719691750719175</v>
      </c>
      <c r="O20">
        <f t="shared" si="32"/>
        <v>2.3004789691883381</v>
      </c>
      <c r="P20">
        <f t="shared" si="32"/>
        <v>3.7774812751358589</v>
      </c>
      <c r="Q20">
        <f t="shared" si="32"/>
        <v>2.1146445074945964E-5</v>
      </c>
      <c r="R20">
        <f t="shared" si="32"/>
        <v>-3.0705409292912465E-4</v>
      </c>
      <c r="S20">
        <f t="shared" si="32"/>
        <v>5.0455586446266996E-3</v>
      </c>
      <c r="T20">
        <f t="shared" si="32"/>
        <v>-7.901190466728554E-4</v>
      </c>
      <c r="U20">
        <f t="shared" si="32"/>
        <v>5.4440606590241414E-2</v>
      </c>
      <c r="V20">
        <f t="shared" si="32"/>
        <v>-3.2561680216504525E-3</v>
      </c>
      <c r="W20">
        <f t="shared" si="32"/>
        <v>-1.9890344664288098E-2</v>
      </c>
      <c r="X20">
        <f t="shared" si="32"/>
        <v>0.96573120016364644</v>
      </c>
      <c r="Y20">
        <f t="shared" si="32"/>
        <v>5.2566947184263786E-4</v>
      </c>
    </row>
    <row r="21" spans="1:25" x14ac:dyDescent="0.25">
      <c r="A21" s="18" t="s">
        <v>234</v>
      </c>
      <c r="B21">
        <f>B$9-($B$22*(B$15/SQRT(C$2)))</f>
        <v>5.306238356971356</v>
      </c>
      <c r="C21">
        <f t="shared" ref="C21:Y21" si="33">C$9-($B$22*(C$15/SQRT(D$2)))</f>
        <v>11.415330343134576</v>
      </c>
      <c r="D21">
        <f t="shared" si="33"/>
        <v>-0.39288907137936768</v>
      </c>
      <c r="E21">
        <f t="shared" si="33"/>
        <v>-0.13070306097736076</v>
      </c>
      <c r="F21">
        <f t="shared" si="33"/>
        <v>-2.8293194071356456E-2</v>
      </c>
      <c r="G21">
        <f t="shared" si="33"/>
        <v>-9.801282128089478E-2</v>
      </c>
      <c r="H21">
        <f t="shared" si="33"/>
        <v>-0.11605890466469626</v>
      </c>
      <c r="I21">
        <f t="shared" si="33"/>
        <v>-0.16937688334872411</v>
      </c>
      <c r="J21">
        <f t="shared" si="33"/>
        <v>-0.15899841536518416</v>
      </c>
      <c r="K21">
        <f t="shared" si="33"/>
        <v>-5.4038336392989439E-2</v>
      </c>
      <c r="L21">
        <f t="shared" si="33"/>
        <v>-6.561838154521743E-2</v>
      </c>
      <c r="M21">
        <f t="shared" si="33"/>
        <v>6.9701280227419762</v>
      </c>
      <c r="N21">
        <f t="shared" si="33"/>
        <v>4.1697409992011512</v>
      </c>
      <c r="O21">
        <f t="shared" si="33"/>
        <v>-0.82414500810922986</v>
      </c>
      <c r="P21">
        <f t="shared" si="33"/>
        <v>0.65894683575958068</v>
      </c>
      <c r="Q21">
        <f t="shared" si="33"/>
        <v>-8.3857944473834283E-4</v>
      </c>
      <c r="R21">
        <f t="shared" si="33"/>
        <v>-5.9858405409304151E-3</v>
      </c>
      <c r="S21">
        <f t="shared" si="33"/>
        <v>-1.7065583800364791E-2</v>
      </c>
      <c r="T21">
        <f t="shared" si="33"/>
        <v>-3.415352880379223E-2</v>
      </c>
      <c r="U21">
        <f t="shared" si="33"/>
        <v>-3.3938270021666994E-2</v>
      </c>
      <c r="V21">
        <f t="shared" si="33"/>
        <v>-1.1123487641687036E-2</v>
      </c>
      <c r="W21">
        <f t="shared" si="33"/>
        <v>-5.6559424492357249E-2</v>
      </c>
      <c r="X21">
        <f t="shared" si="33"/>
        <v>-0.79446726655792532</v>
      </c>
      <c r="Y21">
        <f t="shared" si="33"/>
        <v>-1.9470395415483554E-3</v>
      </c>
    </row>
    <row r="22" spans="1:25" x14ac:dyDescent="0.25">
      <c r="A22" s="18" t="s">
        <v>235</v>
      </c>
      <c r="B22">
        <f>_xlfn.T.INV(0.975,224)</f>
        <v>1.9706109611023637</v>
      </c>
      <c r="M22" s="2"/>
    </row>
    <row r="23" spans="1:25" x14ac:dyDescent="0.25">
      <c r="A23" s="18" t="s">
        <v>236</v>
      </c>
      <c r="B23">
        <f>_xlfn.T.TEST(Table83[Weight],Table83[Waist],2,1)</f>
        <v>0</v>
      </c>
      <c r="C23">
        <f>_xlfn.T.TEST('Cleaned Log'!$B2:$B227,Table83[Neck],2,1)</f>
        <v>0</v>
      </c>
      <c r="D23">
        <f>_xlfn.T.TEST('Cleaned Log'!$B2:$B227,Table83[Morning Body Temp],2,1)</f>
        <v>0</v>
      </c>
      <c r="E23">
        <f>_xlfn.T.TEST('Cleaned Log'!$B2:$B227,Table83[Morning Systolic Pressure],2,1)</f>
        <v>8.3304790923242899E-237</v>
      </c>
      <c r="F23">
        <f>_xlfn.T.TEST('Cleaned Log'!$B2:$B227,Table83[Morning Diastolic Pressure],2,1)</f>
        <v>2.8795994167036828E-305</v>
      </c>
      <c r="G23">
        <f>_xlfn.T.TEST('Cleaned Log'!$B2:$B227,Table83[Morning Pulse],2,1)</f>
        <v>6.7482081245899832E-286</v>
      </c>
      <c r="H23">
        <f>_xlfn.T.TEST('Cleaned Log'!$B2:$B227,Table83[Night Body Temp],2,1)</f>
        <v>0</v>
      </c>
      <c r="I23">
        <f>_xlfn.T.TEST('Cleaned Log'!$B2:$B227,Table83[Night Systolic Pressure],2,1)</f>
        <v>9.1343135653987805E-214</v>
      </c>
      <c r="J23">
        <f>_xlfn.T.TEST('Cleaned Log'!$B2:$B227,Table83[Night Diastolic Pressure],2,1)</f>
        <v>2.9470428184596343E-293</v>
      </c>
      <c r="K23">
        <f>_xlfn.T.TEST('Cleaned Log'!$B2:$B227,Table83[Night Pulse],2,1)</f>
        <v>7.5924528704441222E-279</v>
      </c>
      <c r="L23">
        <f>_xlfn.T.TEST('Cleaned Log'!$B2:$B227,Table83[Sleep],2,1)</f>
        <v>0</v>
      </c>
      <c r="M23">
        <f>_xlfn.T.TEST('Cleaned Log'!$B2:$B227,Table83[BMI],2,1)</f>
        <v>0</v>
      </c>
      <c r="N23">
        <f>_xlfn.T.TEST('Cleaned Log'!$B2:$B227,Table83[CBF],2,1)</f>
        <v>0</v>
      </c>
      <c r="O23">
        <f>_xlfn.T.TEST('Cleaned Log'!$B2:$B227,Table83[Gym],2,1)</f>
        <v>0</v>
      </c>
      <c r="P23">
        <f>_xlfn.T.TEST('Cleaned Log'!$B2:$B227,Table83[Cardio],2,1)</f>
        <v>0</v>
      </c>
      <c r="Q23">
        <f>_xlfn.T.TEST('Cleaned Log'!$B2:$B227,Table83[Calories],2,1)</f>
        <v>2.8344279697021046E-58</v>
      </c>
      <c r="R23">
        <f>_xlfn.T.TEST('Cleaned Log'!$B2:$B227,Table83[Carbs],2,1)</f>
        <v>1.8987273471620437E-13</v>
      </c>
      <c r="S23">
        <f>_xlfn.T.TEST('Cleaned Log'!$B2:$B227,Table83[[Fat ]],2,1)</f>
        <v>1.6307062212807294E-84</v>
      </c>
      <c r="T23">
        <f>_xlfn.T.TEST('Cleaned Log'!$B2:$B227,Table83[Protein],2,1)</f>
        <v>5.0688524211133671E-121</v>
      </c>
      <c r="U23">
        <f>_xlfn.T.TEST('Cleaned Log'!$B2:$B227,Table83[Fiber],2,1)</f>
        <v>1.5301565613441508E-247</v>
      </c>
      <c r="V23">
        <f>_xlfn.T.TEST('Cleaned Log'!$B2:$B227,Table83[Sugar],2,1)</f>
        <v>0.22408282558061896</v>
      </c>
      <c r="W23">
        <f>_xlfn.T.TEST('Cleaned Log'!$B2:$B227,Table83[Servings],2,1)</f>
        <v>1.3065297710404357E-153</v>
      </c>
      <c r="X23">
        <f>_xlfn.T.TEST('Cleaned Log'!$B2:$B227,Table83[Water],2,1)</f>
        <v>0</v>
      </c>
      <c r="Y23">
        <f>_xlfn.T.TEST('Cleaned Log'!$B2:$B227,Table83[Fat Calories],2,1)</f>
        <v>4.7394441413458261E-40</v>
      </c>
    </row>
    <row r="25" spans="1:25" x14ac:dyDescent="0.25">
      <c r="B25" s="18" t="s">
        <v>127</v>
      </c>
      <c r="C25" s="18" t="s">
        <v>100</v>
      </c>
      <c r="D25" s="18" t="s">
        <v>101</v>
      </c>
      <c r="E25" s="18" t="s">
        <v>102</v>
      </c>
      <c r="F25" s="18" t="s">
        <v>103</v>
      </c>
      <c r="G25" s="18" t="s">
        <v>104</v>
      </c>
      <c r="H25" s="18" t="s">
        <v>105</v>
      </c>
      <c r="I25" s="18" t="s">
        <v>106</v>
      </c>
      <c r="J25" s="18" t="s">
        <v>107</v>
      </c>
      <c r="K25" s="18" t="s">
        <v>108</v>
      </c>
      <c r="L25" s="18" t="s">
        <v>109</v>
      </c>
      <c r="M25" s="18" t="s">
        <v>110</v>
      </c>
      <c r="N25" s="18" t="s">
        <v>111</v>
      </c>
      <c r="O25" s="18" t="s">
        <v>112</v>
      </c>
      <c r="P25" s="18" t="s">
        <v>113</v>
      </c>
      <c r="Q25" s="18" t="s">
        <v>114</v>
      </c>
      <c r="R25" s="18" t="s">
        <v>115</v>
      </c>
      <c r="S25" s="18" t="s">
        <v>118</v>
      </c>
      <c r="T25" s="18" t="s">
        <v>117</v>
      </c>
      <c r="U25" s="18" t="s">
        <v>116</v>
      </c>
      <c r="V25" s="18" t="s">
        <v>119</v>
      </c>
      <c r="W25" s="18" t="s">
        <v>120</v>
      </c>
      <c r="X25" s="18" t="s">
        <v>121</v>
      </c>
      <c r="Y25" s="18" t="s">
        <v>122</v>
      </c>
    </row>
    <row r="26" spans="1:25" x14ac:dyDescent="0.25">
      <c r="A26" s="18" t="s">
        <v>123</v>
      </c>
      <c r="B26" s="2">
        <f>SUM(Table834[Weight v Waist])</f>
        <v>2564099.3000000007</v>
      </c>
      <c r="C26" s="2">
        <f>SUM(Table834[Waist v Neck])</f>
        <v>167083</v>
      </c>
      <c r="D26" s="2">
        <f>SUM(Table834[Waist v Morning Temp])</f>
        <v>970300.79999999946</v>
      </c>
      <c r="E26" s="2">
        <f>SUM(Table834[Waist v Morning Sys])</f>
        <v>1322472</v>
      </c>
      <c r="F26" s="2">
        <f>SUM(Table834[Waist v Morning Dia])</f>
        <v>774915.5</v>
      </c>
      <c r="G26" s="2">
        <f>SUM(Table834[Waist v Morning Pulse])</f>
        <v>715645</v>
      </c>
      <c r="H26" s="2">
        <f>SUM(Table834[Waist v Night Temp])</f>
        <v>977097.24999999953</v>
      </c>
      <c r="I26" s="2">
        <f>SUM(Table834[Waist v  Night Sys])</f>
        <v>1347842.5</v>
      </c>
      <c r="J26" s="2">
        <f>SUM(Table834[Waist v Night Dia])</f>
        <v>767811</v>
      </c>
      <c r="K26" s="2">
        <f>SUM(Table834[Waist v Night Pulse])</f>
        <v>734940</v>
      </c>
      <c r="L26" s="2">
        <f>SUM(Table834[Waist v  Sleep])</f>
        <v>79037.75</v>
      </c>
      <c r="M26" s="2">
        <f>SUM(Table834[Waist v BMI])</f>
        <v>367869.75671428558</v>
      </c>
      <c r="N26" s="2">
        <f>SUM(Table834[Waist v  CBF])</f>
        <v>319172.82165796845</v>
      </c>
      <c r="O26" s="2">
        <f>SUM(Table834[Waist v  Gym])</f>
        <v>5257</v>
      </c>
      <c r="P26" s="2">
        <f>SUM(Table834[Waist v Cardio])</f>
        <v>4200</v>
      </c>
      <c r="Q26" s="2">
        <f>SUM(Table834[Waist v Calories])</f>
        <v>29211465.881740924</v>
      </c>
      <c r="R26" s="2">
        <f>SUM(Table834[Waist v Carbs])</f>
        <v>3985957.613388963</v>
      </c>
      <c r="S26" s="2">
        <f>SUM(Table834[Waist v Fat])</f>
        <v>1057121.6228003281</v>
      </c>
      <c r="T26" s="2">
        <f>SUM(Table834[Waist v Protein])</f>
        <v>1016596.7298600147</v>
      </c>
      <c r="U26" s="2">
        <f>SUM(Table834[Waist v Fiber])</f>
        <v>279424.64958362968</v>
      </c>
      <c r="V26" s="2">
        <f>SUM(Table834[Waist v Sugar])</f>
        <v>2393113.0786792305</v>
      </c>
      <c r="W26" s="2">
        <f>SUM(Table834[Waist v Servings])</f>
        <v>564742.53830289189</v>
      </c>
      <c r="X26" s="2">
        <f>SUM(Table834[Waist v Water])</f>
        <v>11096.314840182646</v>
      </c>
      <c r="Y26" s="2">
        <f>SUM(Table834[Waist v Fat Calories])</f>
        <v>9444539.1054312717</v>
      </c>
    </row>
    <row r="27" spans="1:25" x14ac:dyDescent="0.25">
      <c r="A27" s="18" t="s">
        <v>48</v>
      </c>
      <c r="B27" s="2">
        <f>B7-(226*B3*C3)</f>
        <v>1086.0079646008089</v>
      </c>
      <c r="C27" s="2">
        <f t="shared" ref="C27:Y27" si="34">C26-(226*$C$3*D3)</f>
        <v>26.59734513272997</v>
      </c>
      <c r="D27" s="2">
        <f t="shared" si="34"/>
        <v>21.832455752766691</v>
      </c>
      <c r="E27" s="2">
        <f t="shared" si="34"/>
        <v>-198.62389380531386</v>
      </c>
      <c r="F27" s="2">
        <f t="shared" si="34"/>
        <v>45.84734513272997</v>
      </c>
      <c r="G27" s="2">
        <f t="shared" si="34"/>
        <v>-12.537610619445331</v>
      </c>
      <c r="H27" s="2">
        <f t="shared" si="34"/>
        <v>8.4446902649942786</v>
      </c>
      <c r="I27" s="2">
        <f t="shared" si="34"/>
        <v>-433.36283185821958</v>
      </c>
      <c r="J27" s="2">
        <f t="shared" si="34"/>
        <v>-168.35398230084684</v>
      </c>
      <c r="K27" s="2">
        <f t="shared" si="34"/>
        <v>-54.827433628262952</v>
      </c>
      <c r="L27" s="2">
        <f t="shared" si="34"/>
        <v>66.036504424773739</v>
      </c>
      <c r="M27" s="2">
        <f t="shared" si="34"/>
        <v>155.80889777821722</v>
      </c>
      <c r="N27" s="2">
        <f t="shared" si="34"/>
        <v>217.40655379911186</v>
      </c>
      <c r="O27" s="2">
        <f t="shared" si="34"/>
        <v>11.482300884955293</v>
      </c>
      <c r="P27" s="2">
        <f t="shared" si="34"/>
        <v>21.367256637167884</v>
      </c>
      <c r="Q27" s="2">
        <f t="shared" si="34"/>
        <v>-67605.03721678257</v>
      </c>
      <c r="R27" s="2">
        <f t="shared" si="34"/>
        <v>-10992.571897097398</v>
      </c>
      <c r="S27" s="2">
        <f t="shared" si="34"/>
        <v>-2066.1862750758883</v>
      </c>
      <c r="T27" s="2">
        <f t="shared" si="34"/>
        <v>-1558.2080380001571</v>
      </c>
      <c r="U27" s="2">
        <f t="shared" si="34"/>
        <v>279.62211082078284</v>
      </c>
      <c r="V27" s="2">
        <f t="shared" si="34"/>
        <v>-10901.454280660022</v>
      </c>
      <c r="W27" s="2">
        <f t="shared" si="34"/>
        <v>-2229.3190182647668</v>
      </c>
      <c r="X27" s="2">
        <f t="shared" si="34"/>
        <v>19.933904109591822</v>
      </c>
      <c r="Y27" s="2">
        <f t="shared" si="34"/>
        <v>-19425.776338677853</v>
      </c>
    </row>
    <row r="28" spans="1:25" x14ac:dyDescent="0.25">
      <c r="A28" s="18" t="s">
        <v>125</v>
      </c>
      <c r="B28" s="2">
        <f>B27/B2</f>
        <v>0.13626251056998212</v>
      </c>
      <c r="C28" s="2">
        <f t="shared" ref="C28:Y28" si="35">C27/D2</f>
        <v>2.1661261261259668</v>
      </c>
      <c r="D28" s="2">
        <f t="shared" si="35"/>
        <v>0.19146813175877714</v>
      </c>
      <c r="E28" s="2">
        <f t="shared" si="35"/>
        <v>-1.0590405242427008E-2</v>
      </c>
      <c r="F28" s="2">
        <f t="shared" si="35"/>
        <v>5.635620668854111E-3</v>
      </c>
      <c r="G28" s="2">
        <f t="shared" si="35"/>
        <v>-8.3950257361376922E-4</v>
      </c>
      <c r="H28" s="2">
        <f t="shared" si="35"/>
        <v>8.0969238048859082E-2</v>
      </c>
      <c r="I28" s="2">
        <f t="shared" si="35"/>
        <v>-1.4540114325613451E-2</v>
      </c>
      <c r="J28" s="2">
        <f t="shared" si="35"/>
        <v>-1.7067945207442023E-2</v>
      </c>
      <c r="K28" s="2">
        <f t="shared" si="35"/>
        <v>-2.8567463109648969E-3</v>
      </c>
      <c r="L28" s="2">
        <f t="shared" si="35"/>
        <v>2.4049483997827571E-2</v>
      </c>
      <c r="M28" s="2">
        <f t="shared" si="35"/>
        <v>0.94976714337239199</v>
      </c>
      <c r="N28" s="2">
        <f t="shared" si="35"/>
        <v>0.82307782212186276</v>
      </c>
      <c r="O28" s="2">
        <f t="shared" si="35"/>
        <v>0.20362523540488833</v>
      </c>
      <c r="P28" s="2">
        <f t="shared" si="35"/>
        <v>0.38918439716311581</v>
      </c>
      <c r="Q28" s="2">
        <f t="shared" si="35"/>
        <v>-9.1829532318001383E-5</v>
      </c>
      <c r="R28" s="2">
        <f t="shared" si="35"/>
        <v>-6.5507106329753368E-4</v>
      </c>
      <c r="S28" s="2">
        <f t="shared" si="35"/>
        <v>-1.8371336568999304E-3</v>
      </c>
      <c r="T28" s="2">
        <f t="shared" si="35"/>
        <v>-3.1979927945809681E-3</v>
      </c>
      <c r="U28" s="2">
        <f t="shared" si="35"/>
        <v>3.95551530620565E-3</v>
      </c>
      <c r="V28" s="2">
        <f t="shared" si="35"/>
        <v>-1.291572381615935E-3</v>
      </c>
      <c r="W28" s="2">
        <f t="shared" si="35"/>
        <v>-5.8324805602522917E-3</v>
      </c>
      <c r="X28" s="2">
        <f t="shared" si="35"/>
        <v>0.1117677548225724</v>
      </c>
      <c r="Y28" s="2">
        <f t="shared" si="35"/>
        <v>-2.161397638363635E-4</v>
      </c>
    </row>
    <row r="29" spans="1:25" x14ac:dyDescent="0.25">
      <c r="A29" s="18" t="s">
        <v>126</v>
      </c>
      <c r="B29" s="2">
        <f>$C$3-(B28*B3)</f>
        <v>9.6909234096332071</v>
      </c>
      <c r="C29" s="2">
        <f t="shared" ref="C29:Y29" si="36">$C$3-(C28*D3)</f>
        <v>8.4345045045071458</v>
      </c>
      <c r="D29" s="2">
        <f t="shared" si="36"/>
        <v>25.961776402859332</v>
      </c>
      <c r="E29" s="2">
        <f t="shared" si="36"/>
        <v>45.847818219394568</v>
      </c>
      <c r="F29" s="2">
        <f t="shared" si="36"/>
        <v>44.018873876642495</v>
      </c>
      <c r="G29" s="2">
        <f t="shared" si="36"/>
        <v>44.513341380232774</v>
      </c>
      <c r="H29" s="2">
        <f t="shared" si="36"/>
        <v>36.578744016310075</v>
      </c>
      <c r="I29" s="2">
        <f t="shared" si="36"/>
        <v>46.404874634937414</v>
      </c>
      <c r="J29" s="2">
        <f t="shared" si="36"/>
        <v>45.758255846919326</v>
      </c>
      <c r="K29" s="2">
        <f t="shared" si="36"/>
        <v>44.662537360643775</v>
      </c>
      <c r="L29" s="2">
        <f t="shared" si="36"/>
        <v>44.264495980875481</v>
      </c>
      <c r="M29" s="2">
        <f t="shared" si="36"/>
        <v>9.6909234097436254</v>
      </c>
      <c r="N29" s="2">
        <f t="shared" si="36"/>
        <v>18.322536148304781</v>
      </c>
      <c r="O29" s="2">
        <f t="shared" si="36"/>
        <v>44.347222222222221</v>
      </c>
      <c r="P29" s="2">
        <f t="shared" si="36"/>
        <v>44.291666666666664</v>
      </c>
      <c r="Q29" s="2">
        <f t="shared" si="36"/>
        <v>44.721163710849737</v>
      </c>
      <c r="R29" s="2">
        <f t="shared" si="36"/>
        <v>44.71415659579764</v>
      </c>
      <c r="S29" s="2">
        <f t="shared" si="36"/>
        <v>44.647226138942806</v>
      </c>
      <c r="T29" s="2">
        <f t="shared" si="36"/>
        <v>44.777637982085629</v>
      </c>
      <c r="U29" s="2">
        <f t="shared" si="36"/>
        <v>44.343634639231425</v>
      </c>
      <c r="V29" s="2">
        <f t="shared" si="36"/>
        <v>44.762598577378462</v>
      </c>
      <c r="W29" s="2">
        <f t="shared" si="36"/>
        <v>44.782694487422901</v>
      </c>
      <c r="X29" s="2">
        <f t="shared" si="36"/>
        <v>44.33031459742935</v>
      </c>
      <c r="Y29" s="2">
        <f t="shared" si="36"/>
        <v>44.657146963256835</v>
      </c>
    </row>
    <row r="30" spans="1:25" ht="60" x14ac:dyDescent="0.25">
      <c r="A30" s="18" t="s">
        <v>128</v>
      </c>
      <c r="B30" s="20" t="str">
        <f>"Y="&amp;B28&amp;""&amp;"X + "&amp;B29&amp;""</f>
        <v>Y=0.136262510569982X + 9.69092340963321</v>
      </c>
      <c r="C30" s="20" t="str">
        <f t="shared" ref="C30:Y30" si="37">"Y="&amp;C28&amp;""&amp;"X + "&amp;C29&amp;""</f>
        <v>Y=2.16612612612597X + 8.43450450450715</v>
      </c>
      <c r="D30" s="20" t="str">
        <f t="shared" si="37"/>
        <v>Y=0.191468131758777X + 25.9617764028593</v>
      </c>
      <c r="E30" s="20" t="str">
        <f t="shared" si="37"/>
        <v>Y=-0.010590405242427X + 45.8478182193946</v>
      </c>
      <c r="F30" s="20" t="str">
        <f t="shared" si="37"/>
        <v>Y=0.00563562066885411X + 44.0188738766425</v>
      </c>
      <c r="G30" s="20" t="str">
        <f t="shared" si="37"/>
        <v>Y=-0.000839502573613769X + 44.5133413802328</v>
      </c>
      <c r="H30" s="20" t="str">
        <f t="shared" si="37"/>
        <v>Y=0.0809692380488591X + 36.5787440163101</v>
      </c>
      <c r="I30" s="20" t="str">
        <f t="shared" si="37"/>
        <v>Y=-0.0145401143256135X + 46.4048746349374</v>
      </c>
      <c r="J30" s="20" t="str">
        <f t="shared" si="37"/>
        <v>Y=-0.017067945207442X + 45.7582558469193</v>
      </c>
      <c r="K30" s="20" t="str">
        <f t="shared" si="37"/>
        <v>Y=-0.0028567463109649X + 44.6625373606438</v>
      </c>
      <c r="L30" s="20" t="str">
        <f t="shared" si="37"/>
        <v>Y=0.0240494839978276X + 44.2644959808755</v>
      </c>
      <c r="M30" s="20" t="str">
        <f t="shared" si="37"/>
        <v>Y=0.949767143372392X + 9.69092340974363</v>
      </c>
      <c r="N30" s="20" t="str">
        <f t="shared" si="37"/>
        <v>Y=0.823077822121863X + 18.3225361483048</v>
      </c>
      <c r="O30" s="20" t="str">
        <f t="shared" si="37"/>
        <v>Y=0.203625235404888X + 44.3472222222222</v>
      </c>
      <c r="P30" s="20" t="str">
        <f t="shared" si="37"/>
        <v>Y=0.389184397163116X + 44.2916666666667</v>
      </c>
      <c r="Q30" s="20" t="str">
        <f t="shared" si="37"/>
        <v>Y=-9.18295323180014E-05X + 44.7211637108497</v>
      </c>
      <c r="R30" s="20" t="str">
        <f t="shared" si="37"/>
        <v>Y=-0.000655071063297534X + 44.7141565957976</v>
      </c>
      <c r="S30" s="20" t="str">
        <f t="shared" si="37"/>
        <v>Y=-0.00183713365689993X + 44.6472261389428</v>
      </c>
      <c r="T30" s="20" t="str">
        <f t="shared" si="37"/>
        <v>Y=-0.00319799279458097X + 44.7776379820856</v>
      </c>
      <c r="U30" s="20" t="str">
        <f t="shared" si="37"/>
        <v>Y=0.00395551530620565X + 44.3436346392314</v>
      </c>
      <c r="V30" s="20" t="str">
        <f t="shared" si="37"/>
        <v>Y=-0.00129157238161593X + 44.7625985773785</v>
      </c>
      <c r="W30" s="20" t="str">
        <f t="shared" si="37"/>
        <v>Y=-0.00583248056025229X + 44.7826944874229</v>
      </c>
      <c r="X30" s="20" t="str">
        <f t="shared" si="37"/>
        <v>Y=0.111767754822572X + 44.3303145974293</v>
      </c>
      <c r="Y30" s="20" t="str">
        <f t="shared" si="37"/>
        <v>Y=-0.000216139763836364X + 44.6571469632568</v>
      </c>
    </row>
    <row r="31" spans="1:25" x14ac:dyDescent="0.25">
      <c r="A31" s="18" t="s">
        <v>130</v>
      </c>
      <c r="B31" s="2">
        <f>SUM(Table7[WaistW Res])</f>
        <v>5.9401372709544376E-12</v>
      </c>
      <c r="C31" s="2">
        <f>SUM(Table7[WaistN Res])</f>
        <v>2.4655832930875476E-12</v>
      </c>
      <c r="D31" s="2">
        <f>SUM(Table7[WaistMT Res])</f>
        <v>-3.637978807091713E-12</v>
      </c>
      <c r="E31" s="2">
        <f>SUM(Table7[WaistMS Res])</f>
        <v>7.8870243669371121E-13</v>
      </c>
      <c r="F31" s="2">
        <f>SUM(Table7[WaistMD Res])</f>
        <v>2.3447910280083306E-13</v>
      </c>
      <c r="G31" s="2">
        <f>SUM(Table7[WaistMP Res])</f>
        <v>1.2150280781497713E-12</v>
      </c>
      <c r="H31" s="2">
        <f>SUM(Table7[WaistNT Res])</f>
        <v>2.7711166694643907E-13</v>
      </c>
      <c r="I31" s="2">
        <f>SUM(Table7[WaistNS Res])</f>
        <v>3.4816594052244909E-13</v>
      </c>
      <c r="J31" s="2">
        <f>SUM(Table7[WaistND Res])</f>
        <v>8.0291329140891321E-13</v>
      </c>
      <c r="K31" s="2">
        <f>SUM(Table7[WaistNP Res])</f>
        <v>4.8316906031686813E-13</v>
      </c>
      <c r="L31" s="2">
        <f>SUM(Table7[WaistS Res])</f>
        <v>8.1001871876651421E-13</v>
      </c>
      <c r="M31" s="2">
        <f>SUM(Table7[WaistBMI Res])</f>
        <v>6.1319838096096646E-12</v>
      </c>
      <c r="N31" s="2">
        <f>SUM(Table7[WaistCBF Res])</f>
        <v>1.4409806681214832E-11</v>
      </c>
      <c r="O31" s="2">
        <f>SUM(Table7[WaistGYM Res])</f>
        <v>1.4637180356658064E-12</v>
      </c>
      <c r="P31" s="2">
        <f>SUM(Table7[WaistC Res])</f>
        <v>1.2221335055073723E-12</v>
      </c>
      <c r="Q31" s="2">
        <f>SUM(Table7[WaistCal Res])</f>
        <v>1.6342482922482304E-13</v>
      </c>
      <c r="R31" s="2">
        <f>SUM(Table7[WaistCarb Res])</f>
        <v>8.2422957348171622E-13</v>
      </c>
      <c r="S31" s="2">
        <f>SUM(Table7[WaistF Res])</f>
        <v>7.460698725481052E-13</v>
      </c>
      <c r="T31" s="2">
        <f>SUM(Table7[WaistP Res])</f>
        <v>4.3343106881366111E-13</v>
      </c>
      <c r="U31" s="2">
        <f>SUM(Table7[WaistFib Res])</f>
        <v>1.0658141036401503E-13</v>
      </c>
      <c r="V31" s="2">
        <f>SUM(Table7[WaistSugar Res])</f>
        <v>3.5527136788005009E-13</v>
      </c>
      <c r="W31" s="2">
        <f>SUM(Table7[WaistServ Res])</f>
        <v>2.9842794901924208E-13</v>
      </c>
      <c r="X31" s="2">
        <f>SUM(Table7[WaistWat Res])</f>
        <v>4.8316906031686813E-13</v>
      </c>
      <c r="Y31" s="2">
        <f>SUM(Table7[WaistFatCal Res])</f>
        <v>2.0605739337042905E-13</v>
      </c>
    </row>
    <row r="32" spans="1:25" x14ac:dyDescent="0.25">
      <c r="A32" s="18" t="s">
        <v>131</v>
      </c>
      <c r="B32" s="2">
        <f>SUM(Table7[WaistW Res Squared])</f>
        <v>42.279996386435016</v>
      </c>
      <c r="C32" s="2">
        <f>SUM(Table7[WaistN Res Squared])</f>
        <v>132.64896396396401</v>
      </c>
      <c r="D32" s="2">
        <f>SUM(Table7[Waist MT Res Squared])</f>
        <v>186.08194862698269</v>
      </c>
      <c r="E32" s="2">
        <f>SUM(Table7[WaistMS Res Squared])</f>
        <v>188.15866061536605</v>
      </c>
      <c r="F32" s="2">
        <f>SUM(Table7[WaistMD Res Squared])</f>
        <v>190.00378989575071</v>
      </c>
      <c r="G32" s="2">
        <f>SUM(Table7[WaistMP Res Squared])</f>
        <v>190.25164278521112</v>
      </c>
      <c r="H32" s="2">
        <f>SUM(Table7[WaistNT Res Squared])</f>
        <v>189.57840800519986</v>
      </c>
      <c r="I32" s="2">
        <f>SUM(Table7[WaistNS Res Squared])</f>
        <v>183.96102302189698</v>
      </c>
      <c r="J32" s="2">
        <f>SUM(Table7[WaistND Res Squared])</f>
        <v>187.38871159622585</v>
      </c>
      <c r="K32" s="2">
        <f>SUM(Table7[WaistNP Res Squared])</f>
        <v>190.10554007283545</v>
      </c>
      <c r="L32" s="2">
        <f>SUM(Table7[WaistS Res Squared])</f>
        <v>188.67402428515641</v>
      </c>
      <c r="M32" s="2">
        <f>SUM(Table7[WaistBMI Res Squared])</f>
        <v>42.27999638643508</v>
      </c>
      <c r="N32" s="2">
        <f>SUM(Table7[WaistCBF Res Squared])</f>
        <v>11.31965532432878</v>
      </c>
      <c r="O32" s="2">
        <f>SUM(Table7[WaistGYM Res Squared])</f>
        <v>187.9240819209038</v>
      </c>
      <c r="P32" s="2">
        <f>SUM(Table7[WaistC Res Squared])</f>
        <v>181.94636524822718</v>
      </c>
      <c r="Q32" s="2">
        <f>SUM(Table7[WaistCal Res Squared])</f>
        <v>184.05402919163495</v>
      </c>
      <c r="R32" s="2">
        <f>SUM(Table7[WaistCarb Res Squared])</f>
        <v>183.06125238058451</v>
      </c>
      <c r="S32" s="2">
        <f>SUM(Table7[WaistF Res Squared])</f>
        <v>186.46630779423029</v>
      </c>
      <c r="T32" s="2">
        <f>SUM(Table7[WaistP Res Squared])</f>
        <v>185.2790300636095</v>
      </c>
      <c r="U32" s="2">
        <f>SUM(Table7[WaistFib Res Squared])</f>
        <v>189.15611860228725</v>
      </c>
      <c r="V32" s="2">
        <f>SUM(Table7[WaistSugar Res Squared])</f>
        <v>176.18215087323455</v>
      </c>
      <c r="W32" s="2">
        <f>SUM(Table7[WaistServ Res Squared])</f>
        <v>177.25970830496206</v>
      </c>
      <c r="X32" s="2">
        <f>SUM(Table7[WaistWat Res Squared])</f>
        <v>188.03420043441636</v>
      </c>
      <c r="Y32" s="2">
        <f>SUM(Table7[WaistFatCal Res Squared])</f>
        <v>186.06348543140902</v>
      </c>
    </row>
    <row r="33" spans="1:25" x14ac:dyDescent="0.25">
      <c r="A33" s="18" t="s">
        <v>132</v>
      </c>
      <c r="B33">
        <f>B32/224</f>
        <v>0.18874998386801348</v>
      </c>
      <c r="C33">
        <f t="shared" ref="C33:Y33" si="38">C32/224</f>
        <v>0.59218287483912502</v>
      </c>
      <c r="D33">
        <f t="shared" si="38"/>
        <v>0.83072298494188701</v>
      </c>
      <c r="E33">
        <f t="shared" si="38"/>
        <v>0.83999402060431272</v>
      </c>
      <c r="F33">
        <f t="shared" si="38"/>
        <v>0.84823120489174431</v>
      </c>
      <c r="G33">
        <f t="shared" si="38"/>
        <v>0.84933769100540679</v>
      </c>
      <c r="H33">
        <f t="shared" si="38"/>
        <v>0.84633217859464227</v>
      </c>
      <c r="I33">
        <f t="shared" si="38"/>
        <v>0.82125456706204003</v>
      </c>
      <c r="J33">
        <f t="shared" si="38"/>
        <v>0.83655674819743686</v>
      </c>
      <c r="K33">
        <f t="shared" si="38"/>
        <v>0.8486854467537297</v>
      </c>
      <c r="L33">
        <f t="shared" si="38"/>
        <v>0.84229475127301967</v>
      </c>
      <c r="M33">
        <f t="shared" si="38"/>
        <v>0.18874998386801375</v>
      </c>
      <c r="N33">
        <f t="shared" si="38"/>
        <v>5.0534175555039196E-2</v>
      </c>
      <c r="O33">
        <f t="shared" si="38"/>
        <v>0.83894679428974916</v>
      </c>
      <c r="P33">
        <f t="shared" si="38"/>
        <v>0.8122605591438713</v>
      </c>
      <c r="Q33">
        <f t="shared" si="38"/>
        <v>0.82166977317694179</v>
      </c>
      <c r="R33">
        <f t="shared" si="38"/>
        <v>0.81723773384189513</v>
      </c>
      <c r="S33">
        <f t="shared" si="38"/>
        <v>0.83243887408138517</v>
      </c>
      <c r="T33">
        <f t="shared" si="38"/>
        <v>0.82713852706968527</v>
      </c>
      <c r="U33">
        <f t="shared" si="38"/>
        <v>0.84444695804592518</v>
      </c>
      <c r="V33">
        <f t="shared" si="38"/>
        <v>0.78652745925551137</v>
      </c>
      <c r="W33">
        <f t="shared" si="38"/>
        <v>0.79133798350429496</v>
      </c>
      <c r="X33">
        <f t="shared" si="38"/>
        <v>0.83943839479650162</v>
      </c>
      <c r="Y33">
        <f t="shared" si="38"/>
        <v>0.83064055996164743</v>
      </c>
    </row>
    <row r="34" spans="1:25" x14ac:dyDescent="0.25">
      <c r="A34" s="18" t="s">
        <v>133</v>
      </c>
      <c r="B34">
        <f>SQRT(B33)</f>
        <v>0.43445366135873853</v>
      </c>
      <c r="C34">
        <f t="shared" ref="C34:Y34" si="39">SQRT(C33)</f>
        <v>0.76953419341776164</v>
      </c>
      <c r="D34">
        <f t="shared" si="39"/>
        <v>0.91144006108020459</v>
      </c>
      <c r="E34">
        <f t="shared" si="39"/>
        <v>0.91651187695758352</v>
      </c>
      <c r="F34">
        <f t="shared" si="39"/>
        <v>0.92099468233630122</v>
      </c>
      <c r="G34">
        <f t="shared" si="39"/>
        <v>0.9215951882499207</v>
      </c>
      <c r="H34">
        <f t="shared" si="39"/>
        <v>0.9199631398021566</v>
      </c>
      <c r="I34">
        <f t="shared" si="39"/>
        <v>0.90623096783438162</v>
      </c>
      <c r="J34">
        <f t="shared" si="39"/>
        <v>0.91463476218512318</v>
      </c>
      <c r="K34">
        <f t="shared" si="39"/>
        <v>0.92124125328478956</v>
      </c>
      <c r="L34">
        <f t="shared" si="39"/>
        <v>0.917766174618034</v>
      </c>
      <c r="M34">
        <f t="shared" si="39"/>
        <v>0.43445366135873886</v>
      </c>
      <c r="N34">
        <f t="shared" si="39"/>
        <v>0.22479807729391102</v>
      </c>
      <c r="O34">
        <f t="shared" si="39"/>
        <v>0.91594038795641564</v>
      </c>
      <c r="P34">
        <f t="shared" si="39"/>
        <v>0.90125499118943653</v>
      </c>
      <c r="Q34">
        <f t="shared" si="39"/>
        <v>0.90646002293368777</v>
      </c>
      <c r="R34">
        <f t="shared" si="39"/>
        <v>0.90401202085032872</v>
      </c>
      <c r="S34">
        <f t="shared" si="39"/>
        <v>0.91238088213277746</v>
      </c>
      <c r="T34">
        <f t="shared" si="39"/>
        <v>0.90947156473948387</v>
      </c>
      <c r="U34">
        <f t="shared" si="39"/>
        <v>0.91893795114029608</v>
      </c>
      <c r="V34">
        <f t="shared" si="39"/>
        <v>0.886863833548032</v>
      </c>
      <c r="W34">
        <f t="shared" si="39"/>
        <v>0.88957179783550633</v>
      </c>
      <c r="X34">
        <f t="shared" si="39"/>
        <v>0.91620870700758006</v>
      </c>
      <c r="Y34">
        <f t="shared" si="39"/>
        <v>0.91139484306289964</v>
      </c>
    </row>
    <row r="35" spans="1:25" x14ac:dyDescent="0.25">
      <c r="A35" s="18" t="s">
        <v>134</v>
      </c>
      <c r="B35">
        <f>100*(B34/$C3)</f>
        <v>0.97732073326108515</v>
      </c>
      <c r="C35">
        <f t="shared" ref="C35:Y35" si="40">100*(C34/$C3)</f>
        <v>1.7310976729449474</v>
      </c>
      <c r="D35">
        <f t="shared" si="40"/>
        <v>2.0503205474954092</v>
      </c>
      <c r="E35">
        <f t="shared" si="40"/>
        <v>2.0617297983617568</v>
      </c>
      <c r="F35">
        <f t="shared" si="40"/>
        <v>2.071814046762595</v>
      </c>
      <c r="G35">
        <f t="shared" si="40"/>
        <v>2.0731649086197392</v>
      </c>
      <c r="H35">
        <f t="shared" si="40"/>
        <v>2.0694935509409982</v>
      </c>
      <c r="I35">
        <f t="shared" si="40"/>
        <v>2.0386024857469791</v>
      </c>
      <c r="J35">
        <f t="shared" si="40"/>
        <v>2.0575071542710184</v>
      </c>
      <c r="K35">
        <f t="shared" si="40"/>
        <v>2.0723687178854573</v>
      </c>
      <c r="L35">
        <f t="shared" si="40"/>
        <v>2.0645513906701409</v>
      </c>
      <c r="M35">
        <f t="shared" si="40"/>
        <v>0.97732073326108582</v>
      </c>
      <c r="N35">
        <f t="shared" si="40"/>
        <v>0.50569218601924948</v>
      </c>
      <c r="O35">
        <f t="shared" si="40"/>
        <v>2.0604442111994223</v>
      </c>
      <c r="P35">
        <f t="shared" si="40"/>
        <v>2.0274088290331225</v>
      </c>
      <c r="Q35">
        <f t="shared" si="40"/>
        <v>2.0391177542727661</v>
      </c>
      <c r="R35">
        <f t="shared" si="40"/>
        <v>2.0336108765458052</v>
      </c>
      <c r="S35">
        <f t="shared" si="40"/>
        <v>2.052436961747949</v>
      </c>
      <c r="T35">
        <f t="shared" si="40"/>
        <v>2.0458923369444419</v>
      </c>
      <c r="U35">
        <f t="shared" si="40"/>
        <v>2.0671873484069767</v>
      </c>
      <c r="V35">
        <f t="shared" si="40"/>
        <v>1.9950353494436395</v>
      </c>
      <c r="W35">
        <f t="shared" si="40"/>
        <v>2.0011270224538342</v>
      </c>
      <c r="X35">
        <f t="shared" si="40"/>
        <v>2.0610478055413637</v>
      </c>
      <c r="Y35">
        <f t="shared" si="40"/>
        <v>2.0502188277730089</v>
      </c>
    </row>
    <row r="36" spans="1:25" x14ac:dyDescent="0.25">
      <c r="A36" s="18" t="s">
        <v>229</v>
      </c>
      <c r="B36">
        <f>B27/SQRT($C2*B2)</f>
        <v>0.88191855015968745</v>
      </c>
      <c r="C36">
        <f>C27/SQRT($C2*D2)</f>
        <v>0.55028134984190724</v>
      </c>
      <c r="D36">
        <f t="shared" ref="D36:Y36" si="41">D27/SQRT($C2*E2)</f>
        <v>0.14822563633274874</v>
      </c>
      <c r="E36">
        <f t="shared" si="41"/>
        <v>-0.10514674051997465</v>
      </c>
      <c r="F36">
        <f t="shared" si="41"/>
        <v>3.6851209966898224E-2</v>
      </c>
      <c r="G36">
        <f t="shared" si="41"/>
        <v>-7.4377604039449069E-3</v>
      </c>
      <c r="H36">
        <f t="shared" si="41"/>
        <v>5.9948133811409655E-2</v>
      </c>
      <c r="I36">
        <f t="shared" si="41"/>
        <v>-0.18198413141385006</v>
      </c>
      <c r="J36">
        <f t="shared" si="41"/>
        <v>-0.12289270288994891</v>
      </c>
      <c r="K36">
        <f t="shared" si="41"/>
        <v>-2.8691851592588278E-2</v>
      </c>
      <c r="L36">
        <f t="shared" si="41"/>
        <v>9.1362652272966097E-2</v>
      </c>
      <c r="M36">
        <f t="shared" si="41"/>
        <v>0.88191855015764908</v>
      </c>
      <c r="N36">
        <f t="shared" si="41"/>
        <v>0.96979634969744621</v>
      </c>
      <c r="O36">
        <f t="shared" si="41"/>
        <v>0.11085468200304713</v>
      </c>
      <c r="P36">
        <f t="shared" si="41"/>
        <v>0.20906237158824559</v>
      </c>
      <c r="Q36">
        <f t="shared" si="41"/>
        <v>-0.18063607733695616</v>
      </c>
      <c r="R36">
        <f t="shared" si="41"/>
        <v>-0.19454391191319556</v>
      </c>
      <c r="S36">
        <f t="shared" si="41"/>
        <v>-0.14124688936828828</v>
      </c>
      <c r="T36">
        <f t="shared" si="41"/>
        <v>-0.16183603881859646</v>
      </c>
      <c r="U36">
        <f t="shared" si="41"/>
        <v>7.624494735098851E-2</v>
      </c>
      <c r="V36">
        <f t="shared" si="41"/>
        <v>-0.27203536898451347</v>
      </c>
      <c r="W36">
        <f t="shared" si="41"/>
        <v>-0.26141863325048131</v>
      </c>
      <c r="X36">
        <f t="shared" si="41"/>
        <v>0.10821269799463296</v>
      </c>
      <c r="Y36">
        <f t="shared" si="41"/>
        <v>-0.14855261720787852</v>
      </c>
    </row>
    <row r="37" spans="1:25" x14ac:dyDescent="0.25">
      <c r="A37" s="18" t="s">
        <v>129</v>
      </c>
      <c r="B37">
        <f>B36^2</f>
        <v>0.77778032911576511</v>
      </c>
      <c r="C37">
        <f t="shared" ref="C37:Y37" si="42">C36^2</f>
        <v>0.30280956398383152</v>
      </c>
      <c r="D37">
        <f t="shared" si="42"/>
        <v>2.1970839266248283E-2</v>
      </c>
      <c r="E37">
        <f t="shared" si="42"/>
        <v>1.1055837041974879E-2</v>
      </c>
      <c r="F37">
        <f t="shared" si="42"/>
        <v>1.3580116760244191E-3</v>
      </c>
      <c r="G37">
        <f t="shared" si="42"/>
        <v>5.5320279826490706E-5</v>
      </c>
      <c r="H37">
        <f t="shared" si="42"/>
        <v>3.5937787474706775E-3</v>
      </c>
      <c r="I37">
        <f t="shared" si="42"/>
        <v>3.311822408645345E-2</v>
      </c>
      <c r="J37">
        <f t="shared" si="42"/>
        <v>1.5102616423597257E-2</v>
      </c>
      <c r="K37">
        <f t="shared" si="42"/>
        <v>8.2322234781111051E-4</v>
      </c>
      <c r="L37">
        <f t="shared" si="42"/>
        <v>8.3471342303509163E-3</v>
      </c>
      <c r="M37">
        <f t="shared" si="42"/>
        <v>0.77778032911216977</v>
      </c>
      <c r="N37">
        <f t="shared" si="42"/>
        <v>0.94050495988649141</v>
      </c>
      <c r="O37">
        <f t="shared" si="42"/>
        <v>1.22887605219967E-2</v>
      </c>
      <c r="P37">
        <f t="shared" si="42"/>
        <v>4.3707075214101679E-2</v>
      </c>
      <c r="Q37">
        <f t="shared" si="42"/>
        <v>3.2629392435682809E-2</v>
      </c>
      <c r="R37">
        <f t="shared" si="42"/>
        <v>3.7847333662489192E-2</v>
      </c>
      <c r="S37">
        <f t="shared" si="42"/>
        <v>1.9950683756217467E-2</v>
      </c>
      <c r="T37">
        <f t="shared" si="42"/>
        <v>2.6190903460494259E-2</v>
      </c>
      <c r="U37">
        <f t="shared" si="42"/>
        <v>5.8132919965550095E-3</v>
      </c>
      <c r="V37">
        <f t="shared" si="42"/>
        <v>7.4003241978540399E-2</v>
      </c>
      <c r="W37">
        <f t="shared" si="42"/>
        <v>6.8339701810549658E-2</v>
      </c>
      <c r="X37">
        <f t="shared" si="42"/>
        <v>1.170998800727764E-2</v>
      </c>
      <c r="Y37">
        <f t="shared" si="42"/>
        <v>2.2067880079310483E-2</v>
      </c>
    </row>
    <row r="38" spans="1:25" x14ac:dyDescent="0.25">
      <c r="A38" s="18" t="s">
        <v>232</v>
      </c>
      <c r="B38">
        <f>B$28/(B$34/SQRT(B$2))</f>
        <v>28.000206659896442</v>
      </c>
      <c r="C38">
        <f>C$28/(C$34/SQRT(D$2))</f>
        <v>9.8635464168583837</v>
      </c>
      <c r="D38">
        <f t="shared" ref="D38:Y38" si="43">D$28/(D$34/SQRT(E$2))</f>
        <v>2.2432177393760981</v>
      </c>
      <c r="E38">
        <f t="shared" si="43"/>
        <v>-1.5824643604617619</v>
      </c>
      <c r="F38">
        <f t="shared" si="43"/>
        <v>0.55191328759724501</v>
      </c>
      <c r="G38">
        <f t="shared" si="43"/>
        <v>-0.11132128383079383</v>
      </c>
      <c r="H38">
        <f t="shared" si="43"/>
        <v>0.89883807708751706</v>
      </c>
      <c r="I38">
        <f t="shared" si="43"/>
        <v>-2.7699430626813699</v>
      </c>
      <c r="J38">
        <f t="shared" si="43"/>
        <v>-1.8533379276861881</v>
      </c>
      <c r="K38">
        <f t="shared" si="43"/>
        <v>-0.42959717721198898</v>
      </c>
      <c r="L38">
        <f t="shared" si="43"/>
        <v>1.3731338465279015</v>
      </c>
      <c r="M38">
        <f t="shared" si="43"/>
        <v>28.000206659831704</v>
      </c>
      <c r="N38">
        <f t="shared" si="43"/>
        <v>59.506467990441877</v>
      </c>
      <c r="O38">
        <f t="shared" si="43"/>
        <v>1.6694101580131864</v>
      </c>
      <c r="P38">
        <f t="shared" si="43"/>
        <v>3.1996642618619426</v>
      </c>
      <c r="Q38">
        <f t="shared" si="43"/>
        <v>-2.7487298513208818</v>
      </c>
      <c r="R38">
        <f t="shared" si="43"/>
        <v>-2.9683811140458722</v>
      </c>
      <c r="S38">
        <f t="shared" si="43"/>
        <v>-2.1353985153404107</v>
      </c>
      <c r="T38">
        <f t="shared" si="43"/>
        <v>-2.4544960386287196</v>
      </c>
      <c r="U38">
        <f t="shared" si="43"/>
        <v>1.1444612742694771</v>
      </c>
      <c r="V38">
        <f t="shared" si="43"/>
        <v>-4.2310158188112519</v>
      </c>
      <c r="W38">
        <f t="shared" si="43"/>
        <v>-4.0535147203050093</v>
      </c>
      <c r="X38">
        <f t="shared" si="43"/>
        <v>1.6291460928273938</v>
      </c>
      <c r="Y38">
        <f t="shared" si="43"/>
        <v>-2.248277744576574</v>
      </c>
    </row>
    <row r="39" spans="1:25" x14ac:dyDescent="0.25">
      <c r="A39" s="18" t="s">
        <v>233</v>
      </c>
      <c r="B39">
        <f>B$28+($B$22*(B$34/SQRT(B$2)))</f>
        <v>0.14585245396497584</v>
      </c>
      <c r="C39">
        <f>C$28+($B$22*(C$34/SQRT(D$2)))</f>
        <v>2.59889054035109</v>
      </c>
      <c r="D39">
        <f t="shared" ref="D39:Y39" si="44">D$28+($B$22*(D$34/SQRT(E$2)))</f>
        <v>0.3596681207846209</v>
      </c>
      <c r="E39">
        <f t="shared" si="44"/>
        <v>2.5976128732876948E-3</v>
      </c>
      <c r="F39">
        <f t="shared" si="44"/>
        <v>2.5757650908436229E-2</v>
      </c>
      <c r="G39">
        <f t="shared" si="44"/>
        <v>1.402138401076565E-2</v>
      </c>
      <c r="H39">
        <f t="shared" si="44"/>
        <v>0.25848604789318941</v>
      </c>
      <c r="I39">
        <f t="shared" si="44"/>
        <v>-4.195891351586439E-3</v>
      </c>
      <c r="J39">
        <f t="shared" si="44"/>
        <v>1.080002561193321E-3</v>
      </c>
      <c r="K39">
        <f t="shared" si="44"/>
        <v>1.024747292532263E-2</v>
      </c>
      <c r="L39">
        <f t="shared" si="44"/>
        <v>5.8563363977416225E-2</v>
      </c>
      <c r="M39">
        <f t="shared" si="44"/>
        <v>1.0166102765664584</v>
      </c>
      <c r="N39">
        <f t="shared" si="44"/>
        <v>0.85033479489958042</v>
      </c>
      <c r="O39">
        <f t="shared" si="44"/>
        <v>0.44398924596265354</v>
      </c>
      <c r="P39">
        <f t="shared" si="44"/>
        <v>0.62887549478263938</v>
      </c>
      <c r="Q39">
        <f t="shared" si="44"/>
        <v>-2.5995386102505474E-5</v>
      </c>
      <c r="R39">
        <f t="shared" si="44"/>
        <v>-2.2019084810992576E-4</v>
      </c>
      <c r="S39">
        <f t="shared" si="44"/>
        <v>-1.417706156270689E-4</v>
      </c>
      <c r="T39">
        <f t="shared" si="44"/>
        <v>-6.3045976321847181E-4</v>
      </c>
      <c r="U39">
        <f t="shared" si="44"/>
        <v>1.0766389552861595E-2</v>
      </c>
      <c r="V39">
        <f t="shared" si="44"/>
        <v>-6.900178610789394E-4</v>
      </c>
      <c r="W39">
        <f t="shared" si="44"/>
        <v>-2.9970276470370704E-3</v>
      </c>
      <c r="X39">
        <f t="shared" si="44"/>
        <v>0.24696174615389374</v>
      </c>
      <c r="Y39">
        <f t="shared" si="44"/>
        <v>-2.6693691715843265E-5</v>
      </c>
    </row>
    <row r="40" spans="1:25" x14ac:dyDescent="0.25">
      <c r="A40" s="18" t="s">
        <v>234</v>
      </c>
      <c r="B40">
        <f>B$28-($B$22*(B$34/SQRT(B$2)))</f>
        <v>0.1266725671749884</v>
      </c>
      <c r="C40">
        <f>C$28-($B$22*(C$34/SQRT(D$2)))</f>
        <v>1.7333617119008435</v>
      </c>
      <c r="D40">
        <f t="shared" ref="D40:Y40" si="45">D$28-($B$22*(D$34/SQRT(E$2)))</f>
        <v>2.3268142732933372E-2</v>
      </c>
      <c r="E40">
        <f t="shared" si="45"/>
        <v>-2.3778423358141711E-2</v>
      </c>
      <c r="F40">
        <f t="shared" si="45"/>
        <v>-1.4486409570728005E-2</v>
      </c>
      <c r="G40">
        <f t="shared" si="45"/>
        <v>-1.570038915799319E-2</v>
      </c>
      <c r="H40">
        <f t="shared" si="45"/>
        <v>-9.6547571795471215E-2</v>
      </c>
      <c r="I40">
        <f t="shared" si="45"/>
        <v>-2.4884337299640465E-2</v>
      </c>
      <c r="J40">
        <f t="shared" si="45"/>
        <v>-3.521589297607737E-2</v>
      </c>
      <c r="K40">
        <f t="shared" si="45"/>
        <v>-1.5960965547252425E-2</v>
      </c>
      <c r="L40">
        <f t="shared" si="45"/>
        <v>-1.0464395981761087E-2</v>
      </c>
      <c r="M40">
        <f t="shared" si="45"/>
        <v>0.88292401017832556</v>
      </c>
      <c r="N40">
        <f t="shared" si="45"/>
        <v>0.7958208493441451</v>
      </c>
      <c r="O40">
        <f t="shared" si="45"/>
        <v>-3.6738775152876907E-2</v>
      </c>
      <c r="P40">
        <f t="shared" si="45"/>
        <v>0.14949329954359225</v>
      </c>
      <c r="Q40">
        <f t="shared" si="45"/>
        <v>-1.5766367853349729E-4</v>
      </c>
      <c r="R40">
        <f t="shared" si="45"/>
        <v>-1.0899512784851417E-3</v>
      </c>
      <c r="S40">
        <f t="shared" si="45"/>
        <v>-3.5324966981727917E-3</v>
      </c>
      <c r="T40">
        <f t="shared" si="45"/>
        <v>-5.7655258259434643E-3</v>
      </c>
      <c r="U40">
        <f t="shared" si="45"/>
        <v>-2.8553589404502937E-3</v>
      </c>
      <c r="V40">
        <f t="shared" si="45"/>
        <v>-1.8931269021529307E-3</v>
      </c>
      <c r="W40">
        <f t="shared" si="45"/>
        <v>-8.6679334734675127E-3</v>
      </c>
      <c r="X40">
        <f t="shared" si="45"/>
        <v>-2.3426236508748949E-2</v>
      </c>
      <c r="Y40">
        <f t="shared" si="45"/>
        <v>-4.0558583595688377E-4</v>
      </c>
    </row>
    <row r="41" spans="1:25" x14ac:dyDescent="0.25">
      <c r="A41" s="18" t="s">
        <v>235</v>
      </c>
      <c r="B41">
        <f>_xlfn.T.INV(0.975,224)</f>
        <v>1.9706109611023637</v>
      </c>
    </row>
    <row r="42" spans="1:25" x14ac:dyDescent="0.25">
      <c r="A42" s="18" t="s">
        <v>236</v>
      </c>
      <c r="B42">
        <f>_xlfn.T.TEST('Cleaned Log'!$C2:$C227,Table83[Weight],2,1)</f>
        <v>0</v>
      </c>
      <c r="C42">
        <f>_xlfn.T.TEST('Cleaned Log'!$C2:$C227,Table83[Neck],2,1)</f>
        <v>0</v>
      </c>
      <c r="D42">
        <f>_xlfn.T.TEST('Cleaned Log'!$C2:$C227,Table83[Morning Body Temp],2,1)</f>
        <v>0</v>
      </c>
      <c r="E42">
        <f>_xlfn.T.TEST('Cleaned Log'!$C2:$C227,Table83[Morning Systolic Pressure],2,1)</f>
        <v>9.0976393420513166E-222</v>
      </c>
      <c r="F42">
        <f>_xlfn.T.TEST('Cleaned Log'!$C2:$C227,Table83[Morning Diastolic Pressure],2,1)</f>
        <v>1.1571697317568969E-168</v>
      </c>
      <c r="G42">
        <f>_xlfn.T.TEST('Cleaned Log'!$C2:$C227,Table83[Morning Pulse],2,1)</f>
        <v>3.7760422555649066E-122</v>
      </c>
      <c r="H42">
        <f>_xlfn.T.TEST('Cleaned Log'!$C2:$C227,Table83[Night Body Temp],2,1)</f>
        <v>0</v>
      </c>
      <c r="I42">
        <f>_xlfn.T.TEST('Cleaned Log'!$C2:$C227,Table83[Night Systolic Pressure],2,1)</f>
        <v>4.9808814443942282E-202</v>
      </c>
      <c r="J42">
        <f>_xlfn.T.TEST('Cleaned Log'!$C2:$C227,Table83[Night Diastolic Pressure],2,1)</f>
        <v>9.9539258425156018E-156</v>
      </c>
      <c r="K42">
        <f>_xlfn.T.TEST('Cleaned Log'!$C2:$C227,Table83[Night Pulse],2,1)</f>
        <v>4.095423373453554E-117</v>
      </c>
      <c r="L42">
        <f>_xlfn.T.TEST('Cleaned Log'!$C2:$C227,Table83[Sleep],2,1)</f>
        <v>3.5568044112945984E-231</v>
      </c>
      <c r="M42">
        <f>_xlfn.T.TEST('Cleaned Log'!$C2:$C227,Table83[BMI],2,1)</f>
        <v>6.0362972043073157E-285</v>
      </c>
      <c r="N42">
        <f>_xlfn.T.TEST('Cleaned Log'!$C2:$C227,Table83[CBF],2,1)</f>
        <v>0</v>
      </c>
      <c r="O42">
        <f>_xlfn.T.TEST('Cleaned Log'!$C2:$C227,Table83[Gym],2,1)</f>
        <v>0</v>
      </c>
      <c r="P42">
        <f>_xlfn.T.TEST('Cleaned Log'!$C2:$C227,Table83[Cardio],2,1)</f>
        <v>0</v>
      </c>
      <c r="Q42">
        <f>_xlfn.T.TEST('Cleaned Log'!$C2:$C227,Table83[Calories],2,1)</f>
        <v>1.5882562822216291E-63</v>
      </c>
      <c r="R42">
        <f>_xlfn.T.TEST('Cleaned Log'!$C2:$C227,Table83[Carbs],2,1)</f>
        <v>4.6307364047410999E-50</v>
      </c>
      <c r="S42">
        <f>_xlfn.T.TEST('Cleaned Log'!$C2:$C227,Table83[[Fat ]],2,1)</f>
        <v>5.33172661405765E-29</v>
      </c>
      <c r="T42">
        <f>_xlfn.T.TEST('Cleaned Log'!$C2:$C227,Table83[Protein],2,1)</f>
        <v>1.7442161712123257E-46</v>
      </c>
      <c r="U42">
        <f>_xlfn.T.TEST('Cleaned Log'!$C2:$C227,Table83[Fiber],2,1)</f>
        <v>5.1299720768368241E-33</v>
      </c>
      <c r="V42">
        <f>_xlfn.T.TEST('Cleaned Log'!$C2:$C227,Table83[Sugar],2,1)</f>
        <v>4.6877461741887133E-36</v>
      </c>
      <c r="W42">
        <f>_xlfn.T.TEST('Cleaned Log'!$C2:$C227,Table83[Servings],2,1)</f>
        <v>2.1198313194495603E-5</v>
      </c>
      <c r="X42">
        <f>_xlfn.T.TEST('Cleaned Log'!$C2:$C227,Table83[Water],2,1)</f>
        <v>0</v>
      </c>
      <c r="Y42">
        <f>_xlfn.T.TEST('Cleaned Log'!$C2:$C227,Table83[Fat Calories],2,1)</f>
        <v>5.3881426781054398E-56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930A-2C0D-49A7-B197-E613162FF376}">
  <dimension ref="A1:EN227"/>
  <sheetViews>
    <sheetView workbookViewId="0">
      <selection activeCell="C2" sqref="C2"/>
    </sheetView>
  </sheetViews>
  <sheetFormatPr defaultColWidth="18.85546875" defaultRowHeight="15" x14ac:dyDescent="0.25"/>
  <cols>
    <col min="2" max="2" width="22.5703125" customWidth="1"/>
    <col min="5" max="5" width="12.140625" customWidth="1"/>
    <col min="7" max="7" width="25.140625" customWidth="1"/>
    <col min="11" max="11" width="12.5703125" customWidth="1"/>
  </cols>
  <sheetData>
    <row r="1" spans="1:144" x14ac:dyDescent="0.25">
      <c r="A1" t="s">
        <v>51</v>
      </c>
      <c r="B1" t="s">
        <v>135</v>
      </c>
      <c r="C1" t="s">
        <v>136</v>
      </c>
      <c r="D1" t="s">
        <v>77</v>
      </c>
      <c r="E1" t="s">
        <v>137</v>
      </c>
      <c r="F1" t="s">
        <v>138</v>
      </c>
      <c r="G1" t="s">
        <v>78</v>
      </c>
      <c r="H1" t="s">
        <v>139</v>
      </c>
      <c r="I1" t="s">
        <v>140</v>
      </c>
      <c r="J1" t="s">
        <v>79</v>
      </c>
      <c r="K1" t="s">
        <v>141</v>
      </c>
      <c r="L1" t="s">
        <v>142</v>
      </c>
      <c r="M1" t="s">
        <v>80</v>
      </c>
      <c r="N1" t="s">
        <v>143</v>
      </c>
      <c r="O1" t="s">
        <v>144</v>
      </c>
      <c r="P1" t="s">
        <v>81</v>
      </c>
      <c r="Q1" t="s">
        <v>145</v>
      </c>
      <c r="R1" t="s">
        <v>146</v>
      </c>
      <c r="S1" t="s">
        <v>82</v>
      </c>
      <c r="T1" t="s">
        <v>147</v>
      </c>
      <c r="U1" t="s">
        <v>148</v>
      </c>
      <c r="V1" t="s">
        <v>83</v>
      </c>
      <c r="W1" t="s">
        <v>149</v>
      </c>
      <c r="X1" t="s">
        <v>150</v>
      </c>
      <c r="Y1" t="s">
        <v>84</v>
      </c>
      <c r="Z1" t="s">
        <v>151</v>
      </c>
      <c r="AA1" t="s">
        <v>152</v>
      </c>
      <c r="AB1" t="s">
        <v>85</v>
      </c>
      <c r="AC1" t="s">
        <v>153</v>
      </c>
      <c r="AD1" t="s">
        <v>154</v>
      </c>
      <c r="AE1" t="s">
        <v>86</v>
      </c>
      <c r="AF1" t="s">
        <v>155</v>
      </c>
      <c r="AG1" t="s">
        <v>156</v>
      </c>
      <c r="AH1" t="s">
        <v>87</v>
      </c>
      <c r="AI1" t="s">
        <v>157</v>
      </c>
      <c r="AJ1" t="s">
        <v>158</v>
      </c>
      <c r="AK1" t="s">
        <v>88</v>
      </c>
      <c r="AL1" t="s">
        <v>159</v>
      </c>
      <c r="AM1" t="s">
        <v>160</v>
      </c>
      <c r="AN1" t="s">
        <v>89</v>
      </c>
      <c r="AO1" t="s">
        <v>161</v>
      </c>
      <c r="AP1" t="s">
        <v>162</v>
      </c>
      <c r="AQ1" t="s">
        <v>90</v>
      </c>
      <c r="AR1" t="s">
        <v>163</v>
      </c>
      <c r="AS1" t="s">
        <v>164</v>
      </c>
      <c r="AT1" t="s">
        <v>91</v>
      </c>
      <c r="AU1" t="s">
        <v>165</v>
      </c>
      <c r="AV1" t="s">
        <v>166</v>
      </c>
      <c r="AW1" t="s">
        <v>92</v>
      </c>
      <c r="AX1" t="s">
        <v>167</v>
      </c>
      <c r="AY1" t="s">
        <v>168</v>
      </c>
      <c r="AZ1" t="s">
        <v>93</v>
      </c>
      <c r="BA1" t="s">
        <v>169</v>
      </c>
      <c r="BB1" t="s">
        <v>170</v>
      </c>
      <c r="BC1" t="s">
        <v>94</v>
      </c>
      <c r="BD1" t="s">
        <v>171</v>
      </c>
      <c r="BE1" t="s">
        <v>172</v>
      </c>
      <c r="BF1" t="s">
        <v>95</v>
      </c>
      <c r="BG1" t="s">
        <v>173</v>
      </c>
      <c r="BH1" t="s">
        <v>174</v>
      </c>
      <c r="BI1" t="s">
        <v>96</v>
      </c>
      <c r="BJ1" t="s">
        <v>175</v>
      </c>
      <c r="BK1" t="s">
        <v>176</v>
      </c>
      <c r="BL1" t="s">
        <v>97</v>
      </c>
      <c r="BM1" t="s">
        <v>177</v>
      </c>
      <c r="BN1" t="s">
        <v>178</v>
      </c>
      <c r="BO1" t="s">
        <v>98</v>
      </c>
      <c r="BP1" t="s">
        <v>179</v>
      </c>
      <c r="BQ1" t="s">
        <v>180</v>
      </c>
      <c r="BR1" t="s">
        <v>99</v>
      </c>
      <c r="BS1" t="s">
        <v>181</v>
      </c>
      <c r="BT1" t="s">
        <v>182</v>
      </c>
      <c r="BU1" t="s">
        <v>127</v>
      </c>
      <c r="BV1" t="s">
        <v>183</v>
      </c>
      <c r="BW1" t="s">
        <v>184</v>
      </c>
      <c r="BX1" t="s">
        <v>100</v>
      </c>
      <c r="BY1" t="s">
        <v>185</v>
      </c>
      <c r="BZ1" t="s">
        <v>186</v>
      </c>
      <c r="CA1" t="s">
        <v>101</v>
      </c>
      <c r="CB1" t="s">
        <v>187</v>
      </c>
      <c r="CC1" t="s">
        <v>188</v>
      </c>
      <c r="CD1" t="s">
        <v>102</v>
      </c>
      <c r="CE1" t="s">
        <v>189</v>
      </c>
      <c r="CF1" t="s">
        <v>190</v>
      </c>
      <c r="CG1" t="s">
        <v>103</v>
      </c>
      <c r="CH1" t="s">
        <v>191</v>
      </c>
      <c r="CI1" t="s">
        <v>192</v>
      </c>
      <c r="CJ1" t="s">
        <v>104</v>
      </c>
      <c r="CK1" t="s">
        <v>193</v>
      </c>
      <c r="CL1" t="s">
        <v>194</v>
      </c>
      <c r="CM1" t="s">
        <v>105</v>
      </c>
      <c r="CN1" t="s">
        <v>195</v>
      </c>
      <c r="CO1" t="s">
        <v>196</v>
      </c>
      <c r="CP1" t="s">
        <v>106</v>
      </c>
      <c r="CQ1" t="s">
        <v>197</v>
      </c>
      <c r="CR1" t="s">
        <v>198</v>
      </c>
      <c r="CS1" t="s">
        <v>107</v>
      </c>
      <c r="CT1" t="s">
        <v>199</v>
      </c>
      <c r="CU1" t="s">
        <v>200</v>
      </c>
      <c r="CV1" t="s">
        <v>108</v>
      </c>
      <c r="CW1" t="s">
        <v>201</v>
      </c>
      <c r="CX1" t="s">
        <v>202</v>
      </c>
      <c r="CY1" t="s">
        <v>109</v>
      </c>
      <c r="CZ1" t="s">
        <v>203</v>
      </c>
      <c r="DA1" t="s">
        <v>204</v>
      </c>
      <c r="DB1" t="s">
        <v>110</v>
      </c>
      <c r="DC1" t="s">
        <v>205</v>
      </c>
      <c r="DD1" t="s">
        <v>206</v>
      </c>
      <c r="DE1" t="s">
        <v>111</v>
      </c>
      <c r="DF1" t="s">
        <v>207</v>
      </c>
      <c r="DG1" t="s">
        <v>208</v>
      </c>
      <c r="DH1" t="s">
        <v>112</v>
      </c>
      <c r="DI1" t="s">
        <v>209</v>
      </c>
      <c r="DJ1" t="s">
        <v>210</v>
      </c>
      <c r="DK1" t="s">
        <v>113</v>
      </c>
      <c r="DL1" t="s">
        <v>211</v>
      </c>
      <c r="DM1" t="s">
        <v>212</v>
      </c>
      <c r="DN1" t="s">
        <v>114</v>
      </c>
      <c r="DO1" t="s">
        <v>213</v>
      </c>
      <c r="DP1" t="s">
        <v>214</v>
      </c>
      <c r="DQ1" t="s">
        <v>115</v>
      </c>
      <c r="DR1" t="s">
        <v>215</v>
      </c>
      <c r="DS1" t="s">
        <v>216</v>
      </c>
      <c r="DT1" t="s">
        <v>118</v>
      </c>
      <c r="DU1" t="s">
        <v>217</v>
      </c>
      <c r="DV1" t="s">
        <v>218</v>
      </c>
      <c r="DW1" t="s">
        <v>117</v>
      </c>
      <c r="DX1" t="s">
        <v>219</v>
      </c>
      <c r="DY1" t="s">
        <v>220</v>
      </c>
      <c r="DZ1" t="s">
        <v>116</v>
      </c>
      <c r="EA1" t="s">
        <v>230</v>
      </c>
      <c r="EB1" t="s">
        <v>231</v>
      </c>
      <c r="EC1" t="s">
        <v>119</v>
      </c>
      <c r="ED1" t="s">
        <v>221</v>
      </c>
      <c r="EE1" t="s">
        <v>222</v>
      </c>
      <c r="EF1" t="s">
        <v>120</v>
      </c>
      <c r="EG1" t="s">
        <v>223</v>
      </c>
      <c r="EH1" t="s">
        <v>224</v>
      </c>
      <c r="EI1" t="s">
        <v>121</v>
      </c>
      <c r="EJ1" t="s">
        <v>225</v>
      </c>
      <c r="EK1" t="s">
        <v>226</v>
      </c>
      <c r="EL1" t="s">
        <v>122</v>
      </c>
      <c r="EM1" t="s">
        <v>227</v>
      </c>
      <c r="EN1" t="s">
        <v>228</v>
      </c>
    </row>
    <row r="2" spans="1:144" x14ac:dyDescent="0.25">
      <c r="A2">
        <f>Regression!$B$10+(Regression!$B$9*Table83[[#This Row],[Waist]])</f>
        <v>272.50410297851863</v>
      </c>
      <c r="B2" s="2">
        <f>Table83[[#This Row],[Weight]]-Table7[[#This Row],[Weight v Waist]]</f>
        <v>3.0958970214813917</v>
      </c>
      <c r="C2" s="2">
        <f>Table7[[#This Row],[Weight v Waist Res]]^2</f>
        <v>9.5845783676173522</v>
      </c>
      <c r="D2">
        <f>Regression!$C$10+(Regression!$C$9*Table83[[#This Row],[Neck]])</f>
        <v>260.39308108104251</v>
      </c>
      <c r="E2" s="2">
        <f>Table83[[#This Row],[Weight]]-Table7[[#This Row],[Weight v Neck]]</f>
        <v>15.206918918957513</v>
      </c>
      <c r="F2" s="2">
        <f>Table7[[#This Row],[WN Res]]^2</f>
        <v>231.25038300774793</v>
      </c>
      <c r="G2">
        <f>Regression!$D$10+(Regression!$D$9*Table83[[#This Row],[Morning Body Temp]])</f>
        <v>254.49637801530542</v>
      </c>
      <c r="H2" s="2">
        <f>Table83[[#This Row],[Weight]]-Table7[[#This Row],[Weight v Morning Temp]]</f>
        <v>21.103621984694598</v>
      </c>
      <c r="I2" s="2">
        <f>Table7[[#This Row],[WMT Res]]^2</f>
        <v>445.36286087288516</v>
      </c>
      <c r="J2">
        <f>Regression!$E$10+(Regression!$E$9*Table83[[#This Row],[Morning Systolic Pressure]])</f>
        <v>255.95595350215962</v>
      </c>
      <c r="K2" s="2">
        <f>Table83[[#This Row],[Weight]]-Table7[[#This Row],[Weight v Morning Sys]]</f>
        <v>19.644046497840407</v>
      </c>
      <c r="L2" s="2">
        <f>Table7[[#This Row],[WMS Res]]^2</f>
        <v>385.88856280931594</v>
      </c>
      <c r="M2">
        <f>Regression!$F$10+(Regression!$F$9*Table83[[#This Row],[Morning Diastolic Pressure]])</f>
        <v>254.69666290106716</v>
      </c>
      <c r="N2" s="2">
        <f>Table83[[#This Row],[Weight]]-Table7[[#This Row],[Weight v Morning Dia]]</f>
        <v>20.903337098932866</v>
      </c>
      <c r="O2" s="2">
        <f>Table7[[#This Row],[WMD Res]]^2</f>
        <v>436.94950187162311</v>
      </c>
      <c r="P2">
        <f>Regression!$G$10+(Regression!$G$9*Table83[[#This Row],[Morning Pulse]])</f>
        <v>255.10998950288408</v>
      </c>
      <c r="Q2" s="2">
        <f>Table83[[#This Row],[Weight]]-Table7[[#This Row],[Weight v Morning Pulse]]</f>
        <v>20.490010497115946</v>
      </c>
      <c r="R2" s="2">
        <f>Table7[[#This Row],[WMP Res]]^2</f>
        <v>419.84053017192167</v>
      </c>
      <c r="S2">
        <f>Regression!$H$10+(Regression!$H$9*Table83[[#This Row],[Night Body Temp]])</f>
        <v>255.26227295945182</v>
      </c>
      <c r="T2" s="2">
        <f>Table83[[#This Row],[Weight]]-Table7[[#This Row],[Weight v Night Temp]]</f>
        <v>20.337727040548202</v>
      </c>
      <c r="U2" s="2">
        <f>Table7[[#This Row],[WNT Res]]^2</f>
        <v>413.62314117584555</v>
      </c>
      <c r="V2">
        <f>Regression!$I$10+(Regression!$I$9*Table83[[#This Row],[Night Systolic Pressure]])</f>
        <v>255.75180556330957</v>
      </c>
      <c r="W2" s="2">
        <f>Table83[[#This Row],[Weight]]-Table7[[#This Row],[Weight v Night Sys]]</f>
        <v>19.848194436690449</v>
      </c>
      <c r="X2" s="2">
        <f>Table7[[#This Row],[WNS Res]]^2</f>
        <v>393.95082239666965</v>
      </c>
      <c r="Y2">
        <f>Regression!$J$10+(Regression!$J$9*Table83[[#This Row],[Night Diastolic Pressure]])</f>
        <v>255.01078463741391</v>
      </c>
      <c r="Z2" s="2">
        <f>Table83[[#This Row],[Weight]]-Table7[[#This Row],[Weight v Night Dia]]</f>
        <v>20.589215362586117</v>
      </c>
      <c r="AA2" s="2">
        <f>Table7[[#This Row],[WND Res]]^2</f>
        <v>423.91578924695216</v>
      </c>
      <c r="AB2">
        <f>Regression!$K$10+(Regression!$K$9*Table83[[#This Row],[Night Pulse]])</f>
        <v>255.11015185874123</v>
      </c>
      <c r="AC2" s="2">
        <f>Table83[[#This Row],[Weight]]-Table7[[#This Row],[Weight v Night Pulse]]</f>
        <v>20.48984814125879</v>
      </c>
      <c r="AD2" s="2">
        <f>Table7[[#This Row],[WNP Res ]]^2</f>
        <v>419.8338768518463</v>
      </c>
      <c r="AE2">
        <f>Regression!$L$10+(Regression!$L$9*Table83[[#This Row],[Sleep]])</f>
        <v>255.68910954828553</v>
      </c>
      <c r="AF2" s="2">
        <f>Table83[[#This Row],[Weight]]-Table7[[#This Row],[Weight v Sleep]]</f>
        <v>19.910890451714494</v>
      </c>
      <c r="AG2" s="2">
        <f>Table7[[#This Row],[WS Res]]^2</f>
        <v>396.44355858017536</v>
      </c>
      <c r="AH2">
        <f>Regression!$M$10+(Regression!$M$9*Table83[[#This Row],[BMI]])</f>
        <v>275.59999999995432</v>
      </c>
      <c r="AI2" s="2">
        <f>Table83[[#This Row],[Weight]]-Table7[[#This Row],[Weight v BMI]]</f>
        <v>4.5702108764089644E-11</v>
      </c>
      <c r="AJ2" s="2">
        <f>Table7[[#This Row],[WBMI Res]]^2</f>
        <v>2.0886827454846794E-21</v>
      </c>
      <c r="AK2">
        <f>Regression!$N$10+(Regression!$N$9*Table83[[#This Row],[CBF]])</f>
        <v>270.85800002216234</v>
      </c>
      <c r="AL2" s="2">
        <f>Table83[[#This Row],[Weight]]-Table7[[#This Row],[Weight v CBF]]</f>
        <v>4.7419999778376791</v>
      </c>
      <c r="AM2" s="2">
        <f>Table7[[#This Row],[WCBF Res]]^2</f>
        <v>22.48656378981255</v>
      </c>
      <c r="AN2">
        <f>Regression!$O$10+(Regression!$O$9*Table83[[#This Row],[Gym]])</f>
        <v>255.46779661016953</v>
      </c>
      <c r="AO2" s="2">
        <f>Table83[[#This Row],[Weight]]-Table7[[#This Row],[Weight v Gym]]</f>
        <v>20.132203389830494</v>
      </c>
      <c r="AP2" s="2">
        <f>Table7[[#This Row],[WG Res]]^2</f>
        <v>405.30561332950242</v>
      </c>
      <c r="AQ2">
        <f>Regression!$P$10+(Regression!$P$9*Table83[[#This Row],[Cardio]])</f>
        <v>256.41063829787231</v>
      </c>
      <c r="AR2" s="2">
        <f>Table83[[#This Row],[Weight]]-Table7[[#This Row],[Weight v Cardio]]</f>
        <v>19.189361702127712</v>
      </c>
      <c r="AS2" s="2">
        <f>Table7[[#This Row],[WC Res]]^2</f>
        <v>368.23160253508576</v>
      </c>
      <c r="AT2">
        <f>Regression!$Q$10+(Regression!$Q$9*Table83[[#This Row],[Calories]])</f>
        <v>255.7074196891879</v>
      </c>
      <c r="AU2" s="2">
        <f>Table83[[#This Row],[Weight]]-Table7[[#This Row],[Weight v Calories]]</f>
        <v>19.892580310812122</v>
      </c>
      <c r="AV2" s="2">
        <f>Table7[[#This Row],[WCAL Res]]^2</f>
        <v>395.71475142211006</v>
      </c>
      <c r="AW2">
        <f>Regression!$R$10+(Regression!$R$9*Table83[[#This Row],[Carbs]])</f>
        <v>255.77059093704955</v>
      </c>
      <c r="AX2" s="2">
        <f>Table83[[#This Row],[Weight]]-Table7[[#This Row],[Weight v Carbs]]</f>
        <v>19.829409062950475</v>
      </c>
      <c r="AY2" s="2">
        <f>Table7[[#This Row],[Wcarb Res]]^2</f>
        <v>393.20546378582242</v>
      </c>
      <c r="AZ2">
        <f>Regression!$S$10+(Regression!$S$9*Table83[[#This Row],[Fat ]])</f>
        <v>255.44516545328315</v>
      </c>
      <c r="BA2" s="2">
        <f>Table83[[#This Row],[Weight]]-Table7[[#This Row],[Weight v Fat]]</f>
        <v>20.15483454671687</v>
      </c>
      <c r="BB2" s="2">
        <f>Table7[[#This Row],[WF Res]]^2</f>
        <v>406.21735560553185</v>
      </c>
      <c r="BC2">
        <f>Regression!$T$10+(Regression!$T$9*Table83[[#This Row],[Protein]])</f>
        <v>255.61026987181867</v>
      </c>
      <c r="BD2" s="2">
        <f>Table83[[#This Row],[Weight]]-Table7[[#This Row],[Weight v Protein]]</f>
        <v>19.98973012818135</v>
      </c>
      <c r="BE2" s="2">
        <f>Table7[[#This Row],[WP Res]]^2</f>
        <v>399.58931059752115</v>
      </c>
      <c r="BF2">
        <f>Regression!$U$10+(Regression!$U$9*Table83[[#This Row],[Fiber]])</f>
        <v>255.02498464781249</v>
      </c>
      <c r="BG2" s="2">
        <f>Table83[[#This Row],[Weight]]-Table7[[#This Row],[Weight v Fiber]]</f>
        <v>20.575015352187535</v>
      </c>
      <c r="BH2" s="2">
        <f>Table7[[#This Row],[Wfib Res]]^2</f>
        <v>423.33125674275277</v>
      </c>
      <c r="BI2">
        <f>Regression!$V$10+(Regression!$V$9*Table83[[#This Row],[Sugar]])</f>
        <v>256.35017585962561</v>
      </c>
      <c r="BJ2" s="2">
        <f>Table83[[#This Row],[Weight]]-Table7[[#This Row],[Weight v Sugar]]</f>
        <v>19.249824140374415</v>
      </c>
      <c r="BK2" s="2">
        <f>Table7[[#This Row],[Wsugar Res]]^2</f>
        <v>370.55572943534156</v>
      </c>
      <c r="BL2">
        <f>Regression!$W$10+(Regression!$W$9*Table83[[#This Row],[Servings]])</f>
        <v>256.62243355308664</v>
      </c>
      <c r="BM2" s="2">
        <f>Table83[[#This Row],[Weight]]-Table7[[#This Row],[Weight v Servings]]</f>
        <v>18.977566446913386</v>
      </c>
      <c r="BN2" s="2">
        <f>Table7[[#This Row],[Wserv Res]]^2</f>
        <v>360.14802824701275</v>
      </c>
      <c r="BO2">
        <f>Regression!$X$10+(Regression!$X$9*Table83[[#This Row],[Water]])</f>
        <v>255.06345001025522</v>
      </c>
      <c r="BP2" s="2">
        <f>Table83[[#This Row],[Weight]]-Table7[[#This Row],[Weight v Water]]</f>
        <v>20.536549989744799</v>
      </c>
      <c r="BQ2" s="2">
        <f>Table7[[#This Row],[Wwater Res]]^2</f>
        <v>421.74988548128709</v>
      </c>
      <c r="BR2">
        <f>Regression!$Y$10+(Regression!$Y$9*Table83[[#This Row],[Fat Calories]])</f>
        <v>255.46151465372449</v>
      </c>
      <c r="BS2" s="2">
        <f>Table83[[#This Row],[Weight]]-Table7[[#This Row],[Weight v Fat Calories]]</f>
        <v>20.13848534627553</v>
      </c>
      <c r="BT2" s="2">
        <f>Table7[[#This Row],[WFC Res]]^2</f>
        <v>405.55859204215426</v>
      </c>
      <c r="BU2">
        <f>Regression!$B$29+(Regression!$B$28*Table83[[#This Row],[Weight]])</f>
        <v>47.244871322720286</v>
      </c>
      <c r="BV2" s="2">
        <f>Table83[[#This Row],[Waist]]-Table7[[#This Row],[Waist v Weight]]</f>
        <v>0.25512867727971411</v>
      </c>
      <c r="BW2" s="2">
        <f>Table7[[#This Row],[WaistW Res]]^2</f>
        <v>6.5090641970496507E-2</v>
      </c>
      <c r="BX2">
        <f>Regression!$C$29+(Regression!$C$28*Table83[[#This Row],[Neck]])</f>
        <v>45.258648648648581</v>
      </c>
      <c r="BY2" s="2">
        <f>Table83[[#This Row],[Waist]]-Table7[[#This Row],[Waist v Neck]]</f>
        <v>2.2413513513514189</v>
      </c>
      <c r="BZ2" s="2">
        <f>Table7[[#This Row],[WaistN Res]]^2</f>
        <v>5.0236558802048314</v>
      </c>
      <c r="CA2">
        <f>Regression!$D$29+(Regression!$D$28*Table83[[#This Row],[Morning Body Temp]])</f>
        <v>44.2852766121743</v>
      </c>
      <c r="CB2" s="2">
        <f>Table83[[#This Row],[Waist]]-Table7[[#This Row],[Waist v Morning Temp]]</f>
        <v>3.2147233878256998</v>
      </c>
      <c r="CC2" s="2">
        <f>Table7[[#This Row],[WaistMT Res]]^2</f>
        <v>10.334446460233545</v>
      </c>
      <c r="CD2">
        <f>Regression!$E$29+(Regression!$E$28*Table83[[#This Row],[Morning Systolic Pressure]])</f>
        <v>44.651102427000318</v>
      </c>
      <c r="CE2" s="2">
        <f>Table83[[#This Row],[Waist]]-Table7[[#This Row],[Waist v Morning Sys]]</f>
        <v>2.8488975729996824</v>
      </c>
      <c r="CF2" s="2">
        <f>Table7[[#This Row],[WaistMS Res]]^2</f>
        <v>8.1162173814434801</v>
      </c>
      <c r="CG2">
        <f>Regression!$F$29+(Regression!$F$28*Table83[[#This Row],[Morning Diastolic Pressure]])</f>
        <v>44.430274185468846</v>
      </c>
      <c r="CH2" s="2">
        <f>Table83[[#This Row],[Waist]]-Table7[[#This Row],[Waist v Morning Dia]]</f>
        <v>3.0697258145311537</v>
      </c>
      <c r="CI2" s="2">
        <f>Table7[[#This Row],[WaistMD Res]]^2</f>
        <v>9.4232165763989553</v>
      </c>
      <c r="CJ2">
        <f>Regression!$G$29+(Regression!$G$28*Table83[[#This Row],[Morning Pulse]])</f>
        <v>44.451218189785358</v>
      </c>
      <c r="CK2" s="2">
        <f>Table83[[#This Row],[Waist]]-Table7[[#This Row],[Waist v Morning Pulse]]</f>
        <v>3.048781810214642</v>
      </c>
      <c r="CL2" s="2">
        <f>Table7[[#This Row],[WaistMP Res]]^2</f>
        <v>9.2950705262956692</v>
      </c>
      <c r="CM2">
        <f>Regression!$H$29+(Regression!$H$28*Table83[[#This Row],[Night Body Temp]])</f>
        <v>44.465147802268952</v>
      </c>
      <c r="CN2" s="2">
        <f>Table83[[#This Row],[Waist]]-Table7[[#This Row],[Waist v Night Temp]]</f>
        <v>3.0348521977310483</v>
      </c>
      <c r="CO2" s="2">
        <f>Table7[[#This Row],[WaistNT Res]]^2</f>
        <v>9.2103278620729743</v>
      </c>
      <c r="CP2">
        <f>Regression!$I$29+(Regression!$I$28*Table83[[#This Row],[Night Systolic Pressure]])</f>
        <v>44.54374000125889</v>
      </c>
      <c r="CQ2" s="2">
        <f>Table83[[#This Row],[Waist]]-Table7[[#This Row],[Waist v  Night Sys]]</f>
        <v>2.9562599987411105</v>
      </c>
      <c r="CR2" s="2">
        <f>Table7[[#This Row],[WaistNS Res]]^2</f>
        <v>8.7394731801567911</v>
      </c>
      <c r="CS2">
        <f>Regression!$J$29+(Regression!$J$28*Table83[[#This Row],[Night Diastolic Pressure]])</f>
        <v>44.409888175531407</v>
      </c>
      <c r="CT2" s="2">
        <f>Table83[[#This Row],[Waist]]-Table7[[#This Row],[Waist v Night Dia]]</f>
        <v>3.0901118244685932</v>
      </c>
      <c r="CU2" s="2">
        <f>Table7[[#This Row],[WaistND Res]]^2</f>
        <v>9.5487910877206179</v>
      </c>
      <c r="CV2">
        <f>Regression!$K$29+(Regression!$K$28*Table83[[#This Row],[Night Pulse]])</f>
        <v>44.453994879943338</v>
      </c>
      <c r="CW2" s="2">
        <f>Table83[[#This Row],[Waist]]-Table7[[#This Row],[Waist v Night Pulse]]</f>
        <v>3.0460051200566625</v>
      </c>
      <c r="CX2" s="2">
        <f>Table7[[#This Row],[WaistNP Res]]^2</f>
        <v>9.2781471914114029</v>
      </c>
      <c r="CY2">
        <f>Regression!$L$29+(Regression!$L$28*Table83[[#This Row],[Sleep]])</f>
        <v>44.541065046850498</v>
      </c>
      <c r="CZ2" s="2">
        <f>Table83[[#This Row],[Waist]]-Table7[[#This Row],[Waist v  Sleep]]</f>
        <v>2.9589349531495017</v>
      </c>
      <c r="DA2" s="2">
        <f>Table7[[#This Row],[WaistS Res]]^2</f>
        <v>8.7552960569698435</v>
      </c>
      <c r="DB2">
        <f>Regression!$M$29+(Regression!$M$28*Table83[[#This Row],[BMI]])</f>
        <v>47.244871322711418</v>
      </c>
      <c r="DC2" s="2">
        <f>Table83[[#This Row],[Waist]]-Table7[[#This Row],[Waist v BMI]]</f>
        <v>0.25512867728858168</v>
      </c>
      <c r="DD2" s="2">
        <f>Table7[[#This Row],[WaistBMI Res]]^2</f>
        <v>6.5090641975021249E-2</v>
      </c>
      <c r="DE2">
        <f>Regression!$N$29+(Regression!$N$28*Table83[[#This Row],[CBF]])</f>
        <v>47.288387462129798</v>
      </c>
      <c r="DF2" s="2">
        <f>Table83[[#This Row],[Waist]]-Table7[[#This Row],[Waist v  CBF]]</f>
        <v>0.21161253787020229</v>
      </c>
      <c r="DG2" s="2">
        <f>Table7[[#This Row],[WaistCBF Res]]^2</f>
        <v>4.4779866183867797E-2</v>
      </c>
      <c r="DH2">
        <f>Regression!$O$29+(Regression!$O$28*Table83[[#This Row],[Gym]])</f>
        <v>44.550847457627107</v>
      </c>
      <c r="DI2" s="2">
        <f>Table83[[#This Row],[Waist]]-Table7[[#This Row],[Waist v  Gym]]</f>
        <v>2.949152542372893</v>
      </c>
      <c r="DJ2" s="2">
        <f>Table7[[#This Row],[WaistGYM Res]]^2</f>
        <v>8.6975007181844983</v>
      </c>
      <c r="DK2">
        <f>Regression!$P$29+(Regression!$P$28*Table83[[#This Row],[Cardio]])</f>
        <v>44.680851063829778</v>
      </c>
      <c r="DL2" s="2">
        <f>Table83[[#This Row],[Waist]]-Table7[[#This Row],[Waist v Cardio]]</f>
        <v>2.8191489361702224</v>
      </c>
      <c r="DM2" s="2">
        <f>Table7[[#This Row],[WaistC Res]]^2</f>
        <v>7.9476007243096971</v>
      </c>
      <c r="DN2">
        <f>Regression!$Q$29+(Regression!$Q$28*Table83[[#This Row],[Calories]])</f>
        <v>44.586633446003866</v>
      </c>
      <c r="DO2" s="2">
        <f>Table83[[#This Row],[Waist]]-Table7[[#This Row],[Waist v Calories]]</f>
        <v>2.9133665539961342</v>
      </c>
      <c r="DP2" s="2">
        <f>Table7[[#This Row],[WaistCal Res]]^2</f>
        <v>8.4877046779433094</v>
      </c>
      <c r="DQ2">
        <f>Regression!$R$29+(Regression!$R$28*Table83[[#This Row],[Carbs]])</f>
        <v>44.590020629302757</v>
      </c>
      <c r="DR2" s="2">
        <f>Table83[[#This Row],[Waist]]-Table7[[#This Row],[Waist v Carbs]]</f>
        <v>2.9099793706972434</v>
      </c>
      <c r="DS2" s="2">
        <f>Table7[[#This Row],[WaistCarb Res]]^2</f>
        <v>8.4679799378835252</v>
      </c>
      <c r="DT2">
        <f>Regression!$S$29+(Regression!$S$28*Table83[[#This Row],[Fat ]])</f>
        <v>44.554450889269361</v>
      </c>
      <c r="DU2" s="2">
        <f>Table83[[#This Row],[Waist]]-Table7[[#This Row],[Waist v Fat]]</f>
        <v>2.9455491107306386</v>
      </c>
      <c r="DV2" s="2">
        <f>Table7[[#This Row],[WaistF Res]]^2</f>
        <v>8.676259563726056</v>
      </c>
      <c r="DW2">
        <f>Regression!$T$29+(Regression!$T$28*Table83[[#This Row],[Protein]])</f>
        <v>44.544184508081216</v>
      </c>
      <c r="DX2" s="2">
        <f>Table83[[#This Row],[Waist]]-Table7[[#This Row],[Waist v Protein]]</f>
        <v>2.9558154919187842</v>
      </c>
      <c r="DY2" s="2">
        <f>Table7[[#This Row],[WaistP Res]]^2</f>
        <v>8.7368452222670836</v>
      </c>
      <c r="DZ2">
        <f>Regression!$U$29+(Regression!$U$28*Table83[[#This Row],[Fiber]])</f>
        <v>44.41878943004933</v>
      </c>
      <c r="EA2" s="2">
        <f>Table83[[#This Row],[Waist]]-Table7[[#This Row],[Waist v Fiber]]</f>
        <v>3.0812105699506702</v>
      </c>
      <c r="EB2" s="2">
        <f>Table7[[#This Row],[WaistFib Res]]^2</f>
        <v>9.4938585763757342</v>
      </c>
      <c r="EC2">
        <f>Regression!$V$29+(Regression!$V$28*Table83[[#This Row],[Sugar]])</f>
        <v>44.675417441619388</v>
      </c>
      <c r="ED2" s="2">
        <f>Table83[[#This Row],[Waist]]-Table7[[#This Row],[Waist v Sugar]]</f>
        <v>2.8245825583806123</v>
      </c>
      <c r="EE2" s="2">
        <f>Table7[[#This Row],[WaistSugar Res]]^2</f>
        <v>7.9782666291079654</v>
      </c>
      <c r="EF2">
        <f>Regression!$W$29+(Regression!$W$28*Table83[[#This Row],[Servings]])</f>
        <v>44.683542317898613</v>
      </c>
      <c r="EG2" s="2">
        <f>Table83[[#This Row],[Waist]]-Table7[[#This Row],[Waist v Servings]]</f>
        <v>2.8164576821013867</v>
      </c>
      <c r="EH2" s="2">
        <f>Table7[[#This Row],[WaistServ Res]]^2</f>
        <v>7.9324338750679155</v>
      </c>
      <c r="EI2">
        <f>Regression!$X$29+(Regression!$X$28*Table83[[#This Row],[Water]])</f>
        <v>44.386198474840633</v>
      </c>
      <c r="EJ2" s="2">
        <f>Table83[[#This Row],[Waist]]-Table7[[#This Row],[Waist v Water]]</f>
        <v>3.1138015251593671</v>
      </c>
      <c r="EK2" s="2">
        <f>Table7[[#This Row],[WaistWat Res]]^2</f>
        <v>9.6957599380848016</v>
      </c>
      <c r="EL2">
        <f>Regression!$Y$29+(Regression!$Y$28*Table83[[#This Row],[Fat Calories]])</f>
        <v>44.558911440593207</v>
      </c>
      <c r="EM2" s="2">
        <f>Table83[[#This Row],[Waist]]-Table7[[#This Row],[Waist v Fat Calories]]</f>
        <v>2.9410885594067935</v>
      </c>
      <c r="EN2" s="2">
        <f>Table7[[#This Row],[WaistFatCal Res]]^2</f>
        <v>8.6500019142735276</v>
      </c>
    </row>
    <row r="3" spans="1:144" x14ac:dyDescent="0.25">
      <c r="A3">
        <f>Regression!$B$10+(Regression!$B$9*Table83[[#This Row],[Waist]])</f>
        <v>269.65012529286491</v>
      </c>
      <c r="B3" s="2">
        <f>Table83[[#This Row],[Weight]]-Table7[[#This Row],[Weight v Waist]]</f>
        <v>2.1498747071350977</v>
      </c>
      <c r="C3" s="2">
        <f>Table7[[#This Row],[Weight v Waist Res]]^2</f>
        <v>4.6219612563792216</v>
      </c>
      <c r="D3">
        <f>Regression!$C$10+(Regression!$C$9*Table83[[#This Row],[Neck]])</f>
        <v>260.39308108104251</v>
      </c>
      <c r="E3" s="2">
        <f>Table83[[#This Row],[Weight]]-Table7[[#This Row],[Weight v Neck]]</f>
        <v>11.406918918957501</v>
      </c>
      <c r="F3" s="2">
        <f>Table7[[#This Row],[WN Res]]^2</f>
        <v>130.11779922367057</v>
      </c>
      <c r="G3">
        <f>Regression!$D$10+(Regression!$D$9*Table83[[#This Row],[Morning Body Temp]])</f>
        <v>254.84837078641723</v>
      </c>
      <c r="H3" s="2">
        <f>Table83[[#This Row],[Weight]]-Table7[[#This Row],[Weight v Morning Temp]]</f>
        <v>16.951629213582777</v>
      </c>
      <c r="I3" s="2">
        <f>Table7[[#This Row],[WMT Res]]^2</f>
        <v>287.35773299479303</v>
      </c>
      <c r="J3">
        <f>Regression!$E$10+(Regression!$E$9*Table83[[#This Row],[Morning Systolic Pressure]])</f>
        <v>255.91087629829624</v>
      </c>
      <c r="K3" s="2">
        <f>Table83[[#This Row],[Weight]]-Table7[[#This Row],[Weight v Morning Sys]]</f>
        <v>15.889123701703767</v>
      </c>
      <c r="L3" s="2">
        <f>Table7[[#This Row],[WMS Res]]^2</f>
        <v>252.46425200804441</v>
      </c>
      <c r="M3">
        <f>Regression!$F$10+(Regression!$F$9*Table83[[#This Row],[Morning Diastolic Pressure]])</f>
        <v>254.8993513991569</v>
      </c>
      <c r="N3" s="2">
        <f>Table83[[#This Row],[Weight]]-Table7[[#This Row],[Weight v Morning Dia]]</f>
        <v>16.900648600843112</v>
      </c>
      <c r="O3" s="2">
        <f>Table7[[#This Row],[WMD Res]]^2</f>
        <v>285.63192312918028</v>
      </c>
      <c r="P3">
        <f>Regression!$G$10+(Regression!$G$9*Table83[[#This Row],[Morning Pulse]])</f>
        <v>255.12278407318442</v>
      </c>
      <c r="Q3" s="2">
        <f>Table83[[#This Row],[Weight]]-Table7[[#This Row],[Weight v Morning Pulse]]</f>
        <v>16.677215926815592</v>
      </c>
      <c r="R3" s="2">
        <f>Table7[[#This Row],[WMP Res]]^2</f>
        <v>278.12953106963164</v>
      </c>
      <c r="S3">
        <f>Regression!$H$10+(Regression!$H$9*Table83[[#This Row],[Night Body Temp]])</f>
        <v>255.67305924137855</v>
      </c>
      <c r="T3" s="2">
        <f>Table83[[#This Row],[Weight]]-Table7[[#This Row],[Weight v Night Temp]]</f>
        <v>16.126940758621458</v>
      </c>
      <c r="U3" s="2">
        <f>Table7[[#This Row],[WNT Res]]^2</f>
        <v>260.07821823208604</v>
      </c>
      <c r="V3">
        <f>Regression!$I$10+(Regression!$I$9*Table83[[#This Row],[Night Systolic Pressure]])</f>
        <v>257.80470224387892</v>
      </c>
      <c r="W3" s="2">
        <f>Table83[[#This Row],[Weight]]-Table7[[#This Row],[Weight v Night Sys]]</f>
        <v>13.99529775612109</v>
      </c>
      <c r="X3" s="2">
        <f>Table7[[#This Row],[WNS Res]]^2</f>
        <v>195.86835928248803</v>
      </c>
      <c r="Y3">
        <f>Regression!$J$10+(Regression!$J$9*Table83[[#This Row],[Night Diastolic Pressure]])</f>
        <v>255.17384811107831</v>
      </c>
      <c r="Z3" s="2">
        <f>Table83[[#This Row],[Weight]]-Table7[[#This Row],[Weight v Night Dia]]</f>
        <v>16.626151888921697</v>
      </c>
      <c r="AA3" s="2">
        <f>Table7[[#This Row],[WND Res]]^2</f>
        <v>276.42892663349454</v>
      </c>
      <c r="AB3">
        <f>Regression!$K$10+(Regression!$K$9*Table83[[#This Row],[Night Pulse]])</f>
        <v>255.38657183987178</v>
      </c>
      <c r="AC3" s="2">
        <f>Table83[[#This Row],[Weight]]-Table7[[#This Row],[Weight v Night Pulse]]</f>
        <v>16.413428160128234</v>
      </c>
      <c r="AD3" s="2">
        <f>Table7[[#This Row],[WNP Res ]]^2</f>
        <v>269.40062396769048</v>
      </c>
      <c r="AE3">
        <f>Regression!$L$10+(Regression!$L$9*Table83[[#This Row],[Sleep]])</f>
        <v>254.74268699816406</v>
      </c>
      <c r="AF3" s="2">
        <f>Table83[[#This Row],[Weight]]-Table7[[#This Row],[Weight v Sleep]]</f>
        <v>17.057313001835951</v>
      </c>
      <c r="AG3" s="2">
        <f>Table7[[#This Row],[WS Res]]^2</f>
        <v>290.95192684260178</v>
      </c>
      <c r="AH3">
        <f>Regression!$M$10+(Regression!$M$9*Table83[[#This Row],[BMI]])</f>
        <v>271.79999999996278</v>
      </c>
      <c r="AI3" s="2">
        <f>Table83[[#This Row],[Weight]]-Table7[[#This Row],[Weight v BMI]]</f>
        <v>3.723243935382925E-11</v>
      </c>
      <c r="AJ3" s="2">
        <f>Table7[[#This Row],[WBMI Res]]^2</f>
        <v>1.386254540236573E-21</v>
      </c>
      <c r="AK3">
        <f>Regression!$N$10+(Regression!$N$9*Table83[[#This Row],[CBF]])</f>
        <v>268.03581667418757</v>
      </c>
      <c r="AL3" s="2">
        <f>Table83[[#This Row],[Weight]]-Table7[[#This Row],[Weight v CBF]]</f>
        <v>3.7641833258124393</v>
      </c>
      <c r="AM3" s="2">
        <f>Table7[[#This Row],[WCBF Res]]^2</f>
        <v>14.169076110324397</v>
      </c>
      <c r="AN3">
        <f>Regression!$O$10+(Regression!$O$9*Table83[[#This Row],[Gym]])</f>
        <v>255.46779661016953</v>
      </c>
      <c r="AO3" s="2">
        <f>Table83[[#This Row],[Weight]]-Table7[[#This Row],[Weight v Gym]]</f>
        <v>16.332203389830482</v>
      </c>
      <c r="AP3" s="2">
        <f>Table7[[#This Row],[WG Res]]^2</f>
        <v>266.74086756679031</v>
      </c>
      <c r="AQ3">
        <f>Regression!$P$10+(Regression!$P$9*Table83[[#This Row],[Cardio]])</f>
        <v>254.19242424242461</v>
      </c>
      <c r="AR3" s="2">
        <f>Table83[[#This Row],[Weight]]-Table7[[#This Row],[Weight v Cardio]]</f>
        <v>17.607575757575404</v>
      </c>
      <c r="AS3" s="2">
        <f>Table7[[#This Row],[WC Res]]^2</f>
        <v>310.02672405875705</v>
      </c>
      <c r="AT3">
        <f>Regression!$Q$10+(Regression!$Q$9*Table83[[#This Row],[Calories]])</f>
        <v>255.27581506536563</v>
      </c>
      <c r="AU3" s="2">
        <f>Table83[[#This Row],[Weight]]-Table7[[#This Row],[Weight v Calories]]</f>
        <v>16.524184934634377</v>
      </c>
      <c r="AV3" s="2">
        <f>Table7[[#This Row],[WCAL Res]]^2</f>
        <v>273.04868775399768</v>
      </c>
      <c r="AW3">
        <f>Regression!$R$10+(Regression!$R$9*Table83[[#This Row],[Carbs]])</f>
        <v>254.79377636750871</v>
      </c>
      <c r="AX3" s="2">
        <f>Table83[[#This Row],[Weight]]-Table7[[#This Row],[Weight v Carbs]]</f>
        <v>17.006223632491299</v>
      </c>
      <c r="AY3" s="2">
        <f>Table7[[#This Row],[Wcarb Res]]^2</f>
        <v>289.21164223830556</v>
      </c>
      <c r="AZ3">
        <f>Regression!$S$10+(Regression!$S$9*Table83[[#This Row],[Fat ]])</f>
        <v>255.23782001934666</v>
      </c>
      <c r="BA3" s="2">
        <f>Table83[[#This Row],[Weight]]-Table7[[#This Row],[Weight v Fat]]</f>
        <v>16.562179980653355</v>
      </c>
      <c r="BB3" s="2">
        <f>Table7[[#This Row],[WF Res]]^2</f>
        <v>274.30580571155474</v>
      </c>
      <c r="BC3">
        <f>Regression!$T$10+(Regression!$T$9*Table83[[#This Row],[Protein]])</f>
        <v>255.63647760770652</v>
      </c>
      <c r="BD3" s="2">
        <f>Table83[[#This Row],[Weight]]-Table7[[#This Row],[Weight v Protein]]</f>
        <v>16.163522392293487</v>
      </c>
      <c r="BE3" s="2">
        <f>Table7[[#This Row],[WP Res]]^2</f>
        <v>261.25945612617295</v>
      </c>
      <c r="BF3">
        <f>Regression!$U$10+(Regression!$U$9*Table83[[#This Row],[Fiber]])</f>
        <v>255.18387775621895</v>
      </c>
      <c r="BG3" s="2">
        <f>Table83[[#This Row],[Weight]]-Table7[[#This Row],[Weight v Fiber]]</f>
        <v>16.616122243781064</v>
      </c>
      <c r="BH3" s="2">
        <f>Table7[[#This Row],[Wfib Res]]^2</f>
        <v>276.09551842027582</v>
      </c>
      <c r="BI3">
        <f>Regression!$V$10+(Regression!$V$9*Table83[[#This Row],[Sugar]])</f>
        <v>254.49555977044662</v>
      </c>
      <c r="BJ3" s="2">
        <f>Table83[[#This Row],[Weight]]-Table7[[#This Row],[Weight v Sugar]]</f>
        <v>17.304440229553393</v>
      </c>
      <c r="BK3" s="2">
        <f>Table7[[#This Row],[Wsugar Res]]^2</f>
        <v>299.4436516581859</v>
      </c>
      <c r="BL3">
        <f>Regression!$W$10+(Regression!$W$9*Table83[[#This Row],[Servings]])</f>
        <v>254.50095245898973</v>
      </c>
      <c r="BM3" s="2">
        <f>Table83[[#This Row],[Weight]]-Table7[[#This Row],[Weight v Servings]]</f>
        <v>17.299047541010282</v>
      </c>
      <c r="BN3" s="2">
        <f>Table7[[#This Row],[Wserv Res]]^2</f>
        <v>299.25704582613389</v>
      </c>
      <c r="BO3">
        <f>Regression!$X$10+(Regression!$X$9*Table83[[#This Row],[Water]])</f>
        <v>255.08485800195595</v>
      </c>
      <c r="BP3" s="2">
        <f>Table83[[#This Row],[Weight]]-Table7[[#This Row],[Weight v Water]]</f>
        <v>16.715141998044061</v>
      </c>
      <c r="BQ3" s="2">
        <f>Table7[[#This Row],[Wwater Res]]^2</f>
        <v>279.39597201477642</v>
      </c>
      <c r="BR3">
        <f>Regression!$Y$10+(Regression!$Y$9*Table83[[#This Row],[Fat Calories]])</f>
        <v>255.24084695040267</v>
      </c>
      <c r="BS3" s="2">
        <f>Table83[[#This Row],[Weight]]-Table7[[#This Row],[Weight v Fat Calories]]</f>
        <v>16.559153049597342</v>
      </c>
      <c r="BT3" s="2">
        <f>Table7[[#This Row],[WFC Res]]^2</f>
        <v>274.20554971998894</v>
      </c>
      <c r="BU3">
        <f>Regression!$B$29+(Regression!$B$28*Table83[[#This Row],[Weight]])</f>
        <v>46.727073782554349</v>
      </c>
      <c r="BV3" s="2">
        <f>Table83[[#This Row],[Waist]]-Table7[[#This Row],[Waist v Weight]]</f>
        <v>0.27292621744565082</v>
      </c>
      <c r="BW3" s="2">
        <f>Table7[[#This Row],[WaistW Res]]^2</f>
        <v>7.448872016919067E-2</v>
      </c>
      <c r="BX3">
        <f>Regression!$C$29+(Regression!$C$28*Table83[[#This Row],[Neck]])</f>
        <v>45.258648648648581</v>
      </c>
      <c r="BY3" s="2">
        <f>Table83[[#This Row],[Waist]]-Table7[[#This Row],[Waist v Neck]]</f>
        <v>1.7413513513514189</v>
      </c>
      <c r="BZ3" s="2">
        <f>Table7[[#This Row],[WaistN Res]]^2</f>
        <v>3.032304528853413</v>
      </c>
      <c r="CA3">
        <f>Regression!$D$29+(Regression!$D$28*Table83[[#This Row],[Morning Body Temp]])</f>
        <v>44.381010678053698</v>
      </c>
      <c r="CB3" s="2">
        <f>Table83[[#This Row],[Waist]]-Table7[[#This Row],[Waist v Morning Temp]]</f>
        <v>2.6189893219463016</v>
      </c>
      <c r="CC3" s="2">
        <f>Table7[[#This Row],[WaistMT Res]]^2</f>
        <v>6.8591050684687485</v>
      </c>
      <c r="CD3">
        <f>Regression!$E$29+(Regression!$E$28*Table83[[#This Row],[Morning Systolic Pressure]])</f>
        <v>44.640512021757893</v>
      </c>
      <c r="CE3" s="2">
        <f>Table83[[#This Row],[Waist]]-Table7[[#This Row],[Waist v Morning Sys]]</f>
        <v>2.3594879782421074</v>
      </c>
      <c r="CF3" s="2">
        <f>Table7[[#This Row],[WaistMS Res]]^2</f>
        <v>5.5671835194690278</v>
      </c>
      <c r="CG3">
        <f>Regression!$F$29+(Regression!$F$28*Table83[[#This Row],[Morning Diastolic Pressure]])</f>
        <v>44.441545426806556</v>
      </c>
      <c r="CH3" s="2">
        <f>Table83[[#This Row],[Waist]]-Table7[[#This Row],[Waist v Morning Dia]]</f>
        <v>2.558454573193444</v>
      </c>
      <c r="CI3" s="2">
        <f>Table7[[#This Row],[WaistMD Res]]^2</f>
        <v>6.5456898030944481</v>
      </c>
      <c r="CJ3">
        <f>Regression!$G$29+(Regression!$G$28*Table83[[#This Row],[Morning Pulse]])</f>
        <v>44.45709470780065</v>
      </c>
      <c r="CK3" s="2">
        <f>Table83[[#This Row],[Waist]]-Table7[[#This Row],[Waist v Morning Pulse]]</f>
        <v>2.5429052921993502</v>
      </c>
      <c r="CL3" s="2">
        <f>Table7[[#This Row],[WaistMP Res]]^2</f>
        <v>6.4663673250954625</v>
      </c>
      <c r="CM3">
        <f>Regression!$H$29+(Regression!$H$28*Table83[[#This Row],[Night Body Temp]])</f>
        <v>44.497535497488492</v>
      </c>
      <c r="CN3" s="2">
        <f>Table83[[#This Row],[Waist]]-Table7[[#This Row],[Waist v Night Temp]]</f>
        <v>2.5024645025115078</v>
      </c>
      <c r="CO3" s="2">
        <f>Table7[[#This Row],[WaistNT Res]]^2</f>
        <v>6.2623285863301676</v>
      </c>
      <c r="CP3">
        <f>Regression!$I$29+(Regression!$I$28*Table83[[#This Row],[Night Systolic Pressure]])</f>
        <v>44.834542287771164</v>
      </c>
      <c r="CQ3" s="2">
        <f>Table83[[#This Row],[Waist]]-Table7[[#This Row],[Waist v  Night Sys]]</f>
        <v>2.1654577122288359</v>
      </c>
      <c r="CR3" s="2">
        <f>Table7[[#This Row],[WaistNS Res]]^2</f>
        <v>4.6892071034513441</v>
      </c>
      <c r="CS3">
        <f>Regression!$J$29+(Regression!$J$28*Table83[[#This Row],[Night Diastolic Pressure]])</f>
        <v>44.478159956361175</v>
      </c>
      <c r="CT3" s="2">
        <f>Table83[[#This Row],[Waist]]-Table7[[#This Row],[Waist v Night Dia]]</f>
        <v>2.5218400436388251</v>
      </c>
      <c r="CU3" s="2">
        <f>Table7[[#This Row],[WaistND Res]]^2</f>
        <v>6.3596772057002715</v>
      </c>
      <c r="CV3">
        <f>Regression!$K$29+(Regression!$K$28*Table83[[#This Row],[Night Pulse]])</f>
        <v>44.428284163144653</v>
      </c>
      <c r="CW3" s="2">
        <f>Table83[[#This Row],[Waist]]-Table7[[#This Row],[Waist v Night Pulse]]</f>
        <v>2.571715836855347</v>
      </c>
      <c r="CX3" s="2">
        <f>Table7[[#This Row],[WaistNP Res]]^2</f>
        <v>6.6137223455325973</v>
      </c>
      <c r="CY3">
        <f>Regression!$L$29+(Regression!$L$28*Table83[[#This Row],[Sleep]])</f>
        <v>44.396768142863529</v>
      </c>
      <c r="CZ3" s="2">
        <f>Table83[[#This Row],[Waist]]-Table7[[#This Row],[Waist v  Sleep]]</f>
        <v>2.6032318571364712</v>
      </c>
      <c r="DA3" s="2">
        <f>Table7[[#This Row],[WaistS Res]]^2</f>
        <v>6.7768161020102005</v>
      </c>
      <c r="DB3">
        <f>Regression!$M$29+(Regression!$M$28*Table83[[#This Row],[BMI]])</f>
        <v>46.72707378254713</v>
      </c>
      <c r="DC3" s="2">
        <f>Table83[[#This Row],[Waist]]-Table7[[#This Row],[Waist v BMI]]</f>
        <v>0.27292621745286993</v>
      </c>
      <c r="DD3" s="2">
        <f>Table7[[#This Row],[WaistBMI Res]]^2</f>
        <v>7.448872017313124E-2</v>
      </c>
      <c r="DE3">
        <f>Regression!$N$29+(Regression!$N$28*Table83[[#This Row],[CBF]])</f>
        <v>46.780194469922108</v>
      </c>
      <c r="DF3" s="2">
        <f>Table83[[#This Row],[Waist]]-Table7[[#This Row],[Waist v  CBF]]</f>
        <v>0.21980553007789183</v>
      </c>
      <c r="DG3" s="2">
        <f>Table7[[#This Row],[WaistCBF Res]]^2</f>
        <v>4.8314471052823008E-2</v>
      </c>
      <c r="DH3">
        <f>Regression!$O$29+(Regression!$O$28*Table83[[#This Row],[Gym]])</f>
        <v>44.550847457627107</v>
      </c>
      <c r="DI3" s="2">
        <f>Table83[[#This Row],[Waist]]-Table7[[#This Row],[Waist v  Gym]]</f>
        <v>2.449152542372893</v>
      </c>
      <c r="DJ3" s="2">
        <f>Table7[[#This Row],[WaistGYM Res]]^2</f>
        <v>5.9983481758116053</v>
      </c>
      <c r="DK3">
        <f>Regression!$P$29+(Regression!$P$28*Table83[[#This Row],[Cardio]])</f>
        <v>44.291666666666664</v>
      </c>
      <c r="DL3" s="2">
        <f>Table83[[#This Row],[Waist]]-Table7[[#This Row],[Waist v Cardio]]</f>
        <v>2.7083333333333357</v>
      </c>
      <c r="DM3" s="2">
        <f>Table7[[#This Row],[WaistC Res]]^2</f>
        <v>7.3350694444444571</v>
      </c>
      <c r="DN3">
        <f>Regression!$Q$29+(Regression!$Q$28*Table83[[#This Row],[Calories]])</f>
        <v>44.489661459876054</v>
      </c>
      <c r="DO3" s="2">
        <f>Table83[[#This Row],[Waist]]-Table7[[#This Row],[Waist v Calories]]</f>
        <v>2.5103385401239464</v>
      </c>
      <c r="DP3" s="2">
        <f>Table7[[#This Row],[WaistCal Res]]^2</f>
        <v>6.3017995860316267</v>
      </c>
      <c r="DQ3">
        <f>Regression!$R$29+(Regression!$R$28*Table83[[#This Row],[Carbs]])</f>
        <v>44.38665381770204</v>
      </c>
      <c r="DR3" s="2">
        <f>Table83[[#This Row],[Waist]]-Table7[[#This Row],[Waist v Carbs]]</f>
        <v>2.6133461822979598</v>
      </c>
      <c r="DS3" s="2">
        <f>Table7[[#This Row],[WaistCarb Res]]^2</f>
        <v>6.8295782685313213</v>
      </c>
      <c r="DT3">
        <f>Regression!$S$29+(Regression!$S$28*Table83[[#This Row],[Fat ]])</f>
        <v>44.491069778106315</v>
      </c>
      <c r="DU3" s="2">
        <f>Table83[[#This Row],[Waist]]-Table7[[#This Row],[Waist v Fat]]</f>
        <v>2.5089302218936851</v>
      </c>
      <c r="DV3" s="2">
        <f>Table7[[#This Row],[WaistF Res]]^2</f>
        <v>6.294730858331496</v>
      </c>
      <c r="DW3">
        <f>Regression!$T$29+(Regression!$T$28*Table83[[#This Row],[Protein]])</f>
        <v>44.54898149727309</v>
      </c>
      <c r="DX3" s="2">
        <f>Table83[[#This Row],[Waist]]-Table7[[#This Row],[Waist v Protein]]</f>
        <v>2.4510185027269102</v>
      </c>
      <c r="DY3" s="2">
        <f>Table7[[#This Row],[WaistP Res]]^2</f>
        <v>6.0074917007096653</v>
      </c>
      <c r="DZ3">
        <f>Regression!$U$29+(Regression!$U$28*Table83[[#This Row],[Fiber]])</f>
        <v>44.480099917295519</v>
      </c>
      <c r="EA3" s="2">
        <f>Table83[[#This Row],[Waist]]-Table7[[#This Row],[Waist v Fiber]]</f>
        <v>2.5199000827044813</v>
      </c>
      <c r="EB3" s="2">
        <f>Table7[[#This Row],[WaistFib Res]]^2</f>
        <v>6.3498964268140519</v>
      </c>
      <c r="EC3">
        <f>Regression!$V$29+(Regression!$V$28*Table83[[#This Row],[Sugar]])</f>
        <v>44.342256345781557</v>
      </c>
      <c r="ED3" s="2">
        <f>Table83[[#This Row],[Waist]]-Table7[[#This Row],[Waist v Sugar]]</f>
        <v>2.6577436542184429</v>
      </c>
      <c r="EE3" s="2">
        <f>Table7[[#This Row],[WaistSugar Res]]^2</f>
        <v>7.0636013315384023</v>
      </c>
      <c r="EF3">
        <f>Regression!$W$29+(Regression!$W$28*Table83[[#This Row],[Servings]])</f>
        <v>44.359839646804609</v>
      </c>
      <c r="EG3" s="2">
        <f>Table83[[#This Row],[Waist]]-Table7[[#This Row],[Waist v Servings]]</f>
        <v>2.640160353195391</v>
      </c>
      <c r="EH3" s="2">
        <f>Table7[[#This Row],[WaistServ Res]]^2</f>
        <v>6.9704466905848115</v>
      </c>
      <c r="EI3">
        <f>Regression!$X$29+(Regression!$X$28*Table83[[#This Row],[Water]])</f>
        <v>44.414140413546278</v>
      </c>
      <c r="EJ3" s="2">
        <f>Table83[[#This Row],[Waist]]-Table7[[#This Row],[Waist v Water]]</f>
        <v>2.5858595864537222</v>
      </c>
      <c r="EK3" s="2">
        <f>Table7[[#This Row],[WaistWat Res]]^2</f>
        <v>6.6866698008546148</v>
      </c>
      <c r="EL3">
        <f>Regression!$Y$29+(Regression!$Y$28*Table83[[#This Row],[Fat Calories]])</f>
        <v>44.491800043922019</v>
      </c>
      <c r="EM3" s="2">
        <f>Table83[[#This Row],[Waist]]-Table7[[#This Row],[Waist v Fat Calories]]</f>
        <v>2.5081999560779806</v>
      </c>
      <c r="EN3" s="2">
        <f>Table7[[#This Row],[WaistFatCal Res]]^2</f>
        <v>6.2910670196695841</v>
      </c>
    </row>
    <row r="4" spans="1:144" x14ac:dyDescent="0.25">
      <c r="A4">
        <f>Regression!$B$10+(Regression!$B$9*Table83[[#This Row],[Waist]])</f>
        <v>269.65012529286491</v>
      </c>
      <c r="B4" s="2">
        <f>Table83[[#This Row],[Weight]]-Table7[[#This Row],[Weight v Waist]]</f>
        <v>2.1498747071350977</v>
      </c>
      <c r="C4" s="2">
        <f>Table7[[#This Row],[Weight v Waist Res]]^2</f>
        <v>4.6219612563792216</v>
      </c>
      <c r="D4">
        <f>Regression!$C$10+(Regression!$C$9*Table83[[#This Row],[Neck]])</f>
        <v>260.39308108104251</v>
      </c>
      <c r="E4" s="2">
        <f>Table83[[#This Row],[Weight]]-Table7[[#This Row],[Weight v Neck]]</f>
        <v>11.406918918957501</v>
      </c>
      <c r="F4" s="2">
        <f>Table7[[#This Row],[WN Res]]^2</f>
        <v>130.11779922367057</v>
      </c>
      <c r="G4">
        <f>Regression!$D$10+(Regression!$D$9*Table83[[#This Row],[Morning Body Temp]])</f>
        <v>255.20036355752904</v>
      </c>
      <c r="H4" s="2">
        <f>Table83[[#This Row],[Weight]]-Table7[[#This Row],[Weight v Morning Temp]]</f>
        <v>16.599636442470967</v>
      </c>
      <c r="I4" s="2">
        <f>Table7[[#This Row],[WMT Res]]^2</f>
        <v>275.54793002221015</v>
      </c>
      <c r="J4">
        <f>Regression!$E$10+(Regression!$E$9*Table83[[#This Row],[Morning Systolic Pressure]])</f>
        <v>254.91917781330181</v>
      </c>
      <c r="K4" s="2">
        <f>Table83[[#This Row],[Weight]]-Table7[[#This Row],[Weight v Morning Sys]]</f>
        <v>16.880822186698197</v>
      </c>
      <c r="L4" s="2">
        <f>Table7[[#This Row],[WMS Res]]^2</f>
        <v>284.96215769892211</v>
      </c>
      <c r="M4">
        <f>Regression!$F$10+(Regression!$F$9*Table83[[#This Row],[Morning Diastolic Pressure]])</f>
        <v>255.00069564820177</v>
      </c>
      <c r="N4" s="2">
        <f>Table83[[#This Row],[Weight]]-Table7[[#This Row],[Weight v Morning Dia]]</f>
        <v>16.799304351798241</v>
      </c>
      <c r="O4" s="2">
        <f>Table7[[#This Row],[WMD Res]]^2</f>
        <v>282.21662670434733</v>
      </c>
      <c r="P4">
        <f>Regression!$G$10+(Regression!$G$9*Table83[[#This Row],[Morning Pulse]])</f>
        <v>255.11547289015564</v>
      </c>
      <c r="Q4" s="2">
        <f>Table83[[#This Row],[Weight]]-Table7[[#This Row],[Weight v Morning Pulse]]</f>
        <v>16.684527109844367</v>
      </c>
      <c r="R4" s="2">
        <f>Table7[[#This Row],[WMP Res]]^2</f>
        <v>278.37344487913163</v>
      </c>
      <c r="S4">
        <f>Regression!$H$10+(Regression!$H$9*Table83[[#This Row],[Night Body Temp]])</f>
        <v>253.9272175431899</v>
      </c>
      <c r="T4" s="2">
        <f>Table83[[#This Row],[Weight]]-Table7[[#This Row],[Weight v Night Temp]]</f>
        <v>17.872782456810114</v>
      </c>
      <c r="U4" s="2">
        <f>Table7[[#This Row],[WNT Res]]^2</f>
        <v>319.4363527484594</v>
      </c>
      <c r="V4">
        <f>Regression!$I$10+(Regression!$I$9*Table83[[#This Row],[Night Systolic Pressure]])</f>
        <v>257.39412290776505</v>
      </c>
      <c r="W4" s="2">
        <f>Table83[[#This Row],[Weight]]-Table7[[#This Row],[Weight v Night Sys]]</f>
        <v>14.405877092234959</v>
      </c>
      <c r="X4" s="2">
        <f>Table7[[#This Row],[WNS Res]]^2</f>
        <v>207.52929479657996</v>
      </c>
      <c r="Y4">
        <f>Regression!$J$10+(Regression!$J$9*Table83[[#This Row],[Night Diastolic Pressure]])</f>
        <v>255.66303853207154</v>
      </c>
      <c r="Z4" s="2">
        <f>Table83[[#This Row],[Weight]]-Table7[[#This Row],[Weight v Night Dia]]</f>
        <v>16.136961467928472</v>
      </c>
      <c r="AA4" s="2">
        <f>Table7[[#This Row],[WND Res]]^2</f>
        <v>260.40152541740821</v>
      </c>
      <c r="AB4">
        <f>Regression!$K$10+(Regression!$K$9*Table83[[#This Row],[Night Pulse]])</f>
        <v>255.01801186503107</v>
      </c>
      <c r="AC4" s="2">
        <f>Table83[[#This Row],[Weight]]-Table7[[#This Row],[Weight v Night Pulse]]</f>
        <v>16.781988134968941</v>
      </c>
      <c r="AD4" s="2">
        <f>Table7[[#This Row],[WNP Res ]]^2</f>
        <v>281.63512576223832</v>
      </c>
      <c r="AE4">
        <f>Regression!$L$10+(Regression!$L$9*Table83[[#This Row],[Sleep]])</f>
        <v>255.13702972738133</v>
      </c>
      <c r="AF4" s="2">
        <f>Table83[[#This Row],[Weight]]-Table7[[#This Row],[Weight v Sleep]]</f>
        <v>16.662970272618679</v>
      </c>
      <c r="AG4" s="2">
        <f>Table7[[#This Row],[WS Res]]^2</f>
        <v>277.65457830617385</v>
      </c>
      <c r="AH4">
        <f>Regression!$M$10+(Regression!$M$9*Table83[[#This Row],[BMI]])</f>
        <v>271.79999999996278</v>
      </c>
      <c r="AI4" s="2">
        <f>Table83[[#This Row],[Weight]]-Table7[[#This Row],[Weight v BMI]]</f>
        <v>3.723243935382925E-11</v>
      </c>
      <c r="AJ4" s="2">
        <f>Table7[[#This Row],[WBMI Res]]^2</f>
        <v>1.386254540236573E-21</v>
      </c>
      <c r="AK4">
        <f>Regression!$N$10+(Regression!$N$9*Table83[[#This Row],[CBF]])</f>
        <v>268.03581667418757</v>
      </c>
      <c r="AL4" s="2">
        <f>Table83[[#This Row],[Weight]]-Table7[[#This Row],[Weight v CBF]]</f>
        <v>3.7641833258124393</v>
      </c>
      <c r="AM4" s="2">
        <f>Table7[[#This Row],[WCBF Res]]^2</f>
        <v>14.169076110324397</v>
      </c>
      <c r="AN4">
        <f>Regression!$O$10+(Regression!$O$9*Table83[[#This Row],[Gym]])</f>
        <v>254.72962962962998</v>
      </c>
      <c r="AO4" s="2">
        <f>Table83[[#This Row],[Weight]]-Table7[[#This Row],[Weight v Gym]]</f>
        <v>17.070370370370028</v>
      </c>
      <c r="AP4" s="2">
        <f>Table7[[#This Row],[WG Res]]^2</f>
        <v>291.39754458160701</v>
      </c>
      <c r="AQ4">
        <f>Regression!$P$10+(Regression!$P$9*Table83[[#This Row],[Cardio]])</f>
        <v>254.19242424242461</v>
      </c>
      <c r="AR4" s="2">
        <f>Table83[[#This Row],[Weight]]-Table7[[#This Row],[Weight v Cardio]]</f>
        <v>17.607575757575404</v>
      </c>
      <c r="AS4" s="2">
        <f>Table7[[#This Row],[WC Res]]^2</f>
        <v>310.02672405875705</v>
      </c>
      <c r="AT4">
        <f>Regression!$Q$10+(Regression!$Q$9*Table83[[#This Row],[Calories]])</f>
        <v>255.7400386718453</v>
      </c>
      <c r="AU4" s="2">
        <f>Table83[[#This Row],[Weight]]-Table7[[#This Row],[Weight v Calories]]</f>
        <v>16.059961328154714</v>
      </c>
      <c r="AV4" s="2">
        <f>Table7[[#This Row],[WCAL Res]]^2</f>
        <v>257.92235786182493</v>
      </c>
      <c r="AW4">
        <f>Regression!$R$10+(Regression!$R$9*Table83[[#This Row],[Carbs]])</f>
        <v>255.82435716659731</v>
      </c>
      <c r="AX4" s="2">
        <f>Table83[[#This Row],[Weight]]-Table7[[#This Row],[Weight v Carbs]]</f>
        <v>15.975642833402702</v>
      </c>
      <c r="AY4" s="2">
        <f>Table7[[#This Row],[Wcarb Res]]^2</f>
        <v>255.22116394045111</v>
      </c>
      <c r="AZ4">
        <f>Regression!$S$10+(Regression!$S$9*Table83[[#This Row],[Fat ]])</f>
        <v>255.51382483864148</v>
      </c>
      <c r="BA4" s="2">
        <f>Table83[[#This Row],[Weight]]-Table7[[#This Row],[Weight v Fat]]</f>
        <v>16.286175161358528</v>
      </c>
      <c r="BB4" s="2">
        <f>Table7[[#This Row],[WF Res]]^2</f>
        <v>265.23950138645148</v>
      </c>
      <c r="BC4">
        <f>Regression!$T$10+(Regression!$T$9*Table83[[#This Row],[Protein]])</f>
        <v>255.58773849888178</v>
      </c>
      <c r="BD4" s="2">
        <f>Table83[[#This Row],[Weight]]-Table7[[#This Row],[Weight v Protein]]</f>
        <v>16.212261501118235</v>
      </c>
      <c r="BE4" s="2">
        <f>Table7[[#This Row],[WP Res]]^2</f>
        <v>262.8374229806405</v>
      </c>
      <c r="BF4">
        <f>Regression!$U$10+(Regression!$U$9*Table83[[#This Row],[Fiber]])</f>
        <v>255.25265882408641</v>
      </c>
      <c r="BG4" s="2">
        <f>Table83[[#This Row],[Weight]]-Table7[[#This Row],[Weight v Fiber]]</f>
        <v>16.547341175913601</v>
      </c>
      <c r="BH4" s="2">
        <f>Table7[[#This Row],[Wfib Res]]^2</f>
        <v>273.8144999920857</v>
      </c>
      <c r="BI4">
        <f>Regression!$V$10+(Regression!$V$9*Table83[[#This Row],[Sugar]])</f>
        <v>256.35778209831915</v>
      </c>
      <c r="BJ4" s="2">
        <f>Table83[[#This Row],[Weight]]-Table7[[#This Row],[Weight v Sugar]]</f>
        <v>15.442217901680863</v>
      </c>
      <c r="BK4" s="2">
        <f>Table7[[#This Row],[Wsugar Res]]^2</f>
        <v>238.4620937229929</v>
      </c>
      <c r="BL4">
        <f>Regression!$W$10+(Regression!$W$9*Table83[[#This Row],[Servings]])</f>
        <v>256.64727972806253</v>
      </c>
      <c r="BM4" s="2">
        <f>Table83[[#This Row],[Weight]]-Table7[[#This Row],[Weight v Servings]]</f>
        <v>15.152720271937483</v>
      </c>
      <c r="BN4" s="2">
        <f>Table7[[#This Row],[Wserv Res]]^2</f>
        <v>229.60493163958515</v>
      </c>
      <c r="BO4">
        <f>Regression!$X$10+(Regression!$X$9*Table83[[#This Row],[Water]])</f>
        <v>255.06345001025522</v>
      </c>
      <c r="BP4" s="2">
        <f>Table83[[#This Row],[Weight]]-Table7[[#This Row],[Weight v Water]]</f>
        <v>16.736549989744788</v>
      </c>
      <c r="BQ4" s="2">
        <f>Table7[[#This Row],[Wwater Res]]^2</f>
        <v>280.11210555922622</v>
      </c>
      <c r="BR4">
        <f>Regression!$Y$10+(Regression!$Y$9*Table83[[#This Row],[Fat Calories]])</f>
        <v>255.53458551229548</v>
      </c>
      <c r="BS4" s="2">
        <f>Table83[[#This Row],[Weight]]-Table7[[#This Row],[Weight v Fat Calories]]</f>
        <v>16.265414487704533</v>
      </c>
      <c r="BT4" s="2">
        <f>Table7[[#This Row],[WFC Res]]^2</f>
        <v>264.56370845682852</v>
      </c>
      <c r="BU4">
        <f>Regression!$B$29+(Regression!$B$28*Table83[[#This Row],[Weight]])</f>
        <v>46.727073782554349</v>
      </c>
      <c r="BV4" s="2">
        <f>Table83[[#This Row],[Waist]]-Table7[[#This Row],[Waist v Weight]]</f>
        <v>0.27292621744565082</v>
      </c>
      <c r="BW4" s="2">
        <f>Table7[[#This Row],[WaistW Res]]^2</f>
        <v>7.448872016919067E-2</v>
      </c>
      <c r="BX4">
        <f>Regression!$C$29+(Regression!$C$28*Table83[[#This Row],[Neck]])</f>
        <v>45.258648648648581</v>
      </c>
      <c r="BY4" s="2">
        <f>Table83[[#This Row],[Waist]]-Table7[[#This Row],[Waist v Neck]]</f>
        <v>1.7413513513514189</v>
      </c>
      <c r="BZ4" s="2">
        <f>Table7[[#This Row],[WaistN Res]]^2</f>
        <v>3.032304528853413</v>
      </c>
      <c r="CA4">
        <f>Regression!$D$29+(Regression!$D$28*Table83[[#This Row],[Morning Body Temp]])</f>
        <v>44.476744743933082</v>
      </c>
      <c r="CB4" s="2">
        <f>Table83[[#This Row],[Waist]]-Table7[[#This Row],[Waist v Morning Temp]]</f>
        <v>2.5232552560669177</v>
      </c>
      <c r="CC4" s="2">
        <f>Table7[[#This Row],[WaistMT Res]]^2</f>
        <v>6.3668170872693262</v>
      </c>
      <c r="CD4">
        <f>Regression!$E$29+(Regression!$E$28*Table83[[#This Row],[Morning Systolic Pressure]])</f>
        <v>44.407523106424492</v>
      </c>
      <c r="CE4" s="2">
        <f>Table83[[#This Row],[Waist]]-Table7[[#This Row],[Waist v Morning Sys]]</f>
        <v>2.5924768935755083</v>
      </c>
      <c r="CF4" s="2">
        <f>Table7[[#This Row],[WaistMS Res]]^2</f>
        <v>6.7209364437229171</v>
      </c>
      <c r="CG4">
        <f>Regression!$F$29+(Regression!$F$28*Table83[[#This Row],[Morning Diastolic Pressure]])</f>
        <v>44.447181047475404</v>
      </c>
      <c r="CH4" s="2">
        <f>Table83[[#This Row],[Waist]]-Table7[[#This Row],[Waist v Morning Dia]]</f>
        <v>2.5528189525245963</v>
      </c>
      <c r="CI4" s="2">
        <f>Table7[[#This Row],[WaistMD Res]]^2</f>
        <v>6.5168846043687774</v>
      </c>
      <c r="CJ4">
        <f>Regression!$G$29+(Regression!$G$28*Table83[[#This Row],[Morning Pulse]])</f>
        <v>44.453736697506194</v>
      </c>
      <c r="CK4" s="2">
        <f>Table83[[#This Row],[Waist]]-Table7[[#This Row],[Waist v Morning Pulse]]</f>
        <v>2.5462633024938057</v>
      </c>
      <c r="CL4" s="2">
        <f>Table7[[#This Row],[WaistMP Res]]^2</f>
        <v>6.4834568056266617</v>
      </c>
      <c r="CM4">
        <f>Regression!$H$29+(Regression!$H$28*Table83[[#This Row],[Night Body Temp]])</f>
        <v>44.359887792805431</v>
      </c>
      <c r="CN4" s="2">
        <f>Table83[[#This Row],[Waist]]-Table7[[#This Row],[Waist v Night Temp]]</f>
        <v>2.6401122071945693</v>
      </c>
      <c r="CO4" s="2">
        <f>Table7[[#This Row],[WaistNT Res]]^2</f>
        <v>6.9701924665777808</v>
      </c>
      <c r="CP4">
        <f>Regression!$I$29+(Regression!$I$28*Table83[[#This Row],[Night Systolic Pressure]])</f>
        <v>44.776381830468708</v>
      </c>
      <c r="CQ4" s="2">
        <f>Table83[[#This Row],[Waist]]-Table7[[#This Row],[Waist v  Night Sys]]</f>
        <v>2.2236181695312922</v>
      </c>
      <c r="CR4" s="2">
        <f>Table7[[#This Row],[WaistNS Res]]^2</f>
        <v>4.9444777638696946</v>
      </c>
      <c r="CS4">
        <f>Regression!$J$29+(Regression!$J$28*Table83[[#This Row],[Night Diastolic Pressure]])</f>
        <v>44.682975298850479</v>
      </c>
      <c r="CT4" s="2">
        <f>Table83[[#This Row],[Waist]]-Table7[[#This Row],[Waist v Night Dia]]</f>
        <v>2.3170247011495206</v>
      </c>
      <c r="CU4" s="2">
        <f>Table7[[#This Row],[WaistND Res]]^2</f>
        <v>5.3686034657370252</v>
      </c>
      <c r="CV4">
        <f>Regression!$K$29+(Regression!$K$28*Table83[[#This Row],[Night Pulse]])</f>
        <v>44.462565118876235</v>
      </c>
      <c r="CW4" s="2">
        <f>Table83[[#This Row],[Waist]]-Table7[[#This Row],[Waist v Night Pulse]]</f>
        <v>2.5374348811237653</v>
      </c>
      <c r="CX4" s="2">
        <f>Table7[[#This Row],[WaistNP Res]]^2</f>
        <v>6.4385757759435771</v>
      </c>
      <c r="CY4">
        <f>Regression!$L$29+(Regression!$L$28*Table83[[#This Row],[Sleep]])</f>
        <v>44.456891852858099</v>
      </c>
      <c r="CZ4" s="2">
        <f>Table83[[#This Row],[Waist]]-Table7[[#This Row],[Waist v  Sleep]]</f>
        <v>2.5431081471419006</v>
      </c>
      <c r="DA4" s="2">
        <f>Table7[[#This Row],[WaistS Res]]^2</f>
        <v>6.4673990480595105</v>
      </c>
      <c r="DB4">
        <f>Regression!$M$29+(Regression!$M$28*Table83[[#This Row],[BMI]])</f>
        <v>46.72707378254713</v>
      </c>
      <c r="DC4" s="2">
        <f>Table83[[#This Row],[Waist]]-Table7[[#This Row],[Waist v BMI]]</f>
        <v>0.27292621745286993</v>
      </c>
      <c r="DD4" s="2">
        <f>Table7[[#This Row],[WaistBMI Res]]^2</f>
        <v>7.448872017313124E-2</v>
      </c>
      <c r="DE4">
        <f>Regression!$N$29+(Regression!$N$28*Table83[[#This Row],[CBF]])</f>
        <v>46.780194469922108</v>
      </c>
      <c r="DF4" s="2">
        <f>Table83[[#This Row],[Waist]]-Table7[[#This Row],[Waist v  CBF]]</f>
        <v>0.21980553007789183</v>
      </c>
      <c r="DG4" s="2">
        <f>Table7[[#This Row],[WaistCBF Res]]^2</f>
        <v>4.8314471052823008E-2</v>
      </c>
      <c r="DH4">
        <f>Regression!$O$29+(Regression!$O$28*Table83[[#This Row],[Gym]])</f>
        <v>44.347222222222221</v>
      </c>
      <c r="DI4" s="2">
        <f>Table83[[#This Row],[Waist]]-Table7[[#This Row],[Waist v  Gym]]</f>
        <v>2.6527777777777786</v>
      </c>
      <c r="DJ4" s="2">
        <f>Table7[[#This Row],[WaistGYM Res]]^2</f>
        <v>7.0372299382716088</v>
      </c>
      <c r="DK4">
        <f>Regression!$P$29+(Regression!$P$28*Table83[[#This Row],[Cardio]])</f>
        <v>44.291666666666664</v>
      </c>
      <c r="DL4" s="2">
        <f>Table83[[#This Row],[Waist]]-Table7[[#This Row],[Waist v Cardio]]</f>
        <v>2.7083333333333357</v>
      </c>
      <c r="DM4" s="2">
        <f>Table7[[#This Row],[WaistC Res]]^2</f>
        <v>7.3350694444444571</v>
      </c>
      <c r="DN4">
        <f>Regression!$Q$29+(Regression!$Q$28*Table83[[#This Row],[Calories]])</f>
        <v>44.593962207928946</v>
      </c>
      <c r="DO4" s="2">
        <f>Table83[[#This Row],[Waist]]-Table7[[#This Row],[Waist v Calories]]</f>
        <v>2.4060377920710536</v>
      </c>
      <c r="DP4" s="2">
        <f>Table7[[#This Row],[WaistCal Res]]^2</f>
        <v>5.7890178568741506</v>
      </c>
      <c r="DQ4">
        <f>Regression!$R$29+(Regression!$R$28*Table83[[#This Row],[Carbs]])</f>
        <v>44.601214429043132</v>
      </c>
      <c r="DR4" s="2">
        <f>Table83[[#This Row],[Waist]]-Table7[[#This Row],[Waist v Carbs]]</f>
        <v>2.3987855709568677</v>
      </c>
      <c r="DS4" s="2">
        <f>Table7[[#This Row],[WaistCarb Res]]^2</f>
        <v>5.7541722154308657</v>
      </c>
      <c r="DT4">
        <f>Regression!$S$29+(Regression!$S$28*Table83[[#This Row],[Fat ]])</f>
        <v>44.575438610354723</v>
      </c>
      <c r="DU4" s="2">
        <f>Table83[[#This Row],[Waist]]-Table7[[#This Row],[Waist v Fat]]</f>
        <v>2.4245613896452767</v>
      </c>
      <c r="DV4" s="2">
        <f>Table7[[#This Row],[WaistF Res]]^2</f>
        <v>5.878497932158635</v>
      </c>
      <c r="DW4">
        <f>Regression!$T$29+(Regression!$T$28*Table83[[#This Row],[Protein]])</f>
        <v>44.540060429873208</v>
      </c>
      <c r="DX4" s="2">
        <f>Table83[[#This Row],[Waist]]-Table7[[#This Row],[Waist v Protein]]</f>
        <v>2.4599395701267923</v>
      </c>
      <c r="DY4" s="2">
        <f>Table7[[#This Row],[WaistP Res]]^2</f>
        <v>6.0513026886755874</v>
      </c>
      <c r="DZ4">
        <f>Regression!$U$29+(Regression!$U$28*Table83[[#This Row],[Fiber]])</f>
        <v>44.506639776868781</v>
      </c>
      <c r="EA4" s="2">
        <f>Table83[[#This Row],[Waist]]-Table7[[#This Row],[Waist v Fiber]]</f>
        <v>2.4933602231312193</v>
      </c>
      <c r="EB4" s="2">
        <f>Table7[[#This Row],[WaistFib Res]]^2</f>
        <v>6.2168452022929639</v>
      </c>
      <c r="EC4">
        <f>Regression!$V$29+(Regression!$V$28*Table83[[#This Row],[Sugar]])</f>
        <v>44.676783817568108</v>
      </c>
      <c r="ED4" s="2">
        <f>Table83[[#This Row],[Waist]]-Table7[[#This Row],[Waist v Sugar]]</f>
        <v>2.3232161824318922</v>
      </c>
      <c r="EE4" s="2">
        <f>Table7[[#This Row],[WaistSugar Res]]^2</f>
        <v>5.3973334303134148</v>
      </c>
      <c r="EF4">
        <f>Regression!$W$29+(Regression!$W$28*Table83[[#This Row],[Servings]])</f>
        <v>44.687333430262775</v>
      </c>
      <c r="EG4" s="2">
        <f>Table83[[#This Row],[Waist]]-Table7[[#This Row],[Waist v Servings]]</f>
        <v>2.3126665697372246</v>
      </c>
      <c r="EH4" s="2">
        <f>Table7[[#This Row],[WaistServ Res]]^2</f>
        <v>5.3484266627801409</v>
      </c>
      <c r="EI4">
        <f>Regression!$X$29+(Regression!$X$28*Table83[[#This Row],[Water]])</f>
        <v>44.386198474840633</v>
      </c>
      <c r="EJ4" s="2">
        <f>Table83[[#This Row],[Waist]]-Table7[[#This Row],[Waist v Water]]</f>
        <v>2.6138015251593671</v>
      </c>
      <c r="EK4" s="2">
        <f>Table7[[#This Row],[WaistWat Res]]^2</f>
        <v>6.8319584129254336</v>
      </c>
      <c r="EL4">
        <f>Regression!$Y$29+(Regression!$Y$28*Table83[[#This Row],[Fat Calories]])</f>
        <v>44.581134390761456</v>
      </c>
      <c r="EM4" s="2">
        <f>Table83[[#This Row],[Waist]]-Table7[[#This Row],[Waist v Fat Calories]]</f>
        <v>2.4188656092385443</v>
      </c>
      <c r="EN4" s="2">
        <f>Table7[[#This Row],[WaistFatCal Res]]^2</f>
        <v>5.8509108355569541</v>
      </c>
    </row>
    <row r="5" spans="1:144" x14ac:dyDescent="0.25">
      <c r="A5">
        <f>Regression!$B$10+(Regression!$B$9*Table83[[#This Row],[Waist]])</f>
        <v>269.65012529286491</v>
      </c>
      <c r="B5" s="2">
        <f>Table83[[#This Row],[Weight]]-Table7[[#This Row],[Weight v Waist]]</f>
        <v>3.1498747071350977</v>
      </c>
      <c r="C5" s="2">
        <f>Table7[[#This Row],[Weight v Waist Res]]^2</f>
        <v>9.9217106706494178</v>
      </c>
      <c r="D5">
        <f>Regression!$C$10+(Regression!$C$9*Table83[[#This Row],[Neck]])</f>
        <v>260.39308108104251</v>
      </c>
      <c r="E5" s="2">
        <f>Table83[[#This Row],[Weight]]-Table7[[#This Row],[Weight v Neck]]</f>
        <v>12.406918918957501</v>
      </c>
      <c r="F5" s="2">
        <f>Table7[[#This Row],[WN Res]]^2</f>
        <v>153.93163706158558</v>
      </c>
      <c r="G5">
        <f>Regression!$D$10+(Regression!$D$9*Table83[[#This Row],[Morning Body Temp]])</f>
        <v>255.76355199130799</v>
      </c>
      <c r="H5" s="2">
        <f>Table83[[#This Row],[Weight]]-Table7[[#This Row],[Weight v Morning Temp]]</f>
        <v>17.03644800869202</v>
      </c>
      <c r="I5" s="2">
        <f>Table7[[#This Row],[WMT Res]]^2</f>
        <v>290.24056075286626</v>
      </c>
      <c r="J5">
        <f>Regression!$E$10+(Regression!$E$9*Table83[[#This Row],[Morning Systolic Pressure]])</f>
        <v>255.14456383261873</v>
      </c>
      <c r="K5" s="2">
        <f>Table83[[#This Row],[Weight]]-Table7[[#This Row],[Weight v Morning Sys]]</f>
        <v>17.655436167381282</v>
      </c>
      <c r="L5" s="2">
        <f>Table7[[#This Row],[WMS Res]]^2</f>
        <v>311.71442626047508</v>
      </c>
      <c r="M5">
        <f>Regression!$F$10+(Regression!$F$9*Table83[[#This Row],[Morning Diastolic Pressure]])</f>
        <v>255.91279388960569</v>
      </c>
      <c r="N5" s="2">
        <f>Table83[[#This Row],[Weight]]-Table7[[#This Row],[Weight v Morning Dia]]</f>
        <v>16.887206110394317</v>
      </c>
      <c r="O5" s="2">
        <f>Table7[[#This Row],[WMD Res]]^2</f>
        <v>285.17773021493917</v>
      </c>
      <c r="P5">
        <f>Regression!$G$10+(Regression!$G$9*Table83[[#This Row],[Morning Pulse]])</f>
        <v>255.10633391136972</v>
      </c>
      <c r="Q5" s="2">
        <f>Table83[[#This Row],[Weight]]-Table7[[#This Row],[Weight v Morning Pulse]]</f>
        <v>17.693666088630295</v>
      </c>
      <c r="R5" s="2">
        <f>Table7[[#This Row],[WMP Res]]^2</f>
        <v>313.06581965594569</v>
      </c>
      <c r="S5">
        <f>Regression!$H$10+(Regression!$H$9*Table83[[#This Row],[Night Body Temp]])</f>
        <v>254.95418324800676</v>
      </c>
      <c r="T5" s="2">
        <f>Table83[[#This Row],[Weight]]-Table7[[#This Row],[Weight v Night Temp]]</f>
        <v>17.845816751993254</v>
      </c>
      <c r="U5" s="2">
        <f>Table7[[#This Row],[WNT Res]]^2</f>
        <v>318.47317554572305</v>
      </c>
      <c r="V5">
        <f>Regression!$I$10+(Regression!$I$9*Table83[[#This Row],[Night Systolic Pressure]])</f>
        <v>252.6724605424555</v>
      </c>
      <c r="W5" s="2">
        <f>Table83[[#This Row],[Weight]]-Table7[[#This Row],[Weight v Night Sys]]</f>
        <v>20.127539457544515</v>
      </c>
      <c r="X5" s="2">
        <f>Table7[[#This Row],[WNS Res]]^2</f>
        <v>405.11784461501134</v>
      </c>
      <c r="Y5">
        <f>Regression!$J$10+(Regression!$J$9*Table83[[#This Row],[Night Diastolic Pressure]])</f>
        <v>254.64389182166897</v>
      </c>
      <c r="Z5" s="2">
        <f>Table83[[#This Row],[Weight]]-Table7[[#This Row],[Weight v Night Dia]]</f>
        <v>18.156108178331039</v>
      </c>
      <c r="AA5" s="2">
        <f>Table7[[#This Row],[WND Res]]^2</f>
        <v>329.64426418325922</v>
      </c>
      <c r="AB5">
        <f>Regression!$K$10+(Regression!$K$9*Table83[[#This Row],[Night Pulse]])</f>
        <v>255.50942516481868</v>
      </c>
      <c r="AC5" s="2">
        <f>Table83[[#This Row],[Weight]]-Table7[[#This Row],[Weight v Night Pulse]]</f>
        <v>17.290574835181332</v>
      </c>
      <c r="AD5" s="2">
        <f>Table7[[#This Row],[WNP Res ]]^2</f>
        <v>298.96397813100594</v>
      </c>
      <c r="AE5">
        <f>Regression!$L$10+(Regression!$L$9*Table83[[#This Row],[Sleep]])</f>
        <v>255.13702972738133</v>
      </c>
      <c r="AF5" s="2">
        <f>Table83[[#This Row],[Weight]]-Table7[[#This Row],[Weight v Sleep]]</f>
        <v>17.662970272618679</v>
      </c>
      <c r="AG5" s="2">
        <f>Table7[[#This Row],[WS Res]]^2</f>
        <v>311.9805188514112</v>
      </c>
      <c r="AH5">
        <f>Regression!$M$10+(Regression!$M$9*Table83[[#This Row],[BMI]])</f>
        <v>272.79999999996051</v>
      </c>
      <c r="AI5" s="2">
        <f>Table83[[#This Row],[Weight]]-Table7[[#This Row],[Weight v BMI]]</f>
        <v>3.950617610826157E-11</v>
      </c>
      <c r="AJ5" s="2">
        <f>Table7[[#This Row],[WBMI Res]]^2</f>
        <v>1.5607379506969773E-21</v>
      </c>
      <c r="AK5">
        <f>Regression!$N$10+(Regression!$N$9*Table83[[#This Row],[CBF]])</f>
        <v>268.03581667418757</v>
      </c>
      <c r="AL5" s="2">
        <f>Table83[[#This Row],[Weight]]-Table7[[#This Row],[Weight v CBF]]</f>
        <v>4.7641833258124393</v>
      </c>
      <c r="AM5" s="2">
        <f>Table7[[#This Row],[WCBF Res]]^2</f>
        <v>22.697442761949276</v>
      </c>
      <c r="AN5">
        <f>Regression!$O$10+(Regression!$O$9*Table83[[#This Row],[Gym]])</f>
        <v>255.46779661016953</v>
      </c>
      <c r="AO5" s="2">
        <f>Table83[[#This Row],[Weight]]-Table7[[#This Row],[Weight v Gym]]</f>
        <v>17.332203389830482</v>
      </c>
      <c r="AP5" s="2">
        <f>Table7[[#This Row],[WG Res]]^2</f>
        <v>300.40527434645128</v>
      </c>
      <c r="AQ5">
        <f>Regression!$P$10+(Regression!$P$9*Table83[[#This Row],[Cardio]])</f>
        <v>254.19242424242461</v>
      </c>
      <c r="AR5" s="2">
        <f>Table83[[#This Row],[Weight]]-Table7[[#This Row],[Weight v Cardio]]</f>
        <v>18.607575757575404</v>
      </c>
      <c r="AS5" s="2">
        <f>Table7[[#This Row],[WC Res]]^2</f>
        <v>346.24187557390786</v>
      </c>
      <c r="AT5">
        <f>Regression!$Q$10+(Regression!$Q$9*Table83[[#This Row],[Calories]])</f>
        <v>256.07322095653728</v>
      </c>
      <c r="AU5" s="2">
        <f>Table83[[#This Row],[Weight]]-Table7[[#This Row],[Weight v Calories]]</f>
        <v>16.726779043462727</v>
      </c>
      <c r="AV5" s="2">
        <f>Table7[[#This Row],[WCAL Res]]^2</f>
        <v>279.78513716882389</v>
      </c>
      <c r="AW5">
        <f>Regression!$R$10+(Regression!$R$9*Table83[[#This Row],[Carbs]])</f>
        <v>256.02702639337934</v>
      </c>
      <c r="AX5" s="2">
        <f>Table83[[#This Row],[Weight]]-Table7[[#This Row],[Weight v Carbs]]</f>
        <v>16.772973606620667</v>
      </c>
      <c r="AY5" s="2">
        <f>Table7[[#This Row],[Wcarb Res]]^2</f>
        <v>281.33264360839348</v>
      </c>
      <c r="AZ5">
        <f>Regression!$S$10+(Regression!$S$9*Table83[[#This Row],[Fat ]])</f>
        <v>255.67655093753109</v>
      </c>
      <c r="BA5" s="2">
        <f>Table83[[#This Row],[Weight]]-Table7[[#This Row],[Weight v Fat]]</f>
        <v>17.123449062468922</v>
      </c>
      <c r="BB5" s="2">
        <f>Table7[[#This Row],[WF Res]]^2</f>
        <v>293.21250779496779</v>
      </c>
      <c r="BC5">
        <f>Regression!$T$10+(Regression!$T$9*Table83[[#This Row],[Protein]])</f>
        <v>256.81582572265972</v>
      </c>
      <c r="BD5" s="2">
        <f>Table83[[#This Row],[Weight]]-Table7[[#This Row],[Weight v Protein]]</f>
        <v>15.984174277340287</v>
      </c>
      <c r="BE5" s="2">
        <f>Table7[[#This Row],[WP Res]]^2</f>
        <v>255.49382732838689</v>
      </c>
      <c r="BF5">
        <f>Regression!$U$10+(Regression!$U$9*Table83[[#This Row],[Fiber]])</f>
        <v>254.91222179668534</v>
      </c>
      <c r="BG5" s="2">
        <f>Table83[[#This Row],[Weight]]-Table7[[#This Row],[Weight v Fiber]]</f>
        <v>17.887778203314667</v>
      </c>
      <c r="BH5" s="2">
        <f>Table7[[#This Row],[Wfib Res]]^2</f>
        <v>319.97260905097932</v>
      </c>
      <c r="BI5">
        <f>Regression!$V$10+(Regression!$V$9*Table83[[#This Row],[Sugar]])</f>
        <v>256.50475715800644</v>
      </c>
      <c r="BJ5" s="2">
        <f>Table83[[#This Row],[Weight]]-Table7[[#This Row],[Weight v Sugar]]</f>
        <v>16.29524284199357</v>
      </c>
      <c r="BK5" s="2">
        <f>Table7[[#This Row],[Wsugar Res]]^2</f>
        <v>265.5349392795427</v>
      </c>
      <c r="BL5">
        <f>Regression!$W$10+(Regression!$W$9*Table83[[#This Row],[Servings]])</f>
        <v>257.04290728344819</v>
      </c>
      <c r="BM5" s="2">
        <f>Table83[[#This Row],[Weight]]-Table7[[#This Row],[Weight v Servings]]</f>
        <v>15.757092716551824</v>
      </c>
      <c r="BN5" s="2">
        <f>Table7[[#This Row],[Wserv Res]]^2</f>
        <v>248.28597087801054</v>
      </c>
      <c r="BO5">
        <f>Regression!$X$10+(Regression!$X$9*Table83[[#This Row],[Water]])</f>
        <v>255.06345001025522</v>
      </c>
      <c r="BP5" s="2">
        <f>Table83[[#This Row],[Weight]]-Table7[[#This Row],[Weight v Water]]</f>
        <v>17.736549989744788</v>
      </c>
      <c r="BQ5" s="2">
        <f>Table7[[#This Row],[Wwater Res]]^2</f>
        <v>314.5852055387158</v>
      </c>
      <c r="BR5">
        <f>Regression!$Y$10+(Regression!$Y$9*Table83[[#This Row],[Fat Calories]])</f>
        <v>255.70776701830098</v>
      </c>
      <c r="BS5" s="2">
        <f>Table83[[#This Row],[Weight]]-Table7[[#This Row],[Weight v Fat Calories]]</f>
        <v>17.092232981699027</v>
      </c>
      <c r="BT5" s="2">
        <f>Table7[[#This Row],[WFC Res]]^2</f>
        <v>292.14442830068003</v>
      </c>
      <c r="BU5">
        <f>Regression!$B$29+(Regression!$B$28*Table83[[#This Row],[Weight]])</f>
        <v>46.863336293124334</v>
      </c>
      <c r="BV5" s="2">
        <f>Table83[[#This Row],[Waist]]-Table7[[#This Row],[Waist v Weight]]</f>
        <v>0.13666370687566598</v>
      </c>
      <c r="BW5" s="2">
        <f>Table7[[#This Row],[WaistW Res]]^2</f>
        <v>1.8676968776997954E-2</v>
      </c>
      <c r="BX5">
        <f>Regression!$C$29+(Regression!$C$28*Table83[[#This Row],[Neck]])</f>
        <v>45.258648648648581</v>
      </c>
      <c r="BY5" s="2">
        <f>Table83[[#This Row],[Waist]]-Table7[[#This Row],[Waist v Neck]]</f>
        <v>1.7413513513514189</v>
      </c>
      <c r="BZ5" s="2">
        <f>Table7[[#This Row],[WaistN Res]]^2</f>
        <v>3.032304528853413</v>
      </c>
      <c r="CA5">
        <f>Regression!$D$29+(Regression!$D$28*Table83[[#This Row],[Morning Body Temp]])</f>
        <v>44.629919249340105</v>
      </c>
      <c r="CB5" s="2">
        <f>Table83[[#This Row],[Waist]]-Table7[[#This Row],[Waist v Morning Temp]]</f>
        <v>2.3700807506598949</v>
      </c>
      <c r="CC5" s="2">
        <f>Table7[[#This Row],[WaistMT Res]]^2</f>
        <v>5.6172827646485706</v>
      </c>
      <c r="CD5">
        <f>Regression!$E$29+(Regression!$E$28*Table83[[#This Row],[Morning Systolic Pressure]])</f>
        <v>44.460475132636631</v>
      </c>
      <c r="CE5" s="2">
        <f>Table83[[#This Row],[Waist]]-Table7[[#This Row],[Waist v Morning Sys]]</f>
        <v>2.5395248673633688</v>
      </c>
      <c r="CF5" s="2">
        <f>Table7[[#This Row],[WaistMS Res]]^2</f>
        <v>6.4491865519569362</v>
      </c>
      <c r="CG5">
        <f>Regression!$F$29+(Regression!$F$28*Table83[[#This Row],[Morning Diastolic Pressure]])</f>
        <v>44.497901633495097</v>
      </c>
      <c r="CH5" s="2">
        <f>Table83[[#This Row],[Waist]]-Table7[[#This Row],[Waist v Morning Dia]]</f>
        <v>2.502098366504903</v>
      </c>
      <c r="CI5" s="2">
        <f>Table7[[#This Row],[WaistMD Res]]^2</f>
        <v>6.2604962356665039</v>
      </c>
      <c r="CJ5">
        <f>Regression!$G$29+(Regression!$G$28*Table83[[#This Row],[Morning Pulse]])</f>
        <v>44.449539184638127</v>
      </c>
      <c r="CK5" s="2">
        <f>Table83[[#This Row],[Waist]]-Table7[[#This Row],[Waist v Morning Pulse]]</f>
        <v>2.5504608153618733</v>
      </c>
      <c r="CL5" s="2">
        <f>Table7[[#This Row],[WaistMP Res]]^2</f>
        <v>6.5048503706963512</v>
      </c>
      <c r="CM5">
        <f>Regression!$H$29+(Regression!$H$28*Table83[[#This Row],[Night Body Temp]])</f>
        <v>44.440857030854289</v>
      </c>
      <c r="CN5" s="2">
        <f>Table83[[#This Row],[Waist]]-Table7[[#This Row],[Waist v Night Temp]]</f>
        <v>2.5591429691457108</v>
      </c>
      <c r="CO5" s="2">
        <f>Table7[[#This Row],[WaistNT Res]]^2</f>
        <v>6.5492127365279247</v>
      </c>
      <c r="CP5">
        <f>Regression!$I$29+(Regression!$I$28*Table83[[#This Row],[Night Systolic Pressure]])</f>
        <v>44.107536571490492</v>
      </c>
      <c r="CQ5" s="2">
        <f>Table83[[#This Row],[Waist]]-Table7[[#This Row],[Waist v  Night Sys]]</f>
        <v>2.8924634285095081</v>
      </c>
      <c r="CR5" s="2">
        <f>Table7[[#This Row],[WaistNS Res]]^2</f>
        <v>8.3663446852649788</v>
      </c>
      <c r="CS5">
        <f>Regression!$J$29+(Regression!$J$28*Table83[[#This Row],[Night Diastolic Pressure]])</f>
        <v>44.256276668664427</v>
      </c>
      <c r="CT5" s="2">
        <f>Table83[[#This Row],[Waist]]-Table7[[#This Row],[Waist v Night Dia]]</f>
        <v>2.7437233313355733</v>
      </c>
      <c r="CU5" s="2">
        <f>Table7[[#This Row],[WaistND Res]]^2</f>
        <v>7.5280177189151765</v>
      </c>
      <c r="CV5">
        <f>Regression!$K$29+(Regression!$K$28*Table83[[#This Row],[Night Pulse]])</f>
        <v>44.416857177900795</v>
      </c>
      <c r="CW5" s="2">
        <f>Table83[[#This Row],[Waist]]-Table7[[#This Row],[Waist v Night Pulse]]</f>
        <v>2.5831428220992052</v>
      </c>
      <c r="CX5" s="2">
        <f>Table7[[#This Row],[WaistNP Res]]^2</f>
        <v>6.6726268393626462</v>
      </c>
      <c r="CY5">
        <f>Regression!$L$29+(Regression!$L$28*Table83[[#This Row],[Sleep]])</f>
        <v>44.456891852858099</v>
      </c>
      <c r="CZ5" s="2">
        <f>Table83[[#This Row],[Waist]]-Table7[[#This Row],[Waist v  Sleep]]</f>
        <v>2.5431081471419006</v>
      </c>
      <c r="DA5" s="2">
        <f>Table7[[#This Row],[WaistS Res]]^2</f>
        <v>6.4673990480595105</v>
      </c>
      <c r="DB5">
        <f>Regression!$M$29+(Regression!$M$28*Table83[[#This Row],[BMI]])</f>
        <v>46.863336293116674</v>
      </c>
      <c r="DC5" s="2">
        <f>Table83[[#This Row],[Waist]]-Table7[[#This Row],[Waist v BMI]]</f>
        <v>0.13666370688332563</v>
      </c>
      <c r="DD5" s="2">
        <f>Table7[[#This Row],[WaistBMI Res]]^2</f>
        <v>1.8676968779091547E-2</v>
      </c>
      <c r="DE5">
        <f>Regression!$N$29+(Regression!$N$28*Table83[[#This Row],[CBF]])</f>
        <v>46.780194469922108</v>
      </c>
      <c r="DF5" s="2">
        <f>Table83[[#This Row],[Waist]]-Table7[[#This Row],[Waist v  CBF]]</f>
        <v>0.21980553007789183</v>
      </c>
      <c r="DG5" s="2">
        <f>Table7[[#This Row],[WaistCBF Res]]^2</f>
        <v>4.8314471052823008E-2</v>
      </c>
      <c r="DH5">
        <f>Regression!$O$29+(Regression!$O$28*Table83[[#This Row],[Gym]])</f>
        <v>44.550847457627107</v>
      </c>
      <c r="DI5" s="2">
        <f>Table83[[#This Row],[Waist]]-Table7[[#This Row],[Waist v  Gym]]</f>
        <v>2.449152542372893</v>
      </c>
      <c r="DJ5" s="2">
        <f>Table7[[#This Row],[WaistGYM Res]]^2</f>
        <v>5.9983481758116053</v>
      </c>
      <c r="DK5">
        <f>Regression!$P$29+(Regression!$P$28*Table83[[#This Row],[Cardio]])</f>
        <v>44.291666666666664</v>
      </c>
      <c r="DL5" s="2">
        <f>Table83[[#This Row],[Waist]]-Table7[[#This Row],[Waist v Cardio]]</f>
        <v>2.7083333333333357</v>
      </c>
      <c r="DM5" s="2">
        <f>Table7[[#This Row],[WaistC Res]]^2</f>
        <v>7.3350694444444571</v>
      </c>
      <c r="DN5">
        <f>Regression!$Q$29+(Regression!$Q$28*Table83[[#This Row],[Calories]])</f>
        <v>44.668820877428473</v>
      </c>
      <c r="DO5" s="2">
        <f>Table83[[#This Row],[Waist]]-Table7[[#This Row],[Waist v Calories]]</f>
        <v>2.3311791225715268</v>
      </c>
      <c r="DP5" s="2">
        <f>Table7[[#This Row],[WaistCal Res]]^2</f>
        <v>5.4343961015133537</v>
      </c>
      <c r="DQ5">
        <f>Regression!$R$29+(Regression!$R$28*Table83[[#This Row],[Carbs]])</f>
        <v>44.643408920961505</v>
      </c>
      <c r="DR5" s="2">
        <f>Table83[[#This Row],[Waist]]-Table7[[#This Row],[Waist v Carbs]]</f>
        <v>2.3565910790384947</v>
      </c>
      <c r="DS5" s="2">
        <f>Table7[[#This Row],[WaistCarb Res]]^2</f>
        <v>5.5535215138038172</v>
      </c>
      <c r="DT5">
        <f>Regression!$S$29+(Regression!$S$28*Table83[[#This Row],[Fat ]])</f>
        <v>44.625180535060004</v>
      </c>
      <c r="DU5" s="2">
        <f>Table83[[#This Row],[Waist]]-Table7[[#This Row],[Waist v Fat]]</f>
        <v>2.3748194649399963</v>
      </c>
      <c r="DV5" s="2">
        <f>Table7[[#This Row],[WaistF Res]]^2</f>
        <v>5.6397674910578903</v>
      </c>
      <c r="DW5">
        <f>Regression!$T$29+(Regression!$T$28*Table83[[#This Row],[Protein]])</f>
        <v>44.764846010907306</v>
      </c>
      <c r="DX5" s="2">
        <f>Table83[[#This Row],[Waist]]-Table7[[#This Row],[Waist v Protein]]</f>
        <v>2.2351539890926944</v>
      </c>
      <c r="DY5" s="2">
        <f>Table7[[#This Row],[WaistP Res]]^2</f>
        <v>4.9959133549569845</v>
      </c>
      <c r="DZ5">
        <f>Regression!$U$29+(Regression!$U$28*Table83[[#This Row],[Fiber]])</f>
        <v>44.375278761681074</v>
      </c>
      <c r="EA5" s="2">
        <f>Table83[[#This Row],[Waist]]-Table7[[#This Row],[Waist v Fiber]]</f>
        <v>2.6247212383189265</v>
      </c>
      <c r="EB5" s="2">
        <f>Table7[[#This Row],[WaistFib Res]]^2</f>
        <v>6.8891615788824385</v>
      </c>
      <c r="EC5">
        <f>Regression!$V$29+(Regression!$V$28*Table83[[#This Row],[Sugar]])</f>
        <v>44.703186247824128</v>
      </c>
      <c r="ED5" s="2">
        <f>Table83[[#This Row],[Waist]]-Table7[[#This Row],[Waist v Sugar]]</f>
        <v>2.296813752175872</v>
      </c>
      <c r="EE5" s="2">
        <f>Table7[[#This Row],[WaistSugar Res]]^2</f>
        <v>5.2753534121842085</v>
      </c>
      <c r="EF5">
        <f>Regression!$W$29+(Regression!$W$28*Table83[[#This Row],[Servings]])</f>
        <v>44.747699604061388</v>
      </c>
      <c r="EG5" s="2">
        <f>Table83[[#This Row],[Waist]]-Table7[[#This Row],[Waist v Servings]]</f>
        <v>2.2523003959386116</v>
      </c>
      <c r="EH5" s="2">
        <f>Table7[[#This Row],[WaistServ Res]]^2</f>
        <v>5.0728570735452267</v>
      </c>
      <c r="EI5">
        <f>Regression!$X$29+(Regression!$X$28*Table83[[#This Row],[Water]])</f>
        <v>44.386198474840633</v>
      </c>
      <c r="EJ5" s="2">
        <f>Table83[[#This Row],[Waist]]-Table7[[#This Row],[Waist v Water]]</f>
        <v>2.6138015251593671</v>
      </c>
      <c r="EK5" s="2">
        <f>Table7[[#This Row],[WaistWat Res]]^2</f>
        <v>6.8319584129254336</v>
      </c>
      <c r="EL5">
        <f>Regression!$Y$29+(Regression!$Y$28*Table83[[#This Row],[Fat Calories]])</f>
        <v>44.633803868762506</v>
      </c>
      <c r="EM5" s="2">
        <f>Table83[[#This Row],[Waist]]-Table7[[#This Row],[Waist v Fat Calories]]</f>
        <v>2.3661961312374942</v>
      </c>
      <c r="EN5" s="2">
        <f>Table7[[#This Row],[WaistFatCal Res]]^2</f>
        <v>5.5988841314832847</v>
      </c>
    </row>
    <row r="6" spans="1:144" x14ac:dyDescent="0.25">
      <c r="A6">
        <f>Regression!$B$10+(Regression!$B$9*Table83[[#This Row],[Waist]])</f>
        <v>266.7961476072112</v>
      </c>
      <c r="B6" s="2">
        <f>Table83[[#This Row],[Weight]]-Table7[[#This Row],[Weight v Waist]]</f>
        <v>2.8038523927888264</v>
      </c>
      <c r="C6" s="2">
        <f>Table7[[#This Row],[Weight v Waist Res]]^2</f>
        <v>7.8615882405476274</v>
      </c>
      <c r="D6">
        <f>Regression!$C$10+(Regression!$C$9*Table83[[#This Row],[Neck]])</f>
        <v>260.39308108104251</v>
      </c>
      <c r="E6" s="2">
        <f>Table83[[#This Row],[Weight]]-Table7[[#This Row],[Weight v Neck]]</f>
        <v>9.2069189189575127</v>
      </c>
      <c r="F6" s="2">
        <f>Table7[[#This Row],[WN Res]]^2</f>
        <v>84.767355980257776</v>
      </c>
      <c r="G6">
        <f>Regression!$D$10+(Regression!$D$9*Table83[[#This Row],[Morning Body Temp]])</f>
        <v>255.90434909975272</v>
      </c>
      <c r="H6" s="2">
        <f>Table83[[#This Row],[Weight]]-Table7[[#This Row],[Weight v Morning Temp]]</f>
        <v>13.695650900247301</v>
      </c>
      <c r="I6" s="2">
        <f>Table7[[#This Row],[WMT Res]]^2</f>
        <v>187.57085358144471</v>
      </c>
      <c r="J6">
        <f>Regression!$E$10+(Regression!$E$9*Table83[[#This Row],[Morning Systolic Pressure]])</f>
        <v>255.50518146352579</v>
      </c>
      <c r="K6" s="2">
        <f>Table83[[#This Row],[Weight]]-Table7[[#This Row],[Weight v Morning Sys]]</f>
        <v>14.094818536474236</v>
      </c>
      <c r="L6" s="2">
        <f>Table7[[#This Row],[WMS Res]]^2</f>
        <v>198.66390957613771</v>
      </c>
      <c r="M6">
        <f>Regression!$F$10+(Regression!$F$9*Table83[[#This Row],[Morning Diastolic Pressure]])</f>
        <v>255.30472839533641</v>
      </c>
      <c r="N6" s="2">
        <f>Table83[[#This Row],[Weight]]-Table7[[#This Row],[Weight v Morning Dia]]</f>
        <v>14.295271604663611</v>
      </c>
      <c r="O6" s="2">
        <f>Table7[[#This Row],[WMD Res]]^2</f>
        <v>204.35479025110175</v>
      </c>
      <c r="P6">
        <f>Regression!$G$10+(Regression!$G$9*Table83[[#This Row],[Morning Pulse]])</f>
        <v>255.09171154531219</v>
      </c>
      <c r="Q6" s="2">
        <f>Table83[[#This Row],[Weight]]-Table7[[#This Row],[Weight v Morning Pulse]]</f>
        <v>14.508288454687829</v>
      </c>
      <c r="R6" s="2">
        <f>Table7[[#This Row],[WMP Res]]^2</f>
        <v>210.49043388442814</v>
      </c>
      <c r="S6">
        <f>Regression!$H$10+(Regression!$H$9*Table83[[#This Row],[Night Body Temp]])</f>
        <v>256.49463180523202</v>
      </c>
      <c r="T6" s="2">
        <f>Table83[[#This Row],[Weight]]-Table7[[#This Row],[Weight v Night Temp]]</f>
        <v>13.105368194768005</v>
      </c>
      <c r="U6" s="2">
        <f>Table7[[#This Row],[WNT Res]]^2</f>
        <v>171.7506755204368</v>
      </c>
      <c r="V6">
        <f>Regression!$I$10+(Regression!$I$9*Table83[[#This Row],[Night Systolic Pressure]])</f>
        <v>256.57296423553731</v>
      </c>
      <c r="W6" s="2">
        <f>Table83[[#This Row],[Weight]]-Table7[[#This Row],[Weight v Night Sys]]</f>
        <v>13.02703576446271</v>
      </c>
      <c r="X6" s="2">
        <f>Table7[[#This Row],[WNS Res]]^2</f>
        <v>169.70366080859054</v>
      </c>
      <c r="Y6">
        <f>Regression!$J$10+(Regression!$J$9*Table83[[#This Row],[Night Diastolic Pressure]])</f>
        <v>255.33691158474272</v>
      </c>
      <c r="Z6" s="2">
        <f>Table83[[#This Row],[Weight]]-Table7[[#This Row],[Weight v Night Dia]]</f>
        <v>14.2630884152573</v>
      </c>
      <c r="AA6" s="2">
        <f>Table7[[#This Row],[WND Res]]^2</f>
        <v>203.43569114144699</v>
      </c>
      <c r="AB6">
        <f>Regression!$K$10+(Regression!$K$9*Table83[[#This Row],[Night Pulse]])</f>
        <v>255.35585850863504</v>
      </c>
      <c r="AC6" s="2">
        <f>Table83[[#This Row],[Weight]]-Table7[[#This Row],[Weight v Night Pulse]]</f>
        <v>14.244141491364985</v>
      </c>
      <c r="AD6" s="2">
        <f>Table7[[#This Row],[WNP Res ]]^2</f>
        <v>202.89556682602552</v>
      </c>
      <c r="AE6">
        <f>Regression!$L$10+(Regression!$L$9*Table83[[#This Row],[Sleep]])</f>
        <v>255.45250391075515</v>
      </c>
      <c r="AF6" s="2">
        <f>Table83[[#This Row],[Weight]]-Table7[[#This Row],[Weight v Sleep]]</f>
        <v>14.147496089244868</v>
      </c>
      <c r="AG6" s="2">
        <f>Table7[[#This Row],[WS Res]]^2</f>
        <v>200.15164559519883</v>
      </c>
      <c r="AH6">
        <f>Regression!$M$10+(Regression!$M$9*Table83[[#This Row],[BMI]])</f>
        <v>269.59999999996774</v>
      </c>
      <c r="AI6" s="2">
        <f>Table83[[#This Row],[Weight]]-Table7[[#This Row],[Weight v BMI]]</f>
        <v>3.2287061912938952E-11</v>
      </c>
      <c r="AJ6" s="2">
        <f>Table7[[#This Row],[WBMI Res]]^2</f>
        <v>1.0424543669699531E-21</v>
      </c>
      <c r="AK6">
        <f>Regression!$N$10+(Regression!$N$9*Table83[[#This Row],[CBF]])</f>
        <v>265.16619945865489</v>
      </c>
      <c r="AL6" s="2">
        <f>Table83[[#This Row],[Weight]]-Table7[[#This Row],[Weight v CBF]]</f>
        <v>4.4338005413451356</v>
      </c>
      <c r="AM6" s="2">
        <f>Table7[[#This Row],[WCBF Res]]^2</f>
        <v>19.658587240432418</v>
      </c>
      <c r="AN6">
        <f>Regression!$O$10+(Regression!$O$9*Table83[[#This Row],[Gym]])</f>
        <v>255.46779661016953</v>
      </c>
      <c r="AO6" s="2">
        <f>Table83[[#This Row],[Weight]]-Table7[[#This Row],[Weight v Gym]]</f>
        <v>14.132203389830494</v>
      </c>
      <c r="AP6" s="2">
        <f>Table7[[#This Row],[WG Res]]^2</f>
        <v>199.7191726515365</v>
      </c>
      <c r="AQ6">
        <f>Regression!$P$10+(Regression!$P$9*Table83[[#This Row],[Cardio]])</f>
        <v>256.41063829787231</v>
      </c>
      <c r="AR6" s="2">
        <f>Table83[[#This Row],[Weight]]-Table7[[#This Row],[Weight v Cardio]]</f>
        <v>13.189361702127712</v>
      </c>
      <c r="AS6" s="2">
        <f>Table7[[#This Row],[WC Res]]^2</f>
        <v>173.95926210955324</v>
      </c>
      <c r="AT6">
        <f>Regression!$Q$10+(Regression!$Q$9*Table83[[#This Row],[Calories]])</f>
        <v>255.51069081393558</v>
      </c>
      <c r="AU6" s="2">
        <f>Table83[[#This Row],[Weight]]-Table7[[#This Row],[Weight v Calories]]</f>
        <v>14.08930918606444</v>
      </c>
      <c r="AV6" s="2">
        <f>Table7[[#This Row],[WCAL Res]]^2</f>
        <v>198.50863334051982</v>
      </c>
      <c r="AW6">
        <f>Regression!$R$10+(Regression!$R$9*Table83[[#This Row],[Carbs]])</f>
        <v>255.55178699063026</v>
      </c>
      <c r="AX6" s="2">
        <f>Table83[[#This Row],[Weight]]-Table7[[#This Row],[Weight v Carbs]]</f>
        <v>14.048213009369761</v>
      </c>
      <c r="AY6" s="2">
        <f>Table7[[#This Row],[Wcarb Res]]^2</f>
        <v>197.3522887566258</v>
      </c>
      <c r="AZ6">
        <f>Regression!$S$10+(Regression!$S$9*Table83[[#This Row],[Fat ]])</f>
        <v>255.38747934922324</v>
      </c>
      <c r="BA6" s="2">
        <f>Table83[[#This Row],[Weight]]-Table7[[#This Row],[Weight v Fat]]</f>
        <v>14.212520650776781</v>
      </c>
      <c r="BB6" s="2">
        <f>Table7[[#This Row],[WF Res]]^2</f>
        <v>201.99574324875647</v>
      </c>
      <c r="BC6">
        <f>Regression!$T$10+(Regression!$T$9*Table83[[#This Row],[Protein]])</f>
        <v>255.06293586765423</v>
      </c>
      <c r="BD6" s="2">
        <f>Table83[[#This Row],[Weight]]-Table7[[#This Row],[Weight v Protein]]</f>
        <v>14.53706413234579</v>
      </c>
      <c r="BE6" s="2">
        <f>Table7[[#This Row],[WP Res]]^2</f>
        <v>211.32623358793447</v>
      </c>
      <c r="BF6">
        <f>Regression!$U$10+(Regression!$U$9*Table83[[#This Row],[Fiber]])</f>
        <v>255.31950071262006</v>
      </c>
      <c r="BG6" s="2">
        <f>Table83[[#This Row],[Weight]]-Table7[[#This Row],[Weight v Fiber]]</f>
        <v>14.280499287379968</v>
      </c>
      <c r="BH6" s="2">
        <f>Table7[[#This Row],[Wfib Res]]^2</f>
        <v>203.93265989685978</v>
      </c>
      <c r="BI6">
        <f>Regression!$V$10+(Regression!$V$9*Table83[[#This Row],[Sugar]])</f>
        <v>256.3489655719406</v>
      </c>
      <c r="BJ6" s="2">
        <f>Table83[[#This Row],[Weight]]-Table7[[#This Row],[Weight v Sugar]]</f>
        <v>13.251034428059427</v>
      </c>
      <c r="BK6" s="2">
        <f>Table7[[#This Row],[Wsugar Res]]^2</f>
        <v>175.58991341361622</v>
      </c>
      <c r="BL6">
        <f>Regression!$W$10+(Regression!$W$9*Table83[[#This Row],[Servings]])</f>
        <v>256.53451631855648</v>
      </c>
      <c r="BM6" s="2">
        <f>Table83[[#This Row],[Weight]]-Table7[[#This Row],[Weight v Servings]]</f>
        <v>13.065483681443538</v>
      </c>
      <c r="BN6" s="2">
        <f>Table7[[#This Row],[Wserv Res]]^2</f>
        <v>170.70686383006739</v>
      </c>
      <c r="BO6">
        <f>Regression!$X$10+(Regression!$X$9*Table83[[#This Row],[Water]])</f>
        <v>255.19189796045953</v>
      </c>
      <c r="BP6" s="2">
        <f>Table83[[#This Row],[Weight]]-Table7[[#This Row],[Weight v Water]]</f>
        <v>14.408102039540495</v>
      </c>
      <c r="BQ6" s="2">
        <f>Table7[[#This Row],[Wwater Res]]^2</f>
        <v>207.59340438181096</v>
      </c>
      <c r="BR6">
        <f>Regression!$Y$10+(Regression!$Y$9*Table83[[#This Row],[Fat Calories]])</f>
        <v>255.40012212698872</v>
      </c>
      <c r="BS6" s="2">
        <f>Table83[[#This Row],[Weight]]-Table7[[#This Row],[Weight v Fat Calories]]</f>
        <v>14.199877873011303</v>
      </c>
      <c r="BT6" s="2">
        <f>Table7[[#This Row],[WFC Res]]^2</f>
        <v>201.636531608436</v>
      </c>
      <c r="BU6">
        <f>Regression!$B$29+(Regression!$B$28*Table83[[#This Row],[Weight]])</f>
        <v>46.427296259300391</v>
      </c>
      <c r="BV6" s="2">
        <f>Table83[[#This Row],[Waist]]-Table7[[#This Row],[Waist v Weight]]</f>
        <v>7.2703740699608943E-2</v>
      </c>
      <c r="BW6" s="2">
        <f>Table7[[#This Row],[WaistW Res]]^2</f>
        <v>5.2858339117159737E-3</v>
      </c>
      <c r="BX6">
        <f>Regression!$C$29+(Regression!$C$28*Table83[[#This Row],[Neck]])</f>
        <v>45.258648648648581</v>
      </c>
      <c r="BY6" s="2">
        <f>Table83[[#This Row],[Waist]]-Table7[[#This Row],[Waist v Neck]]</f>
        <v>1.2413513513514189</v>
      </c>
      <c r="BZ6" s="2">
        <f>Table7[[#This Row],[WaistN Res]]^2</f>
        <v>1.540953177501994</v>
      </c>
      <c r="CA6">
        <f>Regression!$D$29+(Regression!$D$28*Table83[[#This Row],[Morning Body Temp]])</f>
        <v>44.668212875691857</v>
      </c>
      <c r="CB6" s="2">
        <f>Table83[[#This Row],[Waist]]-Table7[[#This Row],[Waist v Morning Temp]]</f>
        <v>1.8317871243081427</v>
      </c>
      <c r="CC6" s="2">
        <f>Table7[[#This Row],[WaistMT Res]]^2</f>
        <v>3.3554440687810949</v>
      </c>
      <c r="CD6">
        <f>Regression!$E$29+(Regression!$E$28*Table83[[#This Row],[Morning Systolic Pressure]])</f>
        <v>44.545198374576046</v>
      </c>
      <c r="CE6" s="2">
        <f>Table83[[#This Row],[Waist]]-Table7[[#This Row],[Waist v Morning Sys]]</f>
        <v>1.9548016254239542</v>
      </c>
      <c r="CF6" s="2">
        <f>Table7[[#This Row],[WaistMS Res]]^2</f>
        <v>3.8212493947601334</v>
      </c>
      <c r="CG6">
        <f>Regression!$F$29+(Regression!$F$28*Table83[[#This Row],[Morning Diastolic Pressure]])</f>
        <v>44.464087909481968</v>
      </c>
      <c r="CH6" s="2">
        <f>Table83[[#This Row],[Waist]]-Table7[[#This Row],[Waist v Morning Dia]]</f>
        <v>2.0359120905180319</v>
      </c>
      <c r="CI6" s="2">
        <f>Table7[[#This Row],[WaistMD Res]]^2</f>
        <v>4.1449380403175029</v>
      </c>
      <c r="CJ6">
        <f>Regression!$G$29+(Regression!$G$28*Table83[[#This Row],[Morning Pulse]])</f>
        <v>44.442823164049216</v>
      </c>
      <c r="CK6" s="2">
        <f>Table83[[#This Row],[Waist]]-Table7[[#This Row],[Waist v Morning Pulse]]</f>
        <v>2.0571768359507843</v>
      </c>
      <c r="CL6" s="2">
        <f>Table7[[#This Row],[WaistMP Res]]^2</f>
        <v>4.23197653437248</v>
      </c>
      <c r="CM6">
        <f>Regression!$H$29+(Regression!$H$28*Table83[[#This Row],[Night Body Temp]])</f>
        <v>44.56231088792758</v>
      </c>
      <c r="CN6" s="2">
        <f>Table83[[#This Row],[Waist]]-Table7[[#This Row],[Waist v Night Temp]]</f>
        <v>1.9376891120724196</v>
      </c>
      <c r="CO6" s="2">
        <f>Table7[[#This Row],[WaistNT Res]]^2</f>
        <v>3.7546390950440016</v>
      </c>
      <c r="CP6">
        <f>Regression!$I$29+(Regression!$I$28*Table83[[#This Row],[Night Systolic Pressure]])</f>
        <v>44.660060915863802</v>
      </c>
      <c r="CQ6" s="2">
        <f>Table83[[#This Row],[Waist]]-Table7[[#This Row],[Waist v  Night Sys]]</f>
        <v>1.8399390841361978</v>
      </c>
      <c r="CR6" s="2">
        <f>Table7[[#This Row],[WaistNS Res]]^2</f>
        <v>3.3853758333319504</v>
      </c>
      <c r="CS6">
        <f>Regression!$J$29+(Regression!$J$28*Table83[[#This Row],[Night Diastolic Pressure]])</f>
        <v>44.546431737190943</v>
      </c>
      <c r="CT6" s="2">
        <f>Table83[[#This Row],[Waist]]-Table7[[#This Row],[Waist v Night Dia]]</f>
        <v>1.9535682628090569</v>
      </c>
      <c r="CU6" s="2">
        <f>Table7[[#This Row],[WaistND Res]]^2</f>
        <v>3.8164289574547965</v>
      </c>
      <c r="CV6">
        <f>Regression!$K$29+(Regression!$K$28*Table83[[#This Row],[Night Pulse]])</f>
        <v>44.431140909455621</v>
      </c>
      <c r="CW6" s="2">
        <f>Table83[[#This Row],[Waist]]-Table7[[#This Row],[Waist v Night Pulse]]</f>
        <v>2.0688590905443789</v>
      </c>
      <c r="CX6" s="2">
        <f>Table7[[#This Row],[WaistNP Res]]^2</f>
        <v>4.2801779365281147</v>
      </c>
      <c r="CY6">
        <f>Regression!$L$29+(Regression!$L$28*Table83[[#This Row],[Sleep]])</f>
        <v>44.504990820853756</v>
      </c>
      <c r="CZ6" s="2">
        <f>Table83[[#This Row],[Waist]]-Table7[[#This Row],[Waist v  Sleep]]</f>
        <v>1.9950091791462441</v>
      </c>
      <c r="DA6" s="2">
        <f>Table7[[#This Row],[WaistS Res]]^2</f>
        <v>3.9800616248777705</v>
      </c>
      <c r="DB6">
        <f>Regression!$M$29+(Regression!$M$28*Table83[[#This Row],[BMI]])</f>
        <v>46.427296259294124</v>
      </c>
      <c r="DC6" s="2">
        <f>Table83[[#This Row],[Waist]]-Table7[[#This Row],[Waist v BMI]]</f>
        <v>7.270374070587593E-2</v>
      </c>
      <c r="DD6" s="2">
        <f>Table7[[#This Row],[WaistBMI Res]]^2</f>
        <v>5.2858339126272405E-3</v>
      </c>
      <c r="DE6">
        <f>Regression!$N$29+(Regression!$N$28*Table83[[#This Row],[CBF]])</f>
        <v>46.263460020227768</v>
      </c>
      <c r="DF6" s="2">
        <f>Table83[[#This Row],[Waist]]-Table7[[#This Row],[Waist v  CBF]]</f>
        <v>0.23653997977223185</v>
      </c>
      <c r="DG6" s="2">
        <f>Table7[[#This Row],[WaistCBF Res]]^2</f>
        <v>5.5951162030647851E-2</v>
      </c>
      <c r="DH6">
        <f>Regression!$O$29+(Regression!$O$28*Table83[[#This Row],[Gym]])</f>
        <v>44.550847457627107</v>
      </c>
      <c r="DI6" s="2">
        <f>Table83[[#This Row],[Waist]]-Table7[[#This Row],[Waist v  Gym]]</f>
        <v>1.949152542372893</v>
      </c>
      <c r="DJ6" s="2">
        <f>Table7[[#This Row],[WaistGYM Res]]^2</f>
        <v>3.7991956334387127</v>
      </c>
      <c r="DK6">
        <f>Regression!$P$29+(Regression!$P$28*Table83[[#This Row],[Cardio]])</f>
        <v>44.680851063829778</v>
      </c>
      <c r="DL6" s="2">
        <f>Table83[[#This Row],[Waist]]-Table7[[#This Row],[Waist v Cardio]]</f>
        <v>1.8191489361702224</v>
      </c>
      <c r="DM6" s="2">
        <f>Table7[[#This Row],[WaistC Res]]^2</f>
        <v>3.3093028519692522</v>
      </c>
      <c r="DN6">
        <f>Regression!$Q$29+(Regression!$Q$28*Table83[[#This Row],[Calories]])</f>
        <v>44.542432831114802</v>
      </c>
      <c r="DO6" s="2">
        <f>Table83[[#This Row],[Waist]]-Table7[[#This Row],[Waist v Calories]]</f>
        <v>1.9575671688851983</v>
      </c>
      <c r="DP6" s="2">
        <f>Table7[[#This Row],[WaistCal Res]]^2</f>
        <v>3.8320692206972105</v>
      </c>
      <c r="DQ6">
        <f>Regression!$R$29+(Regression!$R$28*Table83[[#This Row],[Carbs]])</f>
        <v>44.544466987561044</v>
      </c>
      <c r="DR6" s="2">
        <f>Table83[[#This Row],[Waist]]-Table7[[#This Row],[Waist v Carbs]]</f>
        <v>1.9555330124389556</v>
      </c>
      <c r="DS6" s="2">
        <f>Table7[[#This Row],[WaistCarb Res]]^2</f>
        <v>3.8241093627385765</v>
      </c>
      <c r="DT6">
        <f>Regression!$S$29+(Regression!$S$28*Table83[[#This Row],[Fat ]])</f>
        <v>44.536817468052547</v>
      </c>
      <c r="DU6" s="2">
        <f>Table83[[#This Row],[Waist]]-Table7[[#This Row],[Waist v Fat]]</f>
        <v>1.963182531947453</v>
      </c>
      <c r="DV6" s="2">
        <f>Table7[[#This Row],[WaistF Res]]^2</f>
        <v>3.8540856537436121</v>
      </c>
      <c r="DW6">
        <f>Regression!$T$29+(Regression!$T$28*Table83[[#This Row],[Protein]])</f>
        <v>44.444002053802976</v>
      </c>
      <c r="DX6" s="2">
        <f>Table83[[#This Row],[Waist]]-Table7[[#This Row],[Waist v Protein]]</f>
        <v>2.0559979461970244</v>
      </c>
      <c r="DY6" s="2">
        <f>Table7[[#This Row],[WaistP Res]]^2</f>
        <v>4.2271275547663825</v>
      </c>
      <c r="DZ6">
        <f>Regression!$U$29+(Regression!$U$28*Table83[[#This Row],[Fiber]])</f>
        <v>44.532431384796624</v>
      </c>
      <c r="EA6" s="2">
        <f>Table83[[#This Row],[Waist]]-Table7[[#This Row],[Waist v Fiber]]</f>
        <v>1.9675686152033762</v>
      </c>
      <c r="EB6" s="2">
        <f>Table7[[#This Row],[WaistFib Res]]^2</f>
        <v>3.8713262555333317</v>
      </c>
      <c r="EC6">
        <f>Regression!$V$29+(Regression!$V$28*Table83[[#This Row],[Sugar]])</f>
        <v>44.675200026935151</v>
      </c>
      <c r="ED6" s="2">
        <f>Table83[[#This Row],[Waist]]-Table7[[#This Row],[Waist v Sugar]]</f>
        <v>1.8247999730648488</v>
      </c>
      <c r="EE6" s="2">
        <f>Table7[[#This Row],[WaistSugar Res]]^2</f>
        <v>3.3298949416974728</v>
      </c>
      <c r="EF6">
        <f>Regression!$W$29+(Regression!$W$28*Table83[[#This Row],[Servings]])</f>
        <v>44.670127612610031</v>
      </c>
      <c r="EG6" s="2">
        <f>Table83[[#This Row],[Waist]]-Table7[[#This Row],[Waist v Servings]]</f>
        <v>1.8298723873899689</v>
      </c>
      <c r="EH6" s="2">
        <f>Table7[[#This Row],[WaistServ Res]]^2</f>
        <v>3.3484329541322646</v>
      </c>
      <c r="EI6">
        <f>Regression!$X$29+(Regression!$X$28*Table83[[#This Row],[Water]])</f>
        <v>44.553850107074496</v>
      </c>
      <c r="EJ6" s="2">
        <f>Table83[[#This Row],[Waist]]-Table7[[#This Row],[Waist v Water]]</f>
        <v>1.9461498929255043</v>
      </c>
      <c r="EK6" s="2">
        <f>Table7[[#This Row],[WaistWat Res]]^2</f>
        <v>3.7874994057339522</v>
      </c>
      <c r="EL6">
        <f>Regression!$Y$29+(Regression!$Y$28*Table83[[#This Row],[Fat Calories]])</f>
        <v>44.5402402070942</v>
      </c>
      <c r="EM6" s="2">
        <f>Table83[[#This Row],[Waist]]-Table7[[#This Row],[Waist v Fat Calories]]</f>
        <v>1.9597597929057997</v>
      </c>
      <c r="EN6" s="2">
        <f>Table7[[#This Row],[WaistFatCal Res]]^2</f>
        <v>3.8406584458901829</v>
      </c>
    </row>
    <row r="7" spans="1:144" x14ac:dyDescent="0.25">
      <c r="A7">
        <f>Regression!$B$10+(Regression!$B$9*Table83[[#This Row],[Waist]])</f>
        <v>269.65012529286491</v>
      </c>
      <c r="B7" s="2">
        <f>Table83[[#This Row],[Weight]]-Table7[[#This Row],[Weight v Waist]]</f>
        <v>-1.050125292864891</v>
      </c>
      <c r="C7" s="2">
        <f>Table7[[#This Row],[Weight v Waist Res]]^2</f>
        <v>1.1027631307145731</v>
      </c>
      <c r="D7">
        <f>Regression!$C$10+(Regression!$C$9*Table83[[#This Row],[Neck]])</f>
        <v>260.39308108104251</v>
      </c>
      <c r="E7" s="2">
        <f>Table83[[#This Row],[Weight]]-Table7[[#This Row],[Weight v Neck]]</f>
        <v>8.2069189189575127</v>
      </c>
      <c r="F7" s="2">
        <f>Table7[[#This Row],[WN Res]]^2</f>
        <v>67.35351814234275</v>
      </c>
      <c r="G7">
        <f>Regression!$D$10+(Regression!$D$9*Table83[[#This Row],[Morning Body Temp]])</f>
        <v>254.77797223219488</v>
      </c>
      <c r="H7" s="2">
        <f>Table83[[#This Row],[Weight]]-Table7[[#This Row],[Weight v Morning Temp]]</f>
        <v>13.822027767805139</v>
      </c>
      <c r="I7" s="2">
        <f>Table7[[#This Row],[WMT Res]]^2</f>
        <v>191.04845161397631</v>
      </c>
      <c r="J7">
        <f>Regression!$E$10+(Regression!$E$9*Table83[[#This Row],[Morning Systolic Pressure]])</f>
        <v>255.09948662875533</v>
      </c>
      <c r="K7" s="2">
        <f>Table83[[#This Row],[Weight]]-Table7[[#This Row],[Weight v Morning Sys]]</f>
        <v>13.500513371244693</v>
      </c>
      <c r="L7" s="2">
        <f>Table7[[#This Row],[WMS Res]]^2</f>
        <v>182.26386128715674</v>
      </c>
      <c r="M7">
        <f>Regression!$F$10+(Regression!$F$9*Table83[[#This Row],[Morning Diastolic Pressure]])</f>
        <v>254.8993513991569</v>
      </c>
      <c r="N7" s="2">
        <f>Table83[[#This Row],[Weight]]-Table7[[#This Row],[Weight v Morning Dia]]</f>
        <v>13.700648600843124</v>
      </c>
      <c r="O7" s="2">
        <f>Table7[[#This Row],[WMD Res]]^2</f>
        <v>187.70777208378465</v>
      </c>
      <c r="P7">
        <f>Regression!$G$10+(Regression!$G$9*Table83[[#This Row],[Morning Pulse]])</f>
        <v>255.13192305197038</v>
      </c>
      <c r="Q7" s="2">
        <f>Table83[[#This Row],[Weight]]-Table7[[#This Row],[Weight v Morning Pulse]]</f>
        <v>13.468076948029648</v>
      </c>
      <c r="R7" s="2">
        <f>Table7[[#This Row],[WMP Res]]^2</f>
        <v>181.38909667804759</v>
      </c>
      <c r="S7">
        <f>Regression!$H$10+(Regression!$H$9*Table83[[#This Row],[Night Body Temp]])</f>
        <v>254.33800382511666</v>
      </c>
      <c r="T7" s="2">
        <f>Table83[[#This Row],[Weight]]-Table7[[#This Row],[Weight v Night Temp]]</f>
        <v>14.261996174883365</v>
      </c>
      <c r="U7" s="2">
        <f>Table7[[#This Row],[WNT Res]]^2</f>
        <v>203.40453489238772</v>
      </c>
      <c r="V7">
        <f>Regression!$I$10+(Regression!$I$9*Table83[[#This Row],[Night Systolic Pressure]])</f>
        <v>252.87775021051243</v>
      </c>
      <c r="W7" s="2">
        <f>Table83[[#This Row],[Weight]]-Table7[[#This Row],[Weight v Night Sys]]</f>
        <v>15.722249789487591</v>
      </c>
      <c r="X7" s="2">
        <f>Table7[[#This Row],[WNS Res]]^2</f>
        <v>247.18913844304262</v>
      </c>
      <c r="Y7">
        <f>Regression!$J$10+(Regression!$J$9*Table83[[#This Row],[Night Diastolic Pressure]])</f>
        <v>254.8477211637495</v>
      </c>
      <c r="Z7" s="2">
        <f>Table83[[#This Row],[Weight]]-Table7[[#This Row],[Weight v Night Dia]]</f>
        <v>13.752278836250525</v>
      </c>
      <c r="AA7" s="2">
        <f>Table7[[#This Row],[WND Res]]^2</f>
        <v>189.12517318998411</v>
      </c>
      <c r="AB7">
        <f>Regression!$K$10+(Regression!$K$9*Table83[[#This Row],[Night Pulse]])</f>
        <v>255.11015185874123</v>
      </c>
      <c r="AC7" s="2">
        <f>Table83[[#This Row],[Weight]]-Table7[[#This Row],[Weight v Night Pulse]]</f>
        <v>13.48984814125879</v>
      </c>
      <c r="AD7" s="2">
        <f>Table7[[#This Row],[WNP Res ]]^2</f>
        <v>181.97600287422324</v>
      </c>
      <c r="AE7">
        <f>Regression!$L$10+(Regression!$L$9*Table83[[#This Row],[Sleep]])</f>
        <v>255.29476681906823</v>
      </c>
      <c r="AF7" s="2">
        <f>Table83[[#This Row],[Weight]]-Table7[[#This Row],[Weight v Sleep]]</f>
        <v>13.305233180931793</v>
      </c>
      <c r="AG7" s="2">
        <f>Table7[[#This Row],[WS Res]]^2</f>
        <v>177.02922999896836</v>
      </c>
      <c r="AH7">
        <f>Regression!$M$10+(Regression!$M$9*Table83[[#This Row],[BMI]])</f>
        <v>268.5999999999699</v>
      </c>
      <c r="AI7" s="2">
        <f>Table83[[#This Row],[Weight]]-Table7[[#This Row],[Weight v BMI]]</f>
        <v>3.0127011996228248E-11</v>
      </c>
      <c r="AJ7" s="2">
        <f>Table7[[#This Row],[WBMI Res]]^2</f>
        <v>9.0763685182088076E-22</v>
      </c>
      <c r="AK7">
        <f>Regression!$N$10+(Regression!$N$9*Table83[[#This Row],[CBF]])</f>
        <v>268.03581667418757</v>
      </c>
      <c r="AL7" s="2">
        <f>Table83[[#This Row],[Weight]]-Table7[[#This Row],[Weight v CBF]]</f>
        <v>0.56418332581245068</v>
      </c>
      <c r="AM7" s="2">
        <f>Table7[[#This Row],[WCBF Res]]^2</f>
        <v>0.31830282512479785</v>
      </c>
      <c r="AN7">
        <f>Regression!$O$10+(Regression!$O$9*Table83[[#This Row],[Gym]])</f>
        <v>255.46779661016953</v>
      </c>
      <c r="AO7" s="2">
        <f>Table83[[#This Row],[Weight]]-Table7[[#This Row],[Weight v Gym]]</f>
        <v>13.132203389830494</v>
      </c>
      <c r="AP7" s="2">
        <f>Table7[[#This Row],[WG Res]]^2</f>
        <v>172.45476587187551</v>
      </c>
      <c r="AQ7">
        <f>Regression!$P$10+(Regression!$P$9*Table83[[#This Row],[Cardio]])</f>
        <v>254.19242424242461</v>
      </c>
      <c r="AR7" s="2">
        <f>Table83[[#This Row],[Weight]]-Table7[[#This Row],[Weight v Cardio]]</f>
        <v>14.407575757575415</v>
      </c>
      <c r="AS7" s="2">
        <f>Table7[[#This Row],[WC Res]]^2</f>
        <v>207.5782392102748</v>
      </c>
      <c r="AT7">
        <f>Regression!$Q$10+(Regression!$Q$9*Table83[[#This Row],[Calories]])</f>
        <v>255.78906762197096</v>
      </c>
      <c r="AU7" s="2">
        <f>Table83[[#This Row],[Weight]]-Table7[[#This Row],[Weight v Calories]]</f>
        <v>12.810932378029065</v>
      </c>
      <c r="AV7" s="2">
        <f>Table7[[#This Row],[WCAL Res]]^2</f>
        <v>164.11998839443345</v>
      </c>
      <c r="AW7">
        <f>Regression!$R$10+(Regression!$R$9*Table83[[#This Row],[Carbs]])</f>
        <v>255.75264569918534</v>
      </c>
      <c r="AX7" s="2">
        <f>Table83[[#This Row],[Weight]]-Table7[[#This Row],[Weight v Carbs]]</f>
        <v>12.847354300814686</v>
      </c>
      <c r="AY7" s="2">
        <f>Table7[[#This Row],[Wcarb Res]]^2</f>
        <v>165.05451253066161</v>
      </c>
      <c r="AZ7">
        <f>Regression!$S$10+(Regression!$S$9*Table83[[#This Row],[Fat ]])</f>
        <v>255.53915203331337</v>
      </c>
      <c r="BA7" s="2">
        <f>Table83[[#This Row],[Weight]]-Table7[[#This Row],[Weight v Fat]]</f>
        <v>13.060847966686651</v>
      </c>
      <c r="BB7" s="2">
        <f>Table7[[#This Row],[WF Res]]^2</f>
        <v>170.58574960890283</v>
      </c>
      <c r="BC7">
        <f>Regression!$T$10+(Regression!$T$9*Table83[[#This Row],[Protein]])</f>
        <v>255.67002350964299</v>
      </c>
      <c r="BD7" s="2">
        <f>Table83[[#This Row],[Weight]]-Table7[[#This Row],[Weight v Protein]]</f>
        <v>12.929976490357035</v>
      </c>
      <c r="BE7" s="2">
        <f>Table7[[#This Row],[WP Res]]^2</f>
        <v>167.18429204118561</v>
      </c>
      <c r="BF7">
        <f>Regression!$U$10+(Regression!$U$9*Table83[[#This Row],[Fiber]])</f>
        <v>255.26646800202934</v>
      </c>
      <c r="BG7" s="2">
        <f>Table83[[#This Row],[Weight]]-Table7[[#This Row],[Weight v Fiber]]</f>
        <v>13.333531997970681</v>
      </c>
      <c r="BH7" s="2">
        <f>Table7[[#This Row],[Wfib Res]]^2</f>
        <v>177.78307554090802</v>
      </c>
      <c r="BI7">
        <f>Regression!$V$10+(Regression!$V$9*Table83[[#This Row],[Sugar]])</f>
        <v>256.13899863316311</v>
      </c>
      <c r="BJ7" s="2">
        <f>Table83[[#This Row],[Weight]]-Table7[[#This Row],[Weight v Sugar]]</f>
        <v>12.461001366836911</v>
      </c>
      <c r="BK7" s="2">
        <f>Table7[[#This Row],[Wsugar Res]]^2</f>
        <v>155.27655506431137</v>
      </c>
      <c r="BL7">
        <f>Regression!$W$10+(Regression!$W$9*Table83[[#This Row],[Servings]])</f>
        <v>256.47335650323117</v>
      </c>
      <c r="BM7" s="2">
        <f>Table83[[#This Row],[Weight]]-Table7[[#This Row],[Weight v Servings]]</f>
        <v>12.12664349676885</v>
      </c>
      <c r="BN7" s="2">
        <f>Table7[[#This Row],[Wserv Res]]^2</f>
        <v>147.05548249772625</v>
      </c>
      <c r="BO7">
        <f>Regression!$X$10+(Regression!$X$9*Table83[[#This Row],[Water]])</f>
        <v>255.1490819770581</v>
      </c>
      <c r="BP7" s="2">
        <f>Table83[[#This Row],[Weight]]-Table7[[#This Row],[Weight v Water]]</f>
        <v>13.45091802294192</v>
      </c>
      <c r="BQ7" s="2">
        <f>Table7[[#This Row],[Wwater Res]]^2</f>
        <v>180.92719565990376</v>
      </c>
      <c r="BR7">
        <f>Regression!$Y$10+(Regression!$Y$9*Table83[[#This Row],[Fat Calories]])</f>
        <v>255.56154001895484</v>
      </c>
      <c r="BS7" s="2">
        <f>Table83[[#This Row],[Weight]]-Table7[[#This Row],[Weight v Fat Calories]]</f>
        <v>13.038459981045179</v>
      </c>
      <c r="BT7" s="2">
        <f>Table7[[#This Row],[WFC Res]]^2</f>
        <v>170.00143867731666</v>
      </c>
      <c r="BU7">
        <f>Regression!$B$29+(Regression!$B$28*Table83[[#This Row],[Weight]])</f>
        <v>46.291033748730406</v>
      </c>
      <c r="BV7" s="2">
        <f>Table83[[#This Row],[Waist]]-Table7[[#This Row],[Waist v Weight]]</f>
        <v>0.70896625126959378</v>
      </c>
      <c r="BW7" s="2">
        <f>Table7[[#This Row],[WaistW Res]]^2</f>
        <v>0.50263314543926074</v>
      </c>
      <c r="BX7">
        <f>Regression!$C$29+(Regression!$C$28*Table83[[#This Row],[Neck]])</f>
        <v>45.258648648648581</v>
      </c>
      <c r="BY7" s="2">
        <f>Table83[[#This Row],[Waist]]-Table7[[#This Row],[Waist v Neck]]</f>
        <v>1.7413513513514189</v>
      </c>
      <c r="BZ7" s="2">
        <f>Table7[[#This Row],[WaistN Res]]^2</f>
        <v>3.032304528853413</v>
      </c>
      <c r="CA7">
        <f>Regression!$D$29+(Regression!$D$28*Table83[[#This Row],[Morning Body Temp]])</f>
        <v>44.361863864877819</v>
      </c>
      <c r="CB7" s="2">
        <f>Table83[[#This Row],[Waist]]-Table7[[#This Row],[Waist v Morning Temp]]</f>
        <v>2.6381361351221813</v>
      </c>
      <c r="CC7" s="2">
        <f>Table7[[#This Row],[WaistMT Res]]^2</f>
        <v>6.9597622674373998</v>
      </c>
      <c r="CD7">
        <f>Regression!$E$29+(Regression!$E$28*Table83[[#This Row],[Morning Systolic Pressure]])</f>
        <v>44.449884727394206</v>
      </c>
      <c r="CE7" s="2">
        <f>Table83[[#This Row],[Waist]]-Table7[[#This Row],[Waist v Morning Sys]]</f>
        <v>2.5501152726057938</v>
      </c>
      <c r="CF7" s="2">
        <f>Table7[[#This Row],[WaistMS Res]]^2</f>
        <v>6.5030879035773221</v>
      </c>
      <c r="CG7">
        <f>Regression!$F$29+(Regression!$F$28*Table83[[#This Row],[Morning Diastolic Pressure]])</f>
        <v>44.441545426806556</v>
      </c>
      <c r="CH7" s="2">
        <f>Table83[[#This Row],[Waist]]-Table7[[#This Row],[Waist v Morning Dia]]</f>
        <v>2.558454573193444</v>
      </c>
      <c r="CI7" s="2">
        <f>Table7[[#This Row],[WaistMD Res]]^2</f>
        <v>6.5456898030944481</v>
      </c>
      <c r="CJ7">
        <f>Regression!$G$29+(Regression!$G$28*Table83[[#This Row],[Morning Pulse]])</f>
        <v>44.461292220668717</v>
      </c>
      <c r="CK7" s="2">
        <f>Table83[[#This Row],[Waist]]-Table7[[#This Row],[Waist v Morning Pulse]]</f>
        <v>2.5387077793312827</v>
      </c>
      <c r="CL7" s="2">
        <f>Table7[[#This Row],[WaistMP Res]]^2</f>
        <v>6.4450371888371727</v>
      </c>
      <c r="CM7">
        <f>Regression!$H$29+(Regression!$H$28*Table83[[#This Row],[Night Body Temp]])</f>
        <v>44.392275488024978</v>
      </c>
      <c r="CN7" s="2">
        <f>Table83[[#This Row],[Waist]]-Table7[[#This Row],[Waist v Night Temp]]</f>
        <v>2.6077245119750216</v>
      </c>
      <c r="CO7" s="2">
        <f>Table7[[#This Row],[WaistNT Res]]^2</f>
        <v>6.8002271303553652</v>
      </c>
      <c r="CP7">
        <f>Regression!$I$29+(Regression!$I$28*Table83[[#This Row],[Night Systolic Pressure]])</f>
        <v>44.136616800141717</v>
      </c>
      <c r="CQ7" s="2">
        <f>Table83[[#This Row],[Waist]]-Table7[[#This Row],[Waist v  Night Sys]]</f>
        <v>2.8633831998582835</v>
      </c>
      <c r="CR7" s="2">
        <f>Table7[[#This Row],[WaistNS Res]]^2</f>
        <v>8.1989633492306631</v>
      </c>
      <c r="CS7">
        <f>Regression!$J$29+(Regression!$J$28*Table83[[#This Row],[Night Diastolic Pressure]])</f>
        <v>44.341616394701639</v>
      </c>
      <c r="CT7" s="2">
        <f>Table83[[#This Row],[Waist]]-Table7[[#This Row],[Waist v Night Dia]]</f>
        <v>2.6583836052983614</v>
      </c>
      <c r="CU7" s="2">
        <f>Table7[[#This Row],[WaistND Res]]^2</f>
        <v>7.0670033929191138</v>
      </c>
      <c r="CV7">
        <f>Regression!$K$29+(Regression!$K$28*Table83[[#This Row],[Night Pulse]])</f>
        <v>44.453994879943338</v>
      </c>
      <c r="CW7" s="2">
        <f>Table83[[#This Row],[Waist]]-Table7[[#This Row],[Waist v Night Pulse]]</f>
        <v>2.5460051200566625</v>
      </c>
      <c r="CX7" s="2">
        <f>Table7[[#This Row],[WaistNP Res]]^2</f>
        <v>6.4821420713547404</v>
      </c>
      <c r="CY7">
        <f>Regression!$L$29+(Regression!$L$28*Table83[[#This Row],[Sleep]])</f>
        <v>44.480941336855928</v>
      </c>
      <c r="CZ7" s="2">
        <f>Table83[[#This Row],[Waist]]-Table7[[#This Row],[Waist v  Sleep]]</f>
        <v>2.5190586631440723</v>
      </c>
      <c r="DA7" s="2">
        <f>Table7[[#This Row],[WaistS Res]]^2</f>
        <v>6.3456565483612009</v>
      </c>
      <c r="DB7">
        <f>Regression!$M$29+(Regression!$M$28*Table83[[#This Row],[BMI]])</f>
        <v>46.291033748724573</v>
      </c>
      <c r="DC7" s="2">
        <f>Table83[[#This Row],[Waist]]-Table7[[#This Row],[Waist v BMI]]</f>
        <v>0.70896625127542734</v>
      </c>
      <c r="DD7" s="2">
        <f>Table7[[#This Row],[WaistBMI Res]]^2</f>
        <v>0.50263314544753235</v>
      </c>
      <c r="DE7">
        <f>Regression!$N$29+(Regression!$N$28*Table83[[#This Row],[CBF]])</f>
        <v>46.780194469922108</v>
      </c>
      <c r="DF7" s="2">
        <f>Table83[[#This Row],[Waist]]-Table7[[#This Row],[Waist v  CBF]]</f>
        <v>0.21980553007789183</v>
      </c>
      <c r="DG7" s="2">
        <f>Table7[[#This Row],[WaistCBF Res]]^2</f>
        <v>4.8314471052823008E-2</v>
      </c>
      <c r="DH7">
        <f>Regression!$O$29+(Regression!$O$28*Table83[[#This Row],[Gym]])</f>
        <v>44.550847457627107</v>
      </c>
      <c r="DI7" s="2">
        <f>Table83[[#This Row],[Waist]]-Table7[[#This Row],[Waist v  Gym]]</f>
        <v>2.449152542372893</v>
      </c>
      <c r="DJ7" s="2">
        <f>Table7[[#This Row],[WaistGYM Res]]^2</f>
        <v>5.9983481758116053</v>
      </c>
      <c r="DK7">
        <f>Regression!$P$29+(Regression!$P$28*Table83[[#This Row],[Cardio]])</f>
        <v>44.291666666666664</v>
      </c>
      <c r="DL7" s="2">
        <f>Table83[[#This Row],[Waist]]-Table7[[#This Row],[Waist v Cardio]]</f>
        <v>2.7083333333333357</v>
      </c>
      <c r="DM7" s="2">
        <f>Table7[[#This Row],[WaistC Res]]^2</f>
        <v>7.3350694444444571</v>
      </c>
      <c r="DN7">
        <f>Regression!$Q$29+(Regression!$Q$28*Table83[[#This Row],[Calories]])</f>
        <v>44.604977925576591</v>
      </c>
      <c r="DO7" s="2">
        <f>Table83[[#This Row],[Waist]]-Table7[[#This Row],[Waist v Calories]]</f>
        <v>2.3950220744234088</v>
      </c>
      <c r="DP7" s="2">
        <f>Table7[[#This Row],[WaistCal Res]]^2</f>
        <v>5.736130736975408</v>
      </c>
      <c r="DQ7">
        <f>Regression!$R$29+(Regression!$R$28*Table83[[#This Row],[Carbs]])</f>
        <v>44.586284540671748</v>
      </c>
      <c r="DR7" s="2">
        <f>Table83[[#This Row],[Waist]]-Table7[[#This Row],[Waist v Carbs]]</f>
        <v>2.4137154593282517</v>
      </c>
      <c r="DS7" s="2">
        <f>Table7[[#This Row],[WaistCarb Res]]^2</f>
        <v>5.8260223186001934</v>
      </c>
      <c r="DT7">
        <f>Regression!$S$29+(Regression!$S$28*Table83[[#This Row],[Fat ]])</f>
        <v>44.583180597773847</v>
      </c>
      <c r="DU7" s="2">
        <f>Table83[[#This Row],[Waist]]-Table7[[#This Row],[Waist v Fat]]</f>
        <v>2.4168194022261531</v>
      </c>
      <c r="DV7" s="2">
        <f>Table7[[#This Row],[WaistF Res]]^2</f>
        <v>5.8410160229767802</v>
      </c>
      <c r="DW7">
        <f>Regression!$T$29+(Regression!$T$28*Table83[[#This Row],[Protein]])</f>
        <v>44.555121643438689</v>
      </c>
      <c r="DX7" s="2">
        <f>Table83[[#This Row],[Waist]]-Table7[[#This Row],[Waist v Protein]]</f>
        <v>2.4448783565613113</v>
      </c>
      <c r="DY7" s="2">
        <f>Table7[[#This Row],[WaistP Res]]^2</f>
        <v>5.9774301783819386</v>
      </c>
      <c r="DZ7">
        <f>Regression!$U$29+(Regression!$U$28*Table83[[#This Row],[Fiber]])</f>
        <v>44.511968185612517</v>
      </c>
      <c r="EA7" s="2">
        <f>Table83[[#This Row],[Waist]]-Table7[[#This Row],[Waist v Fiber]]</f>
        <v>2.4880318143874831</v>
      </c>
      <c r="EB7" s="2">
        <f>Table7[[#This Row],[WaistFib Res]]^2</f>
        <v>6.1903023094042711</v>
      </c>
      <c r="EC7">
        <f>Regression!$V$29+(Regression!$V$28*Table83[[#This Row],[Sugar]])</f>
        <v>44.637481808150689</v>
      </c>
      <c r="ED7" s="2">
        <f>Table83[[#This Row],[Waist]]-Table7[[#This Row],[Waist v Sugar]]</f>
        <v>2.3625181918493112</v>
      </c>
      <c r="EE7" s="2">
        <f>Table7[[#This Row],[WaistSugar Res]]^2</f>
        <v>5.5814922068189388</v>
      </c>
      <c r="EF7">
        <f>Regression!$W$29+(Regression!$W$28*Table83[[#This Row],[Servings]])</f>
        <v>44.660795643713627</v>
      </c>
      <c r="EG7" s="2">
        <f>Table83[[#This Row],[Waist]]-Table7[[#This Row],[Waist v Servings]]</f>
        <v>2.3392043562863734</v>
      </c>
      <c r="EH7" s="2">
        <f>Table7[[#This Row],[WaistServ Res]]^2</f>
        <v>5.4718770204691465</v>
      </c>
      <c r="EI7">
        <f>Regression!$X$29+(Regression!$X$28*Table83[[#This Row],[Water]])</f>
        <v>44.497966229663206</v>
      </c>
      <c r="EJ7" s="2">
        <f>Table83[[#This Row],[Waist]]-Table7[[#This Row],[Waist v Water]]</f>
        <v>2.5020337703367943</v>
      </c>
      <c r="EK7" s="2">
        <f>Table7[[#This Row],[WaistWat Res]]^2</f>
        <v>6.2601729879057544</v>
      </c>
      <c r="EL7">
        <f>Regression!$Y$29+(Regression!$Y$28*Table83[[#This Row],[Fat Calories]])</f>
        <v>44.589332031654358</v>
      </c>
      <c r="EM7" s="2">
        <f>Table83[[#This Row],[Waist]]-Table7[[#This Row],[Waist v Fat Calories]]</f>
        <v>2.410667968345642</v>
      </c>
      <c r="EN7" s="2">
        <f>Table7[[#This Row],[WaistFatCal Res]]^2</f>
        <v>5.8113200536077052</v>
      </c>
    </row>
    <row r="8" spans="1:144" x14ac:dyDescent="0.25">
      <c r="A8">
        <f>Regression!$B$10+(Regression!$B$9*Table83[[#This Row],[Waist]])</f>
        <v>266.7961476072112</v>
      </c>
      <c r="B8" s="2">
        <f>Table83[[#This Row],[Weight]]-Table7[[#This Row],[Weight v Waist]]</f>
        <v>2.003852392788815</v>
      </c>
      <c r="C8" s="2">
        <f>Table7[[#This Row],[Weight v Waist Res]]^2</f>
        <v>4.0154244120854594</v>
      </c>
      <c r="D8">
        <f>Regression!$C$10+(Regression!$C$9*Table83[[#This Row],[Neck]])</f>
        <v>260.39308108104251</v>
      </c>
      <c r="E8" s="2">
        <f>Table83[[#This Row],[Weight]]-Table7[[#This Row],[Weight v Neck]]</f>
        <v>8.4069189189575013</v>
      </c>
      <c r="F8" s="2">
        <f>Table7[[#This Row],[WN Res]]^2</f>
        <v>70.676285709925565</v>
      </c>
      <c r="G8">
        <f>Regression!$D$10+(Regression!$D$9*Table83[[#This Row],[Morning Body Temp]])</f>
        <v>254.98916789486196</v>
      </c>
      <c r="H8" s="2">
        <f>Table83[[#This Row],[Weight]]-Table7[[#This Row],[Weight v Morning Temp]]</f>
        <v>13.810832105138047</v>
      </c>
      <c r="I8" s="2">
        <f>Table7[[#This Row],[WMT Res]]^2</f>
        <v>190.73908343631183</v>
      </c>
      <c r="J8">
        <f>Regression!$E$10+(Regression!$E$9*Table83[[#This Row],[Morning Systolic Pressure]])</f>
        <v>255.09948662875533</v>
      </c>
      <c r="K8" s="2">
        <f>Table83[[#This Row],[Weight]]-Table7[[#This Row],[Weight v Morning Sys]]</f>
        <v>13.700513371244682</v>
      </c>
      <c r="L8" s="2">
        <f>Table7[[#This Row],[WMS Res]]^2</f>
        <v>187.70406663565433</v>
      </c>
      <c r="M8">
        <f>Regression!$F$10+(Regression!$F$9*Table83[[#This Row],[Morning Diastolic Pressure]])</f>
        <v>254.39263015393252</v>
      </c>
      <c r="N8" s="2">
        <f>Table83[[#This Row],[Weight]]-Table7[[#This Row],[Weight v Morning Dia]]</f>
        <v>14.407369846067496</v>
      </c>
      <c r="O8" s="2">
        <f>Table7[[#This Row],[WMD Res]]^2</f>
        <v>207.57230588137494</v>
      </c>
      <c r="P8">
        <f>Regression!$G$10+(Regression!$G$9*Table83[[#This Row],[Morning Pulse]])</f>
        <v>255.11547289015564</v>
      </c>
      <c r="Q8" s="2">
        <f>Table83[[#This Row],[Weight]]-Table7[[#This Row],[Weight v Morning Pulse]]</f>
        <v>13.684527109844367</v>
      </c>
      <c r="R8" s="2">
        <f>Table7[[#This Row],[WMP Res]]^2</f>
        <v>187.26628222006545</v>
      </c>
      <c r="S8">
        <f>Regression!$H$10+(Regression!$H$9*Table83[[#This Row],[Night Body Temp]])</f>
        <v>255.15957638897012</v>
      </c>
      <c r="T8" s="2">
        <f>Table83[[#This Row],[Weight]]-Table7[[#This Row],[Weight v Night Temp]]</f>
        <v>13.640423611029888</v>
      </c>
      <c r="U8" s="2">
        <f>Table7[[#This Row],[WNT Res]]^2</f>
        <v>186.06115628834166</v>
      </c>
      <c r="V8">
        <f>Regression!$I$10+(Regression!$I$9*Table83[[#This Row],[Night Systolic Pressure]])</f>
        <v>257.29147807373658</v>
      </c>
      <c r="W8" s="2">
        <f>Table83[[#This Row],[Weight]]-Table7[[#This Row],[Weight v Night Sys]]</f>
        <v>11.508521926263427</v>
      </c>
      <c r="X8" s="2">
        <f>Table7[[#This Row],[WNS Res]]^2</f>
        <v>132.44607692728604</v>
      </c>
      <c r="Y8">
        <f>Regression!$J$10+(Regression!$J$9*Table83[[#This Row],[Night Diastolic Pressure]])</f>
        <v>255.17384811107831</v>
      </c>
      <c r="Z8" s="2">
        <f>Table83[[#This Row],[Weight]]-Table7[[#This Row],[Weight v Night Dia]]</f>
        <v>13.626151888921697</v>
      </c>
      <c r="AA8" s="2">
        <f>Table7[[#This Row],[WND Res]]^2</f>
        <v>185.67201529996433</v>
      </c>
      <c r="AB8">
        <f>Regression!$K$10+(Regression!$K$9*Table83[[#This Row],[Night Pulse]])</f>
        <v>255.60156515852887</v>
      </c>
      <c r="AC8" s="2">
        <f>Table83[[#This Row],[Weight]]-Table7[[#This Row],[Weight v Night Pulse]]</f>
        <v>13.198434841471141</v>
      </c>
      <c r="AD8" s="2">
        <f>Table7[[#This Row],[WNP Res ]]^2</f>
        <v>174.19868226455932</v>
      </c>
      <c r="AE8">
        <f>Regression!$L$10+(Regression!$L$9*Table83[[#This Row],[Sleep]])</f>
        <v>255.45250391075515</v>
      </c>
      <c r="AF8" s="2">
        <f>Table83[[#This Row],[Weight]]-Table7[[#This Row],[Weight v Sleep]]</f>
        <v>13.347496089244856</v>
      </c>
      <c r="AG8" s="2">
        <f>Table7[[#This Row],[WS Res]]^2</f>
        <v>178.15565185240675</v>
      </c>
      <c r="AH8">
        <f>Regression!$M$10+(Regression!$M$9*Table83[[#This Row],[BMI]])</f>
        <v>268.79999999996949</v>
      </c>
      <c r="AI8" s="2">
        <f>Table83[[#This Row],[Weight]]-Table7[[#This Row],[Weight v BMI]]</f>
        <v>3.0524915928253904E-11</v>
      </c>
      <c r="AJ8" s="2">
        <f>Table7[[#This Row],[WBMI Res]]^2</f>
        <v>9.317704924269689E-22</v>
      </c>
      <c r="AK8">
        <f>Regression!$N$10+(Regression!$N$9*Table83[[#This Row],[CBF]])</f>
        <v>265.16619945865489</v>
      </c>
      <c r="AL8" s="2">
        <f>Table83[[#This Row],[Weight]]-Table7[[#This Row],[Weight v CBF]]</f>
        <v>3.6338005413451242</v>
      </c>
      <c r="AM8" s="2">
        <f>Table7[[#This Row],[WCBF Res]]^2</f>
        <v>13.204506374280118</v>
      </c>
      <c r="AN8">
        <f>Regression!$O$10+(Regression!$O$9*Table83[[#This Row],[Gym]])</f>
        <v>255.46779661016953</v>
      </c>
      <c r="AO8" s="2">
        <f>Table83[[#This Row],[Weight]]-Table7[[#This Row],[Weight v Gym]]</f>
        <v>13.332203389830482</v>
      </c>
      <c r="AP8" s="2">
        <f>Table7[[#This Row],[WG Res]]^2</f>
        <v>177.74764722780739</v>
      </c>
      <c r="AQ8">
        <f>Regression!$P$10+(Regression!$P$9*Table83[[#This Row],[Cardio]])</f>
        <v>256.41063829787231</v>
      </c>
      <c r="AR8" s="2">
        <f>Table83[[#This Row],[Weight]]-Table7[[#This Row],[Weight v Cardio]]</f>
        <v>12.389361702127701</v>
      </c>
      <c r="AS8" s="2">
        <f>Table7[[#This Row],[WC Res]]^2</f>
        <v>153.4962833861486</v>
      </c>
      <c r="AT8">
        <f>Regression!$Q$10+(Regression!$Q$9*Table83[[#This Row],[Calories]])</f>
        <v>255.42036446747278</v>
      </c>
      <c r="AU8" s="2">
        <f>Table83[[#This Row],[Weight]]-Table7[[#This Row],[Weight v Calories]]</f>
        <v>13.379635532527232</v>
      </c>
      <c r="AV8" s="2">
        <f>Table7[[#This Row],[WCAL Res]]^2</f>
        <v>179.01464698326527</v>
      </c>
      <c r="AW8">
        <f>Regression!$R$10+(Regression!$R$9*Table83[[#This Row],[Carbs]])</f>
        <v>255.39310116427976</v>
      </c>
      <c r="AX8" s="2">
        <f>Table83[[#This Row],[Weight]]-Table7[[#This Row],[Weight v Carbs]]</f>
        <v>13.406898835720256</v>
      </c>
      <c r="AY8" s="2">
        <f>Table7[[#This Row],[Wcarb Res]]^2</f>
        <v>179.74493639123713</v>
      </c>
      <c r="AZ8">
        <f>Regression!$S$10+(Regression!$S$9*Table83[[#This Row],[Fat ]])</f>
        <v>255.32315218126476</v>
      </c>
      <c r="BA8" s="2">
        <f>Table83[[#This Row],[Weight]]-Table7[[#This Row],[Weight v Fat]]</f>
        <v>13.476847818735251</v>
      </c>
      <c r="BB8" s="2">
        <f>Table7[[#This Row],[WF Res]]^2</f>
        <v>181.62542712934911</v>
      </c>
      <c r="BC8">
        <f>Regression!$T$10+(Regression!$T$9*Table83[[#This Row],[Protein]])</f>
        <v>255.69972561031588</v>
      </c>
      <c r="BD8" s="2">
        <f>Table83[[#This Row],[Weight]]-Table7[[#This Row],[Weight v Protein]]</f>
        <v>13.100274389684131</v>
      </c>
      <c r="BE8" s="2">
        <f>Table7[[#This Row],[WP Res]]^2</f>
        <v>171.61718908501393</v>
      </c>
      <c r="BF8">
        <f>Regression!$U$10+(Regression!$U$9*Table83[[#This Row],[Fiber]])</f>
        <v>255.03427904039026</v>
      </c>
      <c r="BG8" s="2">
        <f>Table83[[#This Row],[Weight]]-Table7[[#This Row],[Weight v Fiber]]</f>
        <v>13.765720959609752</v>
      </c>
      <c r="BH8" s="2">
        <f>Table7[[#This Row],[Wfib Res]]^2</f>
        <v>189.49507353783923</v>
      </c>
      <c r="BI8">
        <f>Regression!$V$10+(Regression!$V$9*Table83[[#This Row],[Sugar]])</f>
        <v>255.3015274873303</v>
      </c>
      <c r="BJ8" s="2">
        <f>Table83[[#This Row],[Weight]]-Table7[[#This Row],[Weight v Sugar]]</f>
        <v>13.498472512669707</v>
      </c>
      <c r="BK8" s="2">
        <f>Table7[[#This Row],[Wsugar Res]]^2</f>
        <v>182.20876017529963</v>
      </c>
      <c r="BL8">
        <f>Regression!$W$10+(Regression!$W$9*Table83[[#This Row],[Servings]])</f>
        <v>256.60332111079748</v>
      </c>
      <c r="BM8" s="2">
        <f>Table83[[#This Row],[Weight]]-Table7[[#This Row],[Weight v Servings]]</f>
        <v>12.196678889202531</v>
      </c>
      <c r="BN8" s="2">
        <f>Table7[[#This Row],[Wserv Res]]^2</f>
        <v>148.75897592631867</v>
      </c>
      <c r="BO8">
        <f>Regression!$X$10+(Regression!$X$9*Table83[[#This Row],[Water]])</f>
        <v>255.10626599365665</v>
      </c>
      <c r="BP8" s="2">
        <f>Table83[[#This Row],[Weight]]-Table7[[#This Row],[Weight v Water]]</f>
        <v>13.693734006343362</v>
      </c>
      <c r="BQ8" s="2">
        <f>Table7[[#This Row],[Wwater Res]]^2</f>
        <v>187.51835103648463</v>
      </c>
      <c r="BR8">
        <f>Regression!$Y$10+(Regression!$Y$9*Table83[[#This Row],[Fat Calories]])</f>
        <v>255.33166183758135</v>
      </c>
      <c r="BS8" s="2">
        <f>Table83[[#This Row],[Weight]]-Table7[[#This Row],[Weight v Fat Calories]]</f>
        <v>13.468338162418661</v>
      </c>
      <c r="BT8" s="2">
        <f>Table7[[#This Row],[WFC Res]]^2</f>
        <v>181.39613285726287</v>
      </c>
      <c r="BU8">
        <f>Regression!$B$29+(Regression!$B$28*Table83[[#This Row],[Weight]])</f>
        <v>46.318286250844402</v>
      </c>
      <c r="BV8" s="2">
        <f>Table83[[#This Row],[Waist]]-Table7[[#This Row],[Waist v Weight]]</f>
        <v>0.18171374915559824</v>
      </c>
      <c r="BW8" s="2">
        <f>Table7[[#This Row],[WaistW Res]]^2</f>
        <v>3.3019886632183679E-2</v>
      </c>
      <c r="BX8">
        <f>Regression!$C$29+(Regression!$C$28*Table83[[#This Row],[Neck]])</f>
        <v>45.258648648648581</v>
      </c>
      <c r="BY8" s="2">
        <f>Table83[[#This Row],[Waist]]-Table7[[#This Row],[Waist v Neck]]</f>
        <v>1.2413513513514189</v>
      </c>
      <c r="BZ8" s="2">
        <f>Table7[[#This Row],[WaistN Res]]^2</f>
        <v>1.540953177501994</v>
      </c>
      <c r="CA8">
        <f>Regression!$D$29+(Regression!$D$28*Table83[[#This Row],[Morning Body Temp]])</f>
        <v>44.419304304405451</v>
      </c>
      <c r="CB8" s="2">
        <f>Table83[[#This Row],[Waist]]-Table7[[#This Row],[Waist v Morning Temp]]</f>
        <v>2.0806956955945495</v>
      </c>
      <c r="CC8" s="2">
        <f>Table7[[#This Row],[WaistMT Res]]^2</f>
        <v>4.3292945776656859</v>
      </c>
      <c r="CD8">
        <f>Regression!$E$29+(Regression!$E$28*Table83[[#This Row],[Morning Systolic Pressure]])</f>
        <v>44.449884727394206</v>
      </c>
      <c r="CE8" s="2">
        <f>Table83[[#This Row],[Waist]]-Table7[[#This Row],[Waist v Morning Sys]]</f>
        <v>2.0501152726057938</v>
      </c>
      <c r="CF8" s="2">
        <f>Table7[[#This Row],[WaistMS Res]]^2</f>
        <v>4.2029726309715283</v>
      </c>
      <c r="CG8">
        <f>Regression!$F$29+(Regression!$F$28*Table83[[#This Row],[Morning Diastolic Pressure]])</f>
        <v>44.413367323462282</v>
      </c>
      <c r="CH8" s="2">
        <f>Table83[[#This Row],[Waist]]-Table7[[#This Row],[Waist v Morning Dia]]</f>
        <v>2.0866326765377181</v>
      </c>
      <c r="CI8" s="2">
        <f>Table7[[#This Row],[WaistMD Res]]^2</f>
        <v>4.3540359267949613</v>
      </c>
      <c r="CJ8">
        <f>Regression!$G$29+(Regression!$G$28*Table83[[#This Row],[Morning Pulse]])</f>
        <v>44.453736697506194</v>
      </c>
      <c r="CK8" s="2">
        <f>Table83[[#This Row],[Waist]]-Table7[[#This Row],[Waist v Morning Pulse]]</f>
        <v>2.0462633024938057</v>
      </c>
      <c r="CL8" s="2">
        <f>Table7[[#This Row],[WaistMP Res]]^2</f>
        <v>4.187193503132856</v>
      </c>
      <c r="CM8">
        <f>Regression!$H$29+(Regression!$H$28*Table83[[#This Row],[Night Body Temp]])</f>
        <v>44.457050878464067</v>
      </c>
      <c r="CN8" s="2">
        <f>Table83[[#This Row],[Waist]]-Table7[[#This Row],[Waist v Night Temp]]</f>
        <v>2.0429491215359334</v>
      </c>
      <c r="CO8" s="2">
        <f>Table7[[#This Row],[WaistNT Res]]^2</f>
        <v>4.1736411131844422</v>
      </c>
      <c r="CP8">
        <f>Regression!$I$29+(Regression!$I$28*Table83[[#This Row],[Night Systolic Pressure]])</f>
        <v>44.761841716143095</v>
      </c>
      <c r="CQ8" s="2">
        <f>Table83[[#This Row],[Waist]]-Table7[[#This Row],[Waist v  Night Sys]]</f>
        <v>1.7381582838569045</v>
      </c>
      <c r="CR8" s="2">
        <f>Table7[[#This Row],[WaistNS Res]]^2</f>
        <v>3.0211942197403796</v>
      </c>
      <c r="CS8">
        <f>Regression!$J$29+(Regression!$J$28*Table83[[#This Row],[Night Diastolic Pressure]])</f>
        <v>44.478159956361175</v>
      </c>
      <c r="CT8" s="2">
        <f>Table83[[#This Row],[Waist]]-Table7[[#This Row],[Waist v Night Dia]]</f>
        <v>2.0218400436388251</v>
      </c>
      <c r="CU8" s="2">
        <f>Table7[[#This Row],[WaistND Res]]^2</f>
        <v>4.0878371620614464</v>
      </c>
      <c r="CV8">
        <f>Regression!$K$29+(Regression!$K$28*Table83[[#This Row],[Night Pulse]])</f>
        <v>44.408286938967898</v>
      </c>
      <c r="CW8" s="2">
        <f>Table83[[#This Row],[Waist]]-Table7[[#This Row],[Waist v Night Pulse]]</f>
        <v>2.0917130610321024</v>
      </c>
      <c r="CX8" s="2">
        <f>Table7[[#This Row],[WaistNP Res]]^2</f>
        <v>4.3752635296922877</v>
      </c>
      <c r="CY8">
        <f>Regression!$L$29+(Regression!$L$28*Table83[[#This Row],[Sleep]])</f>
        <v>44.504990820853756</v>
      </c>
      <c r="CZ8" s="2">
        <f>Table83[[#This Row],[Waist]]-Table7[[#This Row],[Waist v  Sleep]]</f>
        <v>1.9950091791462441</v>
      </c>
      <c r="DA8" s="2">
        <f>Table7[[#This Row],[WaistS Res]]^2</f>
        <v>3.9800616248777705</v>
      </c>
      <c r="DB8">
        <f>Regression!$M$29+(Regression!$M$28*Table83[[#This Row],[BMI]])</f>
        <v>46.318286250838483</v>
      </c>
      <c r="DC8" s="2">
        <f>Table83[[#This Row],[Waist]]-Table7[[#This Row],[Waist v BMI]]</f>
        <v>0.18171374916151706</v>
      </c>
      <c r="DD8" s="2">
        <f>Table7[[#This Row],[WaistBMI Res]]^2</f>
        <v>3.3019886634334743E-2</v>
      </c>
      <c r="DE8">
        <f>Regression!$N$29+(Regression!$N$28*Table83[[#This Row],[CBF]])</f>
        <v>46.263460020227768</v>
      </c>
      <c r="DF8" s="2">
        <f>Table83[[#This Row],[Waist]]-Table7[[#This Row],[Waist v  CBF]]</f>
        <v>0.23653997977223185</v>
      </c>
      <c r="DG8" s="2">
        <f>Table7[[#This Row],[WaistCBF Res]]^2</f>
        <v>5.5951162030647851E-2</v>
      </c>
      <c r="DH8">
        <f>Regression!$O$29+(Regression!$O$28*Table83[[#This Row],[Gym]])</f>
        <v>44.550847457627107</v>
      </c>
      <c r="DI8" s="2">
        <f>Table83[[#This Row],[Waist]]-Table7[[#This Row],[Waist v  Gym]]</f>
        <v>1.949152542372893</v>
      </c>
      <c r="DJ8" s="2">
        <f>Table7[[#This Row],[WaistGYM Res]]^2</f>
        <v>3.7991956334387127</v>
      </c>
      <c r="DK8">
        <f>Regression!$P$29+(Regression!$P$28*Table83[[#This Row],[Cardio]])</f>
        <v>44.680851063829778</v>
      </c>
      <c r="DL8" s="2">
        <f>Table83[[#This Row],[Waist]]-Table7[[#This Row],[Waist v Cardio]]</f>
        <v>1.8191489361702224</v>
      </c>
      <c r="DM8" s="2">
        <f>Table7[[#This Row],[WaistC Res]]^2</f>
        <v>3.3093028519692522</v>
      </c>
      <c r="DN8">
        <f>Regression!$Q$29+(Regression!$Q$28*Table83[[#This Row],[Calories]])</f>
        <v>44.522138504472522</v>
      </c>
      <c r="DO8" s="2">
        <f>Table83[[#This Row],[Waist]]-Table7[[#This Row],[Waist v Calories]]</f>
        <v>1.9778614955274776</v>
      </c>
      <c r="DP8" s="2">
        <f>Table7[[#This Row],[WaistCal Res]]^2</f>
        <v>3.9119360954901903</v>
      </c>
      <c r="DQ8">
        <f>Regression!$R$29+(Regression!$R$28*Table83[[#This Row],[Carbs]])</f>
        <v>44.511429570268739</v>
      </c>
      <c r="DR8" s="2">
        <f>Table83[[#This Row],[Waist]]-Table7[[#This Row],[Waist v Carbs]]</f>
        <v>1.9885704297312614</v>
      </c>
      <c r="DS8" s="2">
        <f>Table7[[#This Row],[WaistCarb Res]]^2</f>
        <v>3.9544123540015739</v>
      </c>
      <c r="DT8">
        <f>Regression!$S$29+(Regression!$S$28*Table83[[#This Row],[Fat ]])</f>
        <v>44.517154014144865</v>
      </c>
      <c r="DU8" s="2">
        <f>Table83[[#This Row],[Waist]]-Table7[[#This Row],[Waist v Fat]]</f>
        <v>1.9828459858551355</v>
      </c>
      <c r="DV8" s="2">
        <f>Table7[[#This Row],[WaistF Res]]^2</f>
        <v>3.9316782036218241</v>
      </c>
      <c r="DW8">
        <f>Regression!$T$29+(Regression!$T$28*Table83[[#This Row],[Protein]])</f>
        <v>44.560558231189475</v>
      </c>
      <c r="DX8" s="2">
        <f>Table83[[#This Row],[Waist]]-Table7[[#This Row],[Waist v Protein]]</f>
        <v>1.939441768810525</v>
      </c>
      <c r="DY8" s="2">
        <f>Table7[[#This Row],[WaistP Res]]^2</f>
        <v>3.7614343746068979</v>
      </c>
      <c r="DZ8">
        <f>Regression!$U$29+(Regression!$U$28*Table83[[#This Row],[Fiber]])</f>
        <v>44.422375763926958</v>
      </c>
      <c r="EA8" s="2">
        <f>Table83[[#This Row],[Waist]]-Table7[[#This Row],[Waist v Fiber]]</f>
        <v>2.0776242360730421</v>
      </c>
      <c r="EB8" s="2">
        <f>Table7[[#This Row],[WaistFib Res]]^2</f>
        <v>4.3165224663180917</v>
      </c>
      <c r="EC8">
        <f>Regression!$V$29+(Regression!$V$28*Table83[[#This Row],[Sugar]])</f>
        <v>44.487039457140064</v>
      </c>
      <c r="ED8" s="2">
        <f>Table83[[#This Row],[Waist]]-Table7[[#This Row],[Waist v Sugar]]</f>
        <v>2.0129605428599362</v>
      </c>
      <c r="EE8" s="2">
        <f>Table7[[#This Row],[WaistSugar Res]]^2</f>
        <v>4.0520101471109689</v>
      </c>
      <c r="EF8">
        <f>Regression!$W$29+(Regression!$W$28*Table83[[#This Row],[Servings]])</f>
        <v>44.680626077618484</v>
      </c>
      <c r="EG8" s="2">
        <f>Table83[[#This Row],[Waist]]-Table7[[#This Row],[Waist v Servings]]</f>
        <v>1.8193739223815157</v>
      </c>
      <c r="EH8" s="2">
        <f>Table7[[#This Row],[WaistServ Res]]^2</f>
        <v>3.3101214694419014</v>
      </c>
      <c r="EI8">
        <f>Regression!$X$29+(Regression!$X$28*Table83[[#This Row],[Water]])</f>
        <v>44.442082352251923</v>
      </c>
      <c r="EJ8" s="2">
        <f>Table83[[#This Row],[Waist]]-Table7[[#This Row],[Waist v Water]]</f>
        <v>2.0579176477480772</v>
      </c>
      <c r="EK8" s="2">
        <f>Table7[[#This Row],[WaistWat Res]]^2</f>
        <v>4.2350250449129794</v>
      </c>
      <c r="EL8">
        <f>Regression!$Y$29+(Regression!$Y$28*Table83[[#This Row],[Fat Calories]])</f>
        <v>44.51941946364385</v>
      </c>
      <c r="EM8" s="2">
        <f>Table83[[#This Row],[Waist]]-Table7[[#This Row],[Waist v Fat Calories]]</f>
        <v>1.9805805363561504</v>
      </c>
      <c r="EN8" s="2">
        <f>Table7[[#This Row],[WaistFatCal Res]]^2</f>
        <v>3.9226992609928164</v>
      </c>
    </row>
    <row r="9" spans="1:144" x14ac:dyDescent="0.25">
      <c r="A9">
        <f>Regression!$B$10+(Regression!$B$9*Table83[[#This Row],[Waist]])</f>
        <v>266.7961476072112</v>
      </c>
      <c r="B9" s="2">
        <f>Table83[[#This Row],[Weight]]-Table7[[#This Row],[Weight v Waist]]</f>
        <v>2.003852392788815</v>
      </c>
      <c r="C9" s="2">
        <f>Table7[[#This Row],[Weight v Waist Res]]^2</f>
        <v>4.0154244120854594</v>
      </c>
      <c r="D9">
        <f>Regression!$C$10+(Regression!$C$9*Table83[[#This Row],[Neck]])</f>
        <v>260.39308108104251</v>
      </c>
      <c r="E9" s="2">
        <f>Table83[[#This Row],[Weight]]-Table7[[#This Row],[Weight v Neck]]</f>
        <v>8.4069189189575013</v>
      </c>
      <c r="F9" s="2">
        <f>Table7[[#This Row],[WN Res]]^2</f>
        <v>70.676285709925565</v>
      </c>
      <c r="G9">
        <f>Regression!$D$10+(Regression!$D$9*Table83[[#This Row],[Morning Body Temp]])</f>
        <v>254.98916789486196</v>
      </c>
      <c r="H9" s="2">
        <f>Table83[[#This Row],[Weight]]-Table7[[#This Row],[Weight v Morning Temp]]</f>
        <v>13.810832105138047</v>
      </c>
      <c r="I9" s="2">
        <f>Table7[[#This Row],[WMT Res]]^2</f>
        <v>190.73908343631183</v>
      </c>
      <c r="J9">
        <f>Regression!$E$10+(Regression!$E$9*Table83[[#This Row],[Morning Systolic Pressure]])</f>
        <v>255.09948662875533</v>
      </c>
      <c r="K9" s="2">
        <f>Table83[[#This Row],[Weight]]-Table7[[#This Row],[Weight v Morning Sys]]</f>
        <v>13.700513371244682</v>
      </c>
      <c r="L9" s="2">
        <f>Table7[[#This Row],[WMS Res]]^2</f>
        <v>187.70406663565433</v>
      </c>
      <c r="M9">
        <f>Regression!$F$10+(Regression!$F$9*Table83[[#This Row],[Morning Diastolic Pressure]])</f>
        <v>254.39263015393252</v>
      </c>
      <c r="N9" s="2">
        <f>Table83[[#This Row],[Weight]]-Table7[[#This Row],[Weight v Morning Dia]]</f>
        <v>14.407369846067496</v>
      </c>
      <c r="O9" s="2">
        <f>Table7[[#This Row],[WMD Res]]^2</f>
        <v>207.57230588137494</v>
      </c>
      <c r="P9">
        <f>Regression!$G$10+(Regression!$G$9*Table83[[#This Row],[Morning Pulse]])</f>
        <v>255.11547289015564</v>
      </c>
      <c r="Q9" s="2">
        <f>Table83[[#This Row],[Weight]]-Table7[[#This Row],[Weight v Morning Pulse]]</f>
        <v>13.684527109844367</v>
      </c>
      <c r="R9" s="2">
        <f>Table7[[#This Row],[WMP Res]]^2</f>
        <v>187.26628222006545</v>
      </c>
      <c r="S9">
        <f>Regression!$H$10+(Regression!$H$9*Table83[[#This Row],[Night Body Temp]])</f>
        <v>255.15957638897012</v>
      </c>
      <c r="T9" s="2">
        <f>Table83[[#This Row],[Weight]]-Table7[[#This Row],[Weight v Night Temp]]</f>
        <v>13.640423611029888</v>
      </c>
      <c r="U9" s="2">
        <f>Table7[[#This Row],[WNT Res]]^2</f>
        <v>186.06115628834166</v>
      </c>
      <c r="V9">
        <f>Regression!$I$10+(Regression!$I$9*Table83[[#This Row],[Night Systolic Pressure]])</f>
        <v>257.29147807373658</v>
      </c>
      <c r="W9" s="2">
        <f>Table83[[#This Row],[Weight]]-Table7[[#This Row],[Weight v Night Sys]]</f>
        <v>11.508521926263427</v>
      </c>
      <c r="X9" s="2">
        <f>Table7[[#This Row],[WNS Res]]^2</f>
        <v>132.44607692728604</v>
      </c>
      <c r="Y9">
        <f>Regression!$J$10+(Regression!$J$9*Table83[[#This Row],[Night Diastolic Pressure]])</f>
        <v>255.17384811107831</v>
      </c>
      <c r="Z9" s="2">
        <f>Table83[[#This Row],[Weight]]-Table7[[#This Row],[Weight v Night Dia]]</f>
        <v>13.626151888921697</v>
      </c>
      <c r="AA9" s="2">
        <f>Table7[[#This Row],[WND Res]]^2</f>
        <v>185.67201529996433</v>
      </c>
      <c r="AB9">
        <f>Regression!$K$10+(Regression!$K$9*Table83[[#This Row],[Night Pulse]])</f>
        <v>255.60156515852887</v>
      </c>
      <c r="AC9" s="2">
        <f>Table83[[#This Row],[Weight]]-Table7[[#This Row],[Weight v Night Pulse]]</f>
        <v>13.198434841471141</v>
      </c>
      <c r="AD9" s="2">
        <f>Table7[[#This Row],[WNP Res ]]^2</f>
        <v>174.19868226455932</v>
      </c>
      <c r="AE9">
        <f>Regression!$L$10+(Regression!$L$9*Table83[[#This Row],[Sleep]])</f>
        <v>253.87513299388604</v>
      </c>
      <c r="AF9" s="2">
        <f>Table83[[#This Row],[Weight]]-Table7[[#This Row],[Weight v Sleep]]</f>
        <v>14.924867006113971</v>
      </c>
      <c r="AG9" s="2">
        <f>Table7[[#This Row],[WS Res]]^2</f>
        <v>222.75165515018941</v>
      </c>
      <c r="AH9">
        <f>Regression!$M$10+(Regression!$M$9*Table83[[#This Row],[BMI]])</f>
        <v>268.79999999996949</v>
      </c>
      <c r="AI9" s="2">
        <f>Table83[[#This Row],[Weight]]-Table7[[#This Row],[Weight v BMI]]</f>
        <v>3.0524915928253904E-11</v>
      </c>
      <c r="AJ9" s="2">
        <f>Table7[[#This Row],[WBMI Res]]^2</f>
        <v>9.317704924269689E-22</v>
      </c>
      <c r="AK9">
        <f>Regression!$N$10+(Regression!$N$9*Table83[[#This Row],[CBF]])</f>
        <v>265.16619945865489</v>
      </c>
      <c r="AL9" s="2">
        <f>Table83[[#This Row],[Weight]]-Table7[[#This Row],[Weight v CBF]]</f>
        <v>3.6338005413451242</v>
      </c>
      <c r="AM9" s="2">
        <f>Table7[[#This Row],[WCBF Res]]^2</f>
        <v>13.204506374280118</v>
      </c>
      <c r="AN9">
        <f>Regression!$O$10+(Regression!$O$9*Table83[[#This Row],[Gym]])</f>
        <v>254.72962962962998</v>
      </c>
      <c r="AO9" s="2">
        <f>Table83[[#This Row],[Weight]]-Table7[[#This Row],[Weight v Gym]]</f>
        <v>14.070370370370028</v>
      </c>
      <c r="AP9" s="2">
        <f>Table7[[#This Row],[WG Res]]^2</f>
        <v>197.97532235938681</v>
      </c>
      <c r="AQ9">
        <f>Regression!$P$10+(Regression!$P$9*Table83[[#This Row],[Cardio]])</f>
        <v>254.19242424242461</v>
      </c>
      <c r="AR9" s="2">
        <f>Table83[[#This Row],[Weight]]-Table7[[#This Row],[Weight v Cardio]]</f>
        <v>14.607575757575404</v>
      </c>
      <c r="AS9" s="2">
        <f>Table7[[#This Row],[WC Res]]^2</f>
        <v>213.38126951330463</v>
      </c>
      <c r="AT9">
        <f>Regression!$Q$10+(Regression!$Q$9*Table83[[#This Row],[Calories]])</f>
        <v>254.63862604212801</v>
      </c>
      <c r="AU9" s="2">
        <f>Table83[[#This Row],[Weight]]-Table7[[#This Row],[Weight v Calories]]</f>
        <v>14.161373957872001</v>
      </c>
      <c r="AV9" s="2">
        <f>Table7[[#This Row],[WCAL Res]]^2</f>
        <v>200.54451237469533</v>
      </c>
      <c r="AW9">
        <f>Regression!$R$10+(Regression!$R$9*Table83[[#This Row],[Carbs]])</f>
        <v>255.26873258999925</v>
      </c>
      <c r="AX9" s="2">
        <f>Table83[[#This Row],[Weight]]-Table7[[#This Row],[Weight v Carbs]]</f>
        <v>13.531267410000765</v>
      </c>
      <c r="AY9" s="2">
        <f>Table7[[#This Row],[Wcarb Res]]^2</f>
        <v>183.09519772094882</v>
      </c>
      <c r="AZ9">
        <f>Regression!$S$10+(Regression!$S$9*Table83[[#This Row],[Fat ]])</f>
        <v>254.37237820813351</v>
      </c>
      <c r="BA9" s="2">
        <f>Table83[[#This Row],[Weight]]-Table7[[#This Row],[Weight v Fat]]</f>
        <v>14.4276217918665</v>
      </c>
      <c r="BB9" s="2">
        <f>Table7[[#This Row],[WF Res]]^2</f>
        <v>208.1562705691411</v>
      </c>
      <c r="BC9">
        <f>Regression!$T$10+(Regression!$T$9*Table83[[#This Row],[Protein]])</f>
        <v>254.03780571854776</v>
      </c>
      <c r="BD9" s="2">
        <f>Table83[[#This Row],[Weight]]-Table7[[#This Row],[Weight v Protein]]</f>
        <v>14.762194281452253</v>
      </c>
      <c r="BE9" s="2">
        <f>Table7[[#This Row],[WP Res]]^2</f>
        <v>217.9223800033416</v>
      </c>
      <c r="BF9">
        <f>Regression!$U$10+(Regression!$U$9*Table83[[#This Row],[Fiber]])</f>
        <v>254.98397997467535</v>
      </c>
      <c r="BG9" s="2">
        <f>Table83[[#This Row],[Weight]]-Table7[[#This Row],[Weight v Fiber]]</f>
        <v>13.816020025324661</v>
      </c>
      <c r="BH9" s="2">
        <f>Table7[[#This Row],[Wfib Res]]^2</f>
        <v>190.88240934017205</v>
      </c>
      <c r="BI9">
        <f>Regression!$V$10+(Regression!$V$9*Table83[[#This Row],[Sugar]])</f>
        <v>256.18121490558138</v>
      </c>
      <c r="BJ9" s="2">
        <f>Table83[[#This Row],[Weight]]-Table7[[#This Row],[Weight v Sugar]]</f>
        <v>12.618785094418627</v>
      </c>
      <c r="BK9" s="2">
        <f>Table7[[#This Row],[Wsugar Res]]^2</f>
        <v>159.23373725912171</v>
      </c>
      <c r="BL9">
        <f>Regression!$W$10+(Regression!$W$9*Table83[[#This Row],[Servings]])</f>
        <v>256.81355797597826</v>
      </c>
      <c r="BM9" s="2">
        <f>Table83[[#This Row],[Weight]]-Table7[[#This Row],[Weight v Servings]]</f>
        <v>11.986442024021756</v>
      </c>
      <c r="BN9" s="2">
        <f>Table7[[#This Row],[Wserv Res]]^2</f>
        <v>143.67479239523476</v>
      </c>
      <c r="BO9">
        <f>Regression!$X$10+(Regression!$X$9*Table83[[#This Row],[Water]])</f>
        <v>255.0206340268538</v>
      </c>
      <c r="BP9" s="2">
        <f>Table83[[#This Row],[Weight]]-Table7[[#This Row],[Weight v Water]]</f>
        <v>13.779365973146213</v>
      </c>
      <c r="BQ9" s="2">
        <f>Table7[[#This Row],[Wwater Res]]^2</f>
        <v>189.87092662189968</v>
      </c>
      <c r="BR9">
        <f>Regression!$Y$10+(Regression!$Y$9*Table83[[#This Row],[Fat Calories]])</f>
        <v>254.31979914523336</v>
      </c>
      <c r="BS9" s="2">
        <f>Table83[[#This Row],[Weight]]-Table7[[#This Row],[Weight v Fat Calories]]</f>
        <v>14.48020085476665</v>
      </c>
      <c r="BT9" s="2">
        <f>Table7[[#This Row],[WFC Res]]^2</f>
        <v>209.67621679438483</v>
      </c>
      <c r="BU9">
        <f>Regression!$B$29+(Regression!$B$28*Table83[[#This Row],[Weight]])</f>
        <v>46.318286250844402</v>
      </c>
      <c r="BV9" s="2">
        <f>Table83[[#This Row],[Waist]]-Table7[[#This Row],[Waist v Weight]]</f>
        <v>0.18171374915559824</v>
      </c>
      <c r="BW9" s="2">
        <f>Table7[[#This Row],[WaistW Res]]^2</f>
        <v>3.3019886632183679E-2</v>
      </c>
      <c r="BX9">
        <f>Regression!$C$29+(Regression!$C$28*Table83[[#This Row],[Neck]])</f>
        <v>45.258648648648581</v>
      </c>
      <c r="BY9" s="2">
        <f>Table83[[#This Row],[Waist]]-Table7[[#This Row],[Waist v Neck]]</f>
        <v>1.2413513513514189</v>
      </c>
      <c r="BZ9" s="2">
        <f>Table7[[#This Row],[WaistN Res]]^2</f>
        <v>1.540953177501994</v>
      </c>
      <c r="CA9">
        <f>Regression!$D$29+(Regression!$D$28*Table83[[#This Row],[Morning Body Temp]])</f>
        <v>44.419304304405451</v>
      </c>
      <c r="CB9" s="2">
        <f>Table83[[#This Row],[Waist]]-Table7[[#This Row],[Waist v Morning Temp]]</f>
        <v>2.0806956955945495</v>
      </c>
      <c r="CC9" s="2">
        <f>Table7[[#This Row],[WaistMT Res]]^2</f>
        <v>4.3292945776656859</v>
      </c>
      <c r="CD9">
        <f>Regression!$E$29+(Regression!$E$28*Table83[[#This Row],[Morning Systolic Pressure]])</f>
        <v>44.449884727394206</v>
      </c>
      <c r="CE9" s="2">
        <f>Table83[[#This Row],[Waist]]-Table7[[#This Row],[Waist v Morning Sys]]</f>
        <v>2.0501152726057938</v>
      </c>
      <c r="CF9" s="2">
        <f>Table7[[#This Row],[WaistMS Res]]^2</f>
        <v>4.2029726309715283</v>
      </c>
      <c r="CG9">
        <f>Regression!$F$29+(Regression!$F$28*Table83[[#This Row],[Morning Diastolic Pressure]])</f>
        <v>44.413367323462282</v>
      </c>
      <c r="CH9" s="2">
        <f>Table83[[#This Row],[Waist]]-Table7[[#This Row],[Waist v Morning Dia]]</f>
        <v>2.0866326765377181</v>
      </c>
      <c r="CI9" s="2">
        <f>Table7[[#This Row],[WaistMD Res]]^2</f>
        <v>4.3540359267949613</v>
      </c>
      <c r="CJ9">
        <f>Regression!$G$29+(Regression!$G$28*Table83[[#This Row],[Morning Pulse]])</f>
        <v>44.453736697506194</v>
      </c>
      <c r="CK9" s="2">
        <f>Table83[[#This Row],[Waist]]-Table7[[#This Row],[Waist v Morning Pulse]]</f>
        <v>2.0462633024938057</v>
      </c>
      <c r="CL9" s="2">
        <f>Table7[[#This Row],[WaistMP Res]]^2</f>
        <v>4.187193503132856</v>
      </c>
      <c r="CM9">
        <f>Regression!$H$29+(Regression!$H$28*Table83[[#This Row],[Night Body Temp]])</f>
        <v>44.457050878464067</v>
      </c>
      <c r="CN9" s="2">
        <f>Table83[[#This Row],[Waist]]-Table7[[#This Row],[Waist v Night Temp]]</f>
        <v>2.0429491215359334</v>
      </c>
      <c r="CO9" s="2">
        <f>Table7[[#This Row],[WaistNT Res]]^2</f>
        <v>4.1736411131844422</v>
      </c>
      <c r="CP9">
        <f>Regression!$I$29+(Regression!$I$28*Table83[[#This Row],[Night Systolic Pressure]])</f>
        <v>44.761841716143095</v>
      </c>
      <c r="CQ9" s="2">
        <f>Table83[[#This Row],[Waist]]-Table7[[#This Row],[Waist v  Night Sys]]</f>
        <v>1.7381582838569045</v>
      </c>
      <c r="CR9" s="2">
        <f>Table7[[#This Row],[WaistNS Res]]^2</f>
        <v>3.0211942197403796</v>
      </c>
      <c r="CS9">
        <f>Regression!$J$29+(Regression!$J$28*Table83[[#This Row],[Night Diastolic Pressure]])</f>
        <v>44.478159956361175</v>
      </c>
      <c r="CT9" s="2">
        <f>Table83[[#This Row],[Waist]]-Table7[[#This Row],[Waist v Night Dia]]</f>
        <v>2.0218400436388251</v>
      </c>
      <c r="CU9" s="2">
        <f>Table7[[#This Row],[WaistND Res]]^2</f>
        <v>4.0878371620614464</v>
      </c>
      <c r="CV9">
        <f>Regression!$K$29+(Regression!$K$28*Table83[[#This Row],[Night Pulse]])</f>
        <v>44.408286938967898</v>
      </c>
      <c r="CW9" s="2">
        <f>Table83[[#This Row],[Waist]]-Table7[[#This Row],[Waist v Night Pulse]]</f>
        <v>2.0917130610321024</v>
      </c>
      <c r="CX9" s="2">
        <f>Table7[[#This Row],[WaistNP Res]]^2</f>
        <v>4.3752635296922877</v>
      </c>
      <c r="CY9">
        <f>Regression!$L$29+(Regression!$L$28*Table83[[#This Row],[Sleep]])</f>
        <v>44.264495980875481</v>
      </c>
      <c r="CZ9" s="2">
        <f>Table83[[#This Row],[Waist]]-Table7[[#This Row],[Waist v  Sleep]]</f>
        <v>2.2355040191245195</v>
      </c>
      <c r="DA9" s="2">
        <f>Table7[[#This Row],[WaistS Res]]^2</f>
        <v>4.9974782195218799</v>
      </c>
      <c r="DB9">
        <f>Regression!$M$29+(Regression!$M$28*Table83[[#This Row],[BMI]])</f>
        <v>46.318286250838483</v>
      </c>
      <c r="DC9" s="2">
        <f>Table83[[#This Row],[Waist]]-Table7[[#This Row],[Waist v BMI]]</f>
        <v>0.18171374916151706</v>
      </c>
      <c r="DD9" s="2">
        <f>Table7[[#This Row],[WaistBMI Res]]^2</f>
        <v>3.3019886634334743E-2</v>
      </c>
      <c r="DE9">
        <f>Regression!$N$29+(Regression!$N$28*Table83[[#This Row],[CBF]])</f>
        <v>46.263460020227768</v>
      </c>
      <c r="DF9" s="2">
        <f>Table83[[#This Row],[Waist]]-Table7[[#This Row],[Waist v  CBF]]</f>
        <v>0.23653997977223185</v>
      </c>
      <c r="DG9" s="2">
        <f>Table7[[#This Row],[WaistCBF Res]]^2</f>
        <v>5.5951162030647851E-2</v>
      </c>
      <c r="DH9">
        <f>Regression!$O$29+(Regression!$O$28*Table83[[#This Row],[Gym]])</f>
        <v>44.347222222222221</v>
      </c>
      <c r="DI9" s="2">
        <f>Table83[[#This Row],[Waist]]-Table7[[#This Row],[Waist v  Gym]]</f>
        <v>2.1527777777777786</v>
      </c>
      <c r="DJ9" s="2">
        <f>Table7[[#This Row],[WaistGYM Res]]^2</f>
        <v>4.6344521604938302</v>
      </c>
      <c r="DK9">
        <f>Regression!$P$29+(Regression!$P$28*Table83[[#This Row],[Cardio]])</f>
        <v>44.291666666666664</v>
      </c>
      <c r="DL9" s="2">
        <f>Table83[[#This Row],[Waist]]-Table7[[#This Row],[Waist v Cardio]]</f>
        <v>2.2083333333333357</v>
      </c>
      <c r="DM9" s="2">
        <f>Table7[[#This Row],[WaistC Res]]^2</f>
        <v>4.8767361111111214</v>
      </c>
      <c r="DN9">
        <f>Regression!$Q$29+(Regression!$Q$28*Table83[[#This Row],[Calories]])</f>
        <v>44.346499218992292</v>
      </c>
      <c r="DO9" s="2">
        <f>Table83[[#This Row],[Waist]]-Table7[[#This Row],[Waist v Calories]]</f>
        <v>2.1535007810077076</v>
      </c>
      <c r="DP9" s="2">
        <f>Table7[[#This Row],[WaistCal Res]]^2</f>
        <v>4.6375656138008061</v>
      </c>
      <c r="DQ9">
        <f>Regression!$R$29+(Regression!$R$28*Table83[[#This Row],[Carbs]])</f>
        <v>44.485536794706803</v>
      </c>
      <c r="DR9" s="2">
        <f>Table83[[#This Row],[Waist]]-Table7[[#This Row],[Waist v Carbs]]</f>
        <v>2.0144632052931968</v>
      </c>
      <c r="DS9" s="2">
        <f>Table7[[#This Row],[WaistCarb Res]]^2</f>
        <v>4.0580620054801404</v>
      </c>
      <c r="DT9">
        <f>Regression!$S$29+(Regression!$S$28*Table83[[#This Row],[Fat ]])</f>
        <v>44.226522531512721</v>
      </c>
      <c r="DU9" s="2">
        <f>Table83[[#This Row],[Waist]]-Table7[[#This Row],[Waist v Fat]]</f>
        <v>2.2734774684872789</v>
      </c>
      <c r="DV9" s="2">
        <f>Table7[[#This Row],[WaistF Res]]^2</f>
        <v>5.1686997997193265</v>
      </c>
      <c r="DW9">
        <f>Regression!$T$29+(Regression!$T$28*Table83[[#This Row],[Protein]])</f>
        <v>44.256365156568933</v>
      </c>
      <c r="DX9" s="2">
        <f>Table83[[#This Row],[Waist]]-Table7[[#This Row],[Waist v Protein]]</f>
        <v>2.2436348434310673</v>
      </c>
      <c r="DY9" s="2">
        <f>Table7[[#This Row],[WaistP Res]]^2</f>
        <v>5.0338973106579497</v>
      </c>
      <c r="DZ9">
        <f>Regression!$U$29+(Regression!$U$28*Table83[[#This Row],[Fiber]])</f>
        <v>44.402967368824513</v>
      </c>
      <c r="EA9" s="2">
        <f>Table83[[#This Row],[Waist]]-Table7[[#This Row],[Waist v Fiber]]</f>
        <v>2.0970326311754874</v>
      </c>
      <c r="EB9" s="2">
        <f>Table7[[#This Row],[WaistFib Res]]^2</f>
        <v>4.397545856214788</v>
      </c>
      <c r="EC9">
        <f>Regression!$V$29+(Regression!$V$28*Table83[[#This Row],[Sugar]])</f>
        <v>44.645065490651412</v>
      </c>
      <c r="ED9" s="2">
        <f>Table83[[#This Row],[Waist]]-Table7[[#This Row],[Waist v Sugar]]</f>
        <v>1.8549345093485883</v>
      </c>
      <c r="EE9" s="2">
        <f>Table7[[#This Row],[WaistSugar Res]]^2</f>
        <v>3.4407820339722881</v>
      </c>
      <c r="EF9">
        <f>Regression!$W$29+(Regression!$W$28*Table83[[#This Row],[Servings]])</f>
        <v>44.712704720699875</v>
      </c>
      <c r="EG9" s="2">
        <f>Table83[[#This Row],[Waist]]-Table7[[#This Row],[Waist v Servings]]</f>
        <v>1.7872952793001247</v>
      </c>
      <c r="EH9" s="2">
        <f>Table7[[#This Row],[WaistServ Res]]^2</f>
        <v>3.1944244154085104</v>
      </c>
      <c r="EI9">
        <f>Regression!$X$29+(Regression!$X$28*Table83[[#This Row],[Water]])</f>
        <v>44.33031459742935</v>
      </c>
      <c r="EJ9" s="2">
        <f>Table83[[#This Row],[Waist]]-Table7[[#This Row],[Waist v Water]]</f>
        <v>2.16968540257065</v>
      </c>
      <c r="EK9" s="2">
        <f>Table7[[#This Row],[WaistWat Res]]^2</f>
        <v>4.7075347461281636</v>
      </c>
      <c r="EL9">
        <f>Regression!$Y$29+(Regression!$Y$28*Table83[[#This Row],[Fat Calories]])</f>
        <v>44.211682909990088</v>
      </c>
      <c r="EM9" s="2">
        <f>Table83[[#This Row],[Waist]]-Table7[[#This Row],[Waist v Fat Calories]]</f>
        <v>2.2883170900099117</v>
      </c>
      <c r="EN9" s="2">
        <f>Table7[[#This Row],[WaistFatCal Res]]^2</f>
        <v>5.2363951044314305</v>
      </c>
    </row>
    <row r="10" spans="1:144" x14ac:dyDescent="0.25">
      <c r="A10">
        <f>Regression!$B$10+(Regression!$B$9*Table83[[#This Row],[Waist]])</f>
        <v>269.65012529286491</v>
      </c>
      <c r="B10" s="2">
        <f>Table83[[#This Row],[Weight]]-Table7[[#This Row],[Weight v Waist]]</f>
        <v>-0.25012529286493645</v>
      </c>
      <c r="C10" s="2">
        <f>Table7[[#This Row],[Weight v Waist Res]]^2</f>
        <v>6.2562662130770233E-2</v>
      </c>
      <c r="D10">
        <f>Regression!$C$10+(Regression!$C$9*Table83[[#This Row],[Neck]])</f>
        <v>260.39308108104251</v>
      </c>
      <c r="E10" s="2">
        <f>Table83[[#This Row],[Weight]]-Table7[[#This Row],[Weight v Neck]]</f>
        <v>9.0069189189574672</v>
      </c>
      <c r="F10" s="2">
        <f>Table7[[#This Row],[WN Res]]^2</f>
        <v>81.124588412673944</v>
      </c>
      <c r="G10">
        <f>Regression!$D$10+(Regression!$D$9*Table83[[#This Row],[Morning Body Temp]])</f>
        <v>255.90434909975272</v>
      </c>
      <c r="H10" s="2">
        <f>Table83[[#This Row],[Weight]]-Table7[[#This Row],[Weight v Morning Temp]]</f>
        <v>13.495650900247256</v>
      </c>
      <c r="I10" s="2">
        <f>Table7[[#This Row],[WMT Res]]^2</f>
        <v>182.13259322134456</v>
      </c>
      <c r="J10">
        <f>Regression!$E$10+(Regression!$E$9*Table83[[#This Row],[Morning Systolic Pressure]])</f>
        <v>255.64041307511593</v>
      </c>
      <c r="K10" s="2">
        <f>Table83[[#This Row],[Weight]]-Table7[[#This Row],[Weight v Morning Sys]]</f>
        <v>13.759586924884047</v>
      </c>
      <c r="L10" s="2">
        <f>Table7[[#This Row],[WMS Res]]^2</f>
        <v>189.32623234344004</v>
      </c>
      <c r="M10">
        <f>Regression!$F$10+(Regression!$F$9*Table83[[#This Row],[Morning Diastolic Pressure]])</f>
        <v>255.10203989724667</v>
      </c>
      <c r="N10" s="2">
        <f>Table83[[#This Row],[Weight]]-Table7[[#This Row],[Weight v Morning Dia]]</f>
        <v>14.297960102753308</v>
      </c>
      <c r="O10" s="2">
        <f>Table7[[#This Row],[WMD Res]]^2</f>
        <v>204.43166309992537</v>
      </c>
      <c r="P10">
        <f>Regression!$G$10+(Regression!$G$9*Table83[[#This Row],[Morning Pulse]])</f>
        <v>255.10633391136972</v>
      </c>
      <c r="Q10" s="2">
        <f>Table83[[#This Row],[Weight]]-Table7[[#This Row],[Weight v Morning Pulse]]</f>
        <v>14.29366608863026</v>
      </c>
      <c r="R10" s="2">
        <f>Table7[[#This Row],[WMP Res]]^2</f>
        <v>204.30889025325868</v>
      </c>
      <c r="S10">
        <f>Regression!$H$10+(Regression!$H$9*Table83[[#This Row],[Night Body Temp]])</f>
        <v>254.33800382511666</v>
      </c>
      <c r="T10" s="2">
        <f>Table83[[#This Row],[Weight]]-Table7[[#This Row],[Weight v Night Temp]]</f>
        <v>15.061996174883319</v>
      </c>
      <c r="U10" s="2">
        <f>Table7[[#This Row],[WNT Res]]^2</f>
        <v>226.86372877219975</v>
      </c>
      <c r="V10">
        <f>Regression!$I$10+(Regression!$I$9*Table83[[#This Row],[Night Systolic Pressure]])</f>
        <v>256.16238489942344</v>
      </c>
      <c r="W10" s="2">
        <f>Table83[[#This Row],[Weight]]-Table7[[#This Row],[Weight v Night Sys]]</f>
        <v>13.237615100576534</v>
      </c>
      <c r="X10" s="2">
        <f>Table7[[#This Row],[WNS Res]]^2</f>
        <v>175.23445355101188</v>
      </c>
      <c r="Y10">
        <f>Regression!$J$10+(Regression!$J$9*Table83[[#This Row],[Night Diastolic Pressure]])</f>
        <v>255.17384811107831</v>
      </c>
      <c r="Z10" s="2">
        <f>Table83[[#This Row],[Weight]]-Table7[[#This Row],[Weight v Night Dia]]</f>
        <v>14.226151888921663</v>
      </c>
      <c r="AA10" s="2">
        <f>Table7[[#This Row],[WND Res]]^2</f>
        <v>202.3833975666694</v>
      </c>
      <c r="AB10">
        <f>Regression!$K$10+(Regression!$K$9*Table83[[#This Row],[Night Pulse]])</f>
        <v>254.89515854008414</v>
      </c>
      <c r="AC10" s="2">
        <f>Table83[[#This Row],[Weight]]-Table7[[#This Row],[Weight v Night Pulse]]</f>
        <v>14.504841459915838</v>
      </c>
      <c r="AD10" s="2">
        <f>Table7[[#This Row],[WNP Res ]]^2</f>
        <v>210.39042577729342</v>
      </c>
      <c r="AE10">
        <f>Regression!$L$10+(Regression!$L$9*Table83[[#This Row],[Sleep]])</f>
        <v>256.4777950067201</v>
      </c>
      <c r="AF10" s="2">
        <f>Table83[[#This Row],[Weight]]-Table7[[#This Row],[Weight v Sleep]]</f>
        <v>12.922204993279877</v>
      </c>
      <c r="AG10" s="2">
        <f>Table7[[#This Row],[WS Res]]^2</f>
        <v>166.9833818883474</v>
      </c>
      <c r="AH10">
        <f>Regression!$M$10+(Regression!$M$9*Table83[[#This Row],[BMI]])</f>
        <v>269.39999999996814</v>
      </c>
      <c r="AI10" s="2">
        <f>Table83[[#This Row],[Weight]]-Table7[[#This Row],[Weight v BMI]]</f>
        <v>3.1832314562052488E-11</v>
      </c>
      <c r="AJ10" s="2">
        <f>Table7[[#This Row],[WBMI Res]]^2</f>
        <v>1.0132962503774589E-21</v>
      </c>
      <c r="AK10">
        <f>Regression!$N$10+(Regression!$N$9*Table83[[#This Row],[CBF]])</f>
        <v>268.03581667418757</v>
      </c>
      <c r="AL10" s="2">
        <f>Table83[[#This Row],[Weight]]-Table7[[#This Row],[Weight v CBF]]</f>
        <v>1.3641833258124052</v>
      </c>
      <c r="AM10" s="2">
        <f>Table7[[#This Row],[WCBF Res]]^2</f>
        <v>1.860996146424595</v>
      </c>
      <c r="AN10">
        <f>Regression!$O$10+(Regression!$O$9*Table83[[#This Row],[Gym]])</f>
        <v>255.46779661016953</v>
      </c>
      <c r="AO10" s="2">
        <f>Table83[[#This Row],[Weight]]-Table7[[#This Row],[Weight v Gym]]</f>
        <v>13.932203389830448</v>
      </c>
      <c r="AP10" s="2">
        <f>Table7[[#This Row],[WG Res]]^2</f>
        <v>194.10629129560303</v>
      </c>
      <c r="AQ10">
        <f>Regression!$P$10+(Regression!$P$9*Table83[[#This Row],[Cardio]])</f>
        <v>254.19242424242461</v>
      </c>
      <c r="AR10" s="2">
        <f>Table83[[#This Row],[Weight]]-Table7[[#This Row],[Weight v Cardio]]</f>
        <v>15.20757575757537</v>
      </c>
      <c r="AS10" s="2">
        <f>Table7[[#This Row],[WC Res]]^2</f>
        <v>231.27036042239408</v>
      </c>
      <c r="AT10">
        <f>Regression!$Q$10+(Regression!$Q$9*Table83[[#This Row],[Calories]])</f>
        <v>255.26971156563482</v>
      </c>
      <c r="AU10" s="2">
        <f>Table83[[#This Row],[Weight]]-Table7[[#This Row],[Weight v Calories]]</f>
        <v>14.130288434365156</v>
      </c>
      <c r="AV10" s="2">
        <f>Table7[[#This Row],[WCAL Res]]^2</f>
        <v>199.66505123835367</v>
      </c>
      <c r="AW10">
        <f>Regression!$R$10+(Regression!$R$9*Table83[[#This Row],[Carbs]])</f>
        <v>255.62685073545447</v>
      </c>
      <c r="AX10" s="2">
        <f>Table83[[#This Row],[Weight]]-Table7[[#This Row],[Weight v Carbs]]</f>
        <v>13.773149264545509</v>
      </c>
      <c r="AY10" s="2">
        <f>Table7[[#This Row],[Wcarb Res]]^2</f>
        <v>189.69964066345051</v>
      </c>
      <c r="AZ10">
        <f>Regression!$S$10+(Regression!$S$9*Table83[[#This Row],[Fat ]])</f>
        <v>255.02481515689934</v>
      </c>
      <c r="BA10" s="2">
        <f>Table83[[#This Row],[Weight]]-Table7[[#This Row],[Weight v Fat]]</f>
        <v>14.375184843100641</v>
      </c>
      <c r="BB10" s="2">
        <f>Table7[[#This Row],[WF Res]]^2</f>
        <v>206.6459392733104</v>
      </c>
      <c r="BC10">
        <f>Regression!$T$10+(Regression!$T$9*Table83[[#This Row],[Protein]])</f>
        <v>255.13940421703367</v>
      </c>
      <c r="BD10" s="2">
        <f>Table83[[#This Row],[Weight]]-Table7[[#This Row],[Weight v Protein]]</f>
        <v>14.260595782966305</v>
      </c>
      <c r="BE10" s="2">
        <f>Table7[[#This Row],[WP Res]]^2</f>
        <v>203.36459208515637</v>
      </c>
      <c r="BF10">
        <f>Regression!$U$10+(Regression!$U$9*Table83[[#This Row],[Fiber]])</f>
        <v>255.09025041922246</v>
      </c>
      <c r="BG10" s="2">
        <f>Table83[[#This Row],[Weight]]-Table7[[#This Row],[Weight v Fiber]]</f>
        <v>14.30974958077752</v>
      </c>
      <c r="BH10" s="2">
        <f>Table7[[#This Row],[Wfib Res]]^2</f>
        <v>204.76893306456242</v>
      </c>
      <c r="BI10">
        <f>Regression!$V$10+(Regression!$V$9*Table83[[#This Row],[Sugar]])</f>
        <v>256.61913533576194</v>
      </c>
      <c r="BJ10" s="2">
        <f>Table83[[#This Row],[Weight]]-Table7[[#This Row],[Weight v Sugar]]</f>
        <v>12.780864664238038</v>
      </c>
      <c r="BK10" s="2">
        <f>Table7[[#This Row],[Wsugar Res]]^2</f>
        <v>163.35050156556849</v>
      </c>
      <c r="BL10">
        <f>Regression!$W$10+(Regression!$W$9*Table83[[#This Row],[Servings]])</f>
        <v>255.93438563067681</v>
      </c>
      <c r="BM10" s="2">
        <f>Table83[[#This Row],[Weight]]-Table7[[#This Row],[Weight v Servings]]</f>
        <v>13.465614369323163</v>
      </c>
      <c r="BN10" s="2">
        <f>Table7[[#This Row],[Wserv Res]]^2</f>
        <v>181.32277034332245</v>
      </c>
      <c r="BO10">
        <f>Regression!$X$10+(Regression!$X$9*Table83[[#This Row],[Water]])</f>
        <v>255.19189796045953</v>
      </c>
      <c r="BP10" s="2">
        <f>Table83[[#This Row],[Weight]]-Table7[[#This Row],[Weight v Water]]</f>
        <v>14.208102039540449</v>
      </c>
      <c r="BQ10" s="2">
        <f>Table7[[#This Row],[Wwater Res]]^2</f>
        <v>201.87016356599347</v>
      </c>
      <c r="BR10">
        <f>Regression!$Y$10+(Regression!$Y$9*Table83[[#This Row],[Fat Calories]])</f>
        <v>255.01415619141048</v>
      </c>
      <c r="BS10" s="2">
        <f>Table83[[#This Row],[Weight]]-Table7[[#This Row],[Weight v Fat Calories]]</f>
        <v>14.385843808589499</v>
      </c>
      <c r="BT10" s="2">
        <f>Table7[[#This Row],[WFC Res]]^2</f>
        <v>206.95250208513281</v>
      </c>
      <c r="BU10">
        <f>Regression!$B$29+(Regression!$B$28*Table83[[#This Row],[Weight]])</f>
        <v>46.400043757186388</v>
      </c>
      <c r="BV10" s="2">
        <f>Table83[[#This Row],[Waist]]-Table7[[#This Row],[Waist v Weight]]</f>
        <v>0.5999562428136116</v>
      </c>
      <c r="BW10" s="2">
        <f>Table7[[#This Row],[WaistW Res]]^2</f>
        <v>0.35994749329102527</v>
      </c>
      <c r="BX10">
        <f>Regression!$C$29+(Regression!$C$28*Table83[[#This Row],[Neck]])</f>
        <v>45.258648648648581</v>
      </c>
      <c r="BY10" s="2">
        <f>Table83[[#This Row],[Waist]]-Table7[[#This Row],[Waist v Neck]]</f>
        <v>1.7413513513514189</v>
      </c>
      <c r="BZ10" s="2">
        <f>Table7[[#This Row],[WaistN Res]]^2</f>
        <v>3.032304528853413</v>
      </c>
      <c r="CA10">
        <f>Regression!$D$29+(Regression!$D$28*Table83[[#This Row],[Morning Body Temp]])</f>
        <v>44.668212875691857</v>
      </c>
      <c r="CB10" s="2">
        <f>Table83[[#This Row],[Waist]]-Table7[[#This Row],[Waist v Morning Temp]]</f>
        <v>2.3317871243081427</v>
      </c>
      <c r="CC10" s="2">
        <f>Table7[[#This Row],[WaistMT Res]]^2</f>
        <v>5.4372311930892376</v>
      </c>
      <c r="CD10">
        <f>Regression!$E$29+(Regression!$E$28*Table83[[#This Row],[Morning Systolic Pressure]])</f>
        <v>44.576969590303328</v>
      </c>
      <c r="CE10" s="2">
        <f>Table83[[#This Row],[Waist]]-Table7[[#This Row],[Waist v Morning Sys]]</f>
        <v>2.4230304096966719</v>
      </c>
      <c r="CF10" s="2">
        <f>Table7[[#This Row],[WaistMS Res]]^2</f>
        <v>5.8710763663148215</v>
      </c>
      <c r="CG10">
        <f>Regression!$F$29+(Regression!$F$28*Table83[[#This Row],[Morning Diastolic Pressure]])</f>
        <v>44.452816668144258</v>
      </c>
      <c r="CH10" s="2">
        <f>Table83[[#This Row],[Waist]]-Table7[[#This Row],[Waist v Morning Dia]]</f>
        <v>2.5471833318557415</v>
      </c>
      <c r="CI10" s="2">
        <f>Table7[[#This Row],[WaistMD Res]]^2</f>
        <v>6.4881429260837162</v>
      </c>
      <c r="CJ10">
        <f>Regression!$G$29+(Regression!$G$28*Table83[[#This Row],[Morning Pulse]])</f>
        <v>44.449539184638127</v>
      </c>
      <c r="CK10" s="2">
        <f>Table83[[#This Row],[Waist]]-Table7[[#This Row],[Waist v Morning Pulse]]</f>
        <v>2.5504608153618733</v>
      </c>
      <c r="CL10" s="2">
        <f>Table7[[#This Row],[WaistMP Res]]^2</f>
        <v>6.5048503706963512</v>
      </c>
      <c r="CM10">
        <f>Regression!$H$29+(Regression!$H$28*Table83[[#This Row],[Night Body Temp]])</f>
        <v>44.392275488024978</v>
      </c>
      <c r="CN10" s="2">
        <f>Table83[[#This Row],[Waist]]-Table7[[#This Row],[Waist v Night Temp]]</f>
        <v>2.6077245119750216</v>
      </c>
      <c r="CO10" s="2">
        <f>Table7[[#This Row],[WaistNT Res]]^2</f>
        <v>6.8002271303553652</v>
      </c>
      <c r="CP10">
        <f>Regression!$I$29+(Regression!$I$28*Table83[[#This Row],[Night Systolic Pressure]])</f>
        <v>44.601900458561346</v>
      </c>
      <c r="CQ10" s="2">
        <f>Table83[[#This Row],[Waist]]-Table7[[#This Row],[Waist v  Night Sys]]</f>
        <v>2.3980995414386541</v>
      </c>
      <c r="CR10" s="2">
        <f>Table7[[#This Row],[WaistNS Res]]^2</f>
        <v>5.7508814106482831</v>
      </c>
      <c r="CS10">
        <f>Regression!$J$29+(Regression!$J$28*Table83[[#This Row],[Night Diastolic Pressure]])</f>
        <v>44.478159956361175</v>
      </c>
      <c r="CT10" s="2">
        <f>Table83[[#This Row],[Waist]]-Table7[[#This Row],[Waist v Night Dia]]</f>
        <v>2.5218400436388251</v>
      </c>
      <c r="CU10" s="2">
        <f>Table7[[#This Row],[WaistND Res]]^2</f>
        <v>6.3596772057002715</v>
      </c>
      <c r="CV10">
        <f>Regression!$K$29+(Regression!$K$28*Table83[[#This Row],[Night Pulse]])</f>
        <v>44.473992104120093</v>
      </c>
      <c r="CW10" s="2">
        <f>Table83[[#This Row],[Waist]]-Table7[[#This Row],[Waist v Night Pulse]]</f>
        <v>2.526007895879907</v>
      </c>
      <c r="CX10" s="2">
        <f>Table7[[#This Row],[WaistNP Res]]^2</f>
        <v>6.3807158900476351</v>
      </c>
      <c r="CY10">
        <f>Regression!$L$29+(Regression!$L$28*Table83[[#This Row],[Sleep]])</f>
        <v>44.661312466839632</v>
      </c>
      <c r="CZ10" s="2">
        <f>Table83[[#This Row],[Waist]]-Table7[[#This Row],[Waist v  Sleep]]</f>
        <v>2.3386875331603676</v>
      </c>
      <c r="DA10" s="2">
        <f>Table7[[#This Row],[WaistS Res]]^2</f>
        <v>5.4694593777597253</v>
      </c>
      <c r="DB10">
        <f>Regression!$M$29+(Regression!$M$28*Table83[[#This Row],[BMI]])</f>
        <v>46.400043757180207</v>
      </c>
      <c r="DC10" s="2">
        <f>Table83[[#This Row],[Waist]]-Table7[[#This Row],[Waist v BMI]]</f>
        <v>0.59995624281979332</v>
      </c>
      <c r="DD10" s="2">
        <f>Table7[[#This Row],[WaistBMI Res]]^2</f>
        <v>0.35994749329844278</v>
      </c>
      <c r="DE10">
        <f>Regression!$N$29+(Regression!$N$28*Table83[[#This Row],[CBF]])</f>
        <v>46.780194469922108</v>
      </c>
      <c r="DF10" s="2">
        <f>Table83[[#This Row],[Waist]]-Table7[[#This Row],[Waist v  CBF]]</f>
        <v>0.21980553007789183</v>
      </c>
      <c r="DG10" s="2">
        <f>Table7[[#This Row],[WaistCBF Res]]^2</f>
        <v>4.8314471052823008E-2</v>
      </c>
      <c r="DH10">
        <f>Regression!$O$29+(Regression!$O$28*Table83[[#This Row],[Gym]])</f>
        <v>44.550847457627107</v>
      </c>
      <c r="DI10" s="2">
        <f>Table83[[#This Row],[Waist]]-Table7[[#This Row],[Waist v  Gym]]</f>
        <v>2.449152542372893</v>
      </c>
      <c r="DJ10" s="2">
        <f>Table7[[#This Row],[WaistGYM Res]]^2</f>
        <v>5.9983481758116053</v>
      </c>
      <c r="DK10">
        <f>Regression!$P$29+(Regression!$P$28*Table83[[#This Row],[Cardio]])</f>
        <v>44.291666666666664</v>
      </c>
      <c r="DL10" s="2">
        <f>Table83[[#This Row],[Waist]]-Table7[[#This Row],[Waist v Cardio]]</f>
        <v>2.7083333333333357</v>
      </c>
      <c r="DM10" s="2">
        <f>Table7[[#This Row],[WaistC Res]]^2</f>
        <v>7.3350694444444571</v>
      </c>
      <c r="DN10">
        <f>Regression!$Q$29+(Regression!$Q$28*Table83[[#This Row],[Calories]])</f>
        <v>44.488290138860108</v>
      </c>
      <c r="DO10" s="2">
        <f>Table83[[#This Row],[Waist]]-Table7[[#This Row],[Waist v Calories]]</f>
        <v>2.5117098611398916</v>
      </c>
      <c r="DP10" s="2">
        <f>Table7[[#This Row],[WaistCal Res]]^2</f>
        <v>6.3086864265473732</v>
      </c>
      <c r="DQ10">
        <f>Regression!$R$29+(Regression!$R$28*Table83[[#This Row],[Carbs]])</f>
        <v>44.560094799561114</v>
      </c>
      <c r="DR10" s="2">
        <f>Table83[[#This Row],[Waist]]-Table7[[#This Row],[Waist v Carbs]]</f>
        <v>2.4399052004388864</v>
      </c>
      <c r="DS10" s="2">
        <f>Table7[[#This Row],[WaistCarb Res]]^2</f>
        <v>5.9531373871287219</v>
      </c>
      <c r="DT10">
        <f>Regression!$S$29+(Regression!$S$28*Table83[[#This Row],[Fat ]])</f>
        <v>44.425958699416348</v>
      </c>
      <c r="DU10" s="2">
        <f>Table83[[#This Row],[Waist]]-Table7[[#This Row],[Waist v Fat]]</f>
        <v>2.5740413005836515</v>
      </c>
      <c r="DV10" s="2">
        <f>Table7[[#This Row],[WaistF Res]]^2</f>
        <v>6.6256886171103764</v>
      </c>
      <c r="DW10">
        <f>Regression!$T$29+(Regression!$T$28*Table83[[#This Row],[Protein]])</f>
        <v>44.45799860226726</v>
      </c>
      <c r="DX10" s="2">
        <f>Table83[[#This Row],[Waist]]-Table7[[#This Row],[Waist v Protein]]</f>
        <v>2.54200139773274</v>
      </c>
      <c r="DY10" s="2">
        <f>Table7[[#This Row],[WaistP Res]]^2</f>
        <v>6.4617711060752043</v>
      </c>
      <c r="DZ10">
        <f>Regression!$U$29+(Regression!$U$28*Table83[[#This Row],[Fiber]])</f>
        <v>44.443972877498844</v>
      </c>
      <c r="EA10" s="2">
        <f>Table83[[#This Row],[Waist]]-Table7[[#This Row],[Waist v Fiber]]</f>
        <v>2.5560271225011562</v>
      </c>
      <c r="EB10" s="2">
        <f>Table7[[#This Row],[WaistFib Res]]^2</f>
        <v>6.5332746509615403</v>
      </c>
      <c r="EC10">
        <f>Regression!$V$29+(Regression!$V$28*Table83[[#This Row],[Sugar]])</f>
        <v>44.723733011795005</v>
      </c>
      <c r="ED10" s="2">
        <f>Table83[[#This Row],[Waist]]-Table7[[#This Row],[Waist v Sugar]]</f>
        <v>2.2762669882049948</v>
      </c>
      <c r="EE10" s="2">
        <f>Table7[[#This Row],[WaistSugar Res]]^2</f>
        <v>5.1813914015918385</v>
      </c>
      <c r="EF10">
        <f>Regression!$W$29+(Regression!$W$28*Table83[[#This Row],[Servings]])</f>
        <v>44.578557667814074</v>
      </c>
      <c r="EG10" s="2">
        <f>Table83[[#This Row],[Waist]]-Table7[[#This Row],[Waist v Servings]]</f>
        <v>2.4214423321859257</v>
      </c>
      <c r="EH10" s="2">
        <f>Table7[[#This Row],[WaistServ Res]]^2</f>
        <v>5.8633829681020151</v>
      </c>
      <c r="EI10">
        <f>Regression!$X$29+(Regression!$X$28*Table83[[#This Row],[Water]])</f>
        <v>44.553850107074496</v>
      </c>
      <c r="EJ10" s="2">
        <f>Table83[[#This Row],[Waist]]-Table7[[#This Row],[Waist v Water]]</f>
        <v>2.4461498929255043</v>
      </c>
      <c r="EK10" s="2">
        <f>Table7[[#This Row],[WaistWat Res]]^2</f>
        <v>5.9836492986594561</v>
      </c>
      <c r="EL10">
        <f>Regression!$Y$29+(Regression!$Y$28*Table83[[#This Row],[Fat Calories]])</f>
        <v>44.422856862752312</v>
      </c>
      <c r="EM10" s="2">
        <f>Table83[[#This Row],[Waist]]-Table7[[#This Row],[Waist v Fat Calories]]</f>
        <v>2.5771431372476883</v>
      </c>
      <c r="EN10" s="2">
        <f>Table7[[#This Row],[WaistFatCal Res]]^2</f>
        <v>6.641666749862857</v>
      </c>
    </row>
    <row r="11" spans="1:144" x14ac:dyDescent="0.25">
      <c r="A11">
        <f>Regression!$B$10+(Regression!$B$9*Table83[[#This Row],[Waist]])</f>
        <v>269.65012529286491</v>
      </c>
      <c r="B11" s="2">
        <f>Table83[[#This Row],[Weight]]-Table7[[#This Row],[Weight v Waist]]</f>
        <v>2.949874707135109</v>
      </c>
      <c r="C11" s="2">
        <f>Table7[[#This Row],[Weight v Waist Res]]^2</f>
        <v>8.701760787795445</v>
      </c>
      <c r="D11">
        <f>Regression!$C$10+(Regression!$C$9*Table83[[#This Row],[Neck]])</f>
        <v>260.39308108104251</v>
      </c>
      <c r="E11" s="2">
        <f>Table83[[#This Row],[Weight]]-Table7[[#This Row],[Weight v Neck]]</f>
        <v>12.206918918957513</v>
      </c>
      <c r="F11" s="2">
        <f>Table7[[#This Row],[WN Res]]^2</f>
        <v>149.00886949400285</v>
      </c>
      <c r="G11">
        <f>Regression!$D$10+(Regression!$D$9*Table83[[#This Row],[Morning Body Temp]])</f>
        <v>255.20036355752904</v>
      </c>
      <c r="H11" s="2">
        <f>Table83[[#This Row],[Weight]]-Table7[[#This Row],[Weight v Morning Temp]]</f>
        <v>17.399636442470978</v>
      </c>
      <c r="I11" s="2">
        <f>Table7[[#This Row],[WMT Res]]^2</f>
        <v>302.74734833016413</v>
      </c>
      <c r="J11">
        <f>Regression!$E$10+(Regression!$E$9*Table83[[#This Row],[Morning Systolic Pressure]])</f>
        <v>255.68549027897933</v>
      </c>
      <c r="K11" s="2">
        <f>Table83[[#This Row],[Weight]]-Table7[[#This Row],[Weight v Morning Sys]]</f>
        <v>16.914509721020693</v>
      </c>
      <c r="L11" s="2">
        <f>Table7[[#This Row],[WMS Res]]^2</f>
        <v>286.10063910250352</v>
      </c>
      <c r="M11">
        <f>Regression!$F$10+(Regression!$F$9*Table83[[#This Row],[Morning Diastolic Pressure]])</f>
        <v>254.8993513991569</v>
      </c>
      <c r="N11" s="2">
        <f>Table83[[#This Row],[Weight]]-Table7[[#This Row],[Weight v Morning Dia]]</f>
        <v>17.700648600843124</v>
      </c>
      <c r="O11" s="2">
        <f>Table7[[#This Row],[WMD Res]]^2</f>
        <v>313.31296089052967</v>
      </c>
      <c r="P11">
        <f>Regression!$G$10+(Regression!$G$9*Table83[[#This Row],[Morning Pulse]])</f>
        <v>255.11547289015564</v>
      </c>
      <c r="Q11" s="2">
        <f>Table83[[#This Row],[Weight]]-Table7[[#This Row],[Weight v Morning Pulse]]</f>
        <v>17.484527109844379</v>
      </c>
      <c r="R11" s="2">
        <f>Table7[[#This Row],[WMP Res]]^2</f>
        <v>305.70868825488304</v>
      </c>
      <c r="S11">
        <f>Regression!$H$10+(Regression!$H$9*Table83[[#This Row],[Night Body Temp]])</f>
        <v>254.23530725463496</v>
      </c>
      <c r="T11" s="2">
        <f>Table83[[#This Row],[Weight]]-Table7[[#This Row],[Weight v Night Temp]]</f>
        <v>18.364692745365062</v>
      </c>
      <c r="U11" s="2">
        <f>Table7[[#This Row],[WNT Res]]^2</f>
        <v>337.26193963166412</v>
      </c>
      <c r="V11">
        <f>Regression!$I$10+(Regression!$I$9*Table83[[#This Row],[Night Systolic Pressure]])</f>
        <v>256.98354357165118</v>
      </c>
      <c r="W11" s="2">
        <f>Table83[[#This Row],[Weight]]-Table7[[#This Row],[Weight v Night Sys]]</f>
        <v>15.61645642834884</v>
      </c>
      <c r="X11" s="2">
        <f>Table7[[#This Row],[WNS Res]]^2</f>
        <v>243.87371137851781</v>
      </c>
      <c r="Y11">
        <f>Regression!$J$10+(Regression!$J$9*Table83[[#This Row],[Night Diastolic Pressure]])</f>
        <v>255.2146139794944</v>
      </c>
      <c r="Z11" s="2">
        <f>Table83[[#This Row],[Weight]]-Table7[[#This Row],[Weight v Night Dia]]</f>
        <v>17.385386020505621</v>
      </c>
      <c r="AA11" s="2">
        <f>Table7[[#This Row],[WND Res]]^2</f>
        <v>302.25164708199225</v>
      </c>
      <c r="AB11">
        <f>Regression!$K$10+(Regression!$K$9*Table83[[#This Row],[Night Pulse]])</f>
        <v>254.95658520255759</v>
      </c>
      <c r="AC11" s="2">
        <f>Table83[[#This Row],[Weight]]-Table7[[#This Row],[Weight v Night Pulse]]</f>
        <v>17.643414797442432</v>
      </c>
      <c r="AD11" s="2">
        <f>Table7[[#This Row],[WNP Res ]]^2</f>
        <v>311.2900857146106</v>
      </c>
      <c r="AE11">
        <f>Regression!$L$10+(Regression!$L$9*Table83[[#This Row],[Sleep]])</f>
        <v>255.45250391075515</v>
      </c>
      <c r="AF11" s="2">
        <f>Table83[[#This Row],[Weight]]-Table7[[#This Row],[Weight v Sleep]]</f>
        <v>17.147496089244868</v>
      </c>
      <c r="AG11" s="2">
        <f>Table7[[#This Row],[WS Res]]^2</f>
        <v>294.03662213066804</v>
      </c>
      <c r="AH11">
        <f>Regression!$M$10+(Regression!$M$9*Table83[[#This Row],[BMI]])</f>
        <v>272.59999999996103</v>
      </c>
      <c r="AI11" s="2">
        <f>Table83[[#This Row],[Weight]]-Table7[[#This Row],[Weight v BMI]]</f>
        <v>3.8994585338514298E-11</v>
      </c>
      <c r="AJ11" s="2">
        <f>Table7[[#This Row],[WBMI Res]]^2</f>
        <v>1.5205776857226743E-21</v>
      </c>
      <c r="AK11">
        <f>Regression!$N$10+(Regression!$N$9*Table83[[#This Row],[CBF]])</f>
        <v>268.03581667418757</v>
      </c>
      <c r="AL11" s="2">
        <f>Table83[[#This Row],[Weight]]-Table7[[#This Row],[Weight v CBF]]</f>
        <v>4.5641833258124507</v>
      </c>
      <c r="AM11" s="2">
        <f>Table7[[#This Row],[WCBF Res]]^2</f>
        <v>20.831769431624402</v>
      </c>
      <c r="AN11">
        <f>Regression!$O$10+(Regression!$O$9*Table83[[#This Row],[Gym]])</f>
        <v>255.46779661016953</v>
      </c>
      <c r="AO11" s="2">
        <f>Table83[[#This Row],[Weight]]-Table7[[#This Row],[Weight v Gym]]</f>
        <v>17.132203389830494</v>
      </c>
      <c r="AP11" s="2">
        <f>Table7[[#This Row],[WG Res]]^2</f>
        <v>293.51239299051946</v>
      </c>
      <c r="AQ11">
        <f>Regression!$P$10+(Regression!$P$9*Table83[[#This Row],[Cardio]])</f>
        <v>254.19242424242461</v>
      </c>
      <c r="AR11" s="2">
        <f>Table83[[#This Row],[Weight]]-Table7[[#This Row],[Weight v Cardio]]</f>
        <v>18.407575757575415</v>
      </c>
      <c r="AS11" s="2">
        <f>Table7[[#This Row],[WC Res]]^2</f>
        <v>338.83884527087815</v>
      </c>
      <c r="AT11">
        <f>Regression!$Q$10+(Regression!$Q$9*Table83[[#This Row],[Calories]])</f>
        <v>255.63755641548335</v>
      </c>
      <c r="AU11" s="2">
        <f>Table83[[#This Row],[Weight]]-Table7[[#This Row],[Weight v Calories]]</f>
        <v>16.962443584516677</v>
      </c>
      <c r="AV11" s="2">
        <f>Table7[[#This Row],[WCAL Res]]^2</f>
        <v>287.724492357911</v>
      </c>
      <c r="AW11">
        <f>Regression!$R$10+(Regression!$R$9*Table83[[#This Row],[Carbs]])</f>
        <v>255.92890967787974</v>
      </c>
      <c r="AX11" s="2">
        <f>Table83[[#This Row],[Weight]]-Table7[[#This Row],[Weight v Carbs]]</f>
        <v>16.671090322120278</v>
      </c>
      <c r="AY11" s="2">
        <f>Table7[[#This Row],[Wcarb Res]]^2</f>
        <v>277.92525252829239</v>
      </c>
      <c r="AZ11">
        <f>Regression!$S$10+(Regression!$S$9*Table83[[#This Row],[Fat ]])</f>
        <v>255.25319563485837</v>
      </c>
      <c r="BA11" s="2">
        <f>Table83[[#This Row],[Weight]]-Table7[[#This Row],[Weight v Fat]]</f>
        <v>17.346804365141651</v>
      </c>
      <c r="BB11" s="2">
        <f>Table7[[#This Row],[WF Res]]^2</f>
        <v>300.91162168249741</v>
      </c>
      <c r="BC11">
        <f>Regression!$T$10+(Regression!$T$9*Table83[[#This Row],[Protein]])</f>
        <v>255.51504843142618</v>
      </c>
      <c r="BD11" s="2">
        <f>Table83[[#This Row],[Weight]]-Table7[[#This Row],[Weight v Protein]]</f>
        <v>17.084951568573842</v>
      </c>
      <c r="BE11" s="2">
        <f>Table7[[#This Row],[WP Res]]^2</f>
        <v>291.89557010051379</v>
      </c>
      <c r="BF11">
        <f>Regression!$U$10+(Regression!$U$9*Table83[[#This Row],[Fiber]])</f>
        <v>255.05437133022744</v>
      </c>
      <c r="BG11" s="2">
        <f>Table83[[#This Row],[Weight]]-Table7[[#This Row],[Weight v Fiber]]</f>
        <v>17.545628669772583</v>
      </c>
      <c r="BH11" s="2">
        <f>Table7[[#This Row],[Wfib Res]]^2</f>
        <v>307.84908541754561</v>
      </c>
      <c r="BI11">
        <f>Regression!$V$10+(Regression!$V$9*Table83[[#This Row],[Sugar]])</f>
        <v>256.68743870016277</v>
      </c>
      <c r="BJ11" s="2">
        <f>Table83[[#This Row],[Weight]]-Table7[[#This Row],[Weight v Sugar]]</f>
        <v>15.91256129983725</v>
      </c>
      <c r="BK11" s="2">
        <f>Table7[[#This Row],[Wsugar Res]]^2</f>
        <v>253.20960712107816</v>
      </c>
      <c r="BL11">
        <f>Regression!$W$10+(Regression!$W$9*Table83[[#This Row],[Servings]])</f>
        <v>256.45042157248417</v>
      </c>
      <c r="BM11" s="2">
        <f>Table83[[#This Row],[Weight]]-Table7[[#This Row],[Weight v Servings]]</f>
        <v>16.149578427515848</v>
      </c>
      <c r="BN11" s="2">
        <f>Table7[[#This Row],[Wserv Res]]^2</f>
        <v>260.80888338648526</v>
      </c>
      <c r="BO11">
        <f>Regression!$X$10+(Regression!$X$9*Table83[[#This Row],[Water]])</f>
        <v>255.19189796045953</v>
      </c>
      <c r="BP11" s="2">
        <f>Table83[[#This Row],[Weight]]-Table7[[#This Row],[Weight v Water]]</f>
        <v>17.408102039540495</v>
      </c>
      <c r="BQ11" s="2">
        <f>Table7[[#This Row],[Wwater Res]]^2</f>
        <v>303.04201661905392</v>
      </c>
      <c r="BR11">
        <f>Regression!$Y$10+(Regression!$Y$9*Table83[[#This Row],[Fat Calories]])</f>
        <v>255.25721047333016</v>
      </c>
      <c r="BS11" s="2">
        <f>Table83[[#This Row],[Weight]]-Table7[[#This Row],[Weight v Fat Calories]]</f>
        <v>17.342789526669861</v>
      </c>
      <c r="BT11" s="2">
        <f>Table7[[#This Row],[WFC Res]]^2</f>
        <v>300.77234856636983</v>
      </c>
      <c r="BU11">
        <f>Regression!$B$29+(Regression!$B$28*Table83[[#This Row],[Weight]])</f>
        <v>46.836083791010338</v>
      </c>
      <c r="BV11" s="2">
        <f>Table83[[#This Row],[Waist]]-Table7[[#This Row],[Waist v Weight]]</f>
        <v>0.16391620898966153</v>
      </c>
      <c r="BW11" s="2">
        <f>Table7[[#This Row],[WaistW Res]]^2</f>
        <v>2.6868523569542394E-2</v>
      </c>
      <c r="BX11">
        <f>Regression!$C$29+(Regression!$C$28*Table83[[#This Row],[Neck]])</f>
        <v>45.258648648648581</v>
      </c>
      <c r="BY11" s="2">
        <f>Table83[[#This Row],[Waist]]-Table7[[#This Row],[Waist v Neck]]</f>
        <v>1.7413513513514189</v>
      </c>
      <c r="BZ11" s="2">
        <f>Table7[[#This Row],[WaistN Res]]^2</f>
        <v>3.032304528853413</v>
      </c>
      <c r="CA11">
        <f>Regression!$D$29+(Regression!$D$28*Table83[[#This Row],[Morning Body Temp]])</f>
        <v>44.476744743933082</v>
      </c>
      <c r="CB11" s="2">
        <f>Table83[[#This Row],[Waist]]-Table7[[#This Row],[Waist v Morning Temp]]</f>
        <v>2.5232552560669177</v>
      </c>
      <c r="CC11" s="2">
        <f>Table7[[#This Row],[WaistMT Res]]^2</f>
        <v>6.3668170872693262</v>
      </c>
      <c r="CD11">
        <f>Regression!$E$29+(Regression!$E$28*Table83[[#This Row],[Morning Systolic Pressure]])</f>
        <v>44.587559995545753</v>
      </c>
      <c r="CE11" s="2">
        <f>Table83[[#This Row],[Waist]]-Table7[[#This Row],[Waist v Morning Sys]]</f>
        <v>2.4124400044542469</v>
      </c>
      <c r="CF11" s="2">
        <f>Table7[[#This Row],[WaistMS Res]]^2</f>
        <v>5.8198667750912065</v>
      </c>
      <c r="CG11">
        <f>Regression!$F$29+(Regression!$F$28*Table83[[#This Row],[Morning Diastolic Pressure]])</f>
        <v>44.441545426806556</v>
      </c>
      <c r="CH11" s="2">
        <f>Table83[[#This Row],[Waist]]-Table7[[#This Row],[Waist v Morning Dia]]</f>
        <v>2.558454573193444</v>
      </c>
      <c r="CI11" s="2">
        <f>Table7[[#This Row],[WaistMD Res]]^2</f>
        <v>6.5456898030944481</v>
      </c>
      <c r="CJ11">
        <f>Regression!$G$29+(Regression!$G$28*Table83[[#This Row],[Morning Pulse]])</f>
        <v>44.453736697506194</v>
      </c>
      <c r="CK11" s="2">
        <f>Table83[[#This Row],[Waist]]-Table7[[#This Row],[Waist v Morning Pulse]]</f>
        <v>2.5462633024938057</v>
      </c>
      <c r="CL11" s="2">
        <f>Table7[[#This Row],[WaistMP Res]]^2</f>
        <v>6.4834568056266617</v>
      </c>
      <c r="CM11">
        <f>Regression!$H$29+(Regression!$H$28*Table83[[#This Row],[Night Body Temp]])</f>
        <v>44.384178564220093</v>
      </c>
      <c r="CN11" s="2">
        <f>Table83[[#This Row],[Waist]]-Table7[[#This Row],[Waist v Night Temp]]</f>
        <v>2.6158214357799068</v>
      </c>
      <c r="CO11" s="2">
        <f>Table7[[#This Row],[WaistNT Res]]^2</f>
        <v>6.8425217838856529</v>
      </c>
      <c r="CP11">
        <f>Regression!$I$29+(Regression!$I$28*Table83[[#This Row],[Night Systolic Pressure]])</f>
        <v>44.718221373166251</v>
      </c>
      <c r="CQ11" s="2">
        <f>Table83[[#This Row],[Waist]]-Table7[[#This Row],[Waist v  Night Sys]]</f>
        <v>2.2817786268337485</v>
      </c>
      <c r="CR11" s="2">
        <f>Table7[[#This Row],[WaistNS Res]]^2</f>
        <v>5.2065137018753074</v>
      </c>
      <c r="CS11">
        <f>Regression!$J$29+(Regression!$J$28*Table83[[#This Row],[Night Diastolic Pressure]])</f>
        <v>44.495227901568619</v>
      </c>
      <c r="CT11" s="2">
        <f>Table83[[#This Row],[Waist]]-Table7[[#This Row],[Waist v Night Dia]]</f>
        <v>2.5047720984313813</v>
      </c>
      <c r="CU11" s="2">
        <f>Table7[[#This Row],[WaistND Res]]^2</f>
        <v>6.2738832650803449</v>
      </c>
      <c r="CV11">
        <f>Regression!$K$29+(Regression!$K$28*Table83[[#This Row],[Night Pulse]])</f>
        <v>44.468278611498164</v>
      </c>
      <c r="CW11" s="2">
        <f>Table83[[#This Row],[Waist]]-Table7[[#This Row],[Waist v Night Pulse]]</f>
        <v>2.5317213885018361</v>
      </c>
      <c r="CX11" s="2">
        <f>Table7[[#This Row],[WaistNP Res]]^2</f>
        <v>6.4096131889976649</v>
      </c>
      <c r="CY11">
        <f>Regression!$L$29+(Regression!$L$28*Table83[[#This Row],[Sleep]])</f>
        <v>44.504990820853756</v>
      </c>
      <c r="CZ11" s="2">
        <f>Table83[[#This Row],[Waist]]-Table7[[#This Row],[Waist v  Sleep]]</f>
        <v>2.4950091791462441</v>
      </c>
      <c r="DA11" s="2">
        <f>Table7[[#This Row],[WaistS Res]]^2</f>
        <v>6.225070804024015</v>
      </c>
      <c r="DB11">
        <f>Regression!$M$29+(Regression!$M$28*Table83[[#This Row],[BMI]])</f>
        <v>46.836083791002771</v>
      </c>
      <c r="DC11" s="2">
        <f>Table83[[#This Row],[Waist]]-Table7[[#This Row],[Waist v BMI]]</f>
        <v>0.16391620899722881</v>
      </c>
      <c r="DD11" s="2">
        <f>Table7[[#This Row],[WaistBMI Res]]^2</f>
        <v>2.6868523572023194E-2</v>
      </c>
      <c r="DE11">
        <f>Regression!$N$29+(Regression!$N$28*Table83[[#This Row],[CBF]])</f>
        <v>46.780194469922108</v>
      </c>
      <c r="DF11" s="2">
        <f>Table83[[#This Row],[Waist]]-Table7[[#This Row],[Waist v  CBF]]</f>
        <v>0.21980553007789183</v>
      </c>
      <c r="DG11" s="2">
        <f>Table7[[#This Row],[WaistCBF Res]]^2</f>
        <v>4.8314471052823008E-2</v>
      </c>
      <c r="DH11">
        <f>Regression!$O$29+(Regression!$O$28*Table83[[#This Row],[Gym]])</f>
        <v>44.550847457627107</v>
      </c>
      <c r="DI11" s="2">
        <f>Table83[[#This Row],[Waist]]-Table7[[#This Row],[Waist v  Gym]]</f>
        <v>2.449152542372893</v>
      </c>
      <c r="DJ11" s="2">
        <f>Table7[[#This Row],[WaistGYM Res]]^2</f>
        <v>5.9983481758116053</v>
      </c>
      <c r="DK11">
        <f>Regression!$P$29+(Regression!$P$28*Table83[[#This Row],[Cardio]])</f>
        <v>44.291666666666664</v>
      </c>
      <c r="DL11" s="2">
        <f>Table83[[#This Row],[Waist]]-Table7[[#This Row],[Waist v Cardio]]</f>
        <v>2.7083333333333357</v>
      </c>
      <c r="DM11" s="2">
        <f>Table7[[#This Row],[WaistC Res]]^2</f>
        <v>7.3350694444444571</v>
      </c>
      <c r="DN11">
        <f>Regression!$Q$29+(Regression!$Q$28*Table83[[#This Row],[Calories]])</f>
        <v>44.57093671794631</v>
      </c>
      <c r="DO11" s="2">
        <f>Table83[[#This Row],[Waist]]-Table7[[#This Row],[Waist v Calories]]</f>
        <v>2.4290632820536899</v>
      </c>
      <c r="DP11" s="2">
        <f>Table7[[#This Row],[WaistCal Res]]^2</f>
        <v>5.9003484282214442</v>
      </c>
      <c r="DQ11">
        <f>Regression!$R$29+(Regression!$R$28*Table83[[#This Row],[Carbs]])</f>
        <v>44.622981621637678</v>
      </c>
      <c r="DR11" s="2">
        <f>Table83[[#This Row],[Waist]]-Table7[[#This Row],[Waist v Carbs]]</f>
        <v>2.3770183783623224</v>
      </c>
      <c r="DS11" s="2">
        <f>Table7[[#This Row],[WaistCarb Res]]^2</f>
        <v>5.6502163710722453</v>
      </c>
      <c r="DT11">
        <f>Regression!$S$29+(Regression!$S$28*Table83[[#This Row],[Fat ]])</f>
        <v>44.495769778378545</v>
      </c>
      <c r="DU11" s="2">
        <f>Table83[[#This Row],[Waist]]-Table7[[#This Row],[Waist v Fat]]</f>
        <v>2.5042302216214551</v>
      </c>
      <c r="DV11" s="2">
        <f>Table7[[#This Row],[WaistF Res]]^2</f>
        <v>6.2711690028822424</v>
      </c>
      <c r="DW11">
        <f>Regression!$T$29+(Regression!$T$28*Table83[[#This Row],[Protein]])</f>
        <v>44.526755447350752</v>
      </c>
      <c r="DX11" s="2">
        <f>Table83[[#This Row],[Waist]]-Table7[[#This Row],[Waist v Protein]]</f>
        <v>2.4732445526492484</v>
      </c>
      <c r="DY11" s="2">
        <f>Table7[[#This Row],[WaistP Res]]^2</f>
        <v>6.1169386172091809</v>
      </c>
      <c r="DZ11">
        <f>Regression!$U$29+(Regression!$U$28*Table83[[#This Row],[Fiber]])</f>
        <v>44.430128573927121</v>
      </c>
      <c r="EA11" s="2">
        <f>Table83[[#This Row],[Waist]]-Table7[[#This Row],[Waist v Fiber]]</f>
        <v>2.5698714260728792</v>
      </c>
      <c r="EB11" s="2">
        <f>Table7[[#This Row],[WaistFib Res]]^2</f>
        <v>6.6042391465458543</v>
      </c>
      <c r="EC11">
        <f>Regression!$V$29+(Regression!$V$28*Table83[[#This Row],[Sugar]])</f>
        <v>44.736002949420353</v>
      </c>
      <c r="ED11" s="2">
        <f>Table83[[#This Row],[Waist]]-Table7[[#This Row],[Waist v Sugar]]</f>
        <v>2.263997050579647</v>
      </c>
      <c r="EE11" s="2">
        <f>Table7[[#This Row],[WaistSugar Res]]^2</f>
        <v>5.1256826450333408</v>
      </c>
      <c r="EF11">
        <f>Regression!$W$29+(Regression!$W$28*Table83[[#This Row],[Servings]])</f>
        <v>44.65729615537748</v>
      </c>
      <c r="EG11" s="2">
        <f>Table83[[#This Row],[Waist]]-Table7[[#This Row],[Waist v Servings]]</f>
        <v>2.3427038446225197</v>
      </c>
      <c r="EH11" s="2">
        <f>Table7[[#This Row],[WaistServ Res]]^2</f>
        <v>5.4882613036091348</v>
      </c>
      <c r="EI11">
        <f>Regression!$X$29+(Regression!$X$28*Table83[[#This Row],[Water]])</f>
        <v>44.553850107074496</v>
      </c>
      <c r="EJ11" s="2">
        <f>Table83[[#This Row],[Waist]]-Table7[[#This Row],[Waist v Water]]</f>
        <v>2.4461498929255043</v>
      </c>
      <c r="EK11" s="2">
        <f>Table7[[#This Row],[WaistWat Res]]^2</f>
        <v>5.9836492986594561</v>
      </c>
      <c r="EL11">
        <f>Regression!$Y$29+(Regression!$Y$28*Table83[[#This Row],[Fat Calories]])</f>
        <v>44.496776661984349</v>
      </c>
      <c r="EM11" s="2">
        <f>Table83[[#This Row],[Waist]]-Table7[[#This Row],[Waist v Fat Calories]]</f>
        <v>2.5032233380156512</v>
      </c>
      <c r="EN11" s="2">
        <f>Table7[[#This Row],[WaistFatCal Res]]^2</f>
        <v>6.2661270799862194</v>
      </c>
    </row>
    <row r="12" spans="1:144" x14ac:dyDescent="0.25">
      <c r="A12">
        <f>Regression!$B$10+(Regression!$B$9*Table83[[#This Row],[Waist]])</f>
        <v>266.7961476072112</v>
      </c>
      <c r="B12" s="2">
        <f>Table83[[#This Row],[Weight]]-Table7[[#This Row],[Weight v Waist]]</f>
        <v>4.003852392788815</v>
      </c>
      <c r="C12" s="2">
        <f>Table7[[#This Row],[Weight v Waist Res]]^2</f>
        <v>16.030833983240719</v>
      </c>
      <c r="D12">
        <f>Regression!$C$10+(Regression!$C$9*Table83[[#This Row],[Neck]])</f>
        <v>260.39308108104251</v>
      </c>
      <c r="E12" s="2">
        <f>Table83[[#This Row],[Weight]]-Table7[[#This Row],[Weight v Neck]]</f>
        <v>10.406918918957501</v>
      </c>
      <c r="F12" s="2">
        <f>Table7[[#This Row],[WN Res]]^2</f>
        <v>108.30396138575557</v>
      </c>
      <c r="G12">
        <f>Regression!$D$10+(Regression!$D$9*Table83[[#This Row],[Morning Body Temp]])</f>
        <v>255.41155922019615</v>
      </c>
      <c r="H12" s="2">
        <f>Table83[[#This Row],[Weight]]-Table7[[#This Row],[Weight v Morning Temp]]</f>
        <v>15.388440779803858</v>
      </c>
      <c r="I12" s="2">
        <f>Table7[[#This Row],[WMT Res]]^2</f>
        <v>236.80410963353037</v>
      </c>
      <c r="J12">
        <f>Regression!$E$10+(Regression!$E$9*Table83[[#This Row],[Morning Systolic Pressure]])</f>
        <v>254.91917781330181</v>
      </c>
      <c r="K12" s="2">
        <f>Table83[[#This Row],[Weight]]-Table7[[#This Row],[Weight v Morning Sys]]</f>
        <v>15.880822186698197</v>
      </c>
      <c r="L12" s="2">
        <f>Table7[[#This Row],[WMS Res]]^2</f>
        <v>252.20051332552569</v>
      </c>
      <c r="M12">
        <f>Regression!$F$10+(Regression!$F$9*Table83[[#This Row],[Morning Diastolic Pressure]])</f>
        <v>254.18994165584274</v>
      </c>
      <c r="N12" s="2">
        <f>Table83[[#This Row],[Weight]]-Table7[[#This Row],[Weight v Morning Dia]]</f>
        <v>16.610058344157267</v>
      </c>
      <c r="O12" s="2">
        <f>Table7[[#This Row],[WMD Res]]^2</f>
        <v>275.89403819630843</v>
      </c>
      <c r="P12">
        <f>Regression!$G$10+(Regression!$G$9*Table83[[#This Row],[Morning Pulse]])</f>
        <v>255.12278407318442</v>
      </c>
      <c r="Q12" s="2">
        <f>Table83[[#This Row],[Weight]]-Table7[[#This Row],[Weight v Morning Pulse]]</f>
        <v>15.677215926815592</v>
      </c>
      <c r="R12" s="2">
        <f>Table7[[#This Row],[WMP Res]]^2</f>
        <v>245.77509921600046</v>
      </c>
      <c r="S12">
        <f>Regression!$H$10+(Regression!$H$9*Table83[[#This Row],[Night Body Temp]])</f>
        <v>254.54339696608002</v>
      </c>
      <c r="T12" s="2">
        <f>Table83[[#This Row],[Weight]]-Table7[[#This Row],[Weight v Night Temp]]</f>
        <v>16.256603033919987</v>
      </c>
      <c r="U12" s="2">
        <f>Table7[[#This Row],[WNT Res]]^2</f>
        <v>264.2771422024565</v>
      </c>
      <c r="V12">
        <f>Regression!$I$10+(Regression!$I$9*Table83[[#This Row],[Night Systolic Pressure]])</f>
        <v>255.85445039733804</v>
      </c>
      <c r="W12" s="2">
        <f>Table83[[#This Row],[Weight]]-Table7[[#This Row],[Weight v Night Sys]]</f>
        <v>14.94554960266197</v>
      </c>
      <c r="X12" s="2">
        <f>Table7[[#This Row],[WNS Res]]^2</f>
        <v>223.36945292562936</v>
      </c>
      <c r="Y12">
        <f>Regression!$J$10+(Regression!$J$9*Table83[[#This Row],[Night Diastolic Pressure]])</f>
        <v>255.25537984791052</v>
      </c>
      <c r="Z12" s="2">
        <f>Table83[[#This Row],[Weight]]-Table7[[#This Row],[Weight v Night Dia]]</f>
        <v>15.544620152089493</v>
      </c>
      <c r="AA12" s="2">
        <f>Table7[[#This Row],[WND Res]]^2</f>
        <v>241.63521567274677</v>
      </c>
      <c r="AB12">
        <f>Regression!$K$10+(Regression!$K$9*Table83[[#This Row],[Night Pulse]])</f>
        <v>254.86444520884743</v>
      </c>
      <c r="AC12" s="2">
        <f>Table83[[#This Row],[Weight]]-Table7[[#This Row],[Weight v Night Pulse]]</f>
        <v>15.935554791152583</v>
      </c>
      <c r="AD12" s="2">
        <f>Table7[[#This Row],[WNP Res ]]^2</f>
        <v>253.94190650182605</v>
      </c>
      <c r="AE12">
        <f>Regression!$L$10+(Regression!$L$9*Table83[[#This Row],[Sleep]])</f>
        <v>255.21589827322478</v>
      </c>
      <c r="AF12" s="2">
        <f>Table83[[#This Row],[Weight]]-Table7[[#This Row],[Weight v Sleep]]</f>
        <v>15.584101726775231</v>
      </c>
      <c r="AG12" s="2">
        <f>Table7[[#This Row],[WS Res]]^2</f>
        <v>242.86422663047873</v>
      </c>
      <c r="AH12">
        <f>Regression!$M$10+(Regression!$M$9*Table83[[#This Row],[BMI]])</f>
        <v>270.79999999996494</v>
      </c>
      <c r="AI12" s="2">
        <f>Table83[[#This Row],[Weight]]-Table7[[#This Row],[Weight v BMI]]</f>
        <v>3.5072389437118545E-11</v>
      </c>
      <c r="AJ12" s="2">
        <f>Table7[[#This Row],[WBMI Res]]^2</f>
        <v>1.2300725008289045E-21</v>
      </c>
      <c r="AK12">
        <f>Regression!$N$10+(Regression!$N$9*Table83[[#This Row],[CBF]])</f>
        <v>265.16619945865489</v>
      </c>
      <c r="AL12" s="2">
        <f>Table83[[#This Row],[Weight]]-Table7[[#This Row],[Weight v CBF]]</f>
        <v>5.6338005413451242</v>
      </c>
      <c r="AM12" s="2">
        <f>Table7[[#This Row],[WCBF Res]]^2</f>
        <v>31.739708539660615</v>
      </c>
      <c r="AN12">
        <f>Regression!$O$10+(Regression!$O$9*Table83[[#This Row],[Gym]])</f>
        <v>255.46779661016953</v>
      </c>
      <c r="AO12" s="2">
        <f>Table83[[#This Row],[Weight]]-Table7[[#This Row],[Weight v Gym]]</f>
        <v>15.332203389830482</v>
      </c>
      <c r="AP12" s="2">
        <f>Table7[[#This Row],[WG Res]]^2</f>
        <v>235.07646078712932</v>
      </c>
      <c r="AQ12">
        <f>Regression!$P$10+(Regression!$P$9*Table83[[#This Row],[Cardio]])</f>
        <v>254.19242424242461</v>
      </c>
      <c r="AR12" s="2">
        <f>Table83[[#This Row],[Weight]]-Table7[[#This Row],[Weight v Cardio]]</f>
        <v>16.607575757575404</v>
      </c>
      <c r="AS12" s="2">
        <f>Table7[[#This Row],[WC Res]]^2</f>
        <v>275.81157254360625</v>
      </c>
      <c r="AT12">
        <f>Regression!$Q$10+(Regression!$Q$9*Table83[[#This Row],[Calories]])</f>
        <v>255.63371448038492</v>
      </c>
      <c r="AU12" s="2">
        <f>Table83[[#This Row],[Weight]]-Table7[[#This Row],[Weight v Calories]]</f>
        <v>15.166285519615087</v>
      </c>
      <c r="AV12" s="2">
        <f>Table7[[#This Row],[WCAL Res]]^2</f>
        <v>230.01621646248628</v>
      </c>
      <c r="AW12">
        <f>Regression!$R$10+(Regression!$R$9*Table83[[#This Row],[Carbs]])</f>
        <v>255.99071114726308</v>
      </c>
      <c r="AX12" s="2">
        <f>Table83[[#This Row],[Weight]]-Table7[[#This Row],[Weight v Carbs]]</f>
        <v>14.809288852736927</v>
      </c>
      <c r="AY12" s="2">
        <f>Table7[[#This Row],[Wcarb Res]]^2</f>
        <v>219.31503632379821</v>
      </c>
      <c r="AZ12">
        <f>Regression!$S$10+(Regression!$S$9*Table83[[#This Row],[Fat ]])</f>
        <v>255.28828409162551</v>
      </c>
      <c r="BA12" s="2">
        <f>Table83[[#This Row],[Weight]]-Table7[[#This Row],[Weight v Fat]]</f>
        <v>15.511715908374498</v>
      </c>
      <c r="BB12" s="2">
        <f>Table7[[#This Row],[WF Res]]^2</f>
        <v>240.61333042211848</v>
      </c>
      <c r="BC12">
        <f>Regression!$T$10+(Regression!$T$9*Table83[[#This Row],[Protein]])</f>
        <v>254.99779508411967</v>
      </c>
      <c r="BD12" s="2">
        <f>Table83[[#This Row],[Weight]]-Table7[[#This Row],[Weight v Protein]]</f>
        <v>15.802204915880338</v>
      </c>
      <c r="BE12" s="2">
        <f>Table7[[#This Row],[WP Res]]^2</f>
        <v>249.70968020347274</v>
      </c>
      <c r="BF12">
        <f>Regression!$U$10+(Regression!$U$9*Table83[[#This Row],[Fiber]])</f>
        <v>254.91473333291498</v>
      </c>
      <c r="BG12" s="2">
        <f>Table83[[#This Row],[Weight]]-Table7[[#This Row],[Weight v Fiber]]</f>
        <v>15.885266667085034</v>
      </c>
      <c r="BH12" s="2">
        <f>Table7[[#This Row],[Wfib Res]]^2</f>
        <v>252.34169708440285</v>
      </c>
      <c r="BI12">
        <f>Regression!$V$10+(Regression!$V$9*Table83[[#This Row],[Sugar]])</f>
        <v>256.54603875280662</v>
      </c>
      <c r="BJ12" s="2">
        <f>Table83[[#This Row],[Weight]]-Table7[[#This Row],[Weight v Sugar]]</f>
        <v>14.253961247193388</v>
      </c>
      <c r="BK12" s="2">
        <f>Table7[[#This Row],[Wsugar Res]]^2</f>
        <v>203.17541123649087</v>
      </c>
      <c r="BL12">
        <f>Regression!$W$10+(Regression!$W$9*Table83[[#This Row],[Servings]])</f>
        <v>256.98556995658072</v>
      </c>
      <c r="BM12" s="2">
        <f>Table83[[#This Row],[Weight]]-Table7[[#This Row],[Weight v Servings]]</f>
        <v>13.814430043419293</v>
      </c>
      <c r="BN12" s="2">
        <f>Table7[[#This Row],[Wserv Res]]^2</f>
        <v>190.83847742452556</v>
      </c>
      <c r="BO12">
        <f>Regression!$X$10+(Regression!$X$9*Table83[[#This Row],[Water]])</f>
        <v>255.1490819770581</v>
      </c>
      <c r="BP12" s="2">
        <f>Table83[[#This Row],[Weight]]-Table7[[#This Row],[Weight v Water]]</f>
        <v>15.650918022941909</v>
      </c>
      <c r="BQ12" s="2">
        <f>Table7[[#This Row],[Wwater Res]]^2</f>
        <v>244.95123496084787</v>
      </c>
      <c r="BR12">
        <f>Regression!$Y$10+(Regression!$Y$9*Table83[[#This Row],[Fat Calories]])</f>
        <v>255.29455341848649</v>
      </c>
      <c r="BS12" s="2">
        <f>Table83[[#This Row],[Weight]]-Table7[[#This Row],[Weight v Fat Calories]]</f>
        <v>15.505446581513525</v>
      </c>
      <c r="BT12" s="2">
        <f>Table7[[#This Row],[WFC Res]]^2</f>
        <v>240.41887369216946</v>
      </c>
      <c r="BU12">
        <f>Regression!$B$29+(Regression!$B$28*Table83[[#This Row],[Weight]])</f>
        <v>46.590811271984364</v>
      </c>
      <c r="BV12" s="2">
        <f>Table83[[#This Row],[Waist]]-Table7[[#This Row],[Waist v Weight]]</f>
        <v>-9.0811271984364339E-2</v>
      </c>
      <c r="BW12" s="2">
        <f>Table7[[#This Row],[WaistW Res]]^2</f>
        <v>8.2466871194181949E-3</v>
      </c>
      <c r="BX12">
        <f>Regression!$C$29+(Regression!$C$28*Table83[[#This Row],[Neck]])</f>
        <v>45.258648648648581</v>
      </c>
      <c r="BY12" s="2">
        <f>Table83[[#This Row],[Waist]]-Table7[[#This Row],[Waist v Neck]]</f>
        <v>1.2413513513514189</v>
      </c>
      <c r="BZ12" s="2">
        <f>Table7[[#This Row],[WaistN Res]]^2</f>
        <v>1.540953177501994</v>
      </c>
      <c r="CA12">
        <f>Regression!$D$29+(Regression!$D$28*Table83[[#This Row],[Morning Body Temp]])</f>
        <v>44.534185183460714</v>
      </c>
      <c r="CB12" s="2">
        <f>Table83[[#This Row],[Waist]]-Table7[[#This Row],[Waist v Morning Temp]]</f>
        <v>1.9658148165392859</v>
      </c>
      <c r="CC12" s="2">
        <f>Table7[[#This Row],[WaistMT Res]]^2</f>
        <v>3.8644278929253861</v>
      </c>
      <c r="CD12">
        <f>Regression!$E$29+(Regression!$E$28*Table83[[#This Row],[Morning Systolic Pressure]])</f>
        <v>44.407523106424492</v>
      </c>
      <c r="CE12" s="2">
        <f>Table83[[#This Row],[Waist]]-Table7[[#This Row],[Waist v Morning Sys]]</f>
        <v>2.0924768935755083</v>
      </c>
      <c r="CF12" s="2">
        <f>Table7[[#This Row],[WaistMS Res]]^2</f>
        <v>4.3784595501474088</v>
      </c>
      <c r="CG12">
        <f>Regression!$F$29+(Regression!$F$28*Table83[[#This Row],[Morning Diastolic Pressure]])</f>
        <v>44.402096082124572</v>
      </c>
      <c r="CH12" s="2">
        <f>Table83[[#This Row],[Waist]]-Table7[[#This Row],[Waist v Morning Dia]]</f>
        <v>2.0979039178754277</v>
      </c>
      <c r="CI12" s="2">
        <f>Table7[[#This Row],[WaistMD Res]]^2</f>
        <v>4.4012008486370693</v>
      </c>
      <c r="CJ12">
        <f>Regression!$G$29+(Regression!$G$28*Table83[[#This Row],[Morning Pulse]])</f>
        <v>44.45709470780065</v>
      </c>
      <c r="CK12" s="2">
        <f>Table83[[#This Row],[Waist]]-Table7[[#This Row],[Waist v Morning Pulse]]</f>
        <v>2.0429052921993502</v>
      </c>
      <c r="CL12" s="2">
        <f>Table7[[#This Row],[WaistMP Res]]^2</f>
        <v>4.1734620328961123</v>
      </c>
      <c r="CM12">
        <f>Regression!$H$29+(Regression!$H$28*Table83[[#This Row],[Night Body Temp]])</f>
        <v>44.408469335634749</v>
      </c>
      <c r="CN12" s="2">
        <f>Table83[[#This Row],[Waist]]-Table7[[#This Row],[Waist v Night Temp]]</f>
        <v>2.0915306643652514</v>
      </c>
      <c r="CO12" s="2">
        <f>Table7[[#This Row],[WaistNT Res]]^2</f>
        <v>4.3745005199801499</v>
      </c>
      <c r="CP12">
        <f>Regression!$I$29+(Regression!$I$28*Table83[[#This Row],[Night Systolic Pressure]])</f>
        <v>44.558280115584509</v>
      </c>
      <c r="CQ12" s="2">
        <f>Table83[[#This Row],[Waist]]-Table7[[#This Row],[Waist v  Night Sys]]</f>
        <v>1.941719884415491</v>
      </c>
      <c r="CR12" s="2">
        <f>Table7[[#This Row],[WaistNS Res]]^2</f>
        <v>3.7702761095345081</v>
      </c>
      <c r="CS12">
        <f>Regression!$J$29+(Regression!$J$28*Table83[[#This Row],[Night Diastolic Pressure]])</f>
        <v>44.512295846776055</v>
      </c>
      <c r="CT12" s="2">
        <f>Table83[[#This Row],[Waist]]-Table7[[#This Row],[Waist v Night Dia]]</f>
        <v>1.9877041532239446</v>
      </c>
      <c r="CU12" s="2">
        <f>Table7[[#This Row],[WaistND Res]]^2</f>
        <v>3.9509678007437183</v>
      </c>
      <c r="CV12">
        <f>Regression!$K$29+(Regression!$K$28*Table83[[#This Row],[Night Pulse]])</f>
        <v>44.476848850431054</v>
      </c>
      <c r="CW12" s="2">
        <f>Table83[[#This Row],[Waist]]-Table7[[#This Row],[Waist v Night Pulse]]</f>
        <v>2.023151149568946</v>
      </c>
      <c r="CX12" s="2">
        <f>Table7[[#This Row],[WaistNP Res]]^2</f>
        <v>4.093140574002148</v>
      </c>
      <c r="CY12">
        <f>Regression!$L$29+(Regression!$L$28*Table83[[#This Row],[Sleep]])</f>
        <v>44.468916594857014</v>
      </c>
      <c r="CZ12" s="2">
        <f>Table83[[#This Row],[Waist]]-Table7[[#This Row],[Waist v  Sleep]]</f>
        <v>2.0310834051429865</v>
      </c>
      <c r="DA12" s="2">
        <f>Table7[[#This Row],[WaistS Res]]^2</f>
        <v>4.1252997986472293</v>
      </c>
      <c r="DB12">
        <f>Regression!$M$29+(Regression!$M$28*Table83[[#This Row],[BMI]])</f>
        <v>46.590811271977579</v>
      </c>
      <c r="DC12" s="2">
        <f>Table83[[#This Row],[Waist]]-Table7[[#This Row],[Waist v BMI]]</f>
        <v>-9.0811271977578656E-2</v>
      </c>
      <c r="DD12" s="2">
        <f>Table7[[#This Row],[WaistBMI Res]]^2</f>
        <v>8.2466871181857623E-3</v>
      </c>
      <c r="DE12">
        <f>Regression!$N$29+(Regression!$N$28*Table83[[#This Row],[CBF]])</f>
        <v>46.263460020227768</v>
      </c>
      <c r="DF12" s="2">
        <f>Table83[[#This Row],[Waist]]-Table7[[#This Row],[Waist v  CBF]]</f>
        <v>0.23653997977223185</v>
      </c>
      <c r="DG12" s="2">
        <f>Table7[[#This Row],[WaistCBF Res]]^2</f>
        <v>5.5951162030647851E-2</v>
      </c>
      <c r="DH12">
        <f>Regression!$O$29+(Regression!$O$28*Table83[[#This Row],[Gym]])</f>
        <v>44.550847457627107</v>
      </c>
      <c r="DI12" s="2">
        <f>Table83[[#This Row],[Waist]]-Table7[[#This Row],[Waist v  Gym]]</f>
        <v>1.949152542372893</v>
      </c>
      <c r="DJ12" s="2">
        <f>Table7[[#This Row],[WaistGYM Res]]^2</f>
        <v>3.7991956334387127</v>
      </c>
      <c r="DK12">
        <f>Regression!$P$29+(Regression!$P$28*Table83[[#This Row],[Cardio]])</f>
        <v>44.291666666666664</v>
      </c>
      <c r="DL12" s="2">
        <f>Table83[[#This Row],[Waist]]-Table7[[#This Row],[Waist v Cardio]]</f>
        <v>2.2083333333333357</v>
      </c>
      <c r="DM12" s="2">
        <f>Table7[[#This Row],[WaistC Res]]^2</f>
        <v>4.8767361111111214</v>
      </c>
      <c r="DN12">
        <f>Regression!$Q$29+(Regression!$Q$28*Table83[[#This Row],[Calories]])</f>
        <v>44.570073520342518</v>
      </c>
      <c r="DO12" s="2">
        <f>Table83[[#This Row],[Waist]]-Table7[[#This Row],[Waist v Calories]]</f>
        <v>1.9299264796574818</v>
      </c>
      <c r="DP12" s="2">
        <f>Table7[[#This Row],[WaistCal Res]]^2</f>
        <v>3.7246162168831205</v>
      </c>
      <c r="DQ12">
        <f>Regression!$R$29+(Regression!$R$28*Table83[[#This Row],[Carbs]])</f>
        <v>44.635848309105945</v>
      </c>
      <c r="DR12" s="2">
        <f>Table83[[#This Row],[Waist]]-Table7[[#This Row],[Waist v Carbs]]</f>
        <v>1.8641516908940545</v>
      </c>
      <c r="DS12" s="2">
        <f>Table7[[#This Row],[WaistCarb Res]]^2</f>
        <v>3.4750615266631626</v>
      </c>
      <c r="DT12">
        <f>Regression!$S$29+(Regression!$S$28*Table83[[#This Row],[Fat ]])</f>
        <v>44.506495577045413</v>
      </c>
      <c r="DU12" s="2">
        <f>Table83[[#This Row],[Waist]]-Table7[[#This Row],[Waist v Fat]]</f>
        <v>1.9935044229545866</v>
      </c>
      <c r="DV12" s="2">
        <f>Table7[[#This Row],[WaistF Res]]^2</f>
        <v>3.9740598843394994</v>
      </c>
      <c r="DW12">
        <f>Regression!$T$29+(Regression!$T$28*Table83[[#This Row],[Protein]])</f>
        <v>44.432078870667183</v>
      </c>
      <c r="DX12" s="2">
        <f>Table83[[#This Row],[Waist]]-Table7[[#This Row],[Waist v Protein]]</f>
        <v>2.0679211293328166</v>
      </c>
      <c r="DY12" s="2">
        <f>Table7[[#This Row],[WaistP Res]]^2</f>
        <v>4.2762977971411118</v>
      </c>
      <c r="DZ12">
        <f>Regression!$U$29+(Regression!$U$28*Table83[[#This Row],[Fiber]])</f>
        <v>44.376247862931088</v>
      </c>
      <c r="EA12" s="2">
        <f>Table83[[#This Row],[Waist]]-Table7[[#This Row],[Waist v Fiber]]</f>
        <v>2.1237521370689123</v>
      </c>
      <c r="EB12" s="2">
        <f>Table7[[#This Row],[WaistFib Res]]^2</f>
        <v>4.5103231397047718</v>
      </c>
      <c r="EC12">
        <f>Regression!$V$29+(Regression!$V$28*Table83[[#This Row],[Sugar]])</f>
        <v>44.710602025915243</v>
      </c>
      <c r="ED12" s="2">
        <f>Table83[[#This Row],[Waist]]-Table7[[#This Row],[Waist v Sugar]]</f>
        <v>1.789397974084757</v>
      </c>
      <c r="EE12" s="2">
        <f>Table7[[#This Row],[WaistSugar Res]]^2</f>
        <v>3.2019451096586327</v>
      </c>
      <c r="EF12">
        <f>Regression!$W$29+(Regression!$W$28*Table83[[#This Row],[Servings]])</f>
        <v>44.738950883221008</v>
      </c>
      <c r="EG12" s="2">
        <f>Table83[[#This Row],[Waist]]-Table7[[#This Row],[Waist v Servings]]</f>
        <v>1.7610491167789917</v>
      </c>
      <c r="EH12" s="2">
        <f>Table7[[#This Row],[WaistServ Res]]^2</f>
        <v>3.1012939917080669</v>
      </c>
      <c r="EI12">
        <f>Regression!$X$29+(Regression!$X$28*Table83[[#This Row],[Water]])</f>
        <v>44.497966229663206</v>
      </c>
      <c r="EJ12" s="2">
        <f>Table83[[#This Row],[Waist]]-Table7[[#This Row],[Waist v Water]]</f>
        <v>2.0020337703367943</v>
      </c>
      <c r="EK12" s="2">
        <f>Table7[[#This Row],[WaistWat Res]]^2</f>
        <v>4.0081392175689601</v>
      </c>
      <c r="EL12">
        <f>Regression!$Y$29+(Regression!$Y$28*Table83[[#This Row],[Fat Calories]])</f>
        <v>44.508133725875133</v>
      </c>
      <c r="EM12" s="2">
        <f>Table83[[#This Row],[Waist]]-Table7[[#This Row],[Waist v Fat Calories]]</f>
        <v>1.9918662741248667</v>
      </c>
      <c r="EN12" s="2">
        <f>Table7[[#This Row],[WaistFatCal Res]]^2</f>
        <v>3.9675312539960785</v>
      </c>
    </row>
    <row r="13" spans="1:144" x14ac:dyDescent="0.25">
      <c r="A13">
        <f>Regression!$B$10+(Regression!$B$9*Table83[[#This Row],[Waist]])</f>
        <v>263.94216992155748</v>
      </c>
      <c r="B13" s="2">
        <f>Table83[[#This Row],[Weight]]-Table7[[#This Row],[Weight v Waist]]</f>
        <v>4.4578300784424982</v>
      </c>
      <c r="C13" s="2">
        <f>Table7[[#This Row],[Weight v Waist Res]]^2</f>
        <v>19.87224900826665</v>
      </c>
      <c r="D13">
        <f>Regression!$C$10+(Regression!$C$9*Table83[[#This Row],[Neck]])</f>
        <v>260.39308108104251</v>
      </c>
      <c r="E13" s="2">
        <f>Table83[[#This Row],[Weight]]-Table7[[#This Row],[Weight v Neck]]</f>
        <v>8.0069189189574672</v>
      </c>
      <c r="F13" s="2">
        <f>Table7[[#This Row],[WN Res]]^2</f>
        <v>64.11075057475901</v>
      </c>
      <c r="G13">
        <f>Regression!$D$10+(Regression!$D$9*Table83[[#This Row],[Morning Body Temp]])</f>
        <v>254.84837078641723</v>
      </c>
      <c r="H13" s="2">
        <f>Table83[[#This Row],[Weight]]-Table7[[#This Row],[Weight v Morning Temp]]</f>
        <v>13.551629213582743</v>
      </c>
      <c r="I13" s="2">
        <f>Table7[[#This Row],[WMT Res]]^2</f>
        <v>183.64665434242923</v>
      </c>
      <c r="J13">
        <f>Regression!$E$10+(Regression!$E$9*Table83[[#This Row],[Morning Systolic Pressure]])</f>
        <v>255.27979544420887</v>
      </c>
      <c r="K13" s="2">
        <f>Table83[[#This Row],[Weight]]-Table7[[#This Row],[Weight v Morning Sys]]</f>
        <v>13.120204555791105</v>
      </c>
      <c r="L13" s="2">
        <f>Table7[[#This Row],[WMS Res]]^2</f>
        <v>172.13976758580168</v>
      </c>
      <c r="M13">
        <f>Regression!$F$10+(Regression!$F$9*Table83[[#This Row],[Morning Diastolic Pressure]])</f>
        <v>254.79800715011203</v>
      </c>
      <c r="N13" s="2">
        <f>Table83[[#This Row],[Weight]]-Table7[[#This Row],[Weight v Morning Dia]]</f>
        <v>13.601992849887949</v>
      </c>
      <c r="O13" s="2">
        <f>Table7[[#This Row],[WMD Res]]^2</f>
        <v>185.01420948840291</v>
      </c>
      <c r="P13">
        <f>Regression!$G$10+(Regression!$G$9*Table83[[#This Row],[Morning Pulse]])</f>
        <v>255.13557864348473</v>
      </c>
      <c r="Q13" s="2">
        <f>Table83[[#This Row],[Weight]]-Table7[[#This Row],[Weight v Morning Pulse]]</f>
        <v>13.264421356515243</v>
      </c>
      <c r="R13" s="2">
        <f>Table7[[#This Row],[WMP Res]]^2</f>
        <v>175.94487392317768</v>
      </c>
      <c r="S13">
        <f>Regression!$H$10+(Regression!$H$9*Table83[[#This Row],[Night Body Temp]])</f>
        <v>255.36496952993349</v>
      </c>
      <c r="T13" s="2">
        <f>Table83[[#This Row],[Weight]]-Table7[[#This Row],[Weight v Night Temp]]</f>
        <v>13.035030470066488</v>
      </c>
      <c r="U13" s="2">
        <f>Table7[[#This Row],[WNT Res]]^2</f>
        <v>169.91201935556177</v>
      </c>
      <c r="V13">
        <f>Regression!$I$10+(Regression!$I$9*Table83[[#This Row],[Night Systolic Pressure]])</f>
        <v>257.80470224387892</v>
      </c>
      <c r="W13" s="2">
        <f>Table83[[#This Row],[Weight]]-Table7[[#This Row],[Weight v Night Sys]]</f>
        <v>10.595297756121056</v>
      </c>
      <c r="X13" s="2">
        <f>Table7[[#This Row],[WNS Res]]^2</f>
        <v>112.26033454086388</v>
      </c>
      <c r="Y13">
        <f>Regression!$J$10+(Regression!$J$9*Table83[[#This Row],[Night Diastolic Pressure]])</f>
        <v>255.45920918999101</v>
      </c>
      <c r="Z13" s="2">
        <f>Table83[[#This Row],[Weight]]-Table7[[#This Row],[Weight v Night Dia]]</f>
        <v>12.940790810008963</v>
      </c>
      <c r="AA13" s="2">
        <f>Table7[[#This Row],[WND Res]]^2</f>
        <v>167.46406678841242</v>
      </c>
      <c r="AB13">
        <f>Regression!$K$10+(Regression!$K$9*Table83[[#This Row],[Night Pulse]])</f>
        <v>255.14086518997797</v>
      </c>
      <c r="AC13" s="2">
        <f>Table83[[#This Row],[Weight]]-Table7[[#This Row],[Weight v Night Pulse]]</f>
        <v>13.259134810022005</v>
      </c>
      <c r="AD13" s="2">
        <f>Table7[[#This Row],[WNP Res ]]^2</f>
        <v>175.80465591033726</v>
      </c>
      <c r="AE13">
        <f>Regression!$L$10+(Regression!$L$9*Table83[[#This Row],[Sleep]])</f>
        <v>255.29476681906823</v>
      </c>
      <c r="AF13" s="2">
        <f>Table83[[#This Row],[Weight]]-Table7[[#This Row],[Weight v Sleep]]</f>
        <v>13.105233180931748</v>
      </c>
      <c r="AG13" s="2">
        <f>Table7[[#This Row],[WS Res]]^2</f>
        <v>171.74713672659445</v>
      </c>
      <c r="AH13">
        <f>Regression!$M$10+(Regression!$M$9*Table83[[#This Row],[BMI]])</f>
        <v>268.3999999999703</v>
      </c>
      <c r="AI13" s="2">
        <f>Table83[[#This Row],[Weight]]-Table7[[#This Row],[Weight v BMI]]</f>
        <v>2.9672264645341784E-11</v>
      </c>
      <c r="AJ13" s="2">
        <f>Table7[[#This Row],[WBMI Res]]^2</f>
        <v>8.8044328918319997E-22</v>
      </c>
      <c r="AK13">
        <f>Regression!$N$10+(Regression!$N$9*Table83[[#This Row],[CBF]])</f>
        <v>262.24752658837394</v>
      </c>
      <c r="AL13" s="2">
        <f>Table83[[#This Row],[Weight]]-Table7[[#This Row],[Weight v CBF]]</f>
        <v>6.1524734116260333</v>
      </c>
      <c r="AM13" s="2">
        <f>Table7[[#This Row],[WCBF Res]]^2</f>
        <v>37.852929080765279</v>
      </c>
      <c r="AN13">
        <f>Regression!$O$10+(Regression!$O$9*Table83[[#This Row],[Gym]])</f>
        <v>255.46779661016953</v>
      </c>
      <c r="AO13" s="2">
        <f>Table83[[#This Row],[Weight]]-Table7[[#This Row],[Weight v Gym]]</f>
        <v>12.932203389830448</v>
      </c>
      <c r="AP13" s="2">
        <f>Table7[[#This Row],[WG Res]]^2</f>
        <v>167.24188451594213</v>
      </c>
      <c r="AQ13">
        <f>Regression!$P$10+(Regression!$P$9*Table83[[#This Row],[Cardio]])</f>
        <v>256.41063829787231</v>
      </c>
      <c r="AR13" s="2">
        <f>Table83[[#This Row],[Weight]]-Table7[[#This Row],[Weight v Cardio]]</f>
        <v>11.989361702127667</v>
      </c>
      <c r="AS13" s="2">
        <f>Table7[[#This Row],[WC Res]]^2</f>
        <v>143.74479402444561</v>
      </c>
      <c r="AT13">
        <f>Regression!$Q$10+(Regression!$Q$9*Table83[[#This Row],[Calories]])</f>
        <v>255.80908110657938</v>
      </c>
      <c r="AU13" s="2">
        <f>Table83[[#This Row],[Weight]]-Table7[[#This Row],[Weight v Calories]]</f>
        <v>12.590918893420593</v>
      </c>
      <c r="AV13" s="2">
        <f>Table7[[#This Row],[WCAL Res]]^2</f>
        <v>158.53123858069566</v>
      </c>
      <c r="AW13">
        <f>Regression!$R$10+(Regression!$R$9*Table83[[#This Row],[Carbs]])</f>
        <v>256.01465036726609</v>
      </c>
      <c r="AX13" s="2">
        <f>Table83[[#This Row],[Weight]]-Table7[[#This Row],[Weight v Carbs]]</f>
        <v>12.385349632733892</v>
      </c>
      <c r="AY13" s="2">
        <f>Table7[[#This Row],[Wcarb Res]]^2</f>
        <v>153.39688552506155</v>
      </c>
      <c r="AZ13">
        <f>Regression!$S$10+(Regression!$S$9*Table83[[#This Row],[Fat ]])</f>
        <v>255.41584160024695</v>
      </c>
      <c r="BA13" s="2">
        <f>Table83[[#This Row],[Weight]]-Table7[[#This Row],[Weight v Fat]]</f>
        <v>12.984158399753028</v>
      </c>
      <c r="BB13" s="2">
        <f>Table7[[#This Row],[WF Res]]^2</f>
        <v>168.5883693498771</v>
      </c>
      <c r="BC13">
        <f>Regression!$T$10+(Regression!$T$9*Table83[[#This Row],[Protein]])</f>
        <v>255.57481662910374</v>
      </c>
      <c r="BD13" s="2">
        <f>Table83[[#This Row],[Weight]]-Table7[[#This Row],[Weight v Protein]]</f>
        <v>12.825183370896241</v>
      </c>
      <c r="BE13" s="2">
        <f>Table7[[#This Row],[WP Res]]^2</f>
        <v>164.48532849711347</v>
      </c>
      <c r="BF13">
        <f>Regression!$U$10+(Regression!$U$9*Table83[[#This Row],[Fiber]])</f>
        <v>254.87732511131759</v>
      </c>
      <c r="BG13" s="2">
        <f>Table83[[#This Row],[Weight]]-Table7[[#This Row],[Weight v Fiber]]</f>
        <v>13.522674888682388</v>
      </c>
      <c r="BH13" s="2">
        <f>Table7[[#This Row],[Wfib Res]]^2</f>
        <v>182.86273614500124</v>
      </c>
      <c r="BI13">
        <f>Regression!$V$10+(Regression!$V$9*Table83[[#This Row],[Sugar]])</f>
        <v>256.60862021255809</v>
      </c>
      <c r="BJ13" s="2">
        <f>Table83[[#This Row],[Weight]]-Table7[[#This Row],[Weight v Sugar]]</f>
        <v>11.791379787441883</v>
      </c>
      <c r="BK13" s="2">
        <f>Table7[[#This Row],[Wsugar Res]]^2</f>
        <v>139.03663729169298</v>
      </c>
      <c r="BL13">
        <f>Regression!$W$10+(Regression!$W$9*Table83[[#This Row],[Servings]])</f>
        <v>256.95690129314698</v>
      </c>
      <c r="BM13" s="2">
        <f>Table83[[#This Row],[Weight]]-Table7[[#This Row],[Weight v Servings]]</f>
        <v>11.443098706852993</v>
      </c>
      <c r="BN13" s="2">
        <f>Table7[[#This Row],[Wserv Res]]^2</f>
        <v>130.94450801478064</v>
      </c>
      <c r="BO13">
        <f>Regression!$X$10+(Regression!$X$9*Table83[[#This Row],[Water]])</f>
        <v>255.10626599365665</v>
      </c>
      <c r="BP13" s="2">
        <f>Table83[[#This Row],[Weight]]-Table7[[#This Row],[Weight v Water]]</f>
        <v>13.293734006343328</v>
      </c>
      <c r="BQ13" s="2">
        <f>Table7[[#This Row],[Wwater Res]]^2</f>
        <v>176.72336383140905</v>
      </c>
      <c r="BR13">
        <f>Regression!$Y$10+(Regression!$Y$9*Table83[[#This Row],[Fat Calories]])</f>
        <v>255.4303066971315</v>
      </c>
      <c r="BS13" s="2">
        <f>Table83[[#This Row],[Weight]]-Table7[[#This Row],[Weight v Fat Calories]]</f>
        <v>12.969693302868478</v>
      </c>
      <c r="BT13" s="2">
        <f>Table7[[#This Row],[WFC Res]]^2</f>
        <v>168.21294437047146</v>
      </c>
      <c r="BU13">
        <f>Regression!$B$29+(Regression!$B$28*Table83[[#This Row],[Weight]])</f>
        <v>46.263781246616404</v>
      </c>
      <c r="BV13" s="2">
        <f>Table83[[#This Row],[Waist]]-Table7[[#This Row],[Waist v Weight]]</f>
        <v>-0.26378124661640356</v>
      </c>
      <c r="BW13" s="2">
        <f>Table7[[#This Row],[WaistW Res]]^2</f>
        <v>6.958054606650392E-2</v>
      </c>
      <c r="BX13">
        <f>Regression!$C$29+(Regression!$C$28*Table83[[#This Row],[Neck]])</f>
        <v>45.258648648648581</v>
      </c>
      <c r="BY13" s="2">
        <f>Table83[[#This Row],[Waist]]-Table7[[#This Row],[Waist v Neck]]</f>
        <v>0.74135135135141894</v>
      </c>
      <c r="BZ13" s="2">
        <f>Table7[[#This Row],[WaistN Res]]^2</f>
        <v>0.54960182615057507</v>
      </c>
      <c r="CA13">
        <f>Regression!$D$29+(Regression!$D$28*Table83[[#This Row],[Morning Body Temp]])</f>
        <v>44.381010678053698</v>
      </c>
      <c r="CB13" s="2">
        <f>Table83[[#This Row],[Waist]]-Table7[[#This Row],[Waist v Morning Temp]]</f>
        <v>1.6189893219463016</v>
      </c>
      <c r="CC13" s="2">
        <f>Table7[[#This Row],[WaistMT Res]]^2</f>
        <v>2.6211264245761456</v>
      </c>
      <c r="CD13">
        <f>Regression!$E$29+(Regression!$E$28*Table83[[#This Row],[Morning Systolic Pressure]])</f>
        <v>44.492246348363913</v>
      </c>
      <c r="CE13" s="2">
        <f>Table83[[#This Row],[Waist]]-Table7[[#This Row],[Waist v Morning Sys]]</f>
        <v>1.5077536516360865</v>
      </c>
      <c r="CF13" s="2">
        <f>Table7[[#This Row],[WaistMS Res]]^2</f>
        <v>2.2733210740219536</v>
      </c>
      <c r="CG13">
        <f>Regression!$F$29+(Regression!$F$28*Table83[[#This Row],[Morning Diastolic Pressure]])</f>
        <v>44.435909806137701</v>
      </c>
      <c r="CH13" s="2">
        <f>Table83[[#This Row],[Waist]]-Table7[[#This Row],[Waist v Morning Dia]]</f>
        <v>1.5640901938622989</v>
      </c>
      <c r="CI13" s="2">
        <f>Table7[[#This Row],[WaistMD Res]]^2</f>
        <v>2.4463781345362037</v>
      </c>
      <c r="CJ13">
        <f>Regression!$G$29+(Regression!$G$28*Table83[[#This Row],[Morning Pulse]])</f>
        <v>44.462971225815949</v>
      </c>
      <c r="CK13" s="2">
        <f>Table83[[#This Row],[Waist]]-Table7[[#This Row],[Waist v Morning Pulse]]</f>
        <v>1.5370287741840514</v>
      </c>
      <c r="CL13" s="2">
        <f>Table7[[#This Row],[WaistMP Res]]^2</f>
        <v>2.3624574526697275</v>
      </c>
      <c r="CM13">
        <f>Regression!$H$29+(Regression!$H$28*Table83[[#This Row],[Night Body Temp]])</f>
        <v>44.473244726073837</v>
      </c>
      <c r="CN13" s="2">
        <f>Table83[[#This Row],[Waist]]-Table7[[#This Row],[Waist v Night Temp]]</f>
        <v>1.5267552739261632</v>
      </c>
      <c r="CO13" s="2">
        <f>Table7[[#This Row],[WaistNT Res]]^2</f>
        <v>2.3309816664613536</v>
      </c>
      <c r="CP13">
        <f>Regression!$I$29+(Regression!$I$28*Table83[[#This Row],[Night Systolic Pressure]])</f>
        <v>44.834542287771164</v>
      </c>
      <c r="CQ13" s="2">
        <f>Table83[[#This Row],[Waist]]-Table7[[#This Row],[Waist v  Night Sys]]</f>
        <v>1.1654577122288359</v>
      </c>
      <c r="CR13" s="2">
        <f>Table7[[#This Row],[WaistNS Res]]^2</f>
        <v>1.3582916789936721</v>
      </c>
      <c r="CS13">
        <f>Regression!$J$29+(Regression!$J$28*Table83[[#This Row],[Night Diastolic Pressure]])</f>
        <v>44.597635572813267</v>
      </c>
      <c r="CT13" s="2">
        <f>Table83[[#This Row],[Waist]]-Table7[[#This Row],[Waist v Night Dia]]</f>
        <v>1.4023644271867326</v>
      </c>
      <c r="CU13" s="2">
        <f>Table7[[#This Row],[WaistND Res]]^2</f>
        <v>1.9666259866387725</v>
      </c>
      <c r="CV13">
        <f>Regression!$K$29+(Regression!$K$28*Table83[[#This Row],[Night Pulse]])</f>
        <v>44.451138133632369</v>
      </c>
      <c r="CW13" s="2">
        <f>Table83[[#This Row],[Waist]]-Table7[[#This Row],[Waist v Night Pulse]]</f>
        <v>1.5488618663676306</v>
      </c>
      <c r="CX13" s="2">
        <f>Table7[[#This Row],[WaistNP Res]]^2</f>
        <v>2.3989730810878198</v>
      </c>
      <c r="CY13">
        <f>Regression!$L$29+(Regression!$L$28*Table83[[#This Row],[Sleep]])</f>
        <v>44.480941336855928</v>
      </c>
      <c r="CZ13" s="2">
        <f>Table83[[#This Row],[Waist]]-Table7[[#This Row],[Waist v  Sleep]]</f>
        <v>1.5190586631440723</v>
      </c>
      <c r="DA13" s="2">
        <f>Table7[[#This Row],[WaistS Res]]^2</f>
        <v>2.3075392220730562</v>
      </c>
      <c r="DB13">
        <f>Regression!$M$29+(Regression!$M$28*Table83[[#This Row],[BMI]])</f>
        <v>46.263781246610655</v>
      </c>
      <c r="DC13" s="2">
        <f>Table83[[#This Row],[Waist]]-Table7[[#This Row],[Waist v BMI]]</f>
        <v>-0.26378124661065527</v>
      </c>
      <c r="DD13" s="2">
        <f>Table7[[#This Row],[WaistBMI Res]]^2</f>
        <v>6.9580546063471332E-2</v>
      </c>
      <c r="DE13">
        <f>Regression!$N$29+(Regression!$N$28*Table83[[#This Row],[CBF]])</f>
        <v>45.737892076427137</v>
      </c>
      <c r="DF13" s="2">
        <f>Table83[[#This Row],[Waist]]-Table7[[#This Row],[Waist v  CBF]]</f>
        <v>0.26210792357286294</v>
      </c>
      <c r="DG13" s="2">
        <f>Table7[[#This Row],[WaistCBF Res]]^2</f>
        <v>6.8700563599677758E-2</v>
      </c>
      <c r="DH13">
        <f>Regression!$O$29+(Regression!$O$28*Table83[[#This Row],[Gym]])</f>
        <v>44.550847457627107</v>
      </c>
      <c r="DI13" s="2">
        <f>Table83[[#This Row],[Waist]]-Table7[[#This Row],[Waist v  Gym]]</f>
        <v>1.449152542372893</v>
      </c>
      <c r="DJ13" s="2">
        <f>Table7[[#This Row],[WaistGYM Res]]^2</f>
        <v>2.1000430910658197</v>
      </c>
      <c r="DK13">
        <f>Regression!$P$29+(Regression!$P$28*Table83[[#This Row],[Cardio]])</f>
        <v>44.680851063829778</v>
      </c>
      <c r="DL13" s="2">
        <f>Table83[[#This Row],[Waist]]-Table7[[#This Row],[Waist v Cardio]]</f>
        <v>1.3191489361702224</v>
      </c>
      <c r="DM13" s="2">
        <f>Table7[[#This Row],[WaistC Res]]^2</f>
        <v>1.7401539157990296</v>
      </c>
      <c r="DN13">
        <f>Regression!$Q$29+(Regression!$Q$28*Table83[[#This Row],[Calories]])</f>
        <v>44.609474511675764</v>
      </c>
      <c r="DO13" s="2">
        <f>Table83[[#This Row],[Waist]]-Table7[[#This Row],[Waist v Calories]]</f>
        <v>1.3905254883242364</v>
      </c>
      <c r="DP13" s="2">
        <f>Table7[[#This Row],[WaistCal Res]]^2</f>
        <v>1.9335611336793561</v>
      </c>
      <c r="DQ13">
        <f>Regression!$R$29+(Regression!$R$28*Table83[[#This Row],[Carbs]])</f>
        <v>44.640832308112536</v>
      </c>
      <c r="DR13" s="2">
        <f>Table83[[#This Row],[Waist]]-Table7[[#This Row],[Waist v Carbs]]</f>
        <v>1.359167691887464</v>
      </c>
      <c r="DS13" s="2">
        <f>Table7[[#This Row],[WaistCarb Res]]^2</f>
        <v>1.8473368146706963</v>
      </c>
      <c r="DT13">
        <f>Regression!$S$29+(Regression!$S$28*Table83[[#This Row],[Fat ]])</f>
        <v>44.545487207968399</v>
      </c>
      <c r="DU13" s="2">
        <f>Table83[[#This Row],[Waist]]-Table7[[#This Row],[Waist v Fat]]</f>
        <v>1.4545127920316006</v>
      </c>
      <c r="DV13" s="2">
        <f>Table7[[#This Row],[WaistF Res]]^2</f>
        <v>2.1156074621835619</v>
      </c>
      <c r="DW13">
        <f>Regression!$T$29+(Regression!$T$28*Table83[[#This Row],[Protein]])</f>
        <v>44.537695247702217</v>
      </c>
      <c r="DX13" s="2">
        <f>Table83[[#This Row],[Waist]]-Table7[[#This Row],[Waist v Protein]]</f>
        <v>1.4623047522977828</v>
      </c>
      <c r="DY13" s="2">
        <f>Table7[[#This Row],[WaistP Res]]^2</f>
        <v>2.1383351885926798</v>
      </c>
      <c r="DZ13">
        <f>Regression!$U$29+(Regression!$U$28*Table83[[#This Row],[Fiber]])</f>
        <v>44.361813528326195</v>
      </c>
      <c r="EA13" s="2">
        <f>Table83[[#This Row],[Waist]]-Table7[[#This Row],[Waist v Fiber]]</f>
        <v>1.638186471673805</v>
      </c>
      <c r="EB13" s="2">
        <f>Table7[[#This Row],[WaistFib Res]]^2</f>
        <v>2.6836549159750707</v>
      </c>
      <c r="EC13">
        <f>Regression!$V$29+(Regression!$V$28*Table83[[#This Row],[Sugar]])</f>
        <v>44.721844087186888</v>
      </c>
      <c r="ED13" s="2">
        <f>Table83[[#This Row],[Waist]]-Table7[[#This Row],[Waist v Sugar]]</f>
        <v>1.2781559128131121</v>
      </c>
      <c r="EE13" s="2">
        <f>Table7[[#This Row],[WaistSugar Res]]^2</f>
        <v>1.63368253745912</v>
      </c>
      <c r="EF13">
        <f>Regression!$W$29+(Regression!$W$28*Table83[[#This Row],[Servings]])</f>
        <v>44.734576522800822</v>
      </c>
      <c r="EG13" s="2">
        <f>Table83[[#This Row],[Waist]]-Table7[[#This Row],[Waist v Servings]]</f>
        <v>1.2654234771991781</v>
      </c>
      <c r="EH13" s="2">
        <f>Table7[[#This Row],[WaistServ Res]]^2</f>
        <v>1.601296576646859</v>
      </c>
      <c r="EI13">
        <f>Regression!$X$29+(Regression!$X$28*Table83[[#This Row],[Water]])</f>
        <v>44.442082352251923</v>
      </c>
      <c r="EJ13" s="2">
        <f>Table83[[#This Row],[Waist]]-Table7[[#This Row],[Waist v Water]]</f>
        <v>1.5579176477480772</v>
      </c>
      <c r="EK13" s="2">
        <f>Table7[[#This Row],[WaistWat Res]]^2</f>
        <v>2.4271073971649018</v>
      </c>
      <c r="EL13">
        <f>Regression!$Y$29+(Regression!$Y$28*Table83[[#This Row],[Fat Calories]])</f>
        <v>44.549420203213742</v>
      </c>
      <c r="EM13" s="2">
        <f>Table83[[#This Row],[Waist]]-Table7[[#This Row],[Waist v Fat Calories]]</f>
        <v>1.4505797967862577</v>
      </c>
      <c r="EN13" s="2">
        <f>Table7[[#This Row],[WaistFatCal Res]]^2</f>
        <v>2.1041817468444606</v>
      </c>
    </row>
    <row r="14" spans="1:144" x14ac:dyDescent="0.25">
      <c r="A14">
        <f>Regression!$B$10+(Regression!$B$9*Table83[[#This Row],[Waist]])</f>
        <v>266.7961476072112</v>
      </c>
      <c r="B14" s="2">
        <f>Table83[[#This Row],[Weight]]-Table7[[#This Row],[Weight v Waist]]</f>
        <v>-0.19614760721117364</v>
      </c>
      <c r="C14" s="2">
        <f>Table7[[#This Row],[Weight v Waist Res]]^2</f>
        <v>3.8473883814668854E-2</v>
      </c>
      <c r="D14">
        <f>Regression!$C$10+(Regression!$C$9*Table83[[#This Row],[Neck]])</f>
        <v>260.39308108104251</v>
      </c>
      <c r="E14" s="2">
        <f>Table83[[#This Row],[Weight]]-Table7[[#This Row],[Weight v Neck]]</f>
        <v>6.2069189189575127</v>
      </c>
      <c r="F14" s="2">
        <f>Table7[[#This Row],[WN Res]]^2</f>
        <v>38.5258424665127</v>
      </c>
      <c r="G14">
        <f>Regression!$D$10+(Regression!$D$9*Table83[[#This Row],[Morning Body Temp]])</f>
        <v>255.12996500330669</v>
      </c>
      <c r="H14" s="2">
        <f>Table83[[#This Row],[Weight]]-Table7[[#This Row],[Weight v Morning Temp]]</f>
        <v>11.470034996693329</v>
      </c>
      <c r="I14" s="2">
        <f>Table7[[#This Row],[WMT Res]]^2</f>
        <v>131.56170282536974</v>
      </c>
      <c r="J14">
        <f>Regression!$E$10+(Regression!$E$9*Table83[[#This Row],[Morning Systolic Pressure]])</f>
        <v>255.32487264807224</v>
      </c>
      <c r="K14" s="2">
        <f>Table83[[#This Row],[Weight]]-Table7[[#This Row],[Weight v Morning Sys]]</f>
        <v>11.275127351927779</v>
      </c>
      <c r="L14" s="2">
        <f>Table7[[#This Row],[WMS Res]]^2</f>
        <v>127.12849680218993</v>
      </c>
      <c r="M14">
        <f>Regression!$F$10+(Regression!$F$9*Table83[[#This Row],[Morning Diastolic Pressure]])</f>
        <v>254.8993513991569</v>
      </c>
      <c r="N14" s="2">
        <f>Table83[[#This Row],[Weight]]-Table7[[#This Row],[Weight v Morning Dia]]</f>
        <v>11.700648600843124</v>
      </c>
      <c r="O14" s="2">
        <f>Table7[[#This Row],[WMD Res]]^2</f>
        <v>136.90517768041215</v>
      </c>
      <c r="P14">
        <f>Regression!$G$10+(Regression!$G$9*Table83[[#This Row],[Morning Pulse]])</f>
        <v>255.12278407318442</v>
      </c>
      <c r="Q14" s="2">
        <f>Table83[[#This Row],[Weight]]-Table7[[#This Row],[Weight v Morning Pulse]]</f>
        <v>11.477215926815603</v>
      </c>
      <c r="R14" s="2">
        <f>Table7[[#This Row],[WMP Res]]^2</f>
        <v>131.72648543074973</v>
      </c>
      <c r="S14">
        <f>Regression!$H$10+(Regression!$H$9*Table83[[#This Row],[Night Body Temp]])</f>
        <v>255.15957638897012</v>
      </c>
      <c r="T14" s="2">
        <f>Table83[[#This Row],[Weight]]-Table7[[#This Row],[Weight v Night Temp]]</f>
        <v>11.4404236110299</v>
      </c>
      <c r="U14" s="2">
        <f>Table7[[#This Row],[WNT Res]]^2</f>
        <v>130.88329239981041</v>
      </c>
      <c r="V14">
        <f>Regression!$I$10+(Regression!$I$9*Table83[[#This Row],[Night Systolic Pressure]])</f>
        <v>254.10948821885404</v>
      </c>
      <c r="W14" s="2">
        <f>Table83[[#This Row],[Weight]]-Table7[[#This Row],[Weight v Night Sys]]</f>
        <v>12.490511781145983</v>
      </c>
      <c r="X14" s="2">
        <f>Table7[[#This Row],[WNS Res]]^2</f>
        <v>156.0128845549466</v>
      </c>
      <c r="Y14">
        <f>Regression!$J$10+(Regression!$J$9*Table83[[#This Row],[Night Diastolic Pressure]])</f>
        <v>255.29614571632661</v>
      </c>
      <c r="Z14" s="2">
        <f>Table83[[#This Row],[Weight]]-Table7[[#This Row],[Weight v Night Dia]]</f>
        <v>11.303854283673417</v>
      </c>
      <c r="AA14" s="2">
        <f>Table7[[#This Row],[WND Res]]^2</f>
        <v>127.77712166652185</v>
      </c>
      <c r="AB14">
        <f>Regression!$K$10+(Regression!$K$9*Table83[[#This Row],[Night Pulse]])</f>
        <v>255.26371851492488</v>
      </c>
      <c r="AC14" s="2">
        <f>Table83[[#This Row],[Weight]]-Table7[[#This Row],[Weight v Night Pulse]]</f>
        <v>11.336281485075148</v>
      </c>
      <c r="AD14" s="2">
        <f>Table7[[#This Row],[WNP Res ]]^2</f>
        <v>128.51127790885761</v>
      </c>
      <c r="AE14">
        <f>Regression!$L$10+(Regression!$L$9*Table83[[#This Row],[Sleep]])</f>
        <v>255.13702972738133</v>
      </c>
      <c r="AF14" s="2">
        <f>Table83[[#This Row],[Weight]]-Table7[[#This Row],[Weight v Sleep]]</f>
        <v>11.462970272618691</v>
      </c>
      <c r="AG14" s="2">
        <f>Table7[[#This Row],[WS Res]]^2</f>
        <v>131.39968747093982</v>
      </c>
      <c r="AH14">
        <f>Regression!$M$10+(Regression!$M$9*Table83[[#This Row],[BMI]])</f>
        <v>266.59999999997433</v>
      </c>
      <c r="AI14" s="2">
        <f>Table83[[#This Row],[Weight]]-Table7[[#This Row],[Weight v BMI]]</f>
        <v>2.5693225325085223E-11</v>
      </c>
      <c r="AJ14" s="2">
        <f>Table7[[#This Row],[WBMI Res]]^2</f>
        <v>6.6014182760560065E-22</v>
      </c>
      <c r="AK14">
        <f>Regression!$N$10+(Regression!$N$9*Table83[[#This Row],[CBF]])</f>
        <v>265.16619945865489</v>
      </c>
      <c r="AL14" s="2">
        <f>Table83[[#This Row],[Weight]]-Table7[[#This Row],[Weight v CBF]]</f>
        <v>1.4338005413451356</v>
      </c>
      <c r="AM14" s="2">
        <f>Table7[[#This Row],[WCBF Res]]^2</f>
        <v>2.0557839923616039</v>
      </c>
      <c r="AN14">
        <f>Regression!$O$10+(Regression!$O$9*Table83[[#This Row],[Gym]])</f>
        <v>255.46779661016953</v>
      </c>
      <c r="AO14" s="2">
        <f>Table83[[#This Row],[Weight]]-Table7[[#This Row],[Weight v Gym]]</f>
        <v>11.132203389830494</v>
      </c>
      <c r="AP14" s="2">
        <f>Table7[[#This Row],[WG Res]]^2</f>
        <v>123.92595231255353</v>
      </c>
      <c r="AQ14">
        <f>Regression!$P$10+(Regression!$P$9*Table83[[#This Row],[Cardio]])</f>
        <v>256.41063829787231</v>
      </c>
      <c r="AR14" s="2">
        <f>Table83[[#This Row],[Weight]]-Table7[[#This Row],[Weight v Cardio]]</f>
        <v>10.189361702127712</v>
      </c>
      <c r="AS14" s="2">
        <f>Table7[[#This Row],[WC Res]]^2</f>
        <v>103.82309189678695</v>
      </c>
      <c r="AT14">
        <f>Regression!$Q$10+(Regression!$Q$9*Table83[[#This Row],[Calories]])</f>
        <v>255.15673210716884</v>
      </c>
      <c r="AU14" s="2">
        <f>Table83[[#This Row],[Weight]]-Table7[[#This Row],[Weight v Calories]]</f>
        <v>11.443267892831187</v>
      </c>
      <c r="AV14" s="2">
        <f>Table7[[#This Row],[WCAL Res]]^2</f>
        <v>130.94838006710111</v>
      </c>
      <c r="AW14">
        <f>Regression!$R$10+(Regression!$R$9*Table83[[#This Row],[Carbs]])</f>
        <v>255.46087563948643</v>
      </c>
      <c r="AX14" s="2">
        <f>Table83[[#This Row],[Weight]]-Table7[[#This Row],[Weight v Carbs]]</f>
        <v>11.139124360513591</v>
      </c>
      <c r="AY14" s="2">
        <f>Table7[[#This Row],[Wcarb Res]]^2</f>
        <v>124.08009151898732</v>
      </c>
      <c r="AZ14">
        <f>Regression!$S$10+(Regression!$S$9*Table83[[#This Row],[Fat ]])</f>
        <v>254.9841974885606</v>
      </c>
      <c r="BA14" s="2">
        <f>Table83[[#This Row],[Weight]]-Table7[[#This Row],[Weight v Fat]]</f>
        <v>11.615802511439426</v>
      </c>
      <c r="BB14" s="2">
        <f>Table7[[#This Row],[WF Res]]^2</f>
        <v>134.92686798476248</v>
      </c>
      <c r="BC14">
        <f>Regression!$T$10+(Regression!$T$9*Table83[[#This Row],[Protein]])</f>
        <v>254.78931254513182</v>
      </c>
      <c r="BD14" s="2">
        <f>Table83[[#This Row],[Weight]]-Table7[[#This Row],[Weight v Protein]]</f>
        <v>11.810687454868201</v>
      </c>
      <c r="BE14" s="2">
        <f>Table7[[#This Row],[WP Res]]^2</f>
        <v>139.49233815658113</v>
      </c>
      <c r="BF14">
        <f>Regression!$U$10+(Regression!$U$9*Table83[[#This Row],[Fiber]])</f>
        <v>254.92522796644602</v>
      </c>
      <c r="BG14" s="2">
        <f>Table83[[#This Row],[Weight]]-Table7[[#This Row],[Weight v Fiber]]</f>
        <v>11.674772033554007</v>
      </c>
      <c r="BH14" s="2">
        <f>Table7[[#This Row],[Wfib Res]]^2</f>
        <v>136.30030203545476</v>
      </c>
      <c r="BI14">
        <f>Regression!$V$10+(Regression!$V$9*Table83[[#This Row],[Sugar]])</f>
        <v>255.89110535257353</v>
      </c>
      <c r="BJ14" s="2">
        <f>Table83[[#This Row],[Weight]]-Table7[[#This Row],[Weight v Sugar]]</f>
        <v>10.70889464742649</v>
      </c>
      <c r="BK14" s="2">
        <f>Table7[[#This Row],[Wsugar Res]]^2</f>
        <v>114.68042456967973</v>
      </c>
      <c r="BL14">
        <f>Regression!$W$10+(Regression!$W$9*Table83[[#This Row],[Servings]])</f>
        <v>256.66065843766495</v>
      </c>
      <c r="BM14" s="2">
        <f>Table83[[#This Row],[Weight]]-Table7[[#This Row],[Weight v Servings]]</f>
        <v>9.9393415623350734</v>
      </c>
      <c r="BN14" s="2">
        <f>Table7[[#This Row],[Wserv Res]]^2</f>
        <v>98.790510692761416</v>
      </c>
      <c r="BO14">
        <f>Regression!$X$10+(Regression!$X$9*Table83[[#This Row],[Water]])</f>
        <v>255.19189796045953</v>
      </c>
      <c r="BP14" s="2">
        <f>Table83[[#This Row],[Weight]]-Table7[[#This Row],[Weight v Water]]</f>
        <v>11.408102039540495</v>
      </c>
      <c r="BQ14" s="2">
        <f>Table7[[#This Row],[Wwater Res]]^2</f>
        <v>130.14479214456799</v>
      </c>
      <c r="BR14">
        <f>Regression!$Y$10+(Regression!$Y$9*Table83[[#This Row],[Fat Calories]])</f>
        <v>254.97092877416554</v>
      </c>
      <c r="BS14" s="2">
        <f>Table83[[#This Row],[Weight]]-Table7[[#This Row],[Weight v Fat Calories]]</f>
        <v>11.62907122583448</v>
      </c>
      <c r="BT14" s="2">
        <f>Table7[[#This Row],[WFC Res]]^2</f>
        <v>135.23529757553146</v>
      </c>
      <c r="BU14">
        <f>Regression!$B$29+(Regression!$B$28*Table83[[#This Row],[Weight]])</f>
        <v>46.018508727590444</v>
      </c>
      <c r="BV14" s="2">
        <f>Table83[[#This Row],[Waist]]-Table7[[#This Row],[Waist v Weight]]</f>
        <v>0.48149127240955636</v>
      </c>
      <c r="BW14" s="2">
        <f>Table7[[#This Row],[WaistW Res]]^2</f>
        <v>0.23183384540657362</v>
      </c>
      <c r="BX14">
        <f>Regression!$C$29+(Regression!$C$28*Table83[[#This Row],[Neck]])</f>
        <v>45.258648648648581</v>
      </c>
      <c r="BY14" s="2">
        <f>Table83[[#This Row],[Waist]]-Table7[[#This Row],[Waist v Neck]]</f>
        <v>1.2413513513514189</v>
      </c>
      <c r="BZ14" s="2">
        <f>Table7[[#This Row],[WaistN Res]]^2</f>
        <v>1.540953177501994</v>
      </c>
      <c r="CA14">
        <f>Regression!$D$29+(Regression!$D$28*Table83[[#This Row],[Morning Body Temp]])</f>
        <v>44.457597930757203</v>
      </c>
      <c r="CB14" s="2">
        <f>Table83[[#This Row],[Waist]]-Table7[[#This Row],[Waist v Morning Temp]]</f>
        <v>2.0424020692427973</v>
      </c>
      <c r="CC14" s="2">
        <f>Table7[[#This Row],[WaistMT Res]]^2</f>
        <v>4.17140621244726</v>
      </c>
      <c r="CD14">
        <f>Regression!$E$29+(Regression!$E$28*Table83[[#This Row],[Morning Systolic Pressure]])</f>
        <v>44.502836753606339</v>
      </c>
      <c r="CE14" s="2">
        <f>Table83[[#This Row],[Waist]]-Table7[[#This Row],[Waist v Morning Sys]]</f>
        <v>1.9971632463936615</v>
      </c>
      <c r="CF14" s="2">
        <f>Table7[[#This Row],[WaistMS Res]]^2</f>
        <v>3.9886610327456689</v>
      </c>
      <c r="CG14">
        <f>Regression!$F$29+(Regression!$F$28*Table83[[#This Row],[Morning Diastolic Pressure]])</f>
        <v>44.441545426806556</v>
      </c>
      <c r="CH14" s="2">
        <f>Table83[[#This Row],[Waist]]-Table7[[#This Row],[Waist v Morning Dia]]</f>
        <v>2.058454573193444</v>
      </c>
      <c r="CI14" s="2">
        <f>Table7[[#This Row],[WaistMD Res]]^2</f>
        <v>4.2372352299010041</v>
      </c>
      <c r="CJ14">
        <f>Regression!$G$29+(Regression!$G$28*Table83[[#This Row],[Morning Pulse]])</f>
        <v>44.45709470780065</v>
      </c>
      <c r="CK14" s="2">
        <f>Table83[[#This Row],[Waist]]-Table7[[#This Row],[Waist v Morning Pulse]]</f>
        <v>2.0429052921993502</v>
      </c>
      <c r="CL14" s="2">
        <f>Table7[[#This Row],[WaistMP Res]]^2</f>
        <v>4.1734620328961123</v>
      </c>
      <c r="CM14">
        <f>Regression!$H$29+(Regression!$H$28*Table83[[#This Row],[Night Body Temp]])</f>
        <v>44.457050878464067</v>
      </c>
      <c r="CN14" s="2">
        <f>Table83[[#This Row],[Waist]]-Table7[[#This Row],[Waist v Night Temp]]</f>
        <v>2.0429491215359334</v>
      </c>
      <c r="CO14" s="2">
        <f>Table7[[#This Row],[WaistNT Res]]^2</f>
        <v>4.1736411131844422</v>
      </c>
      <c r="CP14">
        <f>Regression!$I$29+(Regression!$I$28*Table83[[#This Row],[Night Systolic Pressure]])</f>
        <v>44.311098172049078</v>
      </c>
      <c r="CQ14" s="2">
        <f>Table83[[#This Row],[Waist]]-Table7[[#This Row],[Waist v  Night Sys]]</f>
        <v>2.1889018279509216</v>
      </c>
      <c r="CR14" s="2">
        <f>Table7[[#This Row],[WaistNS Res]]^2</f>
        <v>4.791291212406886</v>
      </c>
      <c r="CS14">
        <f>Regression!$J$29+(Regression!$J$28*Table83[[#This Row],[Night Diastolic Pressure]])</f>
        <v>44.529363791983499</v>
      </c>
      <c r="CT14" s="2">
        <f>Table83[[#This Row],[Waist]]-Table7[[#This Row],[Waist v Night Dia]]</f>
        <v>1.9706362080165007</v>
      </c>
      <c r="CU14" s="2">
        <f>Table7[[#This Row],[WaistND Res]]^2</f>
        <v>3.8834070643456533</v>
      </c>
      <c r="CV14">
        <f>Regression!$K$29+(Regression!$K$28*Table83[[#This Row],[Night Pulse]])</f>
        <v>44.439711148388511</v>
      </c>
      <c r="CW14" s="2">
        <f>Table83[[#This Row],[Waist]]-Table7[[#This Row],[Waist v Night Pulse]]</f>
        <v>2.0602888516114888</v>
      </c>
      <c r="CX14" s="2">
        <f>Table7[[#This Row],[WaistNP Res]]^2</f>
        <v>4.2447901520745877</v>
      </c>
      <c r="CY14">
        <f>Regression!$L$29+(Regression!$L$28*Table83[[#This Row],[Sleep]])</f>
        <v>44.456891852858099</v>
      </c>
      <c r="CZ14" s="2">
        <f>Table83[[#This Row],[Waist]]-Table7[[#This Row],[Waist v  Sleep]]</f>
        <v>2.0431081471419006</v>
      </c>
      <c r="DA14" s="2">
        <f>Table7[[#This Row],[WaistS Res]]^2</f>
        <v>4.1742909009176099</v>
      </c>
      <c r="DB14">
        <f>Regression!$M$29+(Regression!$M$28*Table83[[#This Row],[BMI]])</f>
        <v>46.01850872758547</v>
      </c>
      <c r="DC14" s="2">
        <f>Table83[[#This Row],[Waist]]-Table7[[#This Row],[Waist v BMI]]</f>
        <v>0.48149127241453016</v>
      </c>
      <c r="DD14" s="2">
        <f>Table7[[#This Row],[WaistBMI Res]]^2</f>
        <v>0.23183384541136329</v>
      </c>
      <c r="DE14">
        <f>Regression!$N$29+(Regression!$N$28*Table83[[#This Row],[CBF]])</f>
        <v>46.263460020227768</v>
      </c>
      <c r="DF14" s="2">
        <f>Table83[[#This Row],[Waist]]-Table7[[#This Row],[Waist v  CBF]]</f>
        <v>0.23653997977223185</v>
      </c>
      <c r="DG14" s="2">
        <f>Table7[[#This Row],[WaistCBF Res]]^2</f>
        <v>5.5951162030647851E-2</v>
      </c>
      <c r="DH14">
        <f>Regression!$O$29+(Regression!$O$28*Table83[[#This Row],[Gym]])</f>
        <v>44.550847457627107</v>
      </c>
      <c r="DI14" s="2">
        <f>Table83[[#This Row],[Waist]]-Table7[[#This Row],[Waist v  Gym]]</f>
        <v>1.949152542372893</v>
      </c>
      <c r="DJ14" s="2">
        <f>Table7[[#This Row],[WaistGYM Res]]^2</f>
        <v>3.7991956334387127</v>
      </c>
      <c r="DK14">
        <f>Regression!$P$29+(Regression!$P$28*Table83[[#This Row],[Cardio]])</f>
        <v>44.680851063829778</v>
      </c>
      <c r="DL14" s="2">
        <f>Table83[[#This Row],[Waist]]-Table7[[#This Row],[Waist v Cardio]]</f>
        <v>1.8191489361702224</v>
      </c>
      <c r="DM14" s="2">
        <f>Table7[[#This Row],[WaistC Res]]^2</f>
        <v>3.3093028519692522</v>
      </c>
      <c r="DN14">
        <f>Regression!$Q$29+(Regression!$Q$28*Table83[[#This Row],[Calories]])</f>
        <v>44.462906160389103</v>
      </c>
      <c r="DO14" s="2">
        <f>Table83[[#This Row],[Waist]]-Table7[[#This Row],[Waist v Calories]]</f>
        <v>2.0370938396108969</v>
      </c>
      <c r="DP14" s="2">
        <f>Table7[[#This Row],[WaistCal Res]]^2</f>
        <v>4.1497513113806663</v>
      </c>
      <c r="DQ14">
        <f>Regression!$R$29+(Regression!$R$28*Table83[[#This Row],[Carbs]])</f>
        <v>44.525539800972169</v>
      </c>
      <c r="DR14" s="2">
        <f>Table83[[#This Row],[Waist]]-Table7[[#This Row],[Waist v Carbs]]</f>
        <v>1.9744601990278312</v>
      </c>
      <c r="DS14" s="2">
        <f>Table7[[#This Row],[WaistCarb Res]]^2</f>
        <v>3.8984930775450226</v>
      </c>
      <c r="DT14">
        <f>Regression!$S$29+(Regression!$S$28*Table83[[#This Row],[Fat ]])</f>
        <v>44.413542737785136</v>
      </c>
      <c r="DU14" s="2">
        <f>Table83[[#This Row],[Waist]]-Table7[[#This Row],[Waist v Fat]]</f>
        <v>2.0864572622148643</v>
      </c>
      <c r="DV14" s="2">
        <f>Table7[[#This Row],[WaistF Res]]^2</f>
        <v>4.3533039070491473</v>
      </c>
      <c r="DW14">
        <f>Regression!$T$29+(Regression!$T$28*Table83[[#This Row],[Protein]])</f>
        <v>44.393918821645848</v>
      </c>
      <c r="DX14" s="2">
        <f>Table83[[#This Row],[Waist]]-Table7[[#This Row],[Waist v Protein]]</f>
        <v>2.1060811783541524</v>
      </c>
      <c r="DY14" s="2">
        <f>Table7[[#This Row],[WaistP Res]]^2</f>
        <v>4.4355779298176152</v>
      </c>
      <c r="DZ14">
        <f>Regression!$U$29+(Regression!$U$28*Table83[[#This Row],[Fiber]])</f>
        <v>44.38029732172582</v>
      </c>
      <c r="EA14" s="2">
        <f>Table83[[#This Row],[Waist]]-Table7[[#This Row],[Waist v Fiber]]</f>
        <v>2.1197026782741801</v>
      </c>
      <c r="EB14" s="2">
        <f>Table7[[#This Row],[WaistFib Res]]^2</f>
        <v>4.4931394442827326</v>
      </c>
      <c r="EC14">
        <f>Regression!$V$29+(Regression!$V$28*Table83[[#This Row],[Sugar]])</f>
        <v>44.592950545053206</v>
      </c>
      <c r="ED14" s="2">
        <f>Table83[[#This Row],[Waist]]-Table7[[#This Row],[Waist v Sugar]]</f>
        <v>1.9070494549467938</v>
      </c>
      <c r="EE14" s="2">
        <f>Table7[[#This Row],[WaistSugar Res]]^2</f>
        <v>3.6368376236128634</v>
      </c>
      <c r="EF14">
        <f>Regression!$W$29+(Regression!$W$28*Table83[[#This Row],[Servings]])</f>
        <v>44.689374798458864</v>
      </c>
      <c r="EG14" s="2">
        <f>Table83[[#This Row],[Waist]]-Table7[[#This Row],[Waist v Servings]]</f>
        <v>1.8106252015411357</v>
      </c>
      <c r="EH14" s="2">
        <f>Table7[[#This Row],[WaistServ Res]]^2</f>
        <v>3.2783636204558784</v>
      </c>
      <c r="EI14">
        <f>Regression!$X$29+(Regression!$X$28*Table83[[#This Row],[Water]])</f>
        <v>44.553850107074496</v>
      </c>
      <c r="EJ14" s="2">
        <f>Table83[[#This Row],[Waist]]-Table7[[#This Row],[Waist v Water]]</f>
        <v>1.9461498929255043</v>
      </c>
      <c r="EK14" s="2">
        <f>Table7[[#This Row],[WaistWat Res]]^2</f>
        <v>3.7874994057339522</v>
      </c>
      <c r="EL14">
        <f>Regression!$Y$29+(Regression!$Y$28*Table83[[#This Row],[Fat Calories]])</f>
        <v>44.409710161616964</v>
      </c>
      <c r="EM14" s="2">
        <f>Table83[[#This Row],[Waist]]-Table7[[#This Row],[Waist v Fat Calories]]</f>
        <v>2.0902898383830362</v>
      </c>
      <c r="EN14" s="2">
        <f>Table7[[#This Row],[WaistFatCal Res]]^2</f>
        <v>4.3693116084473793</v>
      </c>
    </row>
    <row r="15" spans="1:144" x14ac:dyDescent="0.25">
      <c r="A15">
        <f>Regression!$B$10+(Regression!$B$9*Table83[[#This Row],[Waist]])</f>
        <v>263.94216992155748</v>
      </c>
      <c r="B15" s="2">
        <f>Table83[[#This Row],[Weight]]-Table7[[#This Row],[Weight v Waist]]</f>
        <v>5.6578300784425437</v>
      </c>
      <c r="C15" s="2">
        <f>Table7[[#This Row],[Weight v Waist Res]]^2</f>
        <v>32.011041196529163</v>
      </c>
      <c r="D15">
        <f>Regression!$C$10+(Regression!$C$9*Table83[[#This Row],[Neck]])</f>
        <v>260.39308108104251</v>
      </c>
      <c r="E15" s="2">
        <f>Table83[[#This Row],[Weight]]-Table7[[#This Row],[Weight v Neck]]</f>
        <v>9.2069189189575127</v>
      </c>
      <c r="F15" s="2">
        <f>Table7[[#This Row],[WN Res]]^2</f>
        <v>84.767355980257776</v>
      </c>
      <c r="G15">
        <f>Regression!$D$10+(Regression!$D$9*Table83[[#This Row],[Morning Body Temp]])</f>
        <v>254.91876934063959</v>
      </c>
      <c r="H15" s="2">
        <f>Table83[[#This Row],[Weight]]-Table7[[#This Row],[Weight v Morning Temp]]</f>
        <v>14.681230659360438</v>
      </c>
      <c r="I15" s="2">
        <f>Table7[[#This Row],[WMT Res]]^2</f>
        <v>215.53853367334492</v>
      </c>
      <c r="J15">
        <f>Regression!$E$10+(Regression!$E$9*Table83[[#This Row],[Morning Systolic Pressure]])</f>
        <v>255.86579909443284</v>
      </c>
      <c r="K15" s="2">
        <f>Table83[[#This Row],[Weight]]-Table7[[#This Row],[Weight v Morning Sys]]</f>
        <v>13.734200905567178</v>
      </c>
      <c r="L15" s="2">
        <f>Table7[[#This Row],[WMS Res]]^2</f>
        <v>188.62827451448229</v>
      </c>
      <c r="M15">
        <f>Regression!$F$10+(Regression!$F$9*Table83[[#This Row],[Morning Diastolic Pressure]])</f>
        <v>255.20338414629154</v>
      </c>
      <c r="N15" s="2">
        <f>Table83[[#This Row],[Weight]]-Table7[[#This Row],[Weight v Morning Dia]]</f>
        <v>14.396615853708482</v>
      </c>
      <c r="O15" s="2">
        <f>Table7[[#This Row],[WMD Res]]^2</f>
        <v>207.26254803925042</v>
      </c>
      <c r="P15">
        <f>Regression!$G$10+(Regression!$G$9*Table83[[#This Row],[Morning Pulse]])</f>
        <v>255.13192305197038</v>
      </c>
      <c r="Q15" s="2">
        <f>Table83[[#This Row],[Weight]]-Table7[[#This Row],[Weight v Morning Pulse]]</f>
        <v>14.468076948029648</v>
      </c>
      <c r="R15" s="2">
        <f>Table7[[#This Row],[WMP Res]]^2</f>
        <v>209.32525057410689</v>
      </c>
      <c r="S15">
        <f>Regression!$H$10+(Regression!$H$9*Table83[[#This Row],[Night Body Temp]])</f>
        <v>255.05687981848845</v>
      </c>
      <c r="T15" s="2">
        <f>Table83[[#This Row],[Weight]]-Table7[[#This Row],[Weight v Night Temp]]</f>
        <v>14.543120181511568</v>
      </c>
      <c r="U15" s="2">
        <f>Table7[[#This Row],[WNT Res]]^2</f>
        <v>211.50234461388908</v>
      </c>
      <c r="V15">
        <f>Regression!$I$10+(Regression!$I$9*Table83[[#This Row],[Night Systolic Pressure]])</f>
        <v>258.21528157999285</v>
      </c>
      <c r="W15" s="2">
        <f>Table83[[#This Row],[Weight]]-Table7[[#This Row],[Weight v Night Sys]]</f>
        <v>11.384718420007175</v>
      </c>
      <c r="X15" s="2">
        <f>Table7[[#This Row],[WNS Res]]^2</f>
        <v>129.61181350285068</v>
      </c>
      <c r="Y15">
        <f>Regression!$J$10+(Regression!$J$9*Table83[[#This Row],[Night Diastolic Pressure]])</f>
        <v>255.86686787415204</v>
      </c>
      <c r="Z15" s="2">
        <f>Table83[[#This Row],[Weight]]-Table7[[#This Row],[Weight v Night Dia]]</f>
        <v>13.733132125847987</v>
      </c>
      <c r="AA15" s="2">
        <f>Table7[[#This Row],[WND Res]]^2</f>
        <v>188.59891798599807</v>
      </c>
      <c r="AB15">
        <f>Regression!$K$10+(Regression!$K$9*Table83[[#This Row],[Night Pulse]])</f>
        <v>254.71087855266379</v>
      </c>
      <c r="AC15" s="2">
        <f>Table83[[#This Row],[Weight]]-Table7[[#This Row],[Weight v Night Pulse]]</f>
        <v>14.889121447336237</v>
      </c>
      <c r="AD15" s="2">
        <f>Table7[[#This Row],[WNP Res ]]^2</f>
        <v>221.6859374735279</v>
      </c>
      <c r="AE15">
        <f>Regression!$L$10+(Regression!$L$9*Table83[[#This Row],[Sleep]])</f>
        <v>255.29476681906823</v>
      </c>
      <c r="AF15" s="2">
        <f>Table83[[#This Row],[Weight]]-Table7[[#This Row],[Weight v Sleep]]</f>
        <v>14.305233180931793</v>
      </c>
      <c r="AG15" s="2">
        <f>Table7[[#This Row],[WS Res]]^2</f>
        <v>204.63969636083195</v>
      </c>
      <c r="AH15">
        <f>Regression!$M$10+(Regression!$M$9*Table83[[#This Row],[BMI]])</f>
        <v>269.59999999996774</v>
      </c>
      <c r="AI15" s="2">
        <f>Table83[[#This Row],[Weight]]-Table7[[#This Row],[Weight v BMI]]</f>
        <v>3.2287061912938952E-11</v>
      </c>
      <c r="AJ15" s="2">
        <f>Table7[[#This Row],[WBMI Res]]^2</f>
        <v>1.0424543669699531E-21</v>
      </c>
      <c r="AK15">
        <f>Regression!$N$10+(Regression!$N$9*Table83[[#This Row],[CBF]])</f>
        <v>262.24752658837394</v>
      </c>
      <c r="AL15" s="2">
        <f>Table83[[#This Row],[Weight]]-Table7[[#This Row],[Weight v CBF]]</f>
        <v>7.3524734116260788</v>
      </c>
      <c r="AM15" s="2">
        <f>Table7[[#This Row],[WCBF Res]]^2</f>
        <v>54.058865268668434</v>
      </c>
      <c r="AN15">
        <f>Regression!$O$10+(Regression!$O$9*Table83[[#This Row],[Gym]])</f>
        <v>255.46779661016953</v>
      </c>
      <c r="AO15" s="2">
        <f>Table83[[#This Row],[Weight]]-Table7[[#This Row],[Weight v Gym]]</f>
        <v>14.132203389830494</v>
      </c>
      <c r="AP15" s="2">
        <f>Table7[[#This Row],[WG Res]]^2</f>
        <v>199.7191726515365</v>
      </c>
      <c r="AQ15">
        <f>Regression!$P$10+(Regression!$P$9*Table83[[#This Row],[Cardio]])</f>
        <v>256.41063829787231</v>
      </c>
      <c r="AR15" s="2">
        <f>Table83[[#This Row],[Weight]]-Table7[[#This Row],[Weight v Cardio]]</f>
        <v>13.189361702127712</v>
      </c>
      <c r="AS15" s="2">
        <f>Table7[[#This Row],[WC Res]]^2</f>
        <v>173.95926210955324</v>
      </c>
      <c r="AT15">
        <f>Regression!$Q$10+(Regression!$Q$9*Table83[[#This Row],[Calories]])</f>
        <v>255.5682721568202</v>
      </c>
      <c r="AU15" s="2">
        <f>Table83[[#This Row],[Weight]]-Table7[[#This Row],[Weight v Calories]]</f>
        <v>14.031727843179823</v>
      </c>
      <c r="AV15" s="2">
        <f>Table7[[#This Row],[WCAL Res]]^2</f>
        <v>196.88938626506788</v>
      </c>
      <c r="AW15">
        <f>Regression!$R$10+(Regression!$R$9*Table83[[#This Row],[Carbs]])</f>
        <v>255.7158951945236</v>
      </c>
      <c r="AX15" s="2">
        <f>Table83[[#This Row],[Weight]]-Table7[[#This Row],[Weight v Carbs]]</f>
        <v>13.884104805476426</v>
      </c>
      <c r="AY15" s="2">
        <f>Table7[[#This Row],[Wcarb Res]]^2</f>
        <v>192.76836624945358</v>
      </c>
      <c r="AZ15">
        <f>Regression!$S$10+(Regression!$S$9*Table83[[#This Row],[Fat ]])</f>
        <v>255.24945189785674</v>
      </c>
      <c r="BA15" s="2">
        <f>Table83[[#This Row],[Weight]]-Table7[[#This Row],[Weight v Fat]]</f>
        <v>14.350548102143279</v>
      </c>
      <c r="BB15" s="2">
        <f>Table7[[#This Row],[WF Res]]^2</f>
        <v>205.93823083192805</v>
      </c>
      <c r="BC15">
        <f>Regression!$T$10+(Regression!$T$9*Table83[[#This Row],[Protein]])</f>
        <v>255.90467010495885</v>
      </c>
      <c r="BD15" s="2">
        <f>Table83[[#This Row],[Weight]]-Table7[[#This Row],[Weight v Protein]]</f>
        <v>13.695329895041169</v>
      </c>
      <c r="BE15" s="2">
        <f>Table7[[#This Row],[WP Res]]^2</f>
        <v>187.56206093400837</v>
      </c>
      <c r="BF15">
        <f>Regression!$U$10+(Regression!$U$9*Table83[[#This Row],[Fiber]])</f>
        <v>254.96557058496481</v>
      </c>
      <c r="BG15" s="2">
        <f>Table83[[#This Row],[Weight]]-Table7[[#This Row],[Weight v Fiber]]</f>
        <v>14.634429415035214</v>
      </c>
      <c r="BH15" s="2">
        <f>Table7[[#This Row],[Wfib Res]]^2</f>
        <v>214.16652430364792</v>
      </c>
      <c r="BI15">
        <f>Regression!$V$10+(Regression!$V$9*Table83[[#This Row],[Sugar]])</f>
        <v>256.55734775283349</v>
      </c>
      <c r="BJ15" s="2">
        <f>Table83[[#This Row],[Weight]]-Table7[[#This Row],[Weight v Sugar]]</f>
        <v>13.042652247166529</v>
      </c>
      <c r="BK15" s="2">
        <f>Table7[[#This Row],[Wsugar Res]]^2</f>
        <v>170.11077764051811</v>
      </c>
      <c r="BL15">
        <f>Regression!$W$10+(Regression!$W$9*Table83[[#This Row],[Servings]])</f>
        <v>256.8804515239903</v>
      </c>
      <c r="BM15" s="2">
        <f>Table83[[#This Row],[Weight]]-Table7[[#This Row],[Weight v Servings]]</f>
        <v>12.71954847600972</v>
      </c>
      <c r="BN15" s="2">
        <f>Table7[[#This Row],[Wserv Res]]^2</f>
        <v>161.78691343356118</v>
      </c>
      <c r="BO15">
        <f>Regression!$X$10+(Regression!$X$9*Table83[[#This Row],[Water]])</f>
        <v>255.19189796045953</v>
      </c>
      <c r="BP15" s="2">
        <f>Table83[[#This Row],[Weight]]-Table7[[#This Row],[Weight v Water]]</f>
        <v>14.408102039540495</v>
      </c>
      <c r="BQ15" s="2">
        <f>Table7[[#This Row],[Wwater Res]]^2</f>
        <v>207.59340438181096</v>
      </c>
      <c r="BR15">
        <f>Regression!$Y$10+(Regression!$Y$9*Table83[[#This Row],[Fat Calories]])</f>
        <v>255.25322619535351</v>
      </c>
      <c r="BS15" s="2">
        <f>Table83[[#This Row],[Weight]]-Table7[[#This Row],[Weight v Fat Calories]]</f>
        <v>14.346773804646517</v>
      </c>
      <c r="BT15" s="2">
        <f>Table7[[#This Row],[WFC Res]]^2</f>
        <v>205.8299186016915</v>
      </c>
      <c r="BU15">
        <f>Regression!$B$29+(Regression!$B$28*Table83[[#This Row],[Weight]])</f>
        <v>46.427296259300391</v>
      </c>
      <c r="BV15" s="2">
        <f>Table83[[#This Row],[Waist]]-Table7[[#This Row],[Waist v Weight]]</f>
        <v>-0.42729625930039106</v>
      </c>
      <c r="BW15" s="2">
        <f>Table7[[#This Row],[WaistW Res]]^2</f>
        <v>0.18258209321210703</v>
      </c>
      <c r="BX15">
        <f>Regression!$C$29+(Regression!$C$28*Table83[[#This Row],[Neck]])</f>
        <v>45.258648648648581</v>
      </c>
      <c r="BY15" s="2">
        <f>Table83[[#This Row],[Waist]]-Table7[[#This Row],[Waist v Neck]]</f>
        <v>0.74135135135141894</v>
      </c>
      <c r="BZ15" s="2">
        <f>Table7[[#This Row],[WaistN Res]]^2</f>
        <v>0.54960182615057507</v>
      </c>
      <c r="CA15">
        <f>Regression!$D$29+(Regression!$D$28*Table83[[#This Row],[Morning Body Temp]])</f>
        <v>44.400157491229571</v>
      </c>
      <c r="CB15" s="2">
        <f>Table83[[#This Row],[Waist]]-Table7[[#This Row],[Waist v Morning Temp]]</f>
        <v>1.5998425087704291</v>
      </c>
      <c r="CC15" s="2">
        <f>Table7[[#This Row],[WaistMT Res]]^2</f>
        <v>2.5594960528688606</v>
      </c>
      <c r="CD15">
        <f>Regression!$E$29+(Regression!$E$28*Table83[[#This Row],[Morning Systolic Pressure]])</f>
        <v>44.62992161651546</v>
      </c>
      <c r="CE15" s="2">
        <f>Table83[[#This Row],[Waist]]-Table7[[#This Row],[Waist v Morning Sys]]</f>
        <v>1.3700783834845396</v>
      </c>
      <c r="CF15" s="2">
        <f>Table7[[#This Row],[WaistMS Res]]^2</f>
        <v>1.8771147768916092</v>
      </c>
      <c r="CG15">
        <f>Regression!$F$29+(Regression!$F$28*Table83[[#This Row],[Morning Diastolic Pressure]])</f>
        <v>44.458452288813113</v>
      </c>
      <c r="CH15" s="2">
        <f>Table83[[#This Row],[Waist]]-Table7[[#This Row],[Waist v Morning Dia]]</f>
        <v>1.5415477111868867</v>
      </c>
      <c r="CI15" s="2">
        <f>Table7[[#This Row],[WaistMD Res]]^2</f>
        <v>2.3763693458655291</v>
      </c>
      <c r="CJ15">
        <f>Regression!$G$29+(Regression!$G$28*Table83[[#This Row],[Morning Pulse]])</f>
        <v>44.461292220668717</v>
      </c>
      <c r="CK15" s="2">
        <f>Table83[[#This Row],[Waist]]-Table7[[#This Row],[Waist v Morning Pulse]]</f>
        <v>1.5387077793312827</v>
      </c>
      <c r="CL15" s="2">
        <f>Table7[[#This Row],[WaistMP Res]]^2</f>
        <v>2.3676216301746074</v>
      </c>
      <c r="CM15">
        <f>Regression!$H$29+(Regression!$H$28*Table83[[#This Row],[Night Body Temp]])</f>
        <v>44.448953954659181</v>
      </c>
      <c r="CN15" s="2">
        <f>Table83[[#This Row],[Waist]]-Table7[[#This Row],[Waist v Night Temp]]</f>
        <v>1.5510460453408186</v>
      </c>
      <c r="CO15" s="2">
        <f>Table7[[#This Row],[WaistNT Res]]^2</f>
        <v>2.4057438347673927</v>
      </c>
      <c r="CP15">
        <f>Regression!$I$29+(Regression!$I$28*Table83[[#This Row],[Night Systolic Pressure]])</f>
        <v>44.892702745073613</v>
      </c>
      <c r="CQ15" s="2">
        <f>Table83[[#This Row],[Waist]]-Table7[[#This Row],[Waist v  Night Sys]]</f>
        <v>1.1072972549263866</v>
      </c>
      <c r="CR15" s="2">
        <f>Table7[[#This Row],[WaistNS Res]]^2</f>
        <v>1.2261072107675113</v>
      </c>
      <c r="CS15">
        <f>Regression!$J$29+(Regression!$J$28*Table83[[#This Row],[Night Diastolic Pressure]])</f>
        <v>44.768315024887691</v>
      </c>
      <c r="CT15" s="2">
        <f>Table83[[#This Row],[Waist]]-Table7[[#This Row],[Waist v Night Dia]]</f>
        <v>1.2316849751123087</v>
      </c>
      <c r="CU15" s="2">
        <f>Table7[[#This Row],[WaistND Res]]^2</f>
        <v>1.5170478779174084</v>
      </c>
      <c r="CV15">
        <f>Regression!$K$29+(Regression!$K$28*Table83[[#This Row],[Night Pulse]])</f>
        <v>44.49113258198588</v>
      </c>
      <c r="CW15" s="2">
        <f>Table83[[#This Row],[Waist]]-Table7[[#This Row],[Waist v Night Pulse]]</f>
        <v>1.5088674180141197</v>
      </c>
      <c r="CX15" s="2">
        <f>Table7[[#This Row],[WaistNP Res]]^2</f>
        <v>2.2766808851445961</v>
      </c>
      <c r="CY15">
        <f>Regression!$L$29+(Regression!$L$28*Table83[[#This Row],[Sleep]])</f>
        <v>44.480941336855928</v>
      </c>
      <c r="CZ15" s="2">
        <f>Table83[[#This Row],[Waist]]-Table7[[#This Row],[Waist v  Sleep]]</f>
        <v>1.5190586631440723</v>
      </c>
      <c r="DA15" s="2">
        <f>Table7[[#This Row],[WaistS Res]]^2</f>
        <v>2.3075392220730562</v>
      </c>
      <c r="DB15">
        <f>Regression!$M$29+(Regression!$M$28*Table83[[#This Row],[BMI]])</f>
        <v>46.427296259294124</v>
      </c>
      <c r="DC15" s="2">
        <f>Table83[[#This Row],[Waist]]-Table7[[#This Row],[Waist v BMI]]</f>
        <v>-0.42729625929412407</v>
      </c>
      <c r="DD15" s="2">
        <f>Table7[[#This Row],[WaistBMI Res]]^2</f>
        <v>0.18258209320675131</v>
      </c>
      <c r="DE15">
        <f>Regression!$N$29+(Regression!$N$28*Table83[[#This Row],[CBF]])</f>
        <v>45.737892076427137</v>
      </c>
      <c r="DF15" s="2">
        <f>Table83[[#This Row],[Waist]]-Table7[[#This Row],[Waist v  CBF]]</f>
        <v>0.26210792357286294</v>
      </c>
      <c r="DG15" s="2">
        <f>Table7[[#This Row],[WaistCBF Res]]^2</f>
        <v>6.8700563599677758E-2</v>
      </c>
      <c r="DH15">
        <f>Regression!$O$29+(Regression!$O$28*Table83[[#This Row],[Gym]])</f>
        <v>44.550847457627107</v>
      </c>
      <c r="DI15" s="2">
        <f>Table83[[#This Row],[Waist]]-Table7[[#This Row],[Waist v  Gym]]</f>
        <v>1.449152542372893</v>
      </c>
      <c r="DJ15" s="2">
        <f>Table7[[#This Row],[WaistGYM Res]]^2</f>
        <v>2.1000430910658197</v>
      </c>
      <c r="DK15">
        <f>Regression!$P$29+(Regression!$P$28*Table83[[#This Row],[Cardio]])</f>
        <v>44.680851063829778</v>
      </c>
      <c r="DL15" s="2">
        <f>Table83[[#This Row],[Waist]]-Table7[[#This Row],[Waist v Cardio]]</f>
        <v>1.3191489361702224</v>
      </c>
      <c r="DM15" s="2">
        <f>Table7[[#This Row],[WaistC Res]]^2</f>
        <v>1.7401539157990296</v>
      </c>
      <c r="DN15">
        <f>Regression!$Q$29+(Regression!$Q$28*Table83[[#This Row],[Calories]])</f>
        <v>44.555370081726203</v>
      </c>
      <c r="DO15" s="2">
        <f>Table83[[#This Row],[Waist]]-Table7[[#This Row],[Waist v Calories]]</f>
        <v>1.4446299182737974</v>
      </c>
      <c r="DP15" s="2">
        <f>Table7[[#This Row],[WaistCal Res]]^2</f>
        <v>2.0869556007717587</v>
      </c>
      <c r="DQ15">
        <f>Regression!$R$29+(Regression!$R$28*Table83[[#This Row],[Carbs]])</f>
        <v>44.578633310652435</v>
      </c>
      <c r="DR15" s="2">
        <f>Table83[[#This Row],[Waist]]-Table7[[#This Row],[Waist v Carbs]]</f>
        <v>1.4213666893475647</v>
      </c>
      <c r="DS15" s="2">
        <f>Table7[[#This Row],[WaistCarb Res]]^2</f>
        <v>2.0202832655868566</v>
      </c>
      <c r="DT15">
        <f>Regression!$S$29+(Regression!$S$28*Table83[[#This Row],[Fat ]])</f>
        <v>44.494625397204771</v>
      </c>
      <c r="DU15" s="2">
        <f>Table83[[#This Row],[Waist]]-Table7[[#This Row],[Waist v Fat]]</f>
        <v>1.5053746027952286</v>
      </c>
      <c r="DV15" s="2">
        <f>Table7[[#This Row],[WaistF Res]]^2</f>
        <v>2.2661526947408923</v>
      </c>
      <c r="DW15">
        <f>Regression!$T$29+(Regression!$T$28*Table83[[#This Row],[Protein]])</f>
        <v>44.598070686669907</v>
      </c>
      <c r="DX15" s="2">
        <f>Table83[[#This Row],[Waist]]-Table7[[#This Row],[Waist v Protein]]</f>
        <v>1.4019293133300934</v>
      </c>
      <c r="DY15" s="2">
        <f>Table7[[#This Row],[WaistP Res]]^2</f>
        <v>1.9654057995741872</v>
      </c>
      <c r="DZ15">
        <f>Regression!$U$29+(Regression!$U$28*Table83[[#This Row],[Fiber]])</f>
        <v>44.395863922587118</v>
      </c>
      <c r="EA15" s="2">
        <f>Table83[[#This Row],[Waist]]-Table7[[#This Row],[Waist v Fiber]]</f>
        <v>1.6041360774128819</v>
      </c>
      <c r="EB15" s="2">
        <f>Table7[[#This Row],[WaistFib Res]]^2</f>
        <v>2.5732525548575875</v>
      </c>
      <c r="EC15">
        <f>Regression!$V$29+(Regression!$V$28*Table83[[#This Row],[Sugar]])</f>
        <v>44.712633561640487</v>
      </c>
      <c r="ED15" s="2">
        <f>Table83[[#This Row],[Waist]]-Table7[[#This Row],[Waist v Sugar]]</f>
        <v>1.2873664383595127</v>
      </c>
      <c r="EE15" s="2">
        <f>Table7[[#This Row],[WaistSugar Res]]^2</f>
        <v>1.657312346614457</v>
      </c>
      <c r="EF15">
        <f>Regression!$W$29+(Regression!$W$28*Table83[[#This Row],[Servings]])</f>
        <v>44.722911561680313</v>
      </c>
      <c r="EG15" s="2">
        <f>Table83[[#This Row],[Waist]]-Table7[[#This Row],[Waist v Servings]]</f>
        <v>1.2770884383196872</v>
      </c>
      <c r="EH15" s="2">
        <f>Table7[[#This Row],[WaistServ Res]]^2</f>
        <v>1.6309548792898176</v>
      </c>
      <c r="EI15">
        <f>Regression!$X$29+(Regression!$X$28*Table83[[#This Row],[Water]])</f>
        <v>44.553850107074496</v>
      </c>
      <c r="EJ15" s="2">
        <f>Table83[[#This Row],[Waist]]-Table7[[#This Row],[Waist v Water]]</f>
        <v>1.4461498929255043</v>
      </c>
      <c r="EK15" s="2">
        <f>Table7[[#This Row],[WaistWat Res]]^2</f>
        <v>2.0913495128084478</v>
      </c>
      <c r="EL15">
        <f>Regression!$Y$29+(Regression!$Y$28*Table83[[#This Row],[Fat Calories]])</f>
        <v>44.495564928433339</v>
      </c>
      <c r="EM15" s="2">
        <f>Table83[[#This Row],[Waist]]-Table7[[#This Row],[Waist v Fat Calories]]</f>
        <v>1.504435071566661</v>
      </c>
      <c r="EN15" s="2">
        <f>Table7[[#This Row],[WaistFatCal Res]]^2</f>
        <v>2.2633248845597844</v>
      </c>
    </row>
    <row r="16" spans="1:144" x14ac:dyDescent="0.25">
      <c r="A16">
        <f>Regression!$B$10+(Regression!$B$9*Table83[[#This Row],[Waist]])</f>
        <v>263.94216992155748</v>
      </c>
      <c r="B16" s="2">
        <f>Table83[[#This Row],[Weight]]-Table7[[#This Row],[Weight v Waist]]</f>
        <v>3.6578300784425437</v>
      </c>
      <c r="C16" s="2">
        <f>Table7[[#This Row],[Weight v Waist Res]]^2</f>
        <v>13.379720882758985</v>
      </c>
      <c r="D16">
        <f>Regression!$C$10+(Regression!$C$9*Table83[[#This Row],[Neck]])</f>
        <v>260.39308108104251</v>
      </c>
      <c r="E16" s="2">
        <f>Table83[[#This Row],[Weight]]-Table7[[#This Row],[Weight v Neck]]</f>
        <v>7.2069189189575127</v>
      </c>
      <c r="F16" s="2">
        <f>Table7[[#This Row],[WN Res]]^2</f>
        <v>51.939680304427725</v>
      </c>
      <c r="G16">
        <f>Regression!$D$10+(Regression!$D$9*Table83[[#This Row],[Morning Body Temp]])</f>
        <v>254.98916789486196</v>
      </c>
      <c r="H16" s="2">
        <f>Table83[[#This Row],[Weight]]-Table7[[#This Row],[Weight v Morning Temp]]</f>
        <v>12.610832105138059</v>
      </c>
      <c r="I16" s="2">
        <f>Table7[[#This Row],[WMT Res]]^2</f>
        <v>159.03308638398079</v>
      </c>
      <c r="J16">
        <f>Regression!$E$10+(Regression!$E$9*Table83[[#This Row],[Morning Systolic Pressure]])</f>
        <v>255.32487264807224</v>
      </c>
      <c r="K16" s="2">
        <f>Table83[[#This Row],[Weight]]-Table7[[#This Row],[Weight v Morning Sys]]</f>
        <v>12.275127351927779</v>
      </c>
      <c r="L16" s="2">
        <f>Table7[[#This Row],[WMS Res]]^2</f>
        <v>150.67875150604547</v>
      </c>
      <c r="M16">
        <f>Regression!$F$10+(Regression!$F$9*Table83[[#This Row],[Morning Diastolic Pressure]])</f>
        <v>255.20338414629154</v>
      </c>
      <c r="N16" s="2">
        <f>Table83[[#This Row],[Weight]]-Table7[[#This Row],[Weight v Morning Dia]]</f>
        <v>12.396615853708482</v>
      </c>
      <c r="O16" s="2">
        <f>Table7[[#This Row],[WMD Res]]^2</f>
        <v>153.67608462441649</v>
      </c>
      <c r="P16">
        <f>Regression!$G$10+(Regression!$G$9*Table83[[#This Row],[Morning Pulse]])</f>
        <v>255.1246118689416</v>
      </c>
      <c r="Q16" s="2">
        <f>Table83[[#This Row],[Weight]]-Table7[[#This Row],[Weight v Morning Pulse]]</f>
        <v>12.475388131058423</v>
      </c>
      <c r="R16" s="2">
        <f>Table7[[#This Row],[WMP Res]]^2</f>
        <v>155.63530902055339</v>
      </c>
      <c r="S16">
        <f>Regression!$H$10+(Regression!$H$9*Table83[[#This Row],[Night Body Temp]])</f>
        <v>254.74879010704339</v>
      </c>
      <c r="T16" s="2">
        <f>Table83[[#This Row],[Weight]]-Table7[[#This Row],[Weight v Night Temp]]</f>
        <v>12.851209892956632</v>
      </c>
      <c r="U16" s="2">
        <f>Table7[[#This Row],[WNT Res]]^2</f>
        <v>165.15359571282642</v>
      </c>
      <c r="V16">
        <f>Regression!$I$10+(Regression!$I$9*Table83[[#This Row],[Night Systolic Pressure]])</f>
        <v>256.05974006539498</v>
      </c>
      <c r="W16" s="2">
        <f>Table83[[#This Row],[Weight]]-Table7[[#This Row],[Weight v Night Sys]]</f>
        <v>11.540259934605047</v>
      </c>
      <c r="X16" s="2">
        <f>Table7[[#This Row],[WNS Res]]^2</f>
        <v>133.17759935825046</v>
      </c>
      <c r="Y16">
        <f>Regression!$J$10+(Regression!$J$9*Table83[[#This Row],[Night Diastolic Pressure]])</f>
        <v>255.45920918999101</v>
      </c>
      <c r="Z16" s="2">
        <f>Table83[[#This Row],[Weight]]-Table7[[#This Row],[Weight v Night Dia]]</f>
        <v>12.140790810009008</v>
      </c>
      <c r="AA16" s="2">
        <f>Table7[[#This Row],[WND Res]]^2</f>
        <v>147.3988014923992</v>
      </c>
      <c r="AB16">
        <f>Regression!$K$10+(Regression!$K$9*Table83[[#This Row],[Night Pulse]])</f>
        <v>254.89515854008414</v>
      </c>
      <c r="AC16" s="2">
        <f>Table83[[#This Row],[Weight]]-Table7[[#This Row],[Weight v Night Pulse]]</f>
        <v>12.704841459915883</v>
      </c>
      <c r="AD16" s="2">
        <f>Table7[[#This Row],[WNP Res ]]^2</f>
        <v>161.41299652159756</v>
      </c>
      <c r="AE16">
        <f>Regression!$L$10+(Regression!$L$9*Table83[[#This Row],[Sleep]])</f>
        <v>255.29476681906823</v>
      </c>
      <c r="AF16" s="2">
        <f>Table83[[#This Row],[Weight]]-Table7[[#This Row],[Weight v Sleep]]</f>
        <v>12.305233180931793</v>
      </c>
      <c r="AG16" s="2">
        <f>Table7[[#This Row],[WS Res]]^2</f>
        <v>151.41876363710477</v>
      </c>
      <c r="AH16">
        <f>Regression!$M$10+(Regression!$M$9*Table83[[#This Row],[BMI]])</f>
        <v>267.59999999997217</v>
      </c>
      <c r="AI16" s="2">
        <f>Table83[[#This Row],[Weight]]-Table7[[#This Row],[Weight v BMI]]</f>
        <v>2.7853275241795927E-11</v>
      </c>
      <c r="AJ16" s="2">
        <f>Table7[[#This Row],[WBMI Res]]^2</f>
        <v>7.7580494169524197E-22</v>
      </c>
      <c r="AK16">
        <f>Regression!$N$10+(Regression!$N$9*Table83[[#This Row],[CBF]])</f>
        <v>262.24752658837394</v>
      </c>
      <c r="AL16" s="2">
        <f>Table83[[#This Row],[Weight]]-Table7[[#This Row],[Weight v CBF]]</f>
        <v>5.3524734116260788</v>
      </c>
      <c r="AM16" s="2">
        <f>Table7[[#This Row],[WCBF Res]]^2</f>
        <v>28.648971622164115</v>
      </c>
      <c r="AN16">
        <f>Regression!$O$10+(Regression!$O$9*Table83[[#This Row],[Gym]])</f>
        <v>254.72962962962998</v>
      </c>
      <c r="AO16" s="2">
        <f>Table83[[#This Row],[Weight]]-Table7[[#This Row],[Weight v Gym]]</f>
        <v>12.87037037037004</v>
      </c>
      <c r="AP16" s="2">
        <f>Table7[[#This Row],[WG Res]]^2</f>
        <v>165.64643347049903</v>
      </c>
      <c r="AQ16">
        <f>Regression!$P$10+(Regression!$P$9*Table83[[#This Row],[Cardio]])</f>
        <v>254.19242424242461</v>
      </c>
      <c r="AR16" s="2">
        <f>Table83[[#This Row],[Weight]]-Table7[[#This Row],[Weight v Cardio]]</f>
        <v>13.407575757575415</v>
      </c>
      <c r="AS16" s="2">
        <f>Table7[[#This Row],[WC Res]]^2</f>
        <v>179.76308769512397</v>
      </c>
      <c r="AT16">
        <f>Regression!$Q$10+(Regression!$Q$9*Table83[[#This Row],[Calories]])</f>
        <v>255.67362190002558</v>
      </c>
      <c r="AU16" s="2">
        <f>Table83[[#This Row],[Weight]]-Table7[[#This Row],[Weight v Calories]]</f>
        <v>11.926378099974443</v>
      </c>
      <c r="AV16" s="2">
        <f>Table7[[#This Row],[WCAL Res]]^2</f>
        <v>142.23849458354999</v>
      </c>
      <c r="AW16">
        <f>Regression!$R$10+(Regression!$R$9*Table83[[#This Row],[Carbs]])</f>
        <v>255.72477158460859</v>
      </c>
      <c r="AX16" s="2">
        <f>Table83[[#This Row],[Weight]]-Table7[[#This Row],[Weight v Carbs]]</f>
        <v>11.875228415391433</v>
      </c>
      <c r="AY16" s="2">
        <f>Table7[[#This Row],[Wcarb Res]]^2</f>
        <v>141.02104991772012</v>
      </c>
      <c r="AZ16">
        <f>Regression!$S$10+(Regression!$S$9*Table83[[#This Row],[Fat ]])</f>
        <v>255.40668634775332</v>
      </c>
      <c r="BA16" s="2">
        <f>Table83[[#This Row],[Weight]]-Table7[[#This Row],[Weight v Fat]]</f>
        <v>12.193313652246701</v>
      </c>
      <c r="BB16" s="2">
        <f>Table7[[#This Row],[WF Res]]^2</f>
        <v>148.67689782206577</v>
      </c>
      <c r="BC16">
        <f>Regression!$T$10+(Regression!$T$9*Table83[[#This Row],[Protein]])</f>
        <v>256.00887206284892</v>
      </c>
      <c r="BD16" s="2">
        <f>Table83[[#This Row],[Weight]]-Table7[[#This Row],[Weight v Protein]]</f>
        <v>11.5911279371511</v>
      </c>
      <c r="BE16" s="2">
        <f>Table7[[#This Row],[WP Res]]^2</f>
        <v>134.35424685540471</v>
      </c>
      <c r="BF16">
        <f>Regression!$U$10+(Regression!$U$9*Table83[[#This Row],[Fiber]])</f>
        <v>254.93493069722712</v>
      </c>
      <c r="BG16" s="2">
        <f>Table83[[#This Row],[Weight]]-Table7[[#This Row],[Weight v Fiber]]</f>
        <v>12.665069302772906</v>
      </c>
      <c r="BH16" s="2">
        <f>Table7[[#This Row],[Wfib Res]]^2</f>
        <v>160.4039804440406</v>
      </c>
      <c r="BI16">
        <f>Regression!$V$10+(Regression!$V$9*Table83[[#This Row],[Sugar]])</f>
        <v>256.41160754607631</v>
      </c>
      <c r="BJ16" s="2">
        <f>Table83[[#This Row],[Weight]]-Table7[[#This Row],[Weight v Sugar]]</f>
        <v>11.188392453923711</v>
      </c>
      <c r="BK16" s="2">
        <f>Table7[[#This Row],[Wsugar Res]]^2</f>
        <v>125.18012570301705</v>
      </c>
      <c r="BL16">
        <f>Regression!$W$10+(Regression!$W$9*Table83[[#This Row],[Servings]])</f>
        <v>257.04290728344819</v>
      </c>
      <c r="BM16" s="2">
        <f>Table83[[#This Row],[Weight]]-Table7[[#This Row],[Weight v Servings]]</f>
        <v>10.557092716551836</v>
      </c>
      <c r="BN16" s="2">
        <f>Table7[[#This Row],[Wserv Res]]^2</f>
        <v>111.45220662587181</v>
      </c>
      <c r="BO16">
        <f>Regression!$X$10+(Regression!$X$9*Table83[[#This Row],[Water]])</f>
        <v>255.19189796045953</v>
      </c>
      <c r="BP16" s="2">
        <f>Table83[[#This Row],[Weight]]-Table7[[#This Row],[Weight v Water]]</f>
        <v>12.408102039540495</v>
      </c>
      <c r="BQ16" s="2">
        <f>Table7[[#This Row],[Wwater Res]]^2</f>
        <v>153.96099622364898</v>
      </c>
      <c r="BR16">
        <f>Regression!$Y$10+(Regression!$Y$9*Table83[[#This Row],[Fat Calories]])</f>
        <v>255.42056320530367</v>
      </c>
      <c r="BS16" s="2">
        <f>Table83[[#This Row],[Weight]]-Table7[[#This Row],[Weight v Fat Calories]]</f>
        <v>12.179436794696358</v>
      </c>
      <c r="BT16" s="2">
        <f>Table7[[#This Row],[WFC Res]]^2</f>
        <v>148.33868063600349</v>
      </c>
      <c r="BU16">
        <f>Regression!$B$29+(Regression!$B$28*Table83[[#This Row],[Weight]])</f>
        <v>46.154771238160428</v>
      </c>
      <c r="BV16" s="2">
        <f>Table83[[#This Row],[Waist]]-Table7[[#This Row],[Waist v Weight]]</f>
        <v>-0.15477123816042848</v>
      </c>
      <c r="BW16" s="2">
        <f>Table7[[#This Row],[WaistW Res]]^2</f>
        <v>2.3954136161712072E-2</v>
      </c>
      <c r="BX16">
        <f>Regression!$C$29+(Regression!$C$28*Table83[[#This Row],[Neck]])</f>
        <v>45.258648648648581</v>
      </c>
      <c r="BY16" s="2">
        <f>Table83[[#This Row],[Waist]]-Table7[[#This Row],[Waist v Neck]]</f>
        <v>0.74135135135141894</v>
      </c>
      <c r="BZ16" s="2">
        <f>Table7[[#This Row],[WaistN Res]]^2</f>
        <v>0.54960182615057507</v>
      </c>
      <c r="CA16">
        <f>Regression!$D$29+(Regression!$D$28*Table83[[#This Row],[Morning Body Temp]])</f>
        <v>44.419304304405451</v>
      </c>
      <c r="CB16" s="2">
        <f>Table83[[#This Row],[Waist]]-Table7[[#This Row],[Waist v Morning Temp]]</f>
        <v>1.5806956955945495</v>
      </c>
      <c r="CC16" s="2">
        <f>Table7[[#This Row],[WaistMT Res]]^2</f>
        <v>2.4985988820711365</v>
      </c>
      <c r="CD16">
        <f>Regression!$E$29+(Regression!$E$28*Table83[[#This Row],[Morning Systolic Pressure]])</f>
        <v>44.502836753606339</v>
      </c>
      <c r="CE16" s="2">
        <f>Table83[[#This Row],[Waist]]-Table7[[#This Row],[Waist v Morning Sys]]</f>
        <v>1.4971632463936615</v>
      </c>
      <c r="CF16" s="2">
        <f>Table7[[#This Row],[WaistMS Res]]^2</f>
        <v>2.2414977863520074</v>
      </c>
      <c r="CG16">
        <f>Regression!$F$29+(Regression!$F$28*Table83[[#This Row],[Morning Diastolic Pressure]])</f>
        <v>44.458452288813113</v>
      </c>
      <c r="CH16" s="2">
        <f>Table83[[#This Row],[Waist]]-Table7[[#This Row],[Waist v Morning Dia]]</f>
        <v>1.5415477111868867</v>
      </c>
      <c r="CI16" s="2">
        <f>Table7[[#This Row],[WaistMD Res]]^2</f>
        <v>2.3763693458655291</v>
      </c>
      <c r="CJ16">
        <f>Regression!$G$29+(Regression!$G$28*Table83[[#This Row],[Morning Pulse]])</f>
        <v>44.457934210374262</v>
      </c>
      <c r="CK16" s="2">
        <f>Table83[[#This Row],[Waist]]-Table7[[#This Row],[Waist v Morning Pulse]]</f>
        <v>1.5420657896257381</v>
      </c>
      <c r="CL16" s="2">
        <f>Table7[[#This Row],[WaistMP Res]]^2</f>
        <v>2.3779668995340515</v>
      </c>
      <c r="CM16">
        <f>Regression!$H$29+(Regression!$H$28*Table83[[#This Row],[Night Body Temp]])</f>
        <v>44.424663183244519</v>
      </c>
      <c r="CN16" s="2">
        <f>Table83[[#This Row],[Waist]]-Table7[[#This Row],[Waist v Night Temp]]</f>
        <v>1.5753368167554811</v>
      </c>
      <c r="CO16" s="2">
        <f>Table7[[#This Row],[WaistNT Res]]^2</f>
        <v>2.4816860862252921</v>
      </c>
      <c r="CP16">
        <f>Regression!$I$29+(Regression!$I$28*Table83[[#This Row],[Night Systolic Pressure]])</f>
        <v>44.587360344235734</v>
      </c>
      <c r="CQ16" s="2">
        <f>Table83[[#This Row],[Waist]]-Table7[[#This Row],[Waist v  Night Sys]]</f>
        <v>1.4126396557642664</v>
      </c>
      <c r="CR16" s="2">
        <f>Table7[[#This Row],[WaistNS Res]]^2</f>
        <v>1.995550797037785</v>
      </c>
      <c r="CS16">
        <f>Regression!$J$29+(Regression!$J$28*Table83[[#This Row],[Night Diastolic Pressure]])</f>
        <v>44.597635572813267</v>
      </c>
      <c r="CT16" s="2">
        <f>Table83[[#This Row],[Waist]]-Table7[[#This Row],[Waist v Night Dia]]</f>
        <v>1.4023644271867326</v>
      </c>
      <c r="CU16" s="2">
        <f>Table7[[#This Row],[WaistND Res]]^2</f>
        <v>1.9666259866387725</v>
      </c>
      <c r="CV16">
        <f>Regression!$K$29+(Regression!$K$28*Table83[[#This Row],[Night Pulse]])</f>
        <v>44.473992104120093</v>
      </c>
      <c r="CW16" s="2">
        <f>Table83[[#This Row],[Waist]]-Table7[[#This Row],[Waist v Night Pulse]]</f>
        <v>1.526007895879907</v>
      </c>
      <c r="CX16" s="2">
        <f>Table7[[#This Row],[WaistNP Res]]^2</f>
        <v>2.328700098287821</v>
      </c>
      <c r="CY16">
        <f>Regression!$L$29+(Regression!$L$28*Table83[[#This Row],[Sleep]])</f>
        <v>44.480941336855928</v>
      </c>
      <c r="CZ16" s="2">
        <f>Table83[[#This Row],[Waist]]-Table7[[#This Row],[Waist v  Sleep]]</f>
        <v>1.5190586631440723</v>
      </c>
      <c r="DA16" s="2">
        <f>Table7[[#This Row],[WaistS Res]]^2</f>
        <v>2.3075392220730562</v>
      </c>
      <c r="DB16">
        <f>Regression!$M$29+(Regression!$M$28*Table83[[#This Row],[BMI]])</f>
        <v>46.154771238155021</v>
      </c>
      <c r="DC16" s="2">
        <f>Table83[[#This Row],[Waist]]-Table7[[#This Row],[Waist v BMI]]</f>
        <v>-0.15477123815502125</v>
      </c>
      <c r="DD16" s="2">
        <f>Table7[[#This Row],[WaistBMI Res]]^2</f>
        <v>2.3954136160038306E-2</v>
      </c>
      <c r="DE16">
        <f>Regression!$N$29+(Regression!$N$28*Table83[[#This Row],[CBF]])</f>
        <v>45.737892076427137</v>
      </c>
      <c r="DF16" s="2">
        <f>Table83[[#This Row],[Waist]]-Table7[[#This Row],[Waist v  CBF]]</f>
        <v>0.26210792357286294</v>
      </c>
      <c r="DG16" s="2">
        <f>Table7[[#This Row],[WaistCBF Res]]^2</f>
        <v>6.8700563599677758E-2</v>
      </c>
      <c r="DH16">
        <f>Regression!$O$29+(Regression!$O$28*Table83[[#This Row],[Gym]])</f>
        <v>44.347222222222221</v>
      </c>
      <c r="DI16" s="2">
        <f>Table83[[#This Row],[Waist]]-Table7[[#This Row],[Waist v  Gym]]</f>
        <v>1.6527777777777786</v>
      </c>
      <c r="DJ16" s="2">
        <f>Table7[[#This Row],[WaistGYM Res]]^2</f>
        <v>2.7316743827160521</v>
      </c>
      <c r="DK16">
        <f>Regression!$P$29+(Regression!$P$28*Table83[[#This Row],[Cardio]])</f>
        <v>44.291666666666664</v>
      </c>
      <c r="DL16" s="2">
        <f>Table83[[#This Row],[Waist]]-Table7[[#This Row],[Waist v Cardio]]</f>
        <v>1.7083333333333357</v>
      </c>
      <c r="DM16" s="2">
        <f>Table7[[#This Row],[WaistC Res]]^2</f>
        <v>2.9184027777777857</v>
      </c>
      <c r="DN16">
        <f>Regression!$Q$29+(Regression!$Q$28*Table83[[#This Row],[Calories]])</f>
        <v>44.579039832402657</v>
      </c>
      <c r="DO16" s="2">
        <f>Table83[[#This Row],[Waist]]-Table7[[#This Row],[Waist v Calories]]</f>
        <v>1.4209601675973431</v>
      </c>
      <c r="DP16" s="2">
        <f>Table7[[#This Row],[WaistCal Res]]^2</f>
        <v>2.0191277978982693</v>
      </c>
      <c r="DQ16">
        <f>Regression!$R$29+(Regression!$R$28*Table83[[#This Row],[Carbs]])</f>
        <v>44.58048132071125</v>
      </c>
      <c r="DR16" s="2">
        <f>Table83[[#This Row],[Waist]]-Table7[[#This Row],[Waist v Carbs]]</f>
        <v>1.4195186792887498</v>
      </c>
      <c r="DS16" s="2">
        <f>Table7[[#This Row],[WaistCarb Res]]^2</f>
        <v>2.0150332808496763</v>
      </c>
      <c r="DT16">
        <f>Regression!$S$29+(Regression!$S$28*Table83[[#This Row],[Fat ]])</f>
        <v>44.542688641031056</v>
      </c>
      <c r="DU16" s="2">
        <f>Table83[[#This Row],[Waist]]-Table7[[#This Row],[Waist v Fat]]</f>
        <v>1.4573113589689441</v>
      </c>
      <c r="DV16" s="2">
        <f>Table7[[#This Row],[WaistF Res]]^2</f>
        <v>2.1237563969799109</v>
      </c>
      <c r="DW16">
        <f>Regression!$T$29+(Regression!$T$28*Table83[[#This Row],[Protein]])</f>
        <v>44.617143515696789</v>
      </c>
      <c r="DX16" s="2">
        <f>Table83[[#This Row],[Waist]]-Table7[[#This Row],[Waist v Protein]]</f>
        <v>1.3828564843032112</v>
      </c>
      <c r="DY16" s="2">
        <f>Table7[[#This Row],[WaistP Res]]^2</f>
        <v>1.9122920561794374</v>
      </c>
      <c r="DZ16">
        <f>Regression!$U$29+(Regression!$U$28*Table83[[#This Row],[Fiber]])</f>
        <v>44.384041216963141</v>
      </c>
      <c r="EA16" s="2">
        <f>Table83[[#This Row],[Waist]]-Table7[[#This Row],[Waist v Fiber]]</f>
        <v>1.6159587830368594</v>
      </c>
      <c r="EB16" s="2">
        <f>Table7[[#This Row],[WaistFib Res]]^2</f>
        <v>2.6113227884739674</v>
      </c>
      <c r="EC16">
        <f>Regression!$V$29+(Regression!$V$28*Table83[[#This Row],[Sugar]])</f>
        <v>44.686452958941011</v>
      </c>
      <c r="ED16" s="2">
        <f>Table83[[#This Row],[Waist]]-Table7[[#This Row],[Waist v Sugar]]</f>
        <v>1.3135470410589889</v>
      </c>
      <c r="EE16" s="2">
        <f>Table7[[#This Row],[WaistSugar Res]]^2</f>
        <v>1.7254058290748251</v>
      </c>
      <c r="EF16">
        <f>Regression!$W$29+(Regression!$W$28*Table83[[#This Row],[Servings]])</f>
        <v>44.747699604061388</v>
      </c>
      <c r="EG16" s="2">
        <f>Table83[[#This Row],[Waist]]-Table7[[#This Row],[Waist v Servings]]</f>
        <v>1.2523003959386116</v>
      </c>
      <c r="EH16" s="2">
        <f>Table7[[#This Row],[WaistServ Res]]^2</f>
        <v>1.5682562816680035</v>
      </c>
      <c r="EI16">
        <f>Regression!$X$29+(Regression!$X$28*Table83[[#This Row],[Water]])</f>
        <v>44.553850107074496</v>
      </c>
      <c r="EJ16" s="2">
        <f>Table83[[#This Row],[Waist]]-Table7[[#This Row],[Waist v Water]]</f>
        <v>1.4461498929255043</v>
      </c>
      <c r="EK16" s="2">
        <f>Table7[[#This Row],[WaistWat Res]]^2</f>
        <v>2.0913495128084478</v>
      </c>
      <c r="EL16">
        <f>Regression!$Y$29+(Regression!$Y$28*Table83[[#This Row],[Fat Calories]])</f>
        <v>44.546456927051544</v>
      </c>
      <c r="EM16" s="2">
        <f>Table83[[#This Row],[Waist]]-Table7[[#This Row],[Waist v Fat Calories]]</f>
        <v>1.453543072948456</v>
      </c>
      <c r="EN16" s="2">
        <f>Table7[[#This Row],[WaistFatCal Res]]^2</f>
        <v>2.1127874649164404</v>
      </c>
    </row>
    <row r="17" spans="1:144" x14ac:dyDescent="0.25">
      <c r="A17">
        <f>Regression!$B$10+(Regression!$B$9*Table83[[#This Row],[Waist]])</f>
        <v>263.94216992155748</v>
      </c>
      <c r="B17" s="2">
        <f>Table83[[#This Row],[Weight]]-Table7[[#This Row],[Weight v Waist]]</f>
        <v>3.6578300784425437</v>
      </c>
      <c r="C17" s="2">
        <f>Table7[[#This Row],[Weight v Waist Res]]^2</f>
        <v>13.379720882758985</v>
      </c>
      <c r="D17">
        <f>Regression!$C$10+(Regression!$C$9*Table83[[#This Row],[Neck]])</f>
        <v>260.39308108104251</v>
      </c>
      <c r="E17" s="2">
        <f>Table83[[#This Row],[Weight]]-Table7[[#This Row],[Weight v Neck]]</f>
        <v>7.2069189189575127</v>
      </c>
      <c r="F17" s="2">
        <f>Table7[[#This Row],[WN Res]]^2</f>
        <v>51.939680304427725</v>
      </c>
      <c r="G17">
        <f>Regression!$D$10+(Regression!$D$9*Table83[[#This Row],[Morning Body Temp]])</f>
        <v>254.35558090686067</v>
      </c>
      <c r="H17" s="2">
        <f>Table83[[#This Row],[Weight]]-Table7[[#This Row],[Weight v Morning Temp]]</f>
        <v>13.244419093139356</v>
      </c>
      <c r="I17" s="2">
        <f>Table7[[#This Row],[WMT Res]]^2</f>
        <v>175.41463711471434</v>
      </c>
      <c r="J17">
        <f>Regression!$E$10+(Regression!$E$9*Table83[[#This Row],[Morning Systolic Pressure]])</f>
        <v>255.14456383261873</v>
      </c>
      <c r="K17" s="2">
        <f>Table83[[#This Row],[Weight]]-Table7[[#This Row],[Weight v Morning Sys]]</f>
        <v>12.455436167381293</v>
      </c>
      <c r="L17" s="2">
        <f>Table7[[#This Row],[WMS Res]]^2</f>
        <v>155.13789011970999</v>
      </c>
      <c r="M17">
        <f>Regression!$F$10+(Regression!$F$9*Table83[[#This Row],[Morning Diastolic Pressure]])</f>
        <v>255.10203989724667</v>
      </c>
      <c r="N17" s="2">
        <f>Table83[[#This Row],[Weight]]-Table7[[#This Row],[Weight v Morning Dia]]</f>
        <v>12.497960102753353</v>
      </c>
      <c r="O17" s="2">
        <f>Table7[[#This Row],[WMD Res]]^2</f>
        <v>156.19900673001462</v>
      </c>
      <c r="P17">
        <f>Regression!$G$10+(Regression!$G$9*Table83[[#This Row],[Morning Pulse]])</f>
        <v>255.13557864348473</v>
      </c>
      <c r="Q17" s="2">
        <f>Table83[[#This Row],[Weight]]-Table7[[#This Row],[Weight v Morning Pulse]]</f>
        <v>12.464421356515288</v>
      </c>
      <c r="R17" s="2">
        <f>Table7[[#This Row],[WMP Res]]^2</f>
        <v>155.36179975275442</v>
      </c>
      <c r="S17">
        <f>Regression!$H$10+(Regression!$H$9*Table83[[#This Row],[Night Body Temp]])</f>
        <v>255.57036267089688</v>
      </c>
      <c r="T17" s="2">
        <f>Table83[[#This Row],[Weight]]-Table7[[#This Row],[Weight v Night Temp]]</f>
        <v>12.029637329103139</v>
      </c>
      <c r="U17" s="2">
        <f>Table7[[#This Row],[WNT Res]]^2</f>
        <v>144.7121742697517</v>
      </c>
      <c r="V17">
        <f>Regression!$I$10+(Regression!$I$9*Table83[[#This Row],[Night Systolic Pressure]])</f>
        <v>257.90734707790739</v>
      </c>
      <c r="W17" s="2">
        <f>Table83[[#This Row],[Weight]]-Table7[[#This Row],[Weight v Night Sys]]</f>
        <v>9.6926529220926341</v>
      </c>
      <c r="X17" s="2">
        <f>Table7[[#This Row],[WNS Res]]^2</f>
        <v>93.947520668150872</v>
      </c>
      <c r="Y17">
        <f>Regression!$J$10+(Regression!$J$9*Table83[[#This Row],[Night Diastolic Pressure]])</f>
        <v>255.41844332157493</v>
      </c>
      <c r="Z17" s="2">
        <f>Table83[[#This Row],[Weight]]-Table7[[#This Row],[Weight v Night Dia]]</f>
        <v>12.181556678425096</v>
      </c>
      <c r="AA17" s="2">
        <f>Table7[[#This Row],[WND Res]]^2</f>
        <v>148.39032310968307</v>
      </c>
      <c r="AB17">
        <f>Regression!$K$10+(Regression!$K$9*Table83[[#This Row],[Night Pulse]])</f>
        <v>255.04872519626778</v>
      </c>
      <c r="AC17" s="2">
        <f>Table83[[#This Row],[Weight]]-Table7[[#This Row],[Weight v Night Pulse]]</f>
        <v>12.551274803732241</v>
      </c>
      <c r="AD17" s="2">
        <f>Table7[[#This Row],[WNP Res ]]^2</f>
        <v>157.53449919880381</v>
      </c>
      <c r="AE17">
        <f>Regression!$L$10+(Regression!$L$9*Table83[[#This Row],[Sleep]])</f>
        <v>255.05816118153788</v>
      </c>
      <c r="AF17" s="2">
        <f>Table83[[#This Row],[Weight]]-Table7[[#This Row],[Weight v Sleep]]</f>
        <v>12.541838818462139</v>
      </c>
      <c r="AG17" s="2">
        <f>Table7[[#This Row],[WS Res]]^2</f>
        <v>157.2977209482838</v>
      </c>
      <c r="AH17">
        <f>Regression!$M$10+(Regression!$M$9*Table83[[#This Row],[BMI]])</f>
        <v>267.59999999997217</v>
      </c>
      <c r="AI17" s="2">
        <f>Table83[[#This Row],[Weight]]-Table7[[#This Row],[Weight v BMI]]</f>
        <v>2.7853275241795927E-11</v>
      </c>
      <c r="AJ17" s="2">
        <f>Table7[[#This Row],[WBMI Res]]^2</f>
        <v>7.7580494169524197E-22</v>
      </c>
      <c r="AK17">
        <f>Regression!$N$10+(Regression!$N$9*Table83[[#This Row],[CBF]])</f>
        <v>262.24752658837394</v>
      </c>
      <c r="AL17" s="2">
        <f>Table83[[#This Row],[Weight]]-Table7[[#This Row],[Weight v CBF]]</f>
        <v>5.3524734116260788</v>
      </c>
      <c r="AM17" s="2">
        <f>Table7[[#This Row],[WCBF Res]]^2</f>
        <v>28.648971622164115</v>
      </c>
      <c r="AN17">
        <f>Regression!$O$10+(Regression!$O$9*Table83[[#This Row],[Gym]])</f>
        <v>255.46779661016953</v>
      </c>
      <c r="AO17" s="2">
        <f>Table83[[#This Row],[Weight]]-Table7[[#This Row],[Weight v Gym]]</f>
        <v>12.132203389830494</v>
      </c>
      <c r="AP17" s="2">
        <f>Table7[[#This Row],[WG Res]]^2</f>
        <v>147.19035909221452</v>
      </c>
      <c r="AQ17">
        <f>Regression!$P$10+(Regression!$P$9*Table83[[#This Row],[Cardio]])</f>
        <v>256.41063829787231</v>
      </c>
      <c r="AR17" s="2">
        <f>Table83[[#This Row],[Weight]]-Table7[[#This Row],[Weight v Cardio]]</f>
        <v>11.189361702127712</v>
      </c>
      <c r="AS17" s="2">
        <f>Table7[[#This Row],[WC Res]]^2</f>
        <v>125.20181530104237</v>
      </c>
      <c r="AT17">
        <f>Regression!$Q$10+(Regression!$Q$9*Table83[[#This Row],[Calories]])</f>
        <v>255.40938668288439</v>
      </c>
      <c r="AU17" s="2">
        <f>Table83[[#This Row],[Weight]]-Table7[[#This Row],[Weight v Calories]]</f>
        <v>12.190613317115634</v>
      </c>
      <c r="AV17" s="2">
        <f>Table7[[#This Row],[WCAL Res]]^2</f>
        <v>148.61105304743705</v>
      </c>
      <c r="AW17">
        <f>Regression!$R$10+(Regression!$R$9*Table83[[#This Row],[Carbs]])</f>
        <v>255.48386437019576</v>
      </c>
      <c r="AX17" s="2">
        <f>Table83[[#This Row],[Weight]]-Table7[[#This Row],[Weight v Carbs]]</f>
        <v>12.116135629804262</v>
      </c>
      <c r="AY17" s="2">
        <f>Table7[[#This Row],[Wcarb Res]]^2</f>
        <v>146.80074259981231</v>
      </c>
      <c r="AZ17">
        <f>Regression!$S$10+(Regression!$S$9*Table83[[#This Row],[Fat ]])</f>
        <v>255.25569479842201</v>
      </c>
      <c r="BA17" s="2">
        <f>Table83[[#This Row],[Weight]]-Table7[[#This Row],[Weight v Fat]]</f>
        <v>12.34430520157801</v>
      </c>
      <c r="BB17" s="2">
        <f>Table7[[#This Row],[WF Res]]^2</f>
        <v>152.3818709097059</v>
      </c>
      <c r="BC17">
        <f>Regression!$T$10+(Regression!$T$9*Table83[[#This Row],[Protein]])</f>
        <v>255.14406919402171</v>
      </c>
      <c r="BD17" s="2">
        <f>Table83[[#This Row],[Weight]]-Table7[[#This Row],[Weight v Protein]]</f>
        <v>12.455930805978312</v>
      </c>
      <c r="BE17" s="2">
        <f>Table7[[#This Row],[WP Res]]^2</f>
        <v>155.15021224331952</v>
      </c>
      <c r="BF17">
        <f>Regression!$U$10+(Regression!$U$9*Table83[[#This Row],[Fiber]])</f>
        <v>255.31586581919927</v>
      </c>
      <c r="BG17" s="2">
        <f>Table83[[#This Row],[Weight]]-Table7[[#This Row],[Weight v Fiber]]</f>
        <v>12.284134180800748</v>
      </c>
      <c r="BH17" s="2">
        <f>Table7[[#This Row],[Wfib Res]]^2</f>
        <v>150.89995257191728</v>
      </c>
      <c r="BI17">
        <f>Regression!$V$10+(Regression!$V$9*Table83[[#This Row],[Sugar]])</f>
        <v>256.41184001717619</v>
      </c>
      <c r="BJ17" s="2">
        <f>Table83[[#This Row],[Weight]]-Table7[[#This Row],[Weight v Sugar]]</f>
        <v>11.188159982823834</v>
      </c>
      <c r="BK17" s="2">
        <f>Table7[[#This Row],[Wsugar Res]]^2</f>
        <v>125.1749238012606</v>
      </c>
      <c r="BL17">
        <f>Regression!$W$10+(Regression!$W$9*Table83[[#This Row],[Servings]])</f>
        <v>256.47564999630589</v>
      </c>
      <c r="BM17" s="2">
        <f>Table83[[#This Row],[Weight]]-Table7[[#This Row],[Weight v Servings]]</f>
        <v>11.124350003694133</v>
      </c>
      <c r="BN17" s="2">
        <f>Table7[[#This Row],[Wserv Res]]^2</f>
        <v>123.75116300468964</v>
      </c>
      <c r="BO17">
        <f>Regression!$X$10+(Regression!$X$9*Table83[[#This Row],[Water]])</f>
        <v>255.36316189406523</v>
      </c>
      <c r="BP17" s="2">
        <f>Table83[[#This Row],[Weight]]-Table7[[#This Row],[Weight v Water]]</f>
        <v>12.236838105934794</v>
      </c>
      <c r="BQ17" s="2">
        <f>Table7[[#This Row],[Wwater Res]]^2</f>
        <v>149.74020683085783</v>
      </c>
      <c r="BR17">
        <f>Regression!$Y$10+(Regression!$Y$9*Table83[[#This Row],[Fat Calories]])</f>
        <v>255.25987021207308</v>
      </c>
      <c r="BS17" s="2">
        <f>Table83[[#This Row],[Weight]]-Table7[[#This Row],[Weight v Fat Calories]]</f>
        <v>12.340129787926941</v>
      </c>
      <c r="BT17" s="2">
        <f>Table7[[#This Row],[WFC Res]]^2</f>
        <v>152.2788031828818</v>
      </c>
      <c r="BU17">
        <f>Regression!$B$29+(Regression!$B$28*Table83[[#This Row],[Weight]])</f>
        <v>46.154771238160428</v>
      </c>
      <c r="BV17" s="2">
        <f>Table83[[#This Row],[Waist]]-Table7[[#This Row],[Waist v Weight]]</f>
        <v>-0.15477123816042848</v>
      </c>
      <c r="BW17" s="2">
        <f>Table7[[#This Row],[WaistW Res]]^2</f>
        <v>2.3954136161712072E-2</v>
      </c>
      <c r="BX17">
        <f>Regression!$C$29+(Regression!$C$28*Table83[[#This Row],[Neck]])</f>
        <v>45.258648648648581</v>
      </c>
      <c r="BY17" s="2">
        <f>Table83[[#This Row],[Waist]]-Table7[[#This Row],[Waist v Neck]]</f>
        <v>0.74135135135141894</v>
      </c>
      <c r="BZ17" s="2">
        <f>Table7[[#This Row],[WaistN Res]]^2</f>
        <v>0.54960182615057507</v>
      </c>
      <c r="CA17">
        <f>Regression!$D$29+(Regression!$D$28*Table83[[#This Row],[Morning Body Temp]])</f>
        <v>44.246982985822548</v>
      </c>
      <c r="CB17" s="2">
        <f>Table83[[#This Row],[Waist]]-Table7[[#This Row],[Waist v Morning Temp]]</f>
        <v>1.7530170141774519</v>
      </c>
      <c r="CC17" s="2">
        <f>Table7[[#This Row],[WaistMT Res]]^2</f>
        <v>3.0730686519956287</v>
      </c>
      <c r="CD17">
        <f>Regression!$E$29+(Regression!$E$28*Table83[[#This Row],[Morning Systolic Pressure]])</f>
        <v>44.460475132636631</v>
      </c>
      <c r="CE17" s="2">
        <f>Table83[[#This Row],[Waist]]-Table7[[#This Row],[Waist v Morning Sys]]</f>
        <v>1.5395248673633688</v>
      </c>
      <c r="CF17" s="2">
        <f>Table7[[#This Row],[WaistMS Res]]^2</f>
        <v>2.3701368172301982</v>
      </c>
      <c r="CG17">
        <f>Regression!$F$29+(Regression!$F$28*Table83[[#This Row],[Morning Diastolic Pressure]])</f>
        <v>44.452816668144258</v>
      </c>
      <c r="CH17" s="2">
        <f>Table83[[#This Row],[Waist]]-Table7[[#This Row],[Waist v Morning Dia]]</f>
        <v>1.5471833318557415</v>
      </c>
      <c r="CI17" s="2">
        <f>Table7[[#This Row],[WaistMD Res]]^2</f>
        <v>2.3937762623722336</v>
      </c>
      <c r="CJ17">
        <f>Regression!$G$29+(Regression!$G$28*Table83[[#This Row],[Morning Pulse]])</f>
        <v>44.462971225815949</v>
      </c>
      <c r="CK17" s="2">
        <f>Table83[[#This Row],[Waist]]-Table7[[#This Row],[Waist v Morning Pulse]]</f>
        <v>1.5370287741840514</v>
      </c>
      <c r="CL17" s="2">
        <f>Table7[[#This Row],[WaistMP Res]]^2</f>
        <v>2.3624574526697275</v>
      </c>
      <c r="CM17">
        <f>Regression!$H$29+(Regression!$H$28*Table83[[#This Row],[Night Body Temp]])</f>
        <v>44.489438573683607</v>
      </c>
      <c r="CN17" s="2">
        <f>Table83[[#This Row],[Waist]]-Table7[[#This Row],[Waist v Night Temp]]</f>
        <v>1.5105614263163929</v>
      </c>
      <c r="CO17" s="2">
        <f>Table7[[#This Row],[WaistNT Res]]^2</f>
        <v>2.2817958226750155</v>
      </c>
      <c r="CP17">
        <f>Regression!$I$29+(Regression!$I$28*Table83[[#This Row],[Night Systolic Pressure]])</f>
        <v>44.849082402096776</v>
      </c>
      <c r="CQ17" s="2">
        <f>Table83[[#This Row],[Waist]]-Table7[[#This Row],[Waist v  Night Sys]]</f>
        <v>1.1509175979032236</v>
      </c>
      <c r="CR17" s="2">
        <f>Table7[[#This Row],[WaistNS Res]]^2</f>
        <v>1.3246113171633263</v>
      </c>
      <c r="CS17">
        <f>Regression!$J$29+(Regression!$J$28*Table83[[#This Row],[Night Diastolic Pressure]])</f>
        <v>44.580567627605824</v>
      </c>
      <c r="CT17" s="2">
        <f>Table83[[#This Row],[Waist]]-Table7[[#This Row],[Waist v Night Dia]]</f>
        <v>1.4194323723941764</v>
      </c>
      <c r="CU17" s="2">
        <f>Table7[[#This Row],[WaistND Res]]^2</f>
        <v>2.01478825980056</v>
      </c>
      <c r="CV17">
        <f>Regression!$K$29+(Regression!$K$28*Table83[[#This Row],[Night Pulse]])</f>
        <v>44.459708372565267</v>
      </c>
      <c r="CW17" s="2">
        <f>Table83[[#This Row],[Waist]]-Table7[[#This Row],[Waist v Night Pulse]]</f>
        <v>1.5402916274347334</v>
      </c>
      <c r="CX17" s="2">
        <f>Table7[[#This Row],[WaistNP Res]]^2</f>
        <v>2.3724982975455395</v>
      </c>
      <c r="CY17">
        <f>Regression!$L$29+(Regression!$L$28*Table83[[#This Row],[Sleep]])</f>
        <v>44.444867110859185</v>
      </c>
      <c r="CZ17" s="2">
        <f>Table83[[#This Row],[Waist]]-Table7[[#This Row],[Waist v  Sleep]]</f>
        <v>1.5551328891408147</v>
      </c>
      <c r="DA17" s="2">
        <f>Table7[[#This Row],[WaistS Res]]^2</f>
        <v>2.4184383028874574</v>
      </c>
      <c r="DB17">
        <f>Regression!$M$29+(Regression!$M$28*Table83[[#This Row],[BMI]])</f>
        <v>46.154771238155021</v>
      </c>
      <c r="DC17" s="2">
        <f>Table83[[#This Row],[Waist]]-Table7[[#This Row],[Waist v BMI]]</f>
        <v>-0.15477123815502125</v>
      </c>
      <c r="DD17" s="2">
        <f>Table7[[#This Row],[WaistBMI Res]]^2</f>
        <v>2.3954136160038306E-2</v>
      </c>
      <c r="DE17">
        <f>Regression!$N$29+(Regression!$N$28*Table83[[#This Row],[CBF]])</f>
        <v>45.737892076427137</v>
      </c>
      <c r="DF17" s="2">
        <f>Table83[[#This Row],[Waist]]-Table7[[#This Row],[Waist v  CBF]]</f>
        <v>0.26210792357286294</v>
      </c>
      <c r="DG17" s="2">
        <f>Table7[[#This Row],[WaistCBF Res]]^2</f>
        <v>6.8700563599677758E-2</v>
      </c>
      <c r="DH17">
        <f>Regression!$O$29+(Regression!$O$28*Table83[[#This Row],[Gym]])</f>
        <v>44.550847457627107</v>
      </c>
      <c r="DI17" s="2">
        <f>Table83[[#This Row],[Waist]]-Table7[[#This Row],[Waist v  Gym]]</f>
        <v>1.449152542372893</v>
      </c>
      <c r="DJ17" s="2">
        <f>Table7[[#This Row],[WaistGYM Res]]^2</f>
        <v>2.1000430910658197</v>
      </c>
      <c r="DK17">
        <f>Regression!$P$29+(Regression!$P$28*Table83[[#This Row],[Cardio]])</f>
        <v>44.680851063829778</v>
      </c>
      <c r="DL17" s="2">
        <f>Table83[[#This Row],[Waist]]-Table7[[#This Row],[Waist v Cardio]]</f>
        <v>1.3191489361702224</v>
      </c>
      <c r="DM17" s="2">
        <f>Table7[[#This Row],[WaistC Res]]^2</f>
        <v>1.7401539157990296</v>
      </c>
      <c r="DN17">
        <f>Regression!$Q$29+(Regression!$Q$28*Table83[[#This Row],[Calories]])</f>
        <v>44.519672039759072</v>
      </c>
      <c r="DO17" s="2">
        <f>Table83[[#This Row],[Waist]]-Table7[[#This Row],[Waist v Calories]]</f>
        <v>1.4803279602409276</v>
      </c>
      <c r="DP17" s="2">
        <f>Table7[[#This Row],[WaistCal Res]]^2</f>
        <v>2.1913708698710654</v>
      </c>
      <c r="DQ17">
        <f>Regression!$R$29+(Regression!$R$28*Table83[[#This Row],[Carbs]])</f>
        <v>44.530325913928387</v>
      </c>
      <c r="DR17" s="2">
        <f>Table83[[#This Row],[Waist]]-Table7[[#This Row],[Waist v Carbs]]</f>
        <v>1.4696740860716133</v>
      </c>
      <c r="DS17" s="2">
        <f>Table7[[#This Row],[WaistCarb Res]]^2</f>
        <v>2.1599419192704317</v>
      </c>
      <c r="DT17">
        <f>Regression!$S$29+(Regression!$S$28*Table83[[#This Row],[Fat ]])</f>
        <v>44.496533719790875</v>
      </c>
      <c r="DU17" s="2">
        <f>Table83[[#This Row],[Waist]]-Table7[[#This Row],[Waist v Fat]]</f>
        <v>1.5034662802091248</v>
      </c>
      <c r="DV17" s="2">
        <f>Table7[[#This Row],[WaistF Res]]^2</f>
        <v>2.2604108557258624</v>
      </c>
      <c r="DW17">
        <f>Regression!$T$29+(Regression!$T$28*Table83[[#This Row],[Protein]])</f>
        <v>44.458852466343416</v>
      </c>
      <c r="DX17" s="2">
        <f>Table83[[#This Row],[Waist]]-Table7[[#This Row],[Waist v Protein]]</f>
        <v>1.5411475336565843</v>
      </c>
      <c r="DY17" s="2">
        <f>Table7[[#This Row],[WaistP Res]]^2</f>
        <v>2.3751357204957726</v>
      </c>
      <c r="DZ17">
        <f>Regression!$U$29+(Regression!$U$28*Table83[[#This Row],[Fiber]])</f>
        <v>44.531028824994294</v>
      </c>
      <c r="EA17" s="2">
        <f>Table83[[#This Row],[Waist]]-Table7[[#This Row],[Waist v Fiber]]</f>
        <v>1.4689711750057057</v>
      </c>
      <c r="EB17" s="2">
        <f>Table7[[#This Row],[WaistFib Res]]^2</f>
        <v>2.1578763129976437</v>
      </c>
      <c r="EC17">
        <f>Regression!$V$29+(Regression!$V$28*Table83[[#This Row],[Sugar]])</f>
        <v>44.686494719781351</v>
      </c>
      <c r="ED17" s="2">
        <f>Table83[[#This Row],[Waist]]-Table7[[#This Row],[Waist v Sugar]]</f>
        <v>1.3135052802186493</v>
      </c>
      <c r="EE17" s="2">
        <f>Table7[[#This Row],[WaistSugar Res]]^2</f>
        <v>1.7252961211622724</v>
      </c>
      <c r="EF17">
        <f>Regression!$W$29+(Regression!$W$28*Table83[[#This Row],[Servings]])</f>
        <v>44.661145592547243</v>
      </c>
      <c r="EG17" s="2">
        <f>Table83[[#This Row],[Waist]]-Table7[[#This Row],[Waist v Servings]]</f>
        <v>1.3388544074527573</v>
      </c>
      <c r="EH17" s="2">
        <f>Table7[[#This Row],[WaistServ Res]]^2</f>
        <v>1.7925311243556739</v>
      </c>
      <c r="EI17">
        <f>Regression!$X$29+(Regression!$X$28*Table83[[#This Row],[Water]])</f>
        <v>44.777385616719641</v>
      </c>
      <c r="EJ17" s="2">
        <f>Table83[[#This Row],[Waist]]-Table7[[#This Row],[Waist v Water]]</f>
        <v>1.2226143832803587</v>
      </c>
      <c r="EK17" s="2">
        <f>Table7[[#This Row],[WaistWat Res]]^2</f>
        <v>1.4947859302040116</v>
      </c>
      <c r="EL17">
        <f>Regression!$Y$29+(Regression!$Y$28*Table83[[#This Row],[Fat Calories]])</f>
        <v>44.497585565050507</v>
      </c>
      <c r="EM17" s="2">
        <f>Table83[[#This Row],[Waist]]-Table7[[#This Row],[Waist v Fat Calories]]</f>
        <v>1.5024144349494932</v>
      </c>
      <c r="EN17" s="2">
        <f>Table7[[#This Row],[WaistFatCal Res]]^2</f>
        <v>2.2572491343446051</v>
      </c>
    </row>
    <row r="18" spans="1:144" x14ac:dyDescent="0.25">
      <c r="A18">
        <f>Regression!$B$10+(Regression!$B$9*Table83[[#This Row],[Waist]])</f>
        <v>263.94216992155748</v>
      </c>
      <c r="B18" s="2">
        <f>Table83[[#This Row],[Weight]]-Table7[[#This Row],[Weight v Waist]]</f>
        <v>0.85783007844253234</v>
      </c>
      <c r="C18" s="2">
        <f>Table7[[#This Row],[Weight v Waist Res]]^2</f>
        <v>0.73587244348072123</v>
      </c>
      <c r="D18">
        <f>Regression!$C$10+(Regression!$C$9*Table83[[#This Row],[Neck]])</f>
        <v>260.39308108104251</v>
      </c>
      <c r="E18" s="2">
        <f>Table83[[#This Row],[Weight]]-Table7[[#This Row],[Weight v Neck]]</f>
        <v>4.4069189189575013</v>
      </c>
      <c r="F18" s="2">
        <f>Table7[[#This Row],[WN Res]]^2</f>
        <v>19.420934358265551</v>
      </c>
      <c r="G18">
        <f>Regression!$D$10+(Regression!$D$9*Table83[[#This Row],[Morning Body Temp]])</f>
        <v>255.20036355752904</v>
      </c>
      <c r="H18" s="2">
        <f>Table83[[#This Row],[Weight]]-Table7[[#This Row],[Weight v Morning Temp]]</f>
        <v>9.5996364424709668</v>
      </c>
      <c r="I18" s="2">
        <f>Table7[[#This Row],[WMT Res]]^2</f>
        <v>92.153019827616646</v>
      </c>
      <c r="J18">
        <f>Regression!$E$10+(Regression!$E$9*Table83[[#This Row],[Morning Systolic Pressure]])</f>
        <v>255.00933222102856</v>
      </c>
      <c r="K18" s="2">
        <f>Table83[[#This Row],[Weight]]-Table7[[#This Row],[Weight v Morning Sys]]</f>
        <v>9.7906677789714536</v>
      </c>
      <c r="L18" s="2">
        <f>Table7[[#This Row],[WMS Res]]^2</f>
        <v>95.857175558189809</v>
      </c>
      <c r="M18">
        <f>Regression!$F$10+(Regression!$F$9*Table83[[#This Row],[Morning Diastolic Pressure]])</f>
        <v>254.8993513991569</v>
      </c>
      <c r="N18" s="2">
        <f>Table83[[#This Row],[Weight]]-Table7[[#This Row],[Weight v Morning Dia]]</f>
        <v>9.9006486008431125</v>
      </c>
      <c r="O18" s="2">
        <f>Table7[[#This Row],[WMD Res]]^2</f>
        <v>98.022842717376676</v>
      </c>
      <c r="P18">
        <f>Regression!$G$10+(Regression!$G$9*Table83[[#This Row],[Morning Pulse]])</f>
        <v>255.1410620307563</v>
      </c>
      <c r="Q18" s="2">
        <f>Table83[[#This Row],[Weight]]-Table7[[#This Row],[Weight v Morning Pulse]]</f>
        <v>9.6589379692437092</v>
      </c>
      <c r="R18" s="2">
        <f>Table7[[#This Row],[WMP Res]]^2</f>
        <v>93.295082693697793</v>
      </c>
      <c r="S18">
        <f>Regression!$H$10+(Regression!$H$9*Table83[[#This Row],[Night Body Temp]])</f>
        <v>254.85148667752509</v>
      </c>
      <c r="T18" s="2">
        <f>Table83[[#This Row],[Weight]]-Table7[[#This Row],[Weight v Night Temp]]</f>
        <v>9.9485133224749234</v>
      </c>
      <c r="U18" s="2">
        <f>Table7[[#This Row],[WNT Res]]^2</f>
        <v>98.972917327461033</v>
      </c>
      <c r="V18">
        <f>Regression!$I$10+(Regression!$I$9*Table83[[#This Row],[Night Systolic Pressure]])</f>
        <v>255.95709523136651</v>
      </c>
      <c r="W18" s="2">
        <f>Table83[[#This Row],[Weight]]-Table7[[#This Row],[Weight v Night Sys]]</f>
        <v>8.8429047686335025</v>
      </c>
      <c r="X18" s="2">
        <f>Table7[[#This Row],[WNS Res]]^2</f>
        <v>78.196964747121143</v>
      </c>
      <c r="Y18">
        <f>Regression!$J$10+(Regression!$J$9*Table83[[#This Row],[Night Diastolic Pressure]])</f>
        <v>255.37767745315881</v>
      </c>
      <c r="Z18" s="2">
        <f>Table83[[#This Row],[Weight]]-Table7[[#This Row],[Weight v Night Dia]]</f>
        <v>9.4223225468412011</v>
      </c>
      <c r="AA18" s="2">
        <f>Table7[[#This Row],[WND Res]]^2</f>
        <v>88.780162176712054</v>
      </c>
      <c r="AB18">
        <f>Regression!$K$10+(Regression!$K$9*Table83[[#This Row],[Night Pulse]])</f>
        <v>254.64945189019033</v>
      </c>
      <c r="AC18" s="2">
        <f>Table83[[#This Row],[Weight]]-Table7[[#This Row],[Weight v Night Pulse]]</f>
        <v>10.150548109809677</v>
      </c>
      <c r="AD18" s="2">
        <f>Table7[[#This Row],[WNP Res ]]^2</f>
        <v>103.0336269295608</v>
      </c>
      <c r="AE18">
        <f>Regression!$L$10+(Regression!$L$9*Table83[[#This Row],[Sleep]])</f>
        <v>255.61024100244205</v>
      </c>
      <c r="AF18" s="2">
        <f>Table83[[#This Row],[Weight]]-Table7[[#This Row],[Weight v Sleep]]</f>
        <v>9.1897589975579592</v>
      </c>
      <c r="AG18" s="2">
        <f>Table7[[#This Row],[WS Res]]^2</f>
        <v>84.451670433197464</v>
      </c>
      <c r="AH18">
        <f>Regression!$M$10+(Regression!$M$9*Table83[[#This Row],[BMI]])</f>
        <v>264.79999999997835</v>
      </c>
      <c r="AI18" s="2">
        <f>Table83[[#This Row],[Weight]]-Table7[[#This Row],[Weight v BMI]]</f>
        <v>2.1657342585967854E-11</v>
      </c>
      <c r="AJ18" s="2">
        <f>Table7[[#This Row],[WBMI Res]]^2</f>
        <v>4.6904048788597676E-22</v>
      </c>
      <c r="AK18">
        <f>Regression!$N$10+(Regression!$N$9*Table83[[#This Row],[CBF]])</f>
        <v>262.24752658837394</v>
      </c>
      <c r="AL18" s="2">
        <f>Table83[[#This Row],[Weight]]-Table7[[#This Row],[Weight v CBF]]</f>
        <v>2.5524734116260674</v>
      </c>
      <c r="AM18" s="2">
        <f>Table7[[#This Row],[WCBF Res]]^2</f>
        <v>6.5151205170580155</v>
      </c>
      <c r="AN18">
        <f>Regression!$O$10+(Regression!$O$9*Table83[[#This Row],[Gym]])</f>
        <v>255.46779661016953</v>
      </c>
      <c r="AO18" s="2">
        <f>Table83[[#This Row],[Weight]]-Table7[[#This Row],[Weight v Gym]]</f>
        <v>9.3322033898304824</v>
      </c>
      <c r="AP18" s="2">
        <f>Table7[[#This Row],[WG Res]]^2</f>
        <v>87.090020109163547</v>
      </c>
      <c r="AQ18">
        <f>Regression!$P$10+(Regression!$P$9*Table83[[#This Row],[Cardio]])</f>
        <v>256.41063829787231</v>
      </c>
      <c r="AR18" s="2">
        <f>Table83[[#This Row],[Weight]]-Table7[[#This Row],[Weight v Cardio]]</f>
        <v>8.3893617021277009</v>
      </c>
      <c r="AS18" s="2">
        <f>Table7[[#This Row],[WC Res]]^2</f>
        <v>70.381389769126997</v>
      </c>
      <c r="AT18">
        <f>Regression!$Q$10+(Regression!$Q$9*Table83[[#This Row],[Calories]])</f>
        <v>255.91611033400196</v>
      </c>
      <c r="AU18" s="2">
        <f>Table83[[#This Row],[Weight]]-Table7[[#This Row],[Weight v Calories]]</f>
        <v>8.8838896659980549</v>
      </c>
      <c r="AV18" s="2">
        <f>Table7[[#This Row],[WCAL Res]]^2</f>
        <v>78.923495597627024</v>
      </c>
      <c r="AW18">
        <f>Regression!$R$10+(Regression!$R$9*Table83[[#This Row],[Carbs]])</f>
        <v>255.99986206487651</v>
      </c>
      <c r="AX18" s="2">
        <f>Table83[[#This Row],[Weight]]-Table7[[#This Row],[Weight v Carbs]]</f>
        <v>8.8001379351235016</v>
      </c>
      <c r="AY18" s="2">
        <f>Table7[[#This Row],[Wcarb Res]]^2</f>
        <v>77.442427677199731</v>
      </c>
      <c r="AZ18">
        <f>Regression!$S$10+(Regression!$S$9*Table83[[#This Row],[Fat ]])</f>
        <v>255.53977306794644</v>
      </c>
      <c r="BA18" s="2">
        <f>Table83[[#This Row],[Weight]]-Table7[[#This Row],[Weight v Fat]]</f>
        <v>9.2602269320535697</v>
      </c>
      <c r="BB18" s="2">
        <f>Table7[[#This Row],[WF Res]]^2</f>
        <v>85.75180283313027</v>
      </c>
      <c r="BC18">
        <f>Regression!$T$10+(Regression!$T$9*Table83[[#This Row],[Protein]])</f>
        <v>255.7919768406411</v>
      </c>
      <c r="BD18" s="2">
        <f>Table83[[#This Row],[Weight]]-Table7[[#This Row],[Weight v Protein]]</f>
        <v>9.0080231593589133</v>
      </c>
      <c r="BE18" s="2">
        <f>Table7[[#This Row],[WP Res]]^2</f>
        <v>81.144481239546536</v>
      </c>
      <c r="BF18">
        <f>Regression!$U$10+(Regression!$U$9*Table83[[#This Row],[Fiber]])</f>
        <v>255.23786724251619</v>
      </c>
      <c r="BG18" s="2">
        <f>Table83[[#This Row],[Weight]]-Table7[[#This Row],[Weight v Fiber]]</f>
        <v>9.5621327574838233</v>
      </c>
      <c r="BH18" s="2">
        <f>Table7[[#This Row],[Wfib Res]]^2</f>
        <v>91.434382871745186</v>
      </c>
      <c r="BI18">
        <f>Regression!$V$10+(Regression!$V$9*Table83[[#This Row],[Sugar]])</f>
        <v>256.72302834792953</v>
      </c>
      <c r="BJ18" s="2">
        <f>Table83[[#This Row],[Weight]]-Table7[[#This Row],[Weight v Sugar]]</f>
        <v>8.0769716520704833</v>
      </c>
      <c r="BK18" s="2">
        <f>Table7[[#This Row],[Wsugar Res]]^2</f>
        <v>65.237471068350189</v>
      </c>
      <c r="BL18">
        <f>Regression!$W$10+(Regression!$W$9*Table83[[#This Row],[Servings]])</f>
        <v>256.66065843766495</v>
      </c>
      <c r="BM18" s="2">
        <f>Table83[[#This Row],[Weight]]-Table7[[#This Row],[Weight v Servings]]</f>
        <v>8.139341562335062</v>
      </c>
      <c r="BN18" s="2">
        <f>Table7[[#This Row],[Wserv Res]]^2</f>
        <v>66.248881068354962</v>
      </c>
      <c r="BO18">
        <f>Regression!$X$10+(Regression!$X$9*Table83[[#This Row],[Water]])</f>
        <v>255.19189796045953</v>
      </c>
      <c r="BP18" s="2">
        <f>Table83[[#This Row],[Weight]]-Table7[[#This Row],[Weight v Water]]</f>
        <v>9.6081020395404835</v>
      </c>
      <c r="BQ18" s="2">
        <f>Table7[[#This Row],[Wwater Res]]^2</f>
        <v>92.315624802222004</v>
      </c>
      <c r="BR18">
        <f>Regression!$Y$10+(Regression!$Y$9*Table83[[#This Row],[Fat Calories]])</f>
        <v>255.56220095603726</v>
      </c>
      <c r="BS18" s="2">
        <f>Table83[[#This Row],[Weight]]-Table7[[#This Row],[Weight v Fat Calories]]</f>
        <v>9.2377990439627524</v>
      </c>
      <c r="BT18" s="2">
        <f>Table7[[#This Row],[WFC Res]]^2</f>
        <v>85.336931176639141</v>
      </c>
      <c r="BU18">
        <f>Regression!$B$29+(Regression!$B$28*Table83[[#This Row],[Weight]])</f>
        <v>45.773236208564477</v>
      </c>
      <c r="BV18" s="2">
        <f>Table83[[#This Row],[Waist]]-Table7[[#This Row],[Waist v Weight]]</f>
        <v>0.22676379143552339</v>
      </c>
      <c r="BW18" s="2">
        <f>Table7[[#This Row],[WaistW Res]]^2</f>
        <v>5.1421817106213553E-2</v>
      </c>
      <c r="BX18">
        <f>Regression!$C$29+(Regression!$C$28*Table83[[#This Row],[Neck]])</f>
        <v>45.258648648648581</v>
      </c>
      <c r="BY18" s="2">
        <f>Table83[[#This Row],[Waist]]-Table7[[#This Row],[Waist v Neck]]</f>
        <v>0.74135135135141894</v>
      </c>
      <c r="BZ18" s="2">
        <f>Table7[[#This Row],[WaistN Res]]^2</f>
        <v>0.54960182615057507</v>
      </c>
      <c r="CA18">
        <f>Regression!$D$29+(Regression!$D$28*Table83[[#This Row],[Morning Body Temp]])</f>
        <v>44.476744743933082</v>
      </c>
      <c r="CB18" s="2">
        <f>Table83[[#This Row],[Waist]]-Table7[[#This Row],[Waist v Morning Temp]]</f>
        <v>1.5232552560669177</v>
      </c>
      <c r="CC18" s="2">
        <f>Table7[[#This Row],[WaistMT Res]]^2</f>
        <v>2.3203065751354912</v>
      </c>
      <c r="CD18">
        <f>Regression!$E$29+(Regression!$E$28*Table83[[#This Row],[Morning Systolic Pressure]])</f>
        <v>44.428703916909349</v>
      </c>
      <c r="CE18" s="2">
        <f>Table83[[#This Row],[Waist]]-Table7[[#This Row],[Waist v Morning Sys]]</f>
        <v>1.5712960830906511</v>
      </c>
      <c r="CF18" s="2">
        <f>Table7[[#This Row],[WaistMS Res]]^2</f>
        <v>2.4689713807360221</v>
      </c>
      <c r="CG18">
        <f>Regression!$F$29+(Regression!$F$28*Table83[[#This Row],[Morning Diastolic Pressure]])</f>
        <v>44.441545426806556</v>
      </c>
      <c r="CH18" s="2">
        <f>Table83[[#This Row],[Waist]]-Table7[[#This Row],[Waist v Morning Dia]]</f>
        <v>1.558454573193444</v>
      </c>
      <c r="CI18" s="2">
        <f>Table7[[#This Row],[WaistMD Res]]^2</f>
        <v>2.42878065670756</v>
      </c>
      <c r="CJ18">
        <f>Regression!$G$29+(Regression!$G$28*Table83[[#This Row],[Morning Pulse]])</f>
        <v>44.465489733536792</v>
      </c>
      <c r="CK18" s="2">
        <f>Table83[[#This Row],[Waist]]-Table7[[#This Row],[Waist v Morning Pulse]]</f>
        <v>1.534510266463208</v>
      </c>
      <c r="CL18" s="2">
        <f>Table7[[#This Row],[WaistMP Res]]^2</f>
        <v>2.3547217578809856</v>
      </c>
      <c r="CM18">
        <f>Regression!$H$29+(Regression!$H$28*Table83[[#This Row],[Night Body Temp]])</f>
        <v>44.432760107049404</v>
      </c>
      <c r="CN18" s="2">
        <f>Table83[[#This Row],[Waist]]-Table7[[#This Row],[Waist v Night Temp]]</f>
        <v>1.567239892950596</v>
      </c>
      <c r="CO18" s="2">
        <f>Table7[[#This Row],[WaistNT Res]]^2</f>
        <v>2.4562408820557953</v>
      </c>
      <c r="CP18">
        <f>Regression!$I$29+(Regression!$I$28*Table83[[#This Row],[Night Systolic Pressure]])</f>
        <v>44.572820229910121</v>
      </c>
      <c r="CQ18" s="2">
        <f>Table83[[#This Row],[Waist]]-Table7[[#This Row],[Waist v  Night Sys]]</f>
        <v>1.4271797700898787</v>
      </c>
      <c r="CR18" s="2">
        <f>Table7[[#This Row],[WaistNS Res]]^2</f>
        <v>2.0368420961537992</v>
      </c>
      <c r="CS18">
        <f>Regression!$J$29+(Regression!$J$28*Table83[[#This Row],[Night Diastolic Pressure]])</f>
        <v>44.563499682398387</v>
      </c>
      <c r="CT18" s="2">
        <f>Table83[[#This Row],[Waist]]-Table7[[#This Row],[Waist v Night Dia]]</f>
        <v>1.4365003176016131</v>
      </c>
      <c r="CU18" s="2">
        <f>Table7[[#This Row],[WaistND Res]]^2</f>
        <v>2.0635331624695352</v>
      </c>
      <c r="CV18">
        <f>Regression!$K$29+(Regression!$K$28*Table83[[#This Row],[Night Pulse]])</f>
        <v>44.496846074607809</v>
      </c>
      <c r="CW18" s="2">
        <f>Table83[[#This Row],[Waist]]-Table7[[#This Row],[Waist v Night Pulse]]</f>
        <v>1.5031539253921906</v>
      </c>
      <c r="CX18" s="2">
        <f>Table7[[#This Row],[WaistNP Res]]^2</f>
        <v>2.2594717234219512</v>
      </c>
      <c r="CY18">
        <f>Regression!$L$29+(Regression!$L$28*Table83[[#This Row],[Sleep]])</f>
        <v>44.529040304851584</v>
      </c>
      <c r="CZ18" s="2">
        <f>Table83[[#This Row],[Waist]]-Table7[[#This Row],[Waist v  Sleep]]</f>
        <v>1.4709596951484158</v>
      </c>
      <c r="DA18" s="2">
        <f>Table7[[#This Row],[WaistS Res]]^2</f>
        <v>2.1637224247511204</v>
      </c>
      <c r="DB18">
        <f>Regression!$M$29+(Regression!$M$28*Table83[[#This Row],[BMI]])</f>
        <v>45.773236208560284</v>
      </c>
      <c r="DC18" s="2">
        <f>Table83[[#This Row],[Waist]]-Table7[[#This Row],[Waist v BMI]]</f>
        <v>0.22676379143971559</v>
      </c>
      <c r="DD18" s="2">
        <f>Table7[[#This Row],[WaistBMI Res]]^2</f>
        <v>5.1421817108114831E-2</v>
      </c>
      <c r="DE18">
        <f>Regression!$N$29+(Regression!$N$28*Table83[[#This Row],[CBF]])</f>
        <v>45.737892076427137</v>
      </c>
      <c r="DF18" s="2">
        <f>Table83[[#This Row],[Waist]]-Table7[[#This Row],[Waist v  CBF]]</f>
        <v>0.26210792357286294</v>
      </c>
      <c r="DG18" s="2">
        <f>Table7[[#This Row],[WaistCBF Res]]^2</f>
        <v>6.8700563599677758E-2</v>
      </c>
      <c r="DH18">
        <f>Regression!$O$29+(Regression!$O$28*Table83[[#This Row],[Gym]])</f>
        <v>44.550847457627107</v>
      </c>
      <c r="DI18" s="2">
        <f>Table83[[#This Row],[Waist]]-Table7[[#This Row],[Waist v  Gym]]</f>
        <v>1.449152542372893</v>
      </c>
      <c r="DJ18" s="2">
        <f>Table7[[#This Row],[WaistGYM Res]]^2</f>
        <v>2.1000430910658197</v>
      </c>
      <c r="DK18">
        <f>Regression!$P$29+(Regression!$P$28*Table83[[#This Row],[Cardio]])</f>
        <v>44.680851063829778</v>
      </c>
      <c r="DL18" s="2">
        <f>Table83[[#This Row],[Waist]]-Table7[[#This Row],[Waist v Cardio]]</f>
        <v>1.3191489361702224</v>
      </c>
      <c r="DM18" s="2">
        <f>Table7[[#This Row],[WaistC Res]]^2</f>
        <v>1.7401539157990296</v>
      </c>
      <c r="DN18">
        <f>Regression!$Q$29+(Regression!$Q$28*Table83[[#This Row],[Calories]])</f>
        <v>44.633521605205438</v>
      </c>
      <c r="DO18" s="2">
        <f>Table83[[#This Row],[Waist]]-Table7[[#This Row],[Waist v Calories]]</f>
        <v>1.3664783947945622</v>
      </c>
      <c r="DP18" s="2">
        <f>Table7[[#This Row],[WaistCal Res]]^2</f>
        <v>1.8672632034403236</v>
      </c>
      <c r="DQ18">
        <f>Regression!$R$29+(Regression!$R$28*Table83[[#This Row],[Carbs]])</f>
        <v>44.637753474115037</v>
      </c>
      <c r="DR18" s="2">
        <f>Table83[[#This Row],[Waist]]-Table7[[#This Row],[Waist v Carbs]]</f>
        <v>1.362246525884963</v>
      </c>
      <c r="DS18" s="2">
        <f>Table7[[#This Row],[WaistCarb Res]]^2</f>
        <v>1.8557155972856512</v>
      </c>
      <c r="DT18">
        <f>Regression!$S$29+(Regression!$S$28*Table83[[#This Row],[Fat ]])</f>
        <v>44.583370434918393</v>
      </c>
      <c r="DU18" s="2">
        <f>Table83[[#This Row],[Waist]]-Table7[[#This Row],[Waist v Fat]]</f>
        <v>1.4166295650816068</v>
      </c>
      <c r="DV18" s="2">
        <f>Table7[[#This Row],[WaistF Res]]^2</f>
        <v>2.0068393246633023</v>
      </c>
      <c r="DW18">
        <f>Regression!$T$29+(Regression!$T$28*Table83[[#This Row],[Protein]])</f>
        <v>44.57744363314486</v>
      </c>
      <c r="DX18" s="2">
        <f>Table83[[#This Row],[Waist]]-Table7[[#This Row],[Waist v Protein]]</f>
        <v>1.4225563668551402</v>
      </c>
      <c r="DY18" s="2">
        <f>Table7[[#This Row],[WaistP Res]]^2</f>
        <v>2.0236666168800963</v>
      </c>
      <c r="DZ18">
        <f>Regression!$U$29+(Regression!$U$28*Table83[[#This Row],[Fiber]])</f>
        <v>44.5009322979082</v>
      </c>
      <c r="EA18" s="2">
        <f>Table83[[#This Row],[Waist]]-Table7[[#This Row],[Waist v Fiber]]</f>
        <v>1.4990677020918</v>
      </c>
      <c r="EB18" s="2">
        <f>Table7[[#This Row],[WaistFib Res]]^2</f>
        <v>2.2472039754547897</v>
      </c>
      <c r="EC18">
        <f>Regression!$V$29+(Regression!$V$28*Table83[[#This Row],[Sugar]])</f>
        <v>44.742396232709353</v>
      </c>
      <c r="ED18" s="2">
        <f>Table83[[#This Row],[Waist]]-Table7[[#This Row],[Waist v Sugar]]</f>
        <v>1.2576037672906466</v>
      </c>
      <c r="EE18" s="2">
        <f>Table7[[#This Row],[WaistSugar Res]]^2</f>
        <v>1.5815672355036268</v>
      </c>
      <c r="EF18">
        <f>Regression!$W$29+(Regression!$W$28*Table83[[#This Row],[Servings]])</f>
        <v>44.689374798458864</v>
      </c>
      <c r="EG18" s="2">
        <f>Table83[[#This Row],[Waist]]-Table7[[#This Row],[Waist v Servings]]</f>
        <v>1.3106252015411357</v>
      </c>
      <c r="EH18" s="2">
        <f>Table7[[#This Row],[WaistServ Res]]^2</f>
        <v>1.7177384189147427</v>
      </c>
      <c r="EI18">
        <f>Regression!$X$29+(Regression!$X$28*Table83[[#This Row],[Water]])</f>
        <v>44.553850107074496</v>
      </c>
      <c r="EJ18" s="2">
        <f>Table83[[#This Row],[Waist]]-Table7[[#This Row],[Waist v Water]]</f>
        <v>1.4461498929255043</v>
      </c>
      <c r="EK18" s="2">
        <f>Table7[[#This Row],[WaistWat Res]]^2</f>
        <v>2.0913495128084478</v>
      </c>
      <c r="EL18">
        <f>Regression!$Y$29+(Regression!$Y$28*Table83[[#This Row],[Fat Calories]])</f>
        <v>44.589533041634724</v>
      </c>
      <c r="EM18" s="2">
        <f>Table83[[#This Row],[Waist]]-Table7[[#This Row],[Waist v Fat Calories]]</f>
        <v>1.4104669583652765</v>
      </c>
      <c r="EN18" s="2">
        <f>Table7[[#This Row],[WaistFatCal Res]]^2</f>
        <v>1.9894170406401945</v>
      </c>
    </row>
    <row r="19" spans="1:144" x14ac:dyDescent="0.25">
      <c r="A19">
        <f>Regression!$B$10+(Regression!$B$9*Table83[[#This Row],[Waist]])</f>
        <v>263.94216992155748</v>
      </c>
      <c r="B19" s="2">
        <f>Table83[[#This Row],[Weight]]-Table7[[#This Row],[Weight v Waist]]</f>
        <v>0.65783007844254371</v>
      </c>
      <c r="C19" s="2">
        <f>Table7[[#This Row],[Weight v Waist Res]]^2</f>
        <v>0.43274041210372322</v>
      </c>
      <c r="D19">
        <f>Regression!$C$10+(Regression!$C$9*Table83[[#This Row],[Neck]])</f>
        <v>260.39308108104251</v>
      </c>
      <c r="E19" s="2">
        <f>Table83[[#This Row],[Weight]]-Table7[[#This Row],[Weight v Neck]]</f>
        <v>4.2069189189575127</v>
      </c>
      <c r="F19" s="2">
        <f>Table7[[#This Row],[WN Res]]^2</f>
        <v>17.698166790682649</v>
      </c>
      <c r="G19">
        <f>Regression!$D$10+(Regression!$D$9*Table83[[#This Row],[Morning Body Temp]])</f>
        <v>255.12996500330669</v>
      </c>
      <c r="H19" s="2">
        <f>Table83[[#This Row],[Weight]]-Table7[[#This Row],[Weight v Morning Temp]]</f>
        <v>9.4700349966933288</v>
      </c>
      <c r="I19" s="2">
        <f>Table7[[#This Row],[WMT Res]]^2</f>
        <v>89.68156283859642</v>
      </c>
      <c r="J19">
        <f>Regression!$E$10+(Regression!$E$9*Table83[[#This Row],[Morning Systolic Pressure]])</f>
        <v>255.59533587125256</v>
      </c>
      <c r="K19" s="2">
        <f>Table83[[#This Row],[Weight]]-Table7[[#This Row],[Weight v Morning Sys]]</f>
        <v>9.0046641287474642</v>
      </c>
      <c r="L19" s="2">
        <f>Table7[[#This Row],[WMS Res]]^2</f>
        <v>81.083976071551334</v>
      </c>
      <c r="M19">
        <f>Regression!$F$10+(Regression!$F$9*Table83[[#This Row],[Morning Diastolic Pressure]])</f>
        <v>254.69666290106716</v>
      </c>
      <c r="N19" s="2">
        <f>Table83[[#This Row],[Weight]]-Table7[[#This Row],[Weight v Morning Dia]]</f>
        <v>9.903337098932866</v>
      </c>
      <c r="O19" s="2">
        <f>Table7[[#This Row],[WMD Res]]^2</f>
        <v>98.076085695100033</v>
      </c>
      <c r="P19">
        <f>Regression!$G$10+(Regression!$G$9*Table83[[#This Row],[Morning Pulse]])</f>
        <v>255.12278407318442</v>
      </c>
      <c r="Q19" s="2">
        <f>Table83[[#This Row],[Weight]]-Table7[[#This Row],[Weight v Morning Pulse]]</f>
        <v>9.4772159268156031</v>
      </c>
      <c r="R19" s="2">
        <f>Table7[[#This Row],[WMP Res]]^2</f>
        <v>89.817621723487335</v>
      </c>
      <c r="S19">
        <f>Regression!$H$10+(Regression!$H$9*Table83[[#This Row],[Night Body Temp]])</f>
        <v>254.85148667752509</v>
      </c>
      <c r="T19" s="2">
        <f>Table83[[#This Row],[Weight]]-Table7[[#This Row],[Weight v Night Temp]]</f>
        <v>9.7485133224749347</v>
      </c>
      <c r="U19" s="2">
        <f>Table7[[#This Row],[WNT Res]]^2</f>
        <v>95.033511998471297</v>
      </c>
      <c r="V19">
        <f>Regression!$I$10+(Regression!$I$9*Table83[[#This Row],[Night Systolic Pressure]])</f>
        <v>256.16238489942344</v>
      </c>
      <c r="W19" s="2">
        <f>Table83[[#This Row],[Weight]]-Table7[[#This Row],[Weight v Night Sys]]</f>
        <v>8.4376151005765792</v>
      </c>
      <c r="X19" s="2">
        <f>Table7[[#This Row],[WNS Res]]^2</f>
        <v>71.193348585477921</v>
      </c>
      <c r="Y19">
        <f>Regression!$J$10+(Regression!$J$9*Table83[[#This Row],[Night Diastolic Pressure]])</f>
        <v>255.62227266365542</v>
      </c>
      <c r="Z19" s="2">
        <f>Table83[[#This Row],[Weight]]-Table7[[#This Row],[Weight v Night Dia]]</f>
        <v>8.9777273363446</v>
      </c>
      <c r="AA19" s="2">
        <f>Table7[[#This Row],[WND Res]]^2</f>
        <v>80.599588125749108</v>
      </c>
      <c r="AB19">
        <f>Regression!$K$10+(Regression!$K$9*Table83[[#This Row],[Night Pulse]])</f>
        <v>254.80301854637398</v>
      </c>
      <c r="AC19" s="2">
        <f>Table83[[#This Row],[Weight]]-Table7[[#This Row],[Weight v Night Pulse]]</f>
        <v>9.7969814536260458</v>
      </c>
      <c r="AD19" s="2">
        <f>Table7[[#This Row],[WNP Res ]]^2</f>
        <v>95.98084560269271</v>
      </c>
      <c r="AE19">
        <f>Regression!$L$10+(Regression!$L$9*Table83[[#This Row],[Sleep]])</f>
        <v>254.97929263569441</v>
      </c>
      <c r="AF19" s="2">
        <f>Table83[[#This Row],[Weight]]-Table7[[#This Row],[Weight v Sleep]]</f>
        <v>9.6207073643056162</v>
      </c>
      <c r="AG19" s="2">
        <f>Table7[[#This Row],[WS Res]]^2</f>
        <v>92.558010189604317</v>
      </c>
      <c r="AH19">
        <f>Regression!$M$10+(Regression!$M$9*Table83[[#This Row],[BMI]])</f>
        <v>264.59999999997888</v>
      </c>
      <c r="AI19" s="2">
        <f>Table83[[#This Row],[Weight]]-Table7[[#This Row],[Weight v BMI]]</f>
        <v>2.1145751816220582E-11</v>
      </c>
      <c r="AJ19" s="2">
        <f>Table7[[#This Row],[WBMI Res]]^2</f>
        <v>4.4714281987319602E-22</v>
      </c>
      <c r="AK19">
        <f>Regression!$N$10+(Regression!$N$9*Table83[[#This Row],[CBF]])</f>
        <v>262.24752658837394</v>
      </c>
      <c r="AL19" s="2">
        <f>Table83[[#This Row],[Weight]]-Table7[[#This Row],[Weight v CBF]]</f>
        <v>2.3524734116260788</v>
      </c>
      <c r="AM19" s="2">
        <f>Table7[[#This Row],[WCBF Res]]^2</f>
        <v>5.5341311524076424</v>
      </c>
      <c r="AN19">
        <f>Regression!$O$10+(Regression!$O$9*Table83[[#This Row],[Gym]])</f>
        <v>255.46779661016953</v>
      </c>
      <c r="AO19" s="2">
        <f>Table83[[#This Row],[Weight]]-Table7[[#This Row],[Weight v Gym]]</f>
        <v>9.1322033898304937</v>
      </c>
      <c r="AP19" s="2">
        <f>Table7[[#This Row],[WG Res]]^2</f>
        <v>83.397138753231559</v>
      </c>
      <c r="AQ19">
        <f>Regression!$P$10+(Regression!$P$9*Table83[[#This Row],[Cardio]])</f>
        <v>256.41063829787231</v>
      </c>
      <c r="AR19" s="2">
        <f>Table83[[#This Row],[Weight]]-Table7[[#This Row],[Weight v Cardio]]</f>
        <v>8.1893617021277123</v>
      </c>
      <c r="AS19" s="2">
        <f>Table7[[#This Row],[WC Res]]^2</f>
        <v>67.065645088276099</v>
      </c>
      <c r="AT19">
        <f>Regression!$Q$10+(Regression!$Q$9*Table83[[#This Row],[Calories]])</f>
        <v>255.85889002402553</v>
      </c>
      <c r="AU19" s="2">
        <f>Table83[[#This Row],[Weight]]-Table7[[#This Row],[Weight v Calories]]</f>
        <v>8.7411099759744957</v>
      </c>
      <c r="AV19" s="2">
        <f>Table7[[#This Row],[WCAL Res]]^2</f>
        <v>76.407003612080842</v>
      </c>
      <c r="AW19">
        <f>Regression!$R$10+(Regression!$R$9*Table83[[#This Row],[Carbs]])</f>
        <v>255.91805443463633</v>
      </c>
      <c r="AX19" s="2">
        <f>Table83[[#This Row],[Weight]]-Table7[[#This Row],[Weight v Carbs]]</f>
        <v>8.6819455653636908</v>
      </c>
      <c r="AY19" s="2">
        <f>Table7[[#This Row],[Wcarb Res]]^2</f>
        <v>75.376178799938259</v>
      </c>
      <c r="AZ19">
        <f>Regression!$S$10+(Regression!$S$9*Table83[[#This Row],[Fat ]])</f>
        <v>255.52174303021283</v>
      </c>
      <c r="BA19" s="2">
        <f>Table83[[#This Row],[Weight]]-Table7[[#This Row],[Weight v Fat]]</f>
        <v>9.0782569697871907</v>
      </c>
      <c r="BB19" s="2">
        <f>Table7[[#This Row],[WF Res]]^2</f>
        <v>82.414749609489704</v>
      </c>
      <c r="BC19">
        <f>Regression!$T$10+(Regression!$T$9*Table83[[#This Row],[Protein]])</f>
        <v>255.77450501671586</v>
      </c>
      <c r="BD19" s="2">
        <f>Table83[[#This Row],[Weight]]-Table7[[#This Row],[Weight v Protein]]</f>
        <v>8.8254949832841589</v>
      </c>
      <c r="BE19" s="2">
        <f>Table7[[#This Row],[WP Res]]^2</f>
        <v>77.889361699973861</v>
      </c>
      <c r="BF19">
        <f>Regression!$U$10+(Regression!$U$9*Table83[[#This Row],[Fiber]])</f>
        <v>255.25836957908476</v>
      </c>
      <c r="BG19" s="2">
        <f>Table83[[#This Row],[Weight]]-Table7[[#This Row],[Weight v Fiber]]</f>
        <v>9.3416304209152656</v>
      </c>
      <c r="BH19" s="2">
        <f>Table7[[#This Row],[Wfib Res]]^2</f>
        <v>87.266058920969527</v>
      </c>
      <c r="BI19">
        <f>Regression!$V$10+(Regression!$V$9*Table83[[#This Row],[Sugar]])</f>
        <v>256.64394024178119</v>
      </c>
      <c r="BJ19" s="2">
        <f>Table83[[#This Row],[Weight]]-Table7[[#This Row],[Weight v Sugar]]</f>
        <v>7.9560597582188279</v>
      </c>
      <c r="BK19" s="2">
        <f>Table7[[#This Row],[Wsugar Res]]^2</f>
        <v>63.298886876349037</v>
      </c>
      <c r="BL19">
        <f>Regression!$W$10+(Regression!$W$9*Table83[[#This Row],[Servings]])</f>
        <v>256.62243355308664</v>
      </c>
      <c r="BM19" s="2">
        <f>Table83[[#This Row],[Weight]]-Table7[[#This Row],[Weight v Servings]]</f>
        <v>7.9775664469133858</v>
      </c>
      <c r="BN19" s="2">
        <f>Table7[[#This Row],[Wserv Res]]^2</f>
        <v>63.641566414918266</v>
      </c>
      <c r="BO19">
        <f>Regression!$X$10+(Regression!$X$9*Table83[[#This Row],[Water]])</f>
        <v>255.10626599365665</v>
      </c>
      <c r="BP19" s="2">
        <f>Table83[[#This Row],[Weight]]-Table7[[#This Row],[Weight v Water]]</f>
        <v>9.4937340063433737</v>
      </c>
      <c r="BQ19" s="2">
        <f>Table7[[#This Row],[Wwater Res]]^2</f>
        <v>90.13098538320061</v>
      </c>
      <c r="BR19">
        <f>Regression!$Y$10+(Regression!$Y$9*Table83[[#This Row],[Fat Calories]])</f>
        <v>255.54301246009624</v>
      </c>
      <c r="BS19" s="2">
        <f>Table83[[#This Row],[Weight]]-Table7[[#This Row],[Weight v Fat Calories]]</f>
        <v>9.0569875399037869</v>
      </c>
      <c r="BT19" s="2">
        <f>Table7[[#This Row],[WFC Res]]^2</f>
        <v>82.029023297972444</v>
      </c>
      <c r="BU19">
        <f>Regression!$B$29+(Regression!$B$28*Table83[[#This Row],[Weight]])</f>
        <v>45.745983706450481</v>
      </c>
      <c r="BV19" s="2">
        <f>Table83[[#This Row],[Waist]]-Table7[[#This Row],[Waist v Weight]]</f>
        <v>0.25401629354951893</v>
      </c>
      <c r="BW19" s="2">
        <f>Table7[[#This Row],[WaistW Res]]^2</f>
        <v>6.4524277388635379E-2</v>
      </c>
      <c r="BX19">
        <f>Regression!$C$29+(Regression!$C$28*Table83[[#This Row],[Neck]])</f>
        <v>45.258648648648581</v>
      </c>
      <c r="BY19" s="2">
        <f>Table83[[#This Row],[Waist]]-Table7[[#This Row],[Waist v Neck]]</f>
        <v>0.74135135135141894</v>
      </c>
      <c r="BZ19" s="2">
        <f>Table7[[#This Row],[WaistN Res]]^2</f>
        <v>0.54960182615057507</v>
      </c>
      <c r="CA19">
        <f>Regression!$D$29+(Regression!$D$28*Table83[[#This Row],[Morning Body Temp]])</f>
        <v>44.457597930757203</v>
      </c>
      <c r="CB19" s="2">
        <f>Table83[[#This Row],[Waist]]-Table7[[#This Row],[Waist v Morning Temp]]</f>
        <v>1.5424020692427973</v>
      </c>
      <c r="CC19" s="2">
        <f>Table7[[#This Row],[WaistMT Res]]^2</f>
        <v>2.3790041432044631</v>
      </c>
      <c r="CD19">
        <f>Regression!$E$29+(Regression!$E$28*Table83[[#This Row],[Morning Systolic Pressure]])</f>
        <v>44.566379185060903</v>
      </c>
      <c r="CE19" s="2">
        <f>Table83[[#This Row],[Waist]]-Table7[[#This Row],[Waist v Morning Sys]]</f>
        <v>1.433620814939097</v>
      </c>
      <c r="CF19" s="2">
        <f>Table7[[#This Row],[WaistMS Res]]^2</f>
        <v>2.0552686410266405</v>
      </c>
      <c r="CG19">
        <f>Regression!$F$29+(Regression!$F$28*Table83[[#This Row],[Morning Diastolic Pressure]])</f>
        <v>44.430274185468846</v>
      </c>
      <c r="CH19" s="2">
        <f>Table83[[#This Row],[Waist]]-Table7[[#This Row],[Waist v Morning Dia]]</f>
        <v>1.5697258145311537</v>
      </c>
      <c r="CI19" s="2">
        <f>Table7[[#This Row],[WaistMD Res]]^2</f>
        <v>2.4640391328054938</v>
      </c>
      <c r="CJ19">
        <f>Regression!$G$29+(Regression!$G$28*Table83[[#This Row],[Morning Pulse]])</f>
        <v>44.45709470780065</v>
      </c>
      <c r="CK19" s="2">
        <f>Table83[[#This Row],[Waist]]-Table7[[#This Row],[Waist v Morning Pulse]]</f>
        <v>1.5429052921993502</v>
      </c>
      <c r="CL19" s="2">
        <f>Table7[[#This Row],[WaistMP Res]]^2</f>
        <v>2.3805567406967625</v>
      </c>
      <c r="CM19">
        <f>Regression!$H$29+(Regression!$H$28*Table83[[#This Row],[Night Body Temp]])</f>
        <v>44.432760107049404</v>
      </c>
      <c r="CN19" s="2">
        <f>Table83[[#This Row],[Waist]]-Table7[[#This Row],[Waist v Night Temp]]</f>
        <v>1.567239892950596</v>
      </c>
      <c r="CO19" s="2">
        <f>Table7[[#This Row],[WaistNT Res]]^2</f>
        <v>2.4562408820557953</v>
      </c>
      <c r="CP19">
        <f>Regression!$I$29+(Regression!$I$28*Table83[[#This Row],[Night Systolic Pressure]])</f>
        <v>44.601900458561346</v>
      </c>
      <c r="CQ19" s="2">
        <f>Table83[[#This Row],[Waist]]-Table7[[#This Row],[Waist v  Night Sys]]</f>
        <v>1.3980995414386541</v>
      </c>
      <c r="CR19" s="2">
        <f>Table7[[#This Row],[WaistNS Res]]^2</f>
        <v>1.9546823277709748</v>
      </c>
      <c r="CS19">
        <f>Regression!$J$29+(Regression!$J$28*Table83[[#This Row],[Night Diastolic Pressure]])</f>
        <v>44.665907353643036</v>
      </c>
      <c r="CT19" s="2">
        <f>Table83[[#This Row],[Waist]]-Table7[[#This Row],[Waist v Night Dia]]</f>
        <v>1.3340926463569645</v>
      </c>
      <c r="CU19" s="2">
        <f>Table7[[#This Row],[WaistND Res]]^2</f>
        <v>1.7798031890637287</v>
      </c>
      <c r="CV19">
        <f>Regression!$K$29+(Regression!$K$28*Table83[[#This Row],[Night Pulse]])</f>
        <v>44.482562343052983</v>
      </c>
      <c r="CW19" s="2">
        <f>Table83[[#This Row],[Waist]]-Table7[[#This Row],[Waist v Night Pulse]]</f>
        <v>1.5174376569470169</v>
      </c>
      <c r="CX19" s="2">
        <f>Table7[[#This Row],[WaistNP Res]]^2</f>
        <v>2.3026170427208528</v>
      </c>
      <c r="CY19">
        <f>Regression!$L$29+(Regression!$L$28*Table83[[#This Row],[Sleep]])</f>
        <v>44.432842368860271</v>
      </c>
      <c r="CZ19" s="2">
        <f>Table83[[#This Row],[Waist]]-Table7[[#This Row],[Waist v  Sleep]]</f>
        <v>1.5671576311397288</v>
      </c>
      <c r="DA19" s="2">
        <f>Table7[[#This Row],[WaistS Res]]^2</f>
        <v>2.4559830408394863</v>
      </c>
      <c r="DB19">
        <f>Regression!$M$29+(Regression!$M$28*Table83[[#This Row],[BMI]])</f>
        <v>45.745983706446374</v>
      </c>
      <c r="DC19" s="2">
        <f>Table83[[#This Row],[Waist]]-Table7[[#This Row],[Waist v BMI]]</f>
        <v>0.25401629355362587</v>
      </c>
      <c r="DD19" s="2">
        <f>Table7[[#This Row],[WaistBMI Res]]^2</f>
        <v>6.4524277390721835E-2</v>
      </c>
      <c r="DE19">
        <f>Regression!$N$29+(Regression!$N$28*Table83[[#This Row],[CBF]])</f>
        <v>45.737892076427137</v>
      </c>
      <c r="DF19" s="2">
        <f>Table83[[#This Row],[Waist]]-Table7[[#This Row],[Waist v  CBF]]</f>
        <v>0.26210792357286294</v>
      </c>
      <c r="DG19" s="2">
        <f>Table7[[#This Row],[WaistCBF Res]]^2</f>
        <v>6.8700563599677758E-2</v>
      </c>
      <c r="DH19">
        <f>Regression!$O$29+(Regression!$O$28*Table83[[#This Row],[Gym]])</f>
        <v>44.550847457627107</v>
      </c>
      <c r="DI19" s="2">
        <f>Table83[[#This Row],[Waist]]-Table7[[#This Row],[Waist v  Gym]]</f>
        <v>1.449152542372893</v>
      </c>
      <c r="DJ19" s="2">
        <f>Table7[[#This Row],[WaistGYM Res]]^2</f>
        <v>2.1000430910658197</v>
      </c>
      <c r="DK19">
        <f>Regression!$P$29+(Regression!$P$28*Table83[[#This Row],[Cardio]])</f>
        <v>44.680851063829778</v>
      </c>
      <c r="DL19" s="2">
        <f>Table83[[#This Row],[Waist]]-Table7[[#This Row],[Waist v Cardio]]</f>
        <v>1.3191489361702224</v>
      </c>
      <c r="DM19" s="2">
        <f>Table7[[#This Row],[WaistC Res]]^2</f>
        <v>1.7401539157990296</v>
      </c>
      <c r="DN19">
        <f>Regression!$Q$29+(Regression!$Q$28*Table83[[#This Row],[Calories]])</f>
        <v>44.620665470680919</v>
      </c>
      <c r="DO19" s="2">
        <f>Table83[[#This Row],[Waist]]-Table7[[#This Row],[Waist v Calories]]</f>
        <v>1.3793345293190811</v>
      </c>
      <c r="DP19" s="2">
        <f>Table7[[#This Row],[WaistCal Res]]^2</f>
        <v>1.902563743771891</v>
      </c>
      <c r="DQ19">
        <f>Regression!$R$29+(Regression!$R$28*Table83[[#This Row],[Carbs]])</f>
        <v>44.620721626469305</v>
      </c>
      <c r="DR19" s="2">
        <f>Table83[[#This Row],[Waist]]-Table7[[#This Row],[Waist v Carbs]]</f>
        <v>1.3792783735306955</v>
      </c>
      <c r="DS19" s="2">
        <f>Table7[[#This Row],[WaistCarb Res]]^2</f>
        <v>1.9024088316894807</v>
      </c>
      <c r="DT19">
        <f>Regression!$S$29+(Regression!$S$28*Table83[[#This Row],[Fat ]])</f>
        <v>44.577859033947689</v>
      </c>
      <c r="DU19" s="2">
        <f>Table83[[#This Row],[Waist]]-Table7[[#This Row],[Waist v Fat]]</f>
        <v>1.4221409660523108</v>
      </c>
      <c r="DV19" s="2">
        <f>Table7[[#This Row],[WaistF Res]]^2</f>
        <v>2.0224849273241996</v>
      </c>
      <c r="DW19">
        <f>Regression!$T$29+(Regression!$T$28*Table83[[#This Row],[Protein]])</f>
        <v>44.574245640350277</v>
      </c>
      <c r="DX19" s="2">
        <f>Table83[[#This Row],[Waist]]-Table7[[#This Row],[Waist v Protein]]</f>
        <v>1.4257543596497229</v>
      </c>
      <c r="DY19" s="2">
        <f>Table7[[#This Row],[WaistP Res]]^2</f>
        <v>2.0327754940601914</v>
      </c>
      <c r="DZ19">
        <f>Regression!$U$29+(Regression!$U$28*Table83[[#This Row],[Fiber]])</f>
        <v>44.508843328520612</v>
      </c>
      <c r="EA19" s="2">
        <f>Table83[[#This Row],[Waist]]-Table7[[#This Row],[Waist v Fiber]]</f>
        <v>1.4911566714793878</v>
      </c>
      <c r="EB19" s="2">
        <f>Table7[[#This Row],[WaistFib Res]]^2</f>
        <v>2.2235482188974869</v>
      </c>
      <c r="EC19">
        <f>Regression!$V$29+(Regression!$V$28*Table83[[#This Row],[Sugar]])</f>
        <v>44.728188936511579</v>
      </c>
      <c r="ED19" s="2">
        <f>Table83[[#This Row],[Waist]]-Table7[[#This Row],[Waist v Sugar]]</f>
        <v>1.2718110634884212</v>
      </c>
      <c r="EE19" s="2">
        <f>Table7[[#This Row],[WaistSugar Res]]^2</f>
        <v>1.6175033812115489</v>
      </c>
      <c r="EF19">
        <f>Regression!$W$29+(Regression!$W$28*Table83[[#This Row],[Servings]])</f>
        <v>44.683542317898613</v>
      </c>
      <c r="EG19" s="2">
        <f>Table83[[#This Row],[Waist]]-Table7[[#This Row],[Waist v Servings]]</f>
        <v>1.3164576821013867</v>
      </c>
      <c r="EH19" s="2">
        <f>Table7[[#This Row],[WaistServ Res]]^2</f>
        <v>1.7330608287637557</v>
      </c>
      <c r="EI19">
        <f>Regression!$X$29+(Regression!$X$28*Table83[[#This Row],[Water]])</f>
        <v>44.442082352251923</v>
      </c>
      <c r="EJ19" s="2">
        <f>Table83[[#This Row],[Waist]]-Table7[[#This Row],[Waist v Water]]</f>
        <v>1.5579176477480772</v>
      </c>
      <c r="EK19" s="2">
        <f>Table7[[#This Row],[WaistWat Res]]^2</f>
        <v>2.4271073971649018</v>
      </c>
      <c r="EL19">
        <f>Regression!$Y$29+(Regression!$Y$28*Table83[[#This Row],[Fat Calories]])</f>
        <v>44.583697268011143</v>
      </c>
      <c r="EM19" s="2">
        <f>Table83[[#This Row],[Waist]]-Table7[[#This Row],[Waist v Fat Calories]]</f>
        <v>1.416302731988857</v>
      </c>
      <c r="EN19" s="2">
        <f>Table7[[#This Row],[WaistFatCal Res]]^2</f>
        <v>2.0059134286391003</v>
      </c>
    </row>
    <row r="20" spans="1:144" x14ac:dyDescent="0.25">
      <c r="A20">
        <f>Regression!$B$10+(Regression!$B$9*Table83[[#This Row],[Waist]])</f>
        <v>263.94216992155748</v>
      </c>
      <c r="B20" s="2">
        <f>Table83[[#This Row],[Weight]]-Table7[[#This Row],[Weight v Waist]]</f>
        <v>-0.7421699215574904</v>
      </c>
      <c r="C20" s="2">
        <f>Table7[[#This Row],[Weight v Waist Res]]^2</f>
        <v>0.55081619246465141</v>
      </c>
      <c r="D20">
        <f>Regression!$C$10+(Regression!$C$9*Table83[[#This Row],[Neck]])</f>
        <v>260.39308108104251</v>
      </c>
      <c r="E20" s="2">
        <f>Table83[[#This Row],[Weight]]-Table7[[#This Row],[Weight v Neck]]</f>
        <v>2.8069189189574786</v>
      </c>
      <c r="F20" s="2">
        <f>Table7[[#This Row],[WN Res]]^2</f>
        <v>7.8787938176014203</v>
      </c>
      <c r="G20">
        <f>Regression!$D$10+(Regression!$D$9*Table83[[#This Row],[Morning Body Temp]])</f>
        <v>255.05956644908434</v>
      </c>
      <c r="H20" s="2">
        <f>Table83[[#This Row],[Weight]]-Table7[[#This Row],[Weight v Morning Temp]]</f>
        <v>8.1404335509156454</v>
      </c>
      <c r="I20" s="2">
        <f>Table7[[#This Row],[WMT Res]]^2</f>
        <v>66.266658396873098</v>
      </c>
      <c r="J20">
        <f>Regression!$E$10+(Regression!$E$9*Table83[[#This Row],[Morning Systolic Pressure]])</f>
        <v>255.09948662875533</v>
      </c>
      <c r="K20" s="2">
        <f>Table83[[#This Row],[Weight]]-Table7[[#This Row],[Weight v Morning Sys]]</f>
        <v>8.1005133712446593</v>
      </c>
      <c r="L20" s="2">
        <f>Table7[[#This Row],[WMS Res]]^2</f>
        <v>65.618316877713511</v>
      </c>
      <c r="M20">
        <f>Regression!$F$10+(Regression!$F$9*Table83[[#This Row],[Morning Diastolic Pressure]])</f>
        <v>254.79800715011203</v>
      </c>
      <c r="N20" s="2">
        <f>Table83[[#This Row],[Weight]]-Table7[[#This Row],[Weight v Morning Dia]]</f>
        <v>8.4019928498879608</v>
      </c>
      <c r="O20" s="2">
        <f>Table7[[#This Row],[WMD Res]]^2</f>
        <v>70.593483849568415</v>
      </c>
      <c r="P20">
        <f>Regression!$G$10+(Regression!$G$9*Table83[[#This Row],[Morning Pulse]])</f>
        <v>255.12278407318442</v>
      </c>
      <c r="Q20" s="2">
        <f>Table83[[#This Row],[Weight]]-Table7[[#This Row],[Weight v Morning Pulse]]</f>
        <v>8.077215926815569</v>
      </c>
      <c r="R20" s="2">
        <f>Table7[[#This Row],[WMP Res]]^2</f>
        <v>65.241417128403086</v>
      </c>
      <c r="S20">
        <f>Regression!$H$10+(Regression!$H$9*Table83[[#This Row],[Night Body Temp]])</f>
        <v>255.67305924137855</v>
      </c>
      <c r="T20" s="2">
        <f>Table83[[#This Row],[Weight]]-Table7[[#This Row],[Weight v Night Temp]]</f>
        <v>7.5269407586214356</v>
      </c>
      <c r="U20" s="2">
        <f>Table7[[#This Row],[WNT Res]]^2</f>
        <v>56.65483718379663</v>
      </c>
      <c r="V20">
        <f>Regression!$I$10+(Regression!$I$9*Table83[[#This Row],[Night Systolic Pressure]])</f>
        <v>253.69890888274017</v>
      </c>
      <c r="W20" s="2">
        <f>Table83[[#This Row],[Weight]]-Table7[[#This Row],[Weight v Night Sys]]</f>
        <v>9.5010911172598185</v>
      </c>
      <c r="X20" s="2">
        <f>Table7[[#This Row],[WNS Res]]^2</f>
        <v>90.270732418473429</v>
      </c>
      <c r="Y20">
        <f>Regression!$J$10+(Regression!$J$9*Table83[[#This Row],[Night Diastolic Pressure]])</f>
        <v>255.33691158474272</v>
      </c>
      <c r="Z20" s="2">
        <f>Table83[[#This Row],[Weight]]-Table7[[#This Row],[Weight v Night Dia]]</f>
        <v>7.8630884152572662</v>
      </c>
      <c r="AA20" s="2">
        <f>Table7[[#This Row],[WND Res]]^2</f>
        <v>61.828159426153029</v>
      </c>
      <c r="AB20">
        <f>Regression!$K$10+(Regression!$K$9*Table83[[#This Row],[Night Pulse]])</f>
        <v>255.14086518997797</v>
      </c>
      <c r="AC20" s="2">
        <f>Table83[[#This Row],[Weight]]-Table7[[#This Row],[Weight v Night Pulse]]</f>
        <v>8.0591348100220159</v>
      </c>
      <c r="AD20" s="2">
        <f>Table7[[#This Row],[WNP Res ]]^2</f>
        <v>64.949653886108592</v>
      </c>
      <c r="AE20">
        <f>Regression!$L$10+(Regression!$L$9*Table83[[#This Row],[Sleep]])</f>
        <v>255.5313724565986</v>
      </c>
      <c r="AF20" s="2">
        <f>Table83[[#This Row],[Weight]]-Table7[[#This Row],[Weight v Sleep]]</f>
        <v>7.6686275434013851</v>
      </c>
      <c r="AG20" s="2">
        <f>Table7[[#This Row],[WS Res]]^2</f>
        <v>58.807848399414361</v>
      </c>
      <c r="AH20">
        <f>Regression!$M$10+(Regression!$M$9*Table83[[#This Row],[BMI]])</f>
        <v>263.19999999998197</v>
      </c>
      <c r="AI20" s="2">
        <f>Table83[[#This Row],[Weight]]-Table7[[#This Row],[Weight v BMI]]</f>
        <v>1.8019363778876141E-11</v>
      </c>
      <c r="AJ20" s="2">
        <f>Table7[[#This Row],[WBMI Res]]^2</f>
        <v>3.2469747099547343E-22</v>
      </c>
      <c r="AK20">
        <f>Regression!$N$10+(Regression!$N$9*Table83[[#This Row],[CBF]])</f>
        <v>262.24752658837394</v>
      </c>
      <c r="AL20" s="2">
        <f>Table83[[#This Row],[Weight]]-Table7[[#This Row],[Weight v CBF]]</f>
        <v>0.95247341162604471</v>
      </c>
      <c r="AM20" s="2">
        <f>Table7[[#This Row],[WCBF Res]]^2</f>
        <v>0.90720559985455684</v>
      </c>
      <c r="AN20">
        <f>Regression!$O$10+(Regression!$O$9*Table83[[#This Row],[Gym]])</f>
        <v>255.46779661016953</v>
      </c>
      <c r="AO20" s="2">
        <f>Table83[[#This Row],[Weight]]-Table7[[#This Row],[Weight v Gym]]</f>
        <v>7.7322033898304596</v>
      </c>
      <c r="AP20" s="2">
        <f>Table7[[#This Row],[WG Res]]^2</f>
        <v>59.78696926170565</v>
      </c>
      <c r="AQ20">
        <f>Regression!$P$10+(Regression!$P$9*Table83[[#This Row],[Cardio]])</f>
        <v>256.41063829787231</v>
      </c>
      <c r="AR20" s="2">
        <f>Table83[[#This Row],[Weight]]-Table7[[#This Row],[Weight v Cardio]]</f>
        <v>6.7893617021276782</v>
      </c>
      <c r="AS20" s="2">
        <f>Table7[[#This Row],[WC Res]]^2</f>
        <v>46.095432322318047</v>
      </c>
      <c r="AT20">
        <f>Regression!$Q$10+(Regression!$Q$9*Table83[[#This Row],[Calories]])</f>
        <v>255.91672340875172</v>
      </c>
      <c r="AU20" s="2">
        <f>Table83[[#This Row],[Weight]]-Table7[[#This Row],[Weight v Calories]]</f>
        <v>7.2832765912482671</v>
      </c>
      <c r="AV20" s="2">
        <f>Table7[[#This Row],[WCAL Res]]^2</f>
        <v>53.046117904624978</v>
      </c>
      <c r="AW20">
        <f>Regression!$R$10+(Regression!$R$9*Table83[[#This Row],[Carbs]])</f>
        <v>256.00052281881307</v>
      </c>
      <c r="AX20" s="2">
        <f>Table83[[#This Row],[Weight]]-Table7[[#This Row],[Weight v Carbs]]</f>
        <v>7.1994771811869214</v>
      </c>
      <c r="AY20" s="2">
        <f>Table7[[#This Row],[Wcarb Res]]^2</f>
        <v>51.832471682431176</v>
      </c>
      <c r="AZ20">
        <f>Regression!$S$10+(Regression!$S$9*Table83[[#This Row],[Fat ]])</f>
        <v>255.54007356857531</v>
      </c>
      <c r="BA20" s="2">
        <f>Table83[[#This Row],[Weight]]-Table7[[#This Row],[Weight v Fat]]</f>
        <v>7.6599264314246795</v>
      </c>
      <c r="BB20" s="2">
        <f>Table7[[#This Row],[WF Res]]^2</f>
        <v>58.674472934838427</v>
      </c>
      <c r="BC20">
        <f>Regression!$T$10+(Regression!$T$9*Table83[[#This Row],[Protein]])</f>
        <v>255.79512176894764</v>
      </c>
      <c r="BD20" s="2">
        <f>Table83[[#This Row],[Weight]]-Table7[[#This Row],[Weight v Protein]]</f>
        <v>7.4048782310523507</v>
      </c>
      <c r="BE20" s="2">
        <f>Table7[[#This Row],[WP Res]]^2</f>
        <v>54.832221616712992</v>
      </c>
      <c r="BF20">
        <f>Regression!$U$10+(Regression!$U$9*Table83[[#This Row],[Fiber]])</f>
        <v>255.23386928688532</v>
      </c>
      <c r="BG20" s="2">
        <f>Table83[[#This Row],[Weight]]-Table7[[#This Row],[Weight v Fiber]]</f>
        <v>7.9661307131146657</v>
      </c>
      <c r="BH20" s="2">
        <f>Table7[[#This Row],[Wfib Res]]^2</f>
        <v>63.459238538428771</v>
      </c>
      <c r="BI20">
        <f>Regression!$V$10+(Regression!$V$9*Table83[[#This Row],[Sugar]])</f>
        <v>256.72187797547645</v>
      </c>
      <c r="BJ20" s="2">
        <f>Table83[[#This Row],[Weight]]-Table7[[#This Row],[Weight v Sugar]]</f>
        <v>6.4781220245235431</v>
      </c>
      <c r="BK20" s="2">
        <f>Table7[[#This Row],[Wsugar Res]]^2</f>
        <v>41.966064964617011</v>
      </c>
      <c r="BL20">
        <f>Regression!$W$10+(Regression!$W$9*Table83[[#This Row],[Servings]])</f>
        <v>256.66448092612279</v>
      </c>
      <c r="BM20" s="2">
        <f>Table83[[#This Row],[Weight]]-Table7[[#This Row],[Weight v Servings]]</f>
        <v>6.5355190738771967</v>
      </c>
      <c r="BN20" s="2">
        <f>Table7[[#This Row],[Wserv Res]]^2</f>
        <v>42.713009565012648</v>
      </c>
      <c r="BO20">
        <f>Regression!$X$10+(Regression!$X$9*Table83[[#This Row],[Water]])</f>
        <v>255.1490819770581</v>
      </c>
      <c r="BP20" s="2">
        <f>Table83[[#This Row],[Weight]]-Table7[[#This Row],[Weight v Water]]</f>
        <v>8.050918022941886</v>
      </c>
      <c r="BQ20" s="2">
        <f>Table7[[#This Row],[Wwater Res]]^2</f>
        <v>64.817281012130479</v>
      </c>
      <c r="BR20">
        <f>Regression!$Y$10+(Regression!$Y$9*Table83[[#This Row],[Fat Calories]])</f>
        <v>255.56252076430295</v>
      </c>
      <c r="BS20" s="2">
        <f>Table83[[#This Row],[Weight]]-Table7[[#This Row],[Weight v Fat Calories]]</f>
        <v>7.6374792356970431</v>
      </c>
      <c r="BT20" s="2">
        <f>Table7[[#This Row],[WFC Res]]^2</f>
        <v>58.331089075703488</v>
      </c>
      <c r="BU20">
        <f>Regression!$B$29+(Regression!$B$28*Table83[[#This Row],[Weight]])</f>
        <v>45.555216191652498</v>
      </c>
      <c r="BV20" s="2">
        <f>Table83[[#This Row],[Waist]]-Table7[[#This Row],[Waist v Weight]]</f>
        <v>0.44478380834750197</v>
      </c>
      <c r="BW20" s="2">
        <f>Table7[[#This Row],[WaistW Res]]^2</f>
        <v>0.19783263616810737</v>
      </c>
      <c r="BX20">
        <f>Regression!$C$29+(Regression!$C$28*Table83[[#This Row],[Neck]])</f>
        <v>45.258648648648581</v>
      </c>
      <c r="BY20" s="2">
        <f>Table83[[#This Row],[Waist]]-Table7[[#This Row],[Waist v Neck]]</f>
        <v>0.74135135135141894</v>
      </c>
      <c r="BZ20" s="2">
        <f>Table7[[#This Row],[WaistN Res]]^2</f>
        <v>0.54960182615057507</v>
      </c>
      <c r="CA20">
        <f>Regression!$D$29+(Regression!$D$28*Table83[[#This Row],[Morning Body Temp]])</f>
        <v>44.438451117581323</v>
      </c>
      <c r="CB20" s="2">
        <f>Table83[[#This Row],[Waist]]-Table7[[#This Row],[Waist v Morning Temp]]</f>
        <v>1.561548882418677</v>
      </c>
      <c r="CC20" s="2">
        <f>Table7[[#This Row],[WaistMT Res]]^2</f>
        <v>2.4384349121830189</v>
      </c>
      <c r="CD20">
        <f>Regression!$E$29+(Regression!$E$28*Table83[[#This Row],[Morning Systolic Pressure]])</f>
        <v>44.449884727394206</v>
      </c>
      <c r="CE20" s="2">
        <f>Table83[[#This Row],[Waist]]-Table7[[#This Row],[Waist v Morning Sys]]</f>
        <v>1.5501152726057938</v>
      </c>
      <c r="CF20" s="2">
        <f>Table7[[#This Row],[WaistMS Res]]^2</f>
        <v>2.4028573583657344</v>
      </c>
      <c r="CG20">
        <f>Regression!$F$29+(Regression!$F$28*Table83[[#This Row],[Morning Diastolic Pressure]])</f>
        <v>44.435909806137701</v>
      </c>
      <c r="CH20" s="2">
        <f>Table83[[#This Row],[Waist]]-Table7[[#This Row],[Waist v Morning Dia]]</f>
        <v>1.5640901938622989</v>
      </c>
      <c r="CI20" s="2">
        <f>Table7[[#This Row],[WaistMD Res]]^2</f>
        <v>2.4463781345362037</v>
      </c>
      <c r="CJ20">
        <f>Regression!$G$29+(Regression!$G$28*Table83[[#This Row],[Morning Pulse]])</f>
        <v>44.45709470780065</v>
      </c>
      <c r="CK20" s="2">
        <f>Table83[[#This Row],[Waist]]-Table7[[#This Row],[Waist v Morning Pulse]]</f>
        <v>1.5429052921993502</v>
      </c>
      <c r="CL20" s="2">
        <f>Table7[[#This Row],[WaistMP Res]]^2</f>
        <v>2.3805567406967625</v>
      </c>
      <c r="CM20">
        <f>Regression!$H$29+(Regression!$H$28*Table83[[#This Row],[Night Body Temp]])</f>
        <v>44.497535497488492</v>
      </c>
      <c r="CN20" s="2">
        <f>Table83[[#This Row],[Waist]]-Table7[[#This Row],[Waist v Night Temp]]</f>
        <v>1.5024645025115078</v>
      </c>
      <c r="CO20" s="2">
        <f>Table7[[#This Row],[WaistNT Res]]^2</f>
        <v>2.2573995813071526</v>
      </c>
      <c r="CP20">
        <f>Regression!$I$29+(Regression!$I$28*Table83[[#This Row],[Night Systolic Pressure]])</f>
        <v>44.252937714746622</v>
      </c>
      <c r="CQ20" s="2">
        <f>Table83[[#This Row],[Waist]]-Table7[[#This Row],[Waist v  Night Sys]]</f>
        <v>1.7470622852533779</v>
      </c>
      <c r="CR20" s="2">
        <f>Table7[[#This Row],[WaistNS Res]]^2</f>
        <v>3.0522266285547555</v>
      </c>
      <c r="CS20">
        <f>Regression!$J$29+(Regression!$J$28*Table83[[#This Row],[Night Diastolic Pressure]])</f>
        <v>44.546431737190943</v>
      </c>
      <c r="CT20" s="2">
        <f>Table83[[#This Row],[Waist]]-Table7[[#This Row],[Waist v Night Dia]]</f>
        <v>1.4535682628090569</v>
      </c>
      <c r="CU20" s="2">
        <f>Table7[[#This Row],[WaistND Res]]^2</f>
        <v>2.1128606946457396</v>
      </c>
      <c r="CV20">
        <f>Regression!$K$29+(Regression!$K$28*Table83[[#This Row],[Night Pulse]])</f>
        <v>44.451138133632369</v>
      </c>
      <c r="CW20" s="2">
        <f>Table83[[#This Row],[Waist]]-Table7[[#This Row],[Waist v Night Pulse]]</f>
        <v>1.5488618663676306</v>
      </c>
      <c r="CX20" s="2">
        <f>Table7[[#This Row],[WaistNP Res]]^2</f>
        <v>2.3989730810878198</v>
      </c>
      <c r="CY20">
        <f>Regression!$L$29+(Regression!$L$28*Table83[[#This Row],[Sleep]])</f>
        <v>44.51701556285267</v>
      </c>
      <c r="CZ20" s="2">
        <f>Table83[[#This Row],[Waist]]-Table7[[#This Row],[Waist v  Sleep]]</f>
        <v>1.48298443714733</v>
      </c>
      <c r="DA20" s="2">
        <f>Table7[[#This Row],[WaistS Res]]^2</f>
        <v>2.1992428408211833</v>
      </c>
      <c r="DB20">
        <f>Regression!$M$29+(Regression!$M$28*Table83[[#This Row],[BMI]])</f>
        <v>45.555216191649002</v>
      </c>
      <c r="DC20" s="2">
        <f>Table83[[#This Row],[Waist]]-Table7[[#This Row],[Waist v BMI]]</f>
        <v>0.44478380835099784</v>
      </c>
      <c r="DD20" s="2">
        <f>Table7[[#This Row],[WaistBMI Res]]^2</f>
        <v>0.19783263617121719</v>
      </c>
      <c r="DE20">
        <f>Regression!$N$29+(Regression!$N$28*Table83[[#This Row],[CBF]])</f>
        <v>45.737892076427137</v>
      </c>
      <c r="DF20" s="2">
        <f>Table83[[#This Row],[Waist]]-Table7[[#This Row],[Waist v  CBF]]</f>
        <v>0.26210792357286294</v>
      </c>
      <c r="DG20" s="2">
        <f>Table7[[#This Row],[WaistCBF Res]]^2</f>
        <v>6.8700563599677758E-2</v>
      </c>
      <c r="DH20">
        <f>Regression!$O$29+(Regression!$O$28*Table83[[#This Row],[Gym]])</f>
        <v>44.550847457627107</v>
      </c>
      <c r="DI20" s="2">
        <f>Table83[[#This Row],[Waist]]-Table7[[#This Row],[Waist v  Gym]]</f>
        <v>1.449152542372893</v>
      </c>
      <c r="DJ20" s="2">
        <f>Table7[[#This Row],[WaistGYM Res]]^2</f>
        <v>2.1000430910658197</v>
      </c>
      <c r="DK20">
        <f>Regression!$P$29+(Regression!$P$28*Table83[[#This Row],[Cardio]])</f>
        <v>44.680851063829778</v>
      </c>
      <c r="DL20" s="2">
        <f>Table83[[#This Row],[Waist]]-Table7[[#This Row],[Waist v Cardio]]</f>
        <v>1.3191489361702224</v>
      </c>
      <c r="DM20" s="2">
        <f>Table7[[#This Row],[WaistC Res]]^2</f>
        <v>1.7401539157990296</v>
      </c>
      <c r="DN20">
        <f>Regression!$Q$29+(Regression!$Q$28*Table83[[#This Row],[Calories]])</f>
        <v>44.633659349503915</v>
      </c>
      <c r="DO20" s="2">
        <f>Table83[[#This Row],[Waist]]-Table7[[#This Row],[Waist v Calories]]</f>
        <v>1.3663406504960847</v>
      </c>
      <c r="DP20" s="2">
        <f>Table7[[#This Row],[WaistCal Res]]^2</f>
        <v>1.8668867731980638</v>
      </c>
      <c r="DQ20">
        <f>Regression!$R$29+(Regression!$R$28*Table83[[#This Row],[Carbs]])</f>
        <v>44.63789103903833</v>
      </c>
      <c r="DR20" s="2">
        <f>Table83[[#This Row],[Waist]]-Table7[[#This Row],[Waist v Carbs]]</f>
        <v>1.3621089609616703</v>
      </c>
      <c r="DS20" s="2">
        <f>Table7[[#This Row],[WaistCarb Res]]^2</f>
        <v>1.8553408215320812</v>
      </c>
      <c r="DT20">
        <f>Regression!$S$29+(Regression!$S$28*Table83[[#This Row],[Fat ]])</f>
        <v>44.583462291601236</v>
      </c>
      <c r="DU20" s="2">
        <f>Table83[[#This Row],[Waist]]-Table7[[#This Row],[Waist v Fat]]</f>
        <v>1.4165377083987636</v>
      </c>
      <c r="DV20" s="2">
        <f>Table7[[#This Row],[WaistF Res]]^2</f>
        <v>2.0065790793156206</v>
      </c>
      <c r="DW20">
        <f>Regression!$T$29+(Regression!$T$28*Table83[[#This Row],[Protein]])</f>
        <v>44.578019271847886</v>
      </c>
      <c r="DX20" s="2">
        <f>Table83[[#This Row],[Waist]]-Table7[[#This Row],[Waist v Protein]]</f>
        <v>1.4219807281521142</v>
      </c>
      <c r="DY20" s="2">
        <f>Table7[[#This Row],[WaistP Res]]^2</f>
        <v>2.0220291912360167</v>
      </c>
      <c r="DZ20">
        <f>Regression!$U$29+(Regression!$U$28*Table83[[#This Row],[Fiber]])</f>
        <v>44.499389646938781</v>
      </c>
      <c r="EA20" s="2">
        <f>Table83[[#This Row],[Waist]]-Table7[[#This Row],[Waist v Fiber]]</f>
        <v>1.5006103530612194</v>
      </c>
      <c r="EB20" s="2">
        <f>Table7[[#This Row],[WaistFib Res]]^2</f>
        <v>2.2518314317145176</v>
      </c>
      <c r="EC20">
        <f>Regression!$V$29+(Regression!$V$28*Table83[[#This Row],[Sugar]])</f>
        <v>44.742189581128294</v>
      </c>
      <c r="ED20" s="2">
        <f>Table83[[#This Row],[Waist]]-Table7[[#This Row],[Waist v Sugar]]</f>
        <v>1.2578104188717063</v>
      </c>
      <c r="EE20" s="2">
        <f>Table7[[#This Row],[WaistSugar Res]]^2</f>
        <v>1.5820870498222173</v>
      </c>
      <c r="EF20">
        <f>Regression!$W$29+(Regression!$W$28*Table83[[#This Row],[Servings]])</f>
        <v>44.689958046514889</v>
      </c>
      <c r="EG20" s="2">
        <f>Table83[[#This Row],[Waist]]-Table7[[#This Row],[Waist v Servings]]</f>
        <v>1.3100419534851113</v>
      </c>
      <c r="EH20" s="2">
        <f>Table7[[#This Row],[WaistServ Res]]^2</f>
        <v>1.7162099198910865</v>
      </c>
      <c r="EI20">
        <f>Regression!$X$29+(Regression!$X$28*Table83[[#This Row],[Water]])</f>
        <v>44.497966229663206</v>
      </c>
      <c r="EJ20" s="2">
        <f>Table83[[#This Row],[Waist]]-Table7[[#This Row],[Waist v Water]]</f>
        <v>1.5020337703367943</v>
      </c>
      <c r="EK20" s="2">
        <f>Table7[[#This Row],[WaistWat Res]]^2</f>
        <v>2.2561054472321658</v>
      </c>
      <c r="EL20">
        <f>Regression!$Y$29+(Regression!$Y$28*Table83[[#This Row],[Fat Calories]])</f>
        <v>44.589630304528448</v>
      </c>
      <c r="EM20" s="2">
        <f>Table83[[#This Row],[Waist]]-Table7[[#This Row],[Waist v Fat Calories]]</f>
        <v>1.4103696954715517</v>
      </c>
      <c r="EN20" s="2">
        <f>Table7[[#This Row],[WaistFatCal Res]]^2</f>
        <v>1.9891426779045174</v>
      </c>
    </row>
    <row r="21" spans="1:144" x14ac:dyDescent="0.25">
      <c r="A21">
        <f>Regression!$B$10+(Regression!$B$9*Table83[[#This Row],[Waist]])</f>
        <v>263.94216992155748</v>
      </c>
      <c r="B21" s="2">
        <f>Table83[[#This Row],[Weight]]-Table7[[#This Row],[Weight v Waist]]</f>
        <v>-0.94216992155747903</v>
      </c>
      <c r="C21" s="2">
        <f>Table7[[#This Row],[Weight v Waist Res]]^2</f>
        <v>0.88768416108762616</v>
      </c>
      <c r="D21">
        <f>Regression!$C$10+(Regression!$C$9*Table83[[#This Row],[Neck]])</f>
        <v>260.39308108104251</v>
      </c>
      <c r="E21" s="2">
        <f>Table83[[#This Row],[Weight]]-Table7[[#This Row],[Weight v Neck]]</f>
        <v>2.60691891895749</v>
      </c>
      <c r="F21" s="2">
        <f>Table7[[#This Row],[WN Res]]^2</f>
        <v>6.796026250018488</v>
      </c>
      <c r="G21">
        <f>Regression!$D$10+(Regression!$D$9*Table83[[#This Row],[Morning Body Temp]])</f>
        <v>255.3411606659738</v>
      </c>
      <c r="H21" s="2">
        <f>Table83[[#This Row],[Weight]]-Table7[[#This Row],[Weight v Morning Temp]]</f>
        <v>7.6588393340261973</v>
      </c>
      <c r="I21" s="2">
        <f>Table7[[#This Row],[WMT Res]]^2</f>
        <v>58.657819944426848</v>
      </c>
      <c r="J21">
        <f>Regression!$E$10+(Regression!$E$9*Table83[[#This Row],[Morning Systolic Pressure]])</f>
        <v>254.91917781330181</v>
      </c>
      <c r="K21" s="2">
        <f>Table83[[#This Row],[Weight]]-Table7[[#This Row],[Weight v Morning Sys]]</f>
        <v>8.0808221866981853</v>
      </c>
      <c r="L21" s="2">
        <f>Table7[[#This Row],[WMS Res]]^2</f>
        <v>65.299687213033636</v>
      </c>
      <c r="M21">
        <f>Regression!$F$10+(Regression!$F$9*Table83[[#This Row],[Morning Diastolic Pressure]])</f>
        <v>254.29128590488762</v>
      </c>
      <c r="N21" s="2">
        <f>Table83[[#This Row],[Weight]]-Table7[[#This Row],[Weight v Morning Dia]]</f>
        <v>8.7087140951123843</v>
      </c>
      <c r="O21" s="2">
        <f>Table7[[#This Row],[WMD Res]]^2</f>
        <v>75.841701190409111</v>
      </c>
      <c r="P21">
        <f>Regression!$G$10+(Regression!$G$9*Table83[[#This Row],[Morning Pulse]])</f>
        <v>255.13557864348473</v>
      </c>
      <c r="Q21" s="2">
        <f>Table83[[#This Row],[Weight]]-Table7[[#This Row],[Weight v Morning Pulse]]</f>
        <v>7.8644213565152654</v>
      </c>
      <c r="R21" s="2">
        <f>Table7[[#This Row],[WMP Res]]^2</f>
        <v>61.849123272813408</v>
      </c>
      <c r="S21">
        <f>Regression!$H$10+(Regression!$H$9*Table83[[#This Row],[Night Body Temp]])</f>
        <v>254.64609353656169</v>
      </c>
      <c r="T21" s="2">
        <f>Table83[[#This Row],[Weight]]-Table7[[#This Row],[Weight v Night Temp]]</f>
        <v>8.3539064634383067</v>
      </c>
      <c r="U21" s="2">
        <f>Table7[[#This Row],[WNT Res]]^2</f>
        <v>69.78775319987632</v>
      </c>
      <c r="V21">
        <f>Regression!$I$10+(Regression!$I$9*Table83[[#This Row],[Night Systolic Pressure]])</f>
        <v>254.82800205705334</v>
      </c>
      <c r="W21" s="2">
        <f>Table83[[#This Row],[Weight]]-Table7[[#This Row],[Weight v Night Sys]]</f>
        <v>8.1719979429466605</v>
      </c>
      <c r="X21" s="2">
        <f>Table7[[#This Row],[WNS Res]]^2</f>
        <v>66.781550379524447</v>
      </c>
      <c r="Y21">
        <f>Regression!$J$10+(Regression!$J$9*Table83[[#This Row],[Night Diastolic Pressure]])</f>
        <v>255.29614571632661</v>
      </c>
      <c r="Z21" s="2">
        <f>Table83[[#This Row],[Weight]]-Table7[[#This Row],[Weight v Night Dia]]</f>
        <v>7.7038542836733939</v>
      </c>
      <c r="AA21" s="2">
        <f>Table7[[#This Row],[WND Res]]^2</f>
        <v>59.349370824072899</v>
      </c>
      <c r="AB21">
        <f>Regression!$K$10+(Regression!$K$9*Table83[[#This Row],[Night Pulse]])</f>
        <v>255.11015185874123</v>
      </c>
      <c r="AC21" s="2">
        <f>Table83[[#This Row],[Weight]]-Table7[[#This Row],[Weight v Night Pulse]]</f>
        <v>7.8898481412587671</v>
      </c>
      <c r="AD21" s="2">
        <f>Table7[[#This Row],[WNP Res ]]^2</f>
        <v>62.24970369212442</v>
      </c>
      <c r="AE21">
        <f>Regression!$L$10+(Regression!$L$9*Table83[[#This Row],[Sleep]])</f>
        <v>254.19060717725986</v>
      </c>
      <c r="AF21" s="2">
        <f>Table83[[#This Row],[Weight]]-Table7[[#This Row],[Weight v Sleep]]</f>
        <v>8.8093928227401364</v>
      </c>
      <c r="AG21" s="2">
        <f>Table7[[#This Row],[WS Res]]^2</f>
        <v>77.605401905345431</v>
      </c>
      <c r="AH21">
        <f>Regression!$M$10+(Regression!$M$9*Table83[[#This Row],[BMI]])</f>
        <v>262.99999999998238</v>
      </c>
      <c r="AI21" s="2">
        <f>Table83[[#This Row],[Weight]]-Table7[[#This Row],[Weight v BMI]]</f>
        <v>1.7621459846850485E-11</v>
      </c>
      <c r="AJ21" s="2">
        <f>Table7[[#This Row],[WBMI Res]]^2</f>
        <v>3.105158471341639E-22</v>
      </c>
      <c r="AK21">
        <f>Regression!$N$10+(Regression!$N$9*Table83[[#This Row],[CBF]])</f>
        <v>262.24752658837394</v>
      </c>
      <c r="AL21" s="2">
        <f>Table83[[#This Row],[Weight]]-Table7[[#This Row],[Weight v CBF]]</f>
        <v>0.75247341162605608</v>
      </c>
      <c r="AM21" s="2">
        <f>Table7[[#This Row],[WCBF Res]]^2</f>
        <v>0.56621623520415598</v>
      </c>
      <c r="AN21">
        <f>Regression!$O$10+(Regression!$O$9*Table83[[#This Row],[Gym]])</f>
        <v>255.46779661016953</v>
      </c>
      <c r="AO21" s="2">
        <f>Table83[[#This Row],[Weight]]-Table7[[#This Row],[Weight v Gym]]</f>
        <v>7.532203389830471</v>
      </c>
      <c r="AP21" s="2">
        <f>Table7[[#This Row],[WG Res]]^2</f>
        <v>56.734087905773642</v>
      </c>
      <c r="AQ21">
        <f>Regression!$P$10+(Regression!$P$9*Table83[[#This Row],[Cardio]])</f>
        <v>256.41063829787231</v>
      </c>
      <c r="AR21" s="2">
        <f>Table83[[#This Row],[Weight]]-Table7[[#This Row],[Weight v Cardio]]</f>
        <v>6.5893617021276896</v>
      </c>
      <c r="AS21" s="2">
        <f>Table7[[#This Row],[WC Res]]^2</f>
        <v>43.419687641467121</v>
      </c>
      <c r="AT21">
        <f>Regression!$Q$10+(Regression!$Q$9*Table83[[#This Row],[Calories]])</f>
        <v>255.45767653733949</v>
      </c>
      <c r="AU21" s="2">
        <f>Table83[[#This Row],[Weight]]-Table7[[#This Row],[Weight v Calories]]</f>
        <v>7.5423234626605051</v>
      </c>
      <c r="AV21" s="2">
        <f>Table7[[#This Row],[WCAL Res]]^2</f>
        <v>56.886643215399154</v>
      </c>
      <c r="AW21">
        <f>Regression!$R$10+(Regression!$R$9*Table83[[#This Row],[Carbs]])</f>
        <v>255.44407439742585</v>
      </c>
      <c r="AX21" s="2">
        <f>Table83[[#This Row],[Weight]]-Table7[[#This Row],[Weight v Carbs]]</f>
        <v>7.555925602574149</v>
      </c>
      <c r="AY21" s="2">
        <f>Table7[[#This Row],[Wcarb Res]]^2</f>
        <v>57.092011711635514</v>
      </c>
      <c r="AZ21">
        <f>Regression!$S$10+(Regression!$S$9*Table83[[#This Row],[Fat ]])</f>
        <v>255.38980822909716</v>
      </c>
      <c r="BA21" s="2">
        <f>Table83[[#This Row],[Weight]]-Table7[[#This Row],[Weight v Fat]]</f>
        <v>7.6101917709028442</v>
      </c>
      <c r="BB21" s="2">
        <f>Table7[[#This Row],[WF Res]]^2</f>
        <v>57.915018789917369</v>
      </c>
      <c r="BC21">
        <f>Regression!$T$10+(Regression!$T$9*Table83[[#This Row],[Protein]])</f>
        <v>255.3900200594172</v>
      </c>
      <c r="BD21" s="2">
        <f>Table83[[#This Row],[Weight]]-Table7[[#This Row],[Weight v Protein]]</f>
        <v>7.6099799405828037</v>
      </c>
      <c r="BE21" s="2">
        <f>Table7[[#This Row],[WP Res]]^2</f>
        <v>57.911794696072654</v>
      </c>
      <c r="BF21">
        <f>Regression!$U$10+(Regression!$U$9*Table83[[#This Row],[Fiber]])</f>
        <v>255.05629598707282</v>
      </c>
      <c r="BG21" s="2">
        <f>Table83[[#This Row],[Weight]]-Table7[[#This Row],[Weight v Fiber]]</f>
        <v>7.943704012927185</v>
      </c>
      <c r="BH21" s="2">
        <f>Table7[[#This Row],[Wfib Res]]^2</f>
        <v>63.102433444995462</v>
      </c>
      <c r="BI21">
        <f>Regression!$V$10+(Regression!$V$9*Table83[[#This Row],[Sugar]])</f>
        <v>255.78608054167475</v>
      </c>
      <c r="BJ21" s="2">
        <f>Table83[[#This Row],[Weight]]-Table7[[#This Row],[Weight v Sugar]]</f>
        <v>7.2139194583252504</v>
      </c>
      <c r="BK21" s="2">
        <f>Table7[[#This Row],[Wsugar Res]]^2</f>
        <v>52.040633951203674</v>
      </c>
      <c r="BL21">
        <f>Regression!$W$10+(Regression!$W$9*Table83[[#This Row],[Servings]])</f>
        <v>256.58803115696617</v>
      </c>
      <c r="BM21" s="2">
        <f>Table83[[#This Row],[Weight]]-Table7[[#This Row],[Weight v Servings]]</f>
        <v>6.4119688430338329</v>
      </c>
      <c r="BN21" s="2">
        <f>Table7[[#This Row],[Wserv Res]]^2</f>
        <v>41.113344444036628</v>
      </c>
      <c r="BO21">
        <f>Regression!$X$10+(Regression!$X$9*Table83[[#This Row],[Water]])</f>
        <v>255.19189796045953</v>
      </c>
      <c r="BP21" s="2">
        <f>Table83[[#This Row],[Weight]]-Table7[[#This Row],[Weight v Water]]</f>
        <v>7.8081020395404721</v>
      </c>
      <c r="BQ21" s="2">
        <f>Table7[[#This Row],[Wwater Res]]^2</f>
        <v>60.966457459876082</v>
      </c>
      <c r="BR21">
        <f>Regression!$Y$10+(Regression!$Y$9*Table83[[#This Row],[Fat Calories]])</f>
        <v>255.40260064104777</v>
      </c>
      <c r="BS21" s="2">
        <f>Table83[[#This Row],[Weight]]-Table7[[#This Row],[Weight v Fat Calories]]</f>
        <v>7.5973993589522308</v>
      </c>
      <c r="BT21" s="2">
        <f>Table7[[#This Row],[WFC Res]]^2</f>
        <v>57.720477019407767</v>
      </c>
      <c r="BU21">
        <f>Regression!$B$29+(Regression!$B$28*Table83[[#This Row],[Weight]])</f>
        <v>45.527963689538502</v>
      </c>
      <c r="BV21" s="2">
        <f>Table83[[#This Row],[Waist]]-Table7[[#This Row],[Waist v Weight]]</f>
        <v>0.47203631046149752</v>
      </c>
      <c r="BW21" s="2">
        <f>Table7[[#This Row],[WaistW Res]]^2</f>
        <v>0.22281827839410329</v>
      </c>
      <c r="BX21">
        <f>Regression!$C$29+(Regression!$C$28*Table83[[#This Row],[Neck]])</f>
        <v>45.258648648648581</v>
      </c>
      <c r="BY21" s="2">
        <f>Table83[[#This Row],[Waist]]-Table7[[#This Row],[Waist v Neck]]</f>
        <v>0.74135135135141894</v>
      </c>
      <c r="BZ21" s="2">
        <f>Table7[[#This Row],[WaistN Res]]^2</f>
        <v>0.54960182615057507</v>
      </c>
      <c r="CA21">
        <f>Regression!$D$29+(Regression!$D$28*Table83[[#This Row],[Morning Body Temp]])</f>
        <v>44.515038370284842</v>
      </c>
      <c r="CB21" s="2">
        <f>Table83[[#This Row],[Waist]]-Table7[[#This Row],[Waist v Morning Temp]]</f>
        <v>1.4849616297151584</v>
      </c>
      <c r="CC21" s="2">
        <f>Table7[[#This Row],[WaistMT Res]]^2</f>
        <v>2.2051110417262993</v>
      </c>
      <c r="CD21">
        <f>Regression!$E$29+(Regression!$E$28*Table83[[#This Row],[Morning Systolic Pressure]])</f>
        <v>44.407523106424492</v>
      </c>
      <c r="CE21" s="2">
        <f>Table83[[#This Row],[Waist]]-Table7[[#This Row],[Waist v Morning Sys]]</f>
        <v>1.5924768935755083</v>
      </c>
      <c r="CF21" s="2">
        <f>Table7[[#This Row],[WaistMS Res]]^2</f>
        <v>2.5359826565719006</v>
      </c>
      <c r="CG21">
        <f>Regression!$F$29+(Regression!$F$28*Table83[[#This Row],[Morning Diastolic Pressure]])</f>
        <v>44.407731702793427</v>
      </c>
      <c r="CH21" s="2">
        <f>Table83[[#This Row],[Waist]]-Table7[[#This Row],[Waist v Morning Dia]]</f>
        <v>1.5922682972065729</v>
      </c>
      <c r="CI21" s="2">
        <f>Table7[[#This Row],[WaistMD Res]]^2</f>
        <v>2.5353183302891193</v>
      </c>
      <c r="CJ21">
        <f>Regression!$G$29+(Regression!$G$28*Table83[[#This Row],[Morning Pulse]])</f>
        <v>44.462971225815949</v>
      </c>
      <c r="CK21" s="2">
        <f>Table83[[#This Row],[Waist]]-Table7[[#This Row],[Waist v Morning Pulse]]</f>
        <v>1.5370287741840514</v>
      </c>
      <c r="CL21" s="2">
        <f>Table7[[#This Row],[WaistMP Res]]^2</f>
        <v>2.3624574526697275</v>
      </c>
      <c r="CM21">
        <f>Regression!$H$29+(Regression!$H$28*Table83[[#This Row],[Night Body Temp]])</f>
        <v>44.416566259439634</v>
      </c>
      <c r="CN21" s="2">
        <f>Table83[[#This Row],[Waist]]-Table7[[#This Row],[Waist v Night Temp]]</f>
        <v>1.5834337405603662</v>
      </c>
      <c r="CO21" s="2">
        <f>Table7[[#This Row],[WaistNT Res]]^2</f>
        <v>2.507262410744993</v>
      </c>
      <c r="CP21">
        <f>Regression!$I$29+(Regression!$I$28*Table83[[#This Row],[Night Systolic Pressure]])</f>
        <v>44.412878972328372</v>
      </c>
      <c r="CQ21" s="2">
        <f>Table83[[#This Row],[Waist]]-Table7[[#This Row],[Waist v  Night Sys]]</f>
        <v>1.5871210276716283</v>
      </c>
      <c r="CR21" s="2">
        <f>Table7[[#This Row],[WaistNS Res]]^2</f>
        <v>2.5189531564774454</v>
      </c>
      <c r="CS21">
        <f>Regression!$J$29+(Regression!$J$28*Table83[[#This Row],[Night Diastolic Pressure]])</f>
        <v>44.529363791983499</v>
      </c>
      <c r="CT21" s="2">
        <f>Table83[[#This Row],[Waist]]-Table7[[#This Row],[Waist v Night Dia]]</f>
        <v>1.4706362080165007</v>
      </c>
      <c r="CU21" s="2">
        <f>Table7[[#This Row],[WaistND Res]]^2</f>
        <v>2.1627708563291526</v>
      </c>
      <c r="CV21">
        <f>Regression!$K$29+(Regression!$K$28*Table83[[#This Row],[Night Pulse]])</f>
        <v>44.453994879943338</v>
      </c>
      <c r="CW21" s="2">
        <f>Table83[[#This Row],[Waist]]-Table7[[#This Row],[Waist v Night Pulse]]</f>
        <v>1.5460051200566625</v>
      </c>
      <c r="CX21" s="2">
        <f>Table7[[#This Row],[WaistNP Res]]^2</f>
        <v>2.3901318312414155</v>
      </c>
      <c r="CY21">
        <f>Regression!$L$29+(Regression!$L$28*Table83[[#This Row],[Sleep]])</f>
        <v>44.312594948871137</v>
      </c>
      <c r="CZ21" s="2">
        <f>Table83[[#This Row],[Waist]]-Table7[[#This Row],[Waist v  Sleep]]</f>
        <v>1.687405051128863</v>
      </c>
      <c r="DA21" s="2">
        <f>Table7[[#This Row],[WaistS Res]]^2</f>
        <v>2.8473358065752006</v>
      </c>
      <c r="DB21">
        <f>Regression!$M$29+(Regression!$M$28*Table83[[#This Row],[BMI]])</f>
        <v>45.527963689535092</v>
      </c>
      <c r="DC21" s="2">
        <f>Table83[[#This Row],[Waist]]-Table7[[#This Row],[Waist v BMI]]</f>
        <v>0.47203631046490813</v>
      </c>
      <c r="DD21" s="2">
        <f>Table7[[#This Row],[WaistBMI Res]]^2</f>
        <v>0.22281827839732313</v>
      </c>
      <c r="DE21">
        <f>Regression!$N$29+(Regression!$N$28*Table83[[#This Row],[CBF]])</f>
        <v>45.737892076427137</v>
      </c>
      <c r="DF21" s="2">
        <f>Table83[[#This Row],[Waist]]-Table7[[#This Row],[Waist v  CBF]]</f>
        <v>0.26210792357286294</v>
      </c>
      <c r="DG21" s="2">
        <f>Table7[[#This Row],[WaistCBF Res]]^2</f>
        <v>6.8700563599677758E-2</v>
      </c>
      <c r="DH21">
        <f>Regression!$O$29+(Regression!$O$28*Table83[[#This Row],[Gym]])</f>
        <v>44.550847457627107</v>
      </c>
      <c r="DI21" s="2">
        <f>Table83[[#This Row],[Waist]]-Table7[[#This Row],[Waist v  Gym]]</f>
        <v>1.449152542372893</v>
      </c>
      <c r="DJ21" s="2">
        <f>Table7[[#This Row],[WaistGYM Res]]^2</f>
        <v>2.1000430910658197</v>
      </c>
      <c r="DK21">
        <f>Regression!$P$29+(Regression!$P$28*Table83[[#This Row],[Cardio]])</f>
        <v>44.680851063829778</v>
      </c>
      <c r="DL21" s="2">
        <f>Table83[[#This Row],[Waist]]-Table7[[#This Row],[Waist v Cardio]]</f>
        <v>1.3191489361702224</v>
      </c>
      <c r="DM21" s="2">
        <f>Table7[[#This Row],[WaistC Res]]^2</f>
        <v>1.7401539157990296</v>
      </c>
      <c r="DN21">
        <f>Regression!$Q$29+(Regression!$Q$28*Table83[[#This Row],[Calories]])</f>
        <v>44.530521699002442</v>
      </c>
      <c r="DO21" s="2">
        <f>Table83[[#This Row],[Waist]]-Table7[[#This Row],[Waist v Calories]]</f>
        <v>1.4694783009975581</v>
      </c>
      <c r="DP21" s="2">
        <f>Table7[[#This Row],[WaistCal Res]]^2</f>
        <v>2.1593664771026697</v>
      </c>
      <c r="DQ21">
        <f>Regression!$R$29+(Regression!$R$28*Table83[[#This Row],[Carbs]])</f>
        <v>44.522041885261928</v>
      </c>
      <c r="DR21" s="2">
        <f>Table83[[#This Row],[Waist]]-Table7[[#This Row],[Waist v Carbs]]</f>
        <v>1.4779581147380725</v>
      </c>
      <c r="DS21" s="2">
        <f>Table7[[#This Row],[WaistCarb Res]]^2</f>
        <v>2.1843601889201176</v>
      </c>
      <c r="DT21">
        <f>Regression!$S$29+(Regression!$S$28*Table83[[#This Row],[Fat ]])</f>
        <v>44.537529357344596</v>
      </c>
      <c r="DU21" s="2">
        <f>Table83[[#This Row],[Waist]]-Table7[[#This Row],[Waist v Fat]]</f>
        <v>1.4624706426554042</v>
      </c>
      <c r="DV21" s="2">
        <f>Table7[[#This Row],[WaistF Res]]^2</f>
        <v>2.138820380628911</v>
      </c>
      <c r="DW21">
        <f>Regression!$T$29+(Regression!$T$28*Table83[[#This Row],[Protein]])</f>
        <v>44.503870610912728</v>
      </c>
      <c r="DX21" s="2">
        <f>Table83[[#This Row],[Waist]]-Table7[[#This Row],[Waist v Protein]]</f>
        <v>1.4961293890872724</v>
      </c>
      <c r="DY21" s="2">
        <f>Table7[[#This Row],[WaistP Res]]^2</f>
        <v>2.2384031488906548</v>
      </c>
      <c r="DZ21">
        <f>Regression!$U$29+(Regression!$U$28*Table83[[#This Row],[Fiber]])</f>
        <v>44.430871221925862</v>
      </c>
      <c r="EA21" s="2">
        <f>Table83[[#This Row],[Waist]]-Table7[[#This Row],[Waist v Fiber]]</f>
        <v>1.5691287780741376</v>
      </c>
      <c r="EB21" s="2">
        <f>Table7[[#This Row],[WaistFib Res]]^2</f>
        <v>2.4621651221804361</v>
      </c>
      <c r="EC21">
        <f>Regression!$V$29+(Regression!$V$28*Table83[[#This Row],[Sugar]])</f>
        <v>44.574084009119787</v>
      </c>
      <c r="ED21" s="2">
        <f>Table83[[#This Row],[Waist]]-Table7[[#This Row],[Waist v Sugar]]</f>
        <v>1.4259159908802133</v>
      </c>
      <c r="EE21" s="2">
        <f>Table7[[#This Row],[WaistSugar Res]]^2</f>
        <v>2.0332364130479004</v>
      </c>
      <c r="EF21">
        <f>Regression!$W$29+(Regression!$W$28*Table83[[#This Row],[Servings]])</f>
        <v>44.678293085394387</v>
      </c>
      <c r="EG21" s="2">
        <f>Table83[[#This Row],[Waist]]-Table7[[#This Row],[Waist v Servings]]</f>
        <v>1.3217069146056133</v>
      </c>
      <c r="EH21" s="2">
        <f>Table7[[#This Row],[WaistServ Res]]^2</f>
        <v>1.74690916811629</v>
      </c>
      <c r="EI21">
        <f>Regression!$X$29+(Regression!$X$28*Table83[[#This Row],[Water]])</f>
        <v>44.553850107074496</v>
      </c>
      <c r="EJ21" s="2">
        <f>Table83[[#This Row],[Waist]]-Table7[[#This Row],[Waist v Water]]</f>
        <v>1.4461498929255043</v>
      </c>
      <c r="EK21" s="2">
        <f>Table7[[#This Row],[WaistWat Res]]^2</f>
        <v>2.0913495128084478</v>
      </c>
      <c r="EL21">
        <f>Regression!$Y$29+(Regression!$Y$28*Table83[[#This Row],[Fat Calories]])</f>
        <v>44.540993994520583</v>
      </c>
      <c r="EM21" s="2">
        <f>Table83[[#This Row],[Waist]]-Table7[[#This Row],[Waist v Fat Calories]]</f>
        <v>1.4590060054794165</v>
      </c>
      <c r="EN21" s="2">
        <f>Table7[[#This Row],[WaistFatCal Res]]^2</f>
        <v>2.1286985240250029</v>
      </c>
    </row>
    <row r="22" spans="1:144" x14ac:dyDescent="0.25">
      <c r="A22">
        <f>Regression!$B$10+(Regression!$B$9*Table83[[#This Row],[Waist]])</f>
        <v>263.94216992155748</v>
      </c>
      <c r="B22" s="2">
        <f>Table83[[#This Row],[Weight]]-Table7[[#This Row],[Weight v Waist]]</f>
        <v>-2.1421699215574677</v>
      </c>
      <c r="C22" s="2">
        <f>Table7[[#This Row],[Weight v Waist Res]]^2</f>
        <v>4.5888919728255271</v>
      </c>
      <c r="D22">
        <f>Regression!$C$10+(Regression!$C$9*Table83[[#This Row],[Neck]])</f>
        <v>260.39308108104251</v>
      </c>
      <c r="E22" s="2">
        <f>Table83[[#This Row],[Weight]]-Table7[[#This Row],[Weight v Neck]]</f>
        <v>1.4069189189575013</v>
      </c>
      <c r="F22" s="2">
        <f>Table7[[#This Row],[WN Res]]^2</f>
        <v>1.9794208445205441</v>
      </c>
      <c r="G22">
        <f>Regression!$D$10+(Regression!$D$9*Table83[[#This Row],[Morning Body Temp]])</f>
        <v>255.05956644908434</v>
      </c>
      <c r="H22" s="2">
        <f>Table83[[#This Row],[Weight]]-Table7[[#This Row],[Weight v Morning Temp]]</f>
        <v>6.7404335509156681</v>
      </c>
      <c r="I22" s="2">
        <f>Table7[[#This Row],[WMT Res]]^2</f>
        <v>45.433444454309601</v>
      </c>
      <c r="J22">
        <f>Regression!$E$10+(Regression!$E$9*Table83[[#This Row],[Morning Systolic Pressure]])</f>
        <v>255.27979544420887</v>
      </c>
      <c r="K22" s="2">
        <f>Table83[[#This Row],[Weight]]-Table7[[#This Row],[Weight v Morning Sys]]</f>
        <v>6.520204555791139</v>
      </c>
      <c r="L22" s="2">
        <f>Table7[[#This Row],[WMS Res]]^2</f>
        <v>42.513067449359525</v>
      </c>
      <c r="M22">
        <f>Regression!$F$10+(Regression!$F$9*Table83[[#This Row],[Morning Diastolic Pressure]])</f>
        <v>255.00069564820177</v>
      </c>
      <c r="N22" s="2">
        <f>Table83[[#This Row],[Weight]]-Table7[[#This Row],[Weight v Morning Dia]]</f>
        <v>6.7993043517982414</v>
      </c>
      <c r="O22" s="2">
        <f>Table7[[#This Row],[WMD Res]]^2</f>
        <v>46.230539668382505</v>
      </c>
      <c r="P22">
        <f>Regression!$G$10+(Regression!$G$9*Table83[[#This Row],[Morning Pulse]])</f>
        <v>255.10998950288408</v>
      </c>
      <c r="Q22" s="2">
        <f>Table83[[#This Row],[Weight]]-Table7[[#This Row],[Weight v Morning Pulse]]</f>
        <v>6.6900104971159351</v>
      </c>
      <c r="R22" s="2">
        <f>Table7[[#This Row],[WMP Res]]^2</f>
        <v>44.7562404515214</v>
      </c>
      <c r="S22">
        <f>Regression!$H$10+(Regression!$H$9*Table83[[#This Row],[Night Body Temp]])</f>
        <v>254.95418324800676</v>
      </c>
      <c r="T22" s="2">
        <f>Table83[[#This Row],[Weight]]-Table7[[#This Row],[Weight v Night Temp]]</f>
        <v>6.8458167519932545</v>
      </c>
      <c r="U22" s="2">
        <f>Table7[[#This Row],[WNT Res]]^2</f>
        <v>46.865207001871475</v>
      </c>
      <c r="V22">
        <f>Regression!$I$10+(Regression!$I$9*Table83[[#This Row],[Night Systolic Pressure]])</f>
        <v>255.13593655913874</v>
      </c>
      <c r="W22" s="2">
        <f>Table83[[#This Row],[Weight]]-Table7[[#This Row],[Weight v Night Sys]]</f>
        <v>6.6640634408612698</v>
      </c>
      <c r="X22" s="2">
        <f>Table7[[#This Row],[WNS Res]]^2</f>
        <v>44.409741543823749</v>
      </c>
      <c r="Y22">
        <f>Regression!$J$10+(Regression!$J$9*Table83[[#This Row],[Night Diastolic Pressure]])</f>
        <v>254.97001876899779</v>
      </c>
      <c r="Z22" s="2">
        <f>Table83[[#This Row],[Weight]]-Table7[[#This Row],[Weight v Night Dia]]</f>
        <v>6.8299812310022219</v>
      </c>
      <c r="AA22" s="2">
        <f>Table7[[#This Row],[WND Res]]^2</f>
        <v>46.648643615842623</v>
      </c>
      <c r="AB22">
        <f>Regression!$K$10+(Regression!$K$9*Table83[[#This Row],[Night Pulse]])</f>
        <v>254.68016522142707</v>
      </c>
      <c r="AC22" s="2">
        <f>Table83[[#This Row],[Weight]]-Table7[[#This Row],[Weight v Night Pulse]]</f>
        <v>7.1198347785729368</v>
      </c>
      <c r="AD22" s="2">
        <f>Table7[[#This Row],[WNP Res ]]^2</f>
        <v>50.692047274176737</v>
      </c>
      <c r="AE22">
        <f>Regression!$L$10+(Regression!$L$9*Table83[[#This Row],[Sleep]])</f>
        <v>255.92571518581587</v>
      </c>
      <c r="AF22" s="2">
        <f>Table83[[#This Row],[Weight]]-Table7[[#This Row],[Weight v Sleep]]</f>
        <v>5.8742848141841364</v>
      </c>
      <c r="AG22" s="2">
        <f>Table7[[#This Row],[WS Res]]^2</f>
        <v>34.507222078154356</v>
      </c>
      <c r="AH22">
        <f>Regression!$M$10+(Regression!$M$9*Table83[[#This Row],[BMI]])</f>
        <v>261.79999999998506</v>
      </c>
      <c r="AI22" s="2">
        <f>Table83[[#This Row],[Weight]]-Table7[[#This Row],[Weight v BMI]]</f>
        <v>1.4949819160392508E-11</v>
      </c>
      <c r="AJ22" s="2">
        <f>Table7[[#This Row],[WBMI Res]]^2</f>
        <v>2.2349709292843895E-22</v>
      </c>
      <c r="AK22">
        <f>Regression!$N$10+(Regression!$N$9*Table83[[#This Row],[CBF]])</f>
        <v>262.24752658837394</v>
      </c>
      <c r="AL22" s="2">
        <f>Table83[[#This Row],[Weight]]-Table7[[#This Row],[Weight v CBF]]</f>
        <v>-0.44752658837393255</v>
      </c>
      <c r="AM22" s="2">
        <f>Table7[[#This Row],[WCBF Res]]^2</f>
        <v>0.20028004730161125</v>
      </c>
      <c r="AN22">
        <f>Regression!$O$10+(Regression!$O$9*Table83[[#This Row],[Gym]])</f>
        <v>255.46779661016953</v>
      </c>
      <c r="AO22" s="2">
        <f>Table83[[#This Row],[Weight]]-Table7[[#This Row],[Weight v Gym]]</f>
        <v>6.3322033898304824</v>
      </c>
      <c r="AP22" s="2">
        <f>Table7[[#This Row],[WG Res]]^2</f>
        <v>40.096799770180652</v>
      </c>
      <c r="AQ22">
        <f>Regression!$P$10+(Regression!$P$9*Table83[[#This Row],[Cardio]])</f>
        <v>256.41063829787231</v>
      </c>
      <c r="AR22" s="2">
        <f>Table83[[#This Row],[Weight]]-Table7[[#This Row],[Weight v Cardio]]</f>
        <v>5.3893617021277009</v>
      </c>
      <c r="AS22" s="2">
        <f>Table7[[#This Row],[WC Res]]^2</f>
        <v>29.045219556360792</v>
      </c>
      <c r="AT22">
        <f>Regression!$Q$10+(Regression!$Q$9*Table83[[#This Row],[Calories]])</f>
        <v>255.82752103266344</v>
      </c>
      <c r="AU22" s="2">
        <f>Table83[[#This Row],[Weight]]-Table7[[#This Row],[Weight v Calories]]</f>
        <v>5.9724789673365706</v>
      </c>
      <c r="AV22" s="2">
        <f>Table7[[#This Row],[WCAL Res]]^2</f>
        <v>35.670505015277712</v>
      </c>
      <c r="AW22">
        <f>Regression!$R$10+(Regression!$R$9*Table83[[#This Row],[Carbs]])</f>
        <v>255.97385143372321</v>
      </c>
      <c r="AX22" s="2">
        <f>Table83[[#This Row],[Weight]]-Table7[[#This Row],[Weight v Carbs]]</f>
        <v>5.8261485662767996</v>
      </c>
      <c r="AY22" s="2">
        <f>Table7[[#This Row],[Wcarb Res]]^2</f>
        <v>33.94400711632921</v>
      </c>
      <c r="AZ22">
        <f>Regression!$S$10+(Regression!$S$9*Table83[[#This Row],[Fat ]])</f>
        <v>255.48438078535375</v>
      </c>
      <c r="BA22" s="2">
        <f>Table83[[#This Row],[Weight]]-Table7[[#This Row],[Weight v Fat]]</f>
        <v>6.3156192146462615</v>
      </c>
      <c r="BB22" s="2">
        <f>Table7[[#This Row],[WF Res]]^2</f>
        <v>39.887046064409063</v>
      </c>
      <c r="BC22">
        <f>Regression!$T$10+(Regression!$T$9*Table83[[#This Row],[Protein]])</f>
        <v>255.76868107540747</v>
      </c>
      <c r="BD22" s="2">
        <f>Table83[[#This Row],[Weight]]-Table7[[#This Row],[Weight v Protein]]</f>
        <v>6.03131892459254</v>
      </c>
      <c r="BE22" s="2">
        <f>Table7[[#This Row],[WP Res]]^2</f>
        <v>36.376807970148114</v>
      </c>
      <c r="BF22">
        <f>Regression!$U$10+(Regression!$U$9*Table83[[#This Row],[Fiber]])</f>
        <v>255.04804977645213</v>
      </c>
      <c r="BG22" s="2">
        <f>Table83[[#This Row],[Weight]]-Table7[[#This Row],[Weight v Fiber]]</f>
        <v>6.7519502235478797</v>
      </c>
      <c r="BH22" s="2">
        <f>Table7[[#This Row],[Wfib Res]]^2</f>
        <v>45.588831821268265</v>
      </c>
      <c r="BI22">
        <f>Regression!$V$10+(Regression!$V$9*Table83[[#This Row],[Sugar]])</f>
        <v>256.57132298068132</v>
      </c>
      <c r="BJ22" s="2">
        <f>Table83[[#This Row],[Weight]]-Table7[[#This Row],[Weight v Sugar]]</f>
        <v>5.2286770193186953</v>
      </c>
      <c r="BK22" s="2">
        <f>Table7[[#This Row],[Wsugar Res]]^2</f>
        <v>27.339063372351436</v>
      </c>
      <c r="BL22">
        <f>Regression!$W$10+(Regression!$W$9*Table83[[#This Row],[Servings]])</f>
        <v>256.62243355308664</v>
      </c>
      <c r="BM22" s="2">
        <f>Table83[[#This Row],[Weight]]-Table7[[#This Row],[Weight v Servings]]</f>
        <v>5.1775664469133744</v>
      </c>
      <c r="BN22" s="2">
        <f>Table7[[#This Row],[Wserv Res]]^2</f>
        <v>26.807194312203183</v>
      </c>
      <c r="BO22">
        <f>Regression!$X$10+(Regression!$X$9*Table83[[#This Row],[Water]])</f>
        <v>255.1490819770581</v>
      </c>
      <c r="BP22" s="2">
        <f>Table83[[#This Row],[Weight]]-Table7[[#This Row],[Weight v Water]]</f>
        <v>6.6509180229419087</v>
      </c>
      <c r="BQ22" s="2">
        <f>Table7[[#This Row],[Wwater Res]]^2</f>
        <v>44.234710547893506</v>
      </c>
      <c r="BR22">
        <f>Regression!$Y$10+(Regression!$Y$9*Table83[[#This Row],[Fat Calories]])</f>
        <v>255.50324963239621</v>
      </c>
      <c r="BS22" s="2">
        <f>Table83[[#This Row],[Weight]]-Table7[[#This Row],[Weight v Fat Calories]]</f>
        <v>6.2967503676038064</v>
      </c>
      <c r="BT22" s="2">
        <f>Table7[[#This Row],[WFC Res]]^2</f>
        <v>39.649065191918673</v>
      </c>
      <c r="BU22">
        <f>Regression!$B$29+(Regression!$B$28*Table83[[#This Row],[Weight]])</f>
        <v>45.364448676854529</v>
      </c>
      <c r="BV22" s="2">
        <f>Table83[[#This Row],[Waist]]-Table7[[#This Row],[Waist v Weight]]</f>
        <v>0.6355513231454708</v>
      </c>
      <c r="BW22" s="2">
        <f>Table7[[#This Row],[WaistW Res]]^2</f>
        <v>0.40392548435195863</v>
      </c>
      <c r="BX22">
        <f>Regression!$C$29+(Regression!$C$28*Table83[[#This Row],[Neck]])</f>
        <v>45.258648648648581</v>
      </c>
      <c r="BY22" s="2">
        <f>Table83[[#This Row],[Waist]]-Table7[[#This Row],[Waist v Neck]]</f>
        <v>0.74135135135141894</v>
      </c>
      <c r="BZ22" s="2">
        <f>Table7[[#This Row],[WaistN Res]]^2</f>
        <v>0.54960182615057507</v>
      </c>
      <c r="CA22">
        <f>Regression!$D$29+(Regression!$D$28*Table83[[#This Row],[Morning Body Temp]])</f>
        <v>44.438451117581323</v>
      </c>
      <c r="CB22" s="2">
        <f>Table83[[#This Row],[Waist]]-Table7[[#This Row],[Waist v Morning Temp]]</f>
        <v>1.561548882418677</v>
      </c>
      <c r="CC22" s="2">
        <f>Table7[[#This Row],[WaistMT Res]]^2</f>
        <v>2.4384349121830189</v>
      </c>
      <c r="CD22">
        <f>Regression!$E$29+(Regression!$E$28*Table83[[#This Row],[Morning Systolic Pressure]])</f>
        <v>44.492246348363913</v>
      </c>
      <c r="CE22" s="2">
        <f>Table83[[#This Row],[Waist]]-Table7[[#This Row],[Waist v Morning Sys]]</f>
        <v>1.5077536516360865</v>
      </c>
      <c r="CF22" s="2">
        <f>Table7[[#This Row],[WaistMS Res]]^2</f>
        <v>2.2733210740219536</v>
      </c>
      <c r="CG22">
        <f>Regression!$F$29+(Regression!$F$28*Table83[[#This Row],[Morning Diastolic Pressure]])</f>
        <v>44.447181047475404</v>
      </c>
      <c r="CH22" s="2">
        <f>Table83[[#This Row],[Waist]]-Table7[[#This Row],[Waist v Morning Dia]]</f>
        <v>1.5528189525245963</v>
      </c>
      <c r="CI22" s="2">
        <f>Table7[[#This Row],[WaistMD Res]]^2</f>
        <v>2.4112466993195847</v>
      </c>
      <c r="CJ22">
        <f>Regression!$G$29+(Regression!$G$28*Table83[[#This Row],[Morning Pulse]])</f>
        <v>44.451218189785358</v>
      </c>
      <c r="CK22" s="2">
        <f>Table83[[#This Row],[Waist]]-Table7[[#This Row],[Waist v Morning Pulse]]</f>
        <v>1.548781810214642</v>
      </c>
      <c r="CL22" s="2">
        <f>Table7[[#This Row],[WaistMP Res]]^2</f>
        <v>2.3987250956517432</v>
      </c>
      <c r="CM22">
        <f>Regression!$H$29+(Regression!$H$28*Table83[[#This Row],[Night Body Temp]])</f>
        <v>44.440857030854289</v>
      </c>
      <c r="CN22" s="2">
        <f>Table83[[#This Row],[Waist]]-Table7[[#This Row],[Waist v Night Temp]]</f>
        <v>1.5591429691457108</v>
      </c>
      <c r="CO22" s="2">
        <f>Table7[[#This Row],[WaistNT Res]]^2</f>
        <v>2.430926798236503</v>
      </c>
      <c r="CP22">
        <f>Regression!$I$29+(Regression!$I$28*Table83[[#This Row],[Night Systolic Pressure]])</f>
        <v>44.456499315305209</v>
      </c>
      <c r="CQ22" s="2">
        <f>Table83[[#This Row],[Waist]]-Table7[[#This Row],[Waist v  Night Sys]]</f>
        <v>1.5435006846947914</v>
      </c>
      <c r="CR22" s="2">
        <f>Table7[[#This Row],[WaistNS Res]]^2</f>
        <v>2.3823943636532898</v>
      </c>
      <c r="CS22">
        <f>Regression!$J$29+(Regression!$J$28*Table83[[#This Row],[Night Diastolic Pressure]])</f>
        <v>44.392820230323963</v>
      </c>
      <c r="CT22" s="2">
        <f>Table83[[#This Row],[Waist]]-Table7[[#This Row],[Waist v Night Dia]]</f>
        <v>1.607179769676037</v>
      </c>
      <c r="CU22" s="2">
        <f>Table7[[#This Row],[WaistND Res]]^2</f>
        <v>2.5830268120559197</v>
      </c>
      <c r="CV22">
        <f>Regression!$K$29+(Regression!$K$28*Table83[[#This Row],[Night Pulse]])</f>
        <v>44.493989328296848</v>
      </c>
      <c r="CW22" s="2">
        <f>Table83[[#This Row],[Waist]]-Table7[[#This Row],[Waist v Night Pulse]]</f>
        <v>1.5060106717031516</v>
      </c>
      <c r="CX22" s="2">
        <f>Table7[[#This Row],[WaistNP Res]]^2</f>
        <v>2.2680681432837777</v>
      </c>
      <c r="CY22">
        <f>Regression!$L$29+(Regression!$L$28*Table83[[#This Row],[Sleep]])</f>
        <v>44.577139272847241</v>
      </c>
      <c r="CZ22" s="2">
        <f>Table83[[#This Row],[Waist]]-Table7[[#This Row],[Waist v  Sleep]]</f>
        <v>1.4228607271527594</v>
      </c>
      <c r="DA22" s="2">
        <f>Table7[[#This Row],[WaistS Res]]^2</f>
        <v>2.024532648873679</v>
      </c>
      <c r="DB22">
        <f>Regression!$M$29+(Regression!$M$28*Table83[[#This Row],[BMI]])</f>
        <v>45.36444867685163</v>
      </c>
      <c r="DC22" s="2">
        <f>Table83[[#This Row],[Waist]]-Table7[[#This Row],[Waist v BMI]]</f>
        <v>0.63555132314836982</v>
      </c>
      <c r="DD22" s="2">
        <f>Table7[[#This Row],[WaistBMI Res]]^2</f>
        <v>0.40392548435564357</v>
      </c>
      <c r="DE22">
        <f>Regression!$N$29+(Regression!$N$28*Table83[[#This Row],[CBF]])</f>
        <v>45.737892076427137</v>
      </c>
      <c r="DF22" s="2">
        <f>Table83[[#This Row],[Waist]]-Table7[[#This Row],[Waist v  CBF]]</f>
        <v>0.26210792357286294</v>
      </c>
      <c r="DG22" s="2">
        <f>Table7[[#This Row],[WaistCBF Res]]^2</f>
        <v>6.8700563599677758E-2</v>
      </c>
      <c r="DH22">
        <f>Regression!$O$29+(Regression!$O$28*Table83[[#This Row],[Gym]])</f>
        <v>44.550847457627107</v>
      </c>
      <c r="DI22" s="2">
        <f>Table83[[#This Row],[Waist]]-Table7[[#This Row],[Waist v  Gym]]</f>
        <v>1.449152542372893</v>
      </c>
      <c r="DJ22" s="2">
        <f>Table7[[#This Row],[WaistGYM Res]]^2</f>
        <v>2.1000430910658197</v>
      </c>
      <c r="DK22">
        <f>Regression!$P$29+(Regression!$P$28*Table83[[#This Row],[Cardio]])</f>
        <v>44.680851063829778</v>
      </c>
      <c r="DL22" s="2">
        <f>Table83[[#This Row],[Waist]]-Table7[[#This Row],[Waist v Cardio]]</f>
        <v>1.3191489361702224</v>
      </c>
      <c r="DM22" s="2">
        <f>Table7[[#This Row],[WaistC Res]]^2</f>
        <v>1.7401539157990296</v>
      </c>
      <c r="DN22">
        <f>Regression!$Q$29+(Regression!$Q$28*Table83[[#This Row],[Calories]])</f>
        <v>44.61361755407551</v>
      </c>
      <c r="DO22" s="2">
        <f>Table83[[#This Row],[Waist]]-Table7[[#This Row],[Waist v Calories]]</f>
        <v>1.3863824459244896</v>
      </c>
      <c r="DP22" s="2">
        <f>Table7[[#This Row],[WaistCal Res]]^2</f>
        <v>1.9220562863675703</v>
      </c>
      <c r="DQ22">
        <f>Regression!$R$29+(Regression!$R$28*Table83[[#This Row],[Carbs]])</f>
        <v>44.63233821999178</v>
      </c>
      <c r="DR22" s="2">
        <f>Table83[[#This Row],[Waist]]-Table7[[#This Row],[Waist v Carbs]]</f>
        <v>1.3676617800082198</v>
      </c>
      <c r="DS22" s="2">
        <f>Table7[[#This Row],[WaistCarb Res]]^2</f>
        <v>1.8704987444952523</v>
      </c>
      <c r="DT22">
        <f>Regression!$S$29+(Regression!$S$28*Table83[[#This Row],[Fat ]])</f>
        <v>44.56643818638063</v>
      </c>
      <c r="DU22" s="2">
        <f>Table83[[#This Row],[Waist]]-Table7[[#This Row],[Waist v Fat]]</f>
        <v>1.4335618136193702</v>
      </c>
      <c r="DV22" s="2">
        <f>Table7[[#This Row],[WaistF Res]]^2</f>
        <v>2.0550994734676578</v>
      </c>
      <c r="DW22">
        <f>Regression!$T$29+(Regression!$T$28*Table83[[#This Row],[Protein]])</f>
        <v>44.573179642752088</v>
      </c>
      <c r="DX22" s="2">
        <f>Table83[[#This Row],[Waist]]-Table7[[#This Row],[Waist v Protein]]</f>
        <v>1.4268203572479123</v>
      </c>
      <c r="DY22" s="2">
        <f>Table7[[#This Row],[WaistP Res]]^2</f>
        <v>2.0358163318570601</v>
      </c>
      <c r="DZ22">
        <f>Regression!$U$29+(Regression!$U$28*Table83[[#This Row],[Fiber]])</f>
        <v>44.427689339488296</v>
      </c>
      <c r="EA22" s="2">
        <f>Table83[[#This Row],[Waist]]-Table7[[#This Row],[Waist v Fiber]]</f>
        <v>1.5723106605117039</v>
      </c>
      <c r="EB22" s="2">
        <f>Table7[[#This Row],[WaistFib Res]]^2</f>
        <v>2.4721608131587507</v>
      </c>
      <c r="EC22">
        <f>Regression!$V$29+(Regression!$V$28*Table83[[#This Row],[Sugar]])</f>
        <v>44.715144055457259</v>
      </c>
      <c r="ED22" s="2">
        <f>Table83[[#This Row],[Waist]]-Table7[[#This Row],[Waist v Sugar]]</f>
        <v>1.2848559445427412</v>
      </c>
      <c r="EE22" s="2">
        <f>Table7[[#This Row],[WaistSugar Res]]^2</f>
        <v>1.6508547982268196</v>
      </c>
      <c r="EF22">
        <f>Regression!$W$29+(Regression!$W$28*Table83[[#This Row],[Servings]])</f>
        <v>44.683542317898613</v>
      </c>
      <c r="EG22" s="2">
        <f>Table83[[#This Row],[Waist]]-Table7[[#This Row],[Waist v Servings]]</f>
        <v>1.3164576821013867</v>
      </c>
      <c r="EH22" s="2">
        <f>Table7[[#This Row],[WaistServ Res]]^2</f>
        <v>1.7330608287637557</v>
      </c>
      <c r="EI22">
        <f>Regression!$X$29+(Regression!$X$28*Table83[[#This Row],[Water]])</f>
        <v>44.497966229663206</v>
      </c>
      <c r="EJ22" s="2">
        <f>Table83[[#This Row],[Waist]]-Table7[[#This Row],[Waist v Water]]</f>
        <v>1.5020337703367943</v>
      </c>
      <c r="EK22" s="2">
        <f>Table7[[#This Row],[WaistWat Res]]^2</f>
        <v>2.2561054472321658</v>
      </c>
      <c r="EL22">
        <f>Regression!$Y$29+(Regression!$Y$28*Table83[[#This Row],[Fat Calories]])</f>
        <v>44.571604248224496</v>
      </c>
      <c r="EM22" s="2">
        <f>Table83[[#This Row],[Waist]]-Table7[[#This Row],[Waist v Fat Calories]]</f>
        <v>1.4283957517755042</v>
      </c>
      <c r="EN22" s="2">
        <f>Table7[[#This Row],[WaistFatCal Res]]^2</f>
        <v>2.0403144236903077</v>
      </c>
    </row>
    <row r="23" spans="1:144" x14ac:dyDescent="0.25">
      <c r="A23">
        <f>Regression!$B$10+(Regression!$B$9*Table83[[#This Row],[Waist]])</f>
        <v>261.08819223590376</v>
      </c>
      <c r="B23" s="2">
        <f>Table83[[#This Row],[Weight]]-Table7[[#This Row],[Weight v Waist]]</f>
        <v>0.71180776409624968</v>
      </c>
      <c r="C23" s="2">
        <f>Table7[[#This Row],[Weight v Waist Res]]^2</f>
        <v>0.50667029302770228</v>
      </c>
      <c r="D23">
        <f>Regression!$C$10+(Regression!$C$9*Table83[[#This Row],[Neck]])</f>
        <v>260.39308108104251</v>
      </c>
      <c r="E23" s="2">
        <f>Table83[[#This Row],[Weight]]-Table7[[#This Row],[Weight v Neck]]</f>
        <v>1.4069189189575013</v>
      </c>
      <c r="F23" s="2">
        <f>Table7[[#This Row],[WN Res]]^2</f>
        <v>1.9794208445205441</v>
      </c>
      <c r="G23">
        <f>Regression!$D$10+(Regression!$D$9*Table83[[#This Row],[Morning Body Temp]])</f>
        <v>254.77797223219488</v>
      </c>
      <c r="H23" s="2">
        <f>Table83[[#This Row],[Weight]]-Table7[[#This Row],[Weight v Morning Temp]]</f>
        <v>7.0220277678051275</v>
      </c>
      <c r="I23" s="2">
        <f>Table7[[#This Row],[WMT Res]]^2</f>
        <v>49.308873971826259</v>
      </c>
      <c r="J23">
        <f>Regression!$E$10+(Regression!$E$9*Table83[[#This Row],[Morning Systolic Pressure]])</f>
        <v>254.91917781330181</v>
      </c>
      <c r="K23" s="2">
        <f>Table83[[#This Row],[Weight]]-Table7[[#This Row],[Weight v Morning Sys]]</f>
        <v>6.8808221866981967</v>
      </c>
      <c r="L23" s="2">
        <f>Table7[[#This Row],[WMS Res]]^2</f>
        <v>47.345713964958151</v>
      </c>
      <c r="M23">
        <f>Regression!$F$10+(Regression!$F$9*Table83[[#This Row],[Morning Diastolic Pressure]])</f>
        <v>255.71010539151592</v>
      </c>
      <c r="N23" s="2">
        <f>Table83[[#This Row],[Weight]]-Table7[[#This Row],[Weight v Morning Dia]]</f>
        <v>6.0898946084840873</v>
      </c>
      <c r="O23" s="2">
        <f>Table7[[#This Row],[WMD Res]]^2</f>
        <v>37.086816342443555</v>
      </c>
      <c r="P23">
        <f>Regression!$G$10+(Regression!$G$9*Table83[[#This Row],[Morning Pulse]])</f>
        <v>255.13375084772755</v>
      </c>
      <c r="Q23" s="2">
        <f>Table83[[#This Row],[Weight]]-Table7[[#This Row],[Weight v Morning Pulse]]</f>
        <v>6.6662491522724565</v>
      </c>
      <c r="R23" s="2">
        <f>Table7[[#This Row],[WMP Res]]^2</f>
        <v>44.438877760173249</v>
      </c>
      <c r="S23">
        <f>Regression!$H$10+(Regression!$H$9*Table83[[#This Row],[Night Body Temp]])</f>
        <v>253.3110381202998</v>
      </c>
      <c r="T23" s="2">
        <f>Table83[[#This Row],[Weight]]-Table7[[#This Row],[Weight v Night Temp]]</f>
        <v>8.4889618797002129</v>
      </c>
      <c r="U23" s="2">
        <f>Table7[[#This Row],[WNT Res]]^2</f>
        <v>72.06247379500337</v>
      </c>
      <c r="V23">
        <f>Regression!$I$10+(Regression!$I$9*Table83[[#This Row],[Night Systolic Pressure]])</f>
        <v>254.93064689108181</v>
      </c>
      <c r="W23" s="2">
        <f>Table83[[#This Row],[Weight]]-Table7[[#This Row],[Weight v Night Sys]]</f>
        <v>6.8693531089182045</v>
      </c>
      <c r="X23" s="2">
        <f>Table7[[#This Row],[WNS Res]]^2</f>
        <v>47.1880121350042</v>
      </c>
      <c r="Y23">
        <f>Regression!$J$10+(Regression!$J$9*Table83[[#This Row],[Night Diastolic Pressure]])</f>
        <v>255.25537984791052</v>
      </c>
      <c r="Z23" s="2">
        <f>Table83[[#This Row],[Weight]]-Table7[[#This Row],[Weight v Night Dia]]</f>
        <v>6.5446201520894931</v>
      </c>
      <c r="AA23" s="2">
        <f>Table7[[#This Row],[WND Res]]^2</f>
        <v>42.832052935135899</v>
      </c>
      <c r="AB23">
        <f>Regression!$K$10+(Regression!$K$9*Table83[[#This Row],[Night Pulse]])</f>
        <v>255.01801186503107</v>
      </c>
      <c r="AC23" s="2">
        <f>Table83[[#This Row],[Weight]]-Table7[[#This Row],[Weight v Night Pulse]]</f>
        <v>6.781988134968941</v>
      </c>
      <c r="AD23" s="2">
        <f>Table7[[#This Row],[WNP Res ]]^2</f>
        <v>45.995363062859496</v>
      </c>
      <c r="AE23">
        <f>Regression!$L$10+(Regression!$L$9*Table83[[#This Row],[Sleep]])</f>
        <v>255.05816118153788</v>
      </c>
      <c r="AF23" s="2">
        <f>Table83[[#This Row],[Weight]]-Table7[[#This Row],[Weight v Sleep]]</f>
        <v>6.7418388184621278</v>
      </c>
      <c r="AG23" s="2">
        <f>Table7[[#This Row],[WS Res]]^2</f>
        <v>45.452390654122823</v>
      </c>
      <c r="AH23">
        <f>Regression!$M$10+(Regression!$M$9*Table83[[#This Row],[BMI]])</f>
        <v>261.79999999998506</v>
      </c>
      <c r="AI23" s="2">
        <f>Table83[[#This Row],[Weight]]-Table7[[#This Row],[Weight v BMI]]</f>
        <v>1.4949819160392508E-11</v>
      </c>
      <c r="AJ23" s="2">
        <f>Table7[[#This Row],[WBMI Res]]^2</f>
        <v>2.2349709292843895E-22</v>
      </c>
      <c r="AK23">
        <f>Regression!$N$10+(Regression!$N$9*Table83[[#This Row],[CBF]])</f>
        <v>259.27809165285294</v>
      </c>
      <c r="AL23" s="2">
        <f>Table83[[#This Row],[Weight]]-Table7[[#This Row],[Weight v CBF]]</f>
        <v>2.5219083471470753</v>
      </c>
      <c r="AM23" s="2">
        <f>Table7[[#This Row],[WCBF Res]]^2</f>
        <v>6.3600217114100932</v>
      </c>
      <c r="AN23">
        <f>Regression!$O$10+(Regression!$O$9*Table83[[#This Row],[Gym]])</f>
        <v>255.46779661016953</v>
      </c>
      <c r="AO23" s="2">
        <f>Table83[[#This Row],[Weight]]-Table7[[#This Row],[Weight v Gym]]</f>
        <v>6.3322033898304824</v>
      </c>
      <c r="AP23" s="2">
        <f>Table7[[#This Row],[WG Res]]^2</f>
        <v>40.096799770180652</v>
      </c>
      <c r="AQ23">
        <f>Regression!$P$10+(Regression!$P$9*Table83[[#This Row],[Cardio]])</f>
        <v>256.41063829787231</v>
      </c>
      <c r="AR23" s="2">
        <f>Table83[[#This Row],[Weight]]-Table7[[#This Row],[Weight v Cardio]]</f>
        <v>5.3893617021277009</v>
      </c>
      <c r="AS23" s="2">
        <f>Table7[[#This Row],[WC Res]]^2</f>
        <v>29.045219556360792</v>
      </c>
      <c r="AT23">
        <f>Regression!$Q$10+(Regression!$Q$9*Table83[[#This Row],[Calories]])</f>
        <v>255.85531682002576</v>
      </c>
      <c r="AU23" s="2">
        <f>Table83[[#This Row],[Weight]]-Table7[[#This Row],[Weight v Calories]]</f>
        <v>5.9446831799742483</v>
      </c>
      <c r="AV23" s="2">
        <f>Table7[[#This Row],[WCAL Res]]^2</f>
        <v>35.339258110268744</v>
      </c>
      <c r="AW23">
        <f>Regression!$R$10+(Regression!$R$9*Table83[[#This Row],[Carbs]])</f>
        <v>255.96771664806704</v>
      </c>
      <c r="AX23" s="2">
        <f>Table83[[#This Row],[Weight]]-Table7[[#This Row],[Weight v Carbs]]</f>
        <v>5.832283351932972</v>
      </c>
      <c r="AY23" s="2">
        <f>Table7[[#This Row],[Wcarb Res]]^2</f>
        <v>34.015529097234506</v>
      </c>
      <c r="AZ23">
        <f>Regression!$S$10+(Regression!$S$9*Table83[[#This Row],[Fat ]])</f>
        <v>255.47820549742997</v>
      </c>
      <c r="BA23" s="2">
        <f>Table83[[#This Row],[Weight]]-Table7[[#This Row],[Weight v Fat]]</f>
        <v>6.3217945025700431</v>
      </c>
      <c r="BB23" s="2">
        <f>Table7[[#This Row],[WF Res]]^2</f>
        <v>39.965085732724816</v>
      </c>
      <c r="BC23">
        <f>Regression!$T$10+(Regression!$T$9*Table83[[#This Row],[Protein]])</f>
        <v>256.09623118247509</v>
      </c>
      <c r="BD23" s="2">
        <f>Table83[[#This Row],[Weight]]-Table7[[#This Row],[Weight v Protein]]</f>
        <v>5.7037688175249173</v>
      </c>
      <c r="BE23" s="2">
        <f>Table7[[#This Row],[WP Res]]^2</f>
        <v>32.532978723769595</v>
      </c>
      <c r="BF23">
        <f>Regression!$U$10+(Regression!$U$9*Table83[[#This Row],[Fiber]])</f>
        <v>254.883290436995</v>
      </c>
      <c r="BG23" s="2">
        <f>Table83[[#This Row],[Weight]]-Table7[[#This Row],[Weight v Fiber]]</f>
        <v>6.9167095630050142</v>
      </c>
      <c r="BH23" s="2">
        <f>Table7[[#This Row],[Wfib Res]]^2</f>
        <v>47.840871178965017</v>
      </c>
      <c r="BI23">
        <f>Regression!$V$10+(Regression!$V$9*Table83[[#This Row],[Sugar]])</f>
        <v>256.60070001804922</v>
      </c>
      <c r="BJ23" s="2">
        <f>Table83[[#This Row],[Weight]]-Table7[[#This Row],[Weight v Sugar]]</f>
        <v>5.1992999819507872</v>
      </c>
      <c r="BK23" s="2">
        <f>Table7[[#This Row],[Wsugar Res]]^2</f>
        <v>27.032720302313457</v>
      </c>
      <c r="BL23">
        <f>Regression!$W$10+(Regression!$W$9*Table83[[#This Row],[Servings]])</f>
        <v>257.04290728344819</v>
      </c>
      <c r="BM23" s="2">
        <f>Table83[[#This Row],[Weight]]-Table7[[#This Row],[Weight v Servings]]</f>
        <v>4.7570927165518242</v>
      </c>
      <c r="BN23" s="2">
        <f>Table7[[#This Row],[Wserv Res]]^2</f>
        <v>22.629931113870413</v>
      </c>
      <c r="BO23">
        <f>Regression!$X$10+(Regression!$X$9*Table83[[#This Row],[Water]])</f>
        <v>255.10626599365665</v>
      </c>
      <c r="BP23" s="2">
        <f>Table83[[#This Row],[Weight]]-Table7[[#This Row],[Weight v Water]]</f>
        <v>6.6937340063433624</v>
      </c>
      <c r="BQ23" s="2">
        <f>Table7[[#This Row],[Wwater Res]]^2</f>
        <v>44.806074947677558</v>
      </c>
      <c r="BR23">
        <f>Regression!$Y$10+(Regression!$Y$9*Table83[[#This Row],[Fat Calories]])</f>
        <v>255.49667757253641</v>
      </c>
      <c r="BS23" s="2">
        <f>Table83[[#This Row],[Weight]]-Table7[[#This Row],[Weight v Fat Calories]]</f>
        <v>6.3033224274635984</v>
      </c>
      <c r="BT23" s="2">
        <f>Table7[[#This Row],[WFC Res]]^2</f>
        <v>39.731873624565587</v>
      </c>
      <c r="BU23">
        <f>Regression!$B$29+(Regression!$B$28*Table83[[#This Row],[Weight]])</f>
        <v>45.364448676854529</v>
      </c>
      <c r="BV23" s="2">
        <f>Table83[[#This Row],[Waist]]-Table7[[#This Row],[Waist v Weight]]</f>
        <v>0.1355513231454708</v>
      </c>
      <c r="BW23" s="2">
        <f>Table7[[#This Row],[WaistW Res]]^2</f>
        <v>1.8374161206487848E-2</v>
      </c>
      <c r="BX23">
        <f>Regression!$C$29+(Regression!$C$28*Table83[[#This Row],[Neck]])</f>
        <v>45.258648648648581</v>
      </c>
      <c r="BY23" s="2">
        <f>Table83[[#This Row],[Waist]]-Table7[[#This Row],[Waist v Neck]]</f>
        <v>0.24135135135141894</v>
      </c>
      <c r="BZ23" s="2">
        <f>Table7[[#This Row],[WaistN Res]]^2</f>
        <v>5.8250474799156071E-2</v>
      </c>
      <c r="CA23">
        <f>Regression!$D$29+(Regression!$D$28*Table83[[#This Row],[Morning Body Temp]])</f>
        <v>44.361863864877819</v>
      </c>
      <c r="CB23" s="2">
        <f>Table83[[#This Row],[Waist]]-Table7[[#This Row],[Waist v Morning Temp]]</f>
        <v>1.1381361351221813</v>
      </c>
      <c r="CC23" s="2">
        <f>Table7[[#This Row],[WaistMT Res]]^2</f>
        <v>1.295353862070856</v>
      </c>
      <c r="CD23">
        <f>Regression!$E$29+(Regression!$E$28*Table83[[#This Row],[Morning Systolic Pressure]])</f>
        <v>44.407523106424492</v>
      </c>
      <c r="CE23" s="2">
        <f>Table83[[#This Row],[Waist]]-Table7[[#This Row],[Waist v Morning Sys]]</f>
        <v>1.0924768935755083</v>
      </c>
      <c r="CF23" s="2">
        <f>Table7[[#This Row],[WaistMS Res]]^2</f>
        <v>1.1935057629963923</v>
      </c>
      <c r="CG23">
        <f>Regression!$F$29+(Regression!$F$28*Table83[[#This Row],[Morning Diastolic Pressure]])</f>
        <v>44.486630392157387</v>
      </c>
      <c r="CH23" s="2">
        <f>Table83[[#This Row],[Waist]]-Table7[[#This Row],[Waist v Morning Dia]]</f>
        <v>1.0133696078426127</v>
      </c>
      <c r="CI23" s="2">
        <f>Table7[[#This Row],[WaistMD Res]]^2</f>
        <v>1.0269179620990905</v>
      </c>
      <c r="CJ23">
        <f>Regression!$G$29+(Regression!$G$28*Table83[[#This Row],[Morning Pulse]])</f>
        <v>44.462131723242337</v>
      </c>
      <c r="CK23" s="2">
        <f>Table83[[#This Row],[Waist]]-Table7[[#This Row],[Waist v Morning Pulse]]</f>
        <v>1.0378682767576635</v>
      </c>
      <c r="CL23" s="2">
        <f>Table7[[#This Row],[WaistMP Res]]^2</f>
        <v>1.0771705598999219</v>
      </c>
      <c r="CM23">
        <f>Regression!$H$29+(Regression!$H$28*Table83[[#This Row],[Night Body Temp]])</f>
        <v>44.31130624997612</v>
      </c>
      <c r="CN23" s="2">
        <f>Table83[[#This Row],[Waist]]-Table7[[#This Row],[Waist v Night Temp]]</f>
        <v>1.1886937500238801</v>
      </c>
      <c r="CO23" s="2">
        <f>Table7[[#This Row],[WaistNT Res]]^2</f>
        <v>1.4129928313458349</v>
      </c>
      <c r="CP23">
        <f>Regression!$I$29+(Regression!$I$28*Table83[[#This Row],[Night Systolic Pressure]])</f>
        <v>44.427419086653984</v>
      </c>
      <c r="CQ23" s="2">
        <f>Table83[[#This Row],[Waist]]-Table7[[#This Row],[Waist v  Night Sys]]</f>
        <v>1.072580913346016</v>
      </c>
      <c r="CR23" s="2">
        <f>Table7[[#This Row],[WaistNS Res]]^2</f>
        <v>1.1504298156741739</v>
      </c>
      <c r="CS23">
        <f>Regression!$J$29+(Regression!$J$28*Table83[[#This Row],[Night Diastolic Pressure]])</f>
        <v>44.512295846776055</v>
      </c>
      <c r="CT23" s="2">
        <f>Table83[[#This Row],[Waist]]-Table7[[#This Row],[Waist v Night Dia]]</f>
        <v>0.98770415322394456</v>
      </c>
      <c r="CU23" s="2">
        <f>Table7[[#This Row],[WaistND Res]]^2</f>
        <v>0.97555949429582933</v>
      </c>
      <c r="CV23">
        <f>Regression!$K$29+(Regression!$K$28*Table83[[#This Row],[Night Pulse]])</f>
        <v>44.462565118876235</v>
      </c>
      <c r="CW23" s="2">
        <f>Table83[[#This Row],[Waist]]-Table7[[#This Row],[Waist v Night Pulse]]</f>
        <v>1.0374348811237653</v>
      </c>
      <c r="CX23" s="2">
        <f>Table7[[#This Row],[WaistNP Res]]^2</f>
        <v>1.0762711325722809</v>
      </c>
      <c r="CY23">
        <f>Regression!$L$29+(Regression!$L$28*Table83[[#This Row],[Sleep]])</f>
        <v>44.444867110859185</v>
      </c>
      <c r="CZ23" s="2">
        <f>Table83[[#This Row],[Waist]]-Table7[[#This Row],[Waist v  Sleep]]</f>
        <v>1.0551328891408147</v>
      </c>
      <c r="DA23" s="2">
        <f>Table7[[#This Row],[WaistS Res]]^2</f>
        <v>1.1133054137466427</v>
      </c>
      <c r="DB23">
        <f>Regression!$M$29+(Regression!$M$28*Table83[[#This Row],[BMI]])</f>
        <v>45.36444867685163</v>
      </c>
      <c r="DC23" s="2">
        <f>Table83[[#This Row],[Waist]]-Table7[[#This Row],[Waist v BMI]]</f>
        <v>0.13555132314836982</v>
      </c>
      <c r="DD23" s="2">
        <f>Table7[[#This Row],[WaistBMI Res]]^2</f>
        <v>1.8374161207273778E-2</v>
      </c>
      <c r="DE23">
        <f>Regression!$N$29+(Regression!$N$28*Table83[[#This Row],[CBF]])</f>
        <v>45.203183363709613</v>
      </c>
      <c r="DF23" s="2">
        <f>Table83[[#This Row],[Waist]]-Table7[[#This Row],[Waist v  CBF]]</f>
        <v>0.29681663629038724</v>
      </c>
      <c r="DG23" s="2">
        <f>Table7[[#This Row],[WaistCBF Res]]^2</f>
        <v>8.8100115578740021E-2</v>
      </c>
      <c r="DH23">
        <f>Regression!$O$29+(Regression!$O$28*Table83[[#This Row],[Gym]])</f>
        <v>44.550847457627107</v>
      </c>
      <c r="DI23" s="2">
        <f>Table83[[#This Row],[Waist]]-Table7[[#This Row],[Waist v  Gym]]</f>
        <v>0.94915254237289304</v>
      </c>
      <c r="DJ23" s="2">
        <f>Table7[[#This Row],[WaistGYM Res]]^2</f>
        <v>0.90089054869292651</v>
      </c>
      <c r="DK23">
        <f>Regression!$P$29+(Regression!$P$28*Table83[[#This Row],[Cardio]])</f>
        <v>44.680851063829778</v>
      </c>
      <c r="DL23" s="2">
        <f>Table83[[#This Row],[Waist]]-Table7[[#This Row],[Waist v Cardio]]</f>
        <v>0.81914893617022244</v>
      </c>
      <c r="DM23" s="2">
        <f>Table7[[#This Row],[WaistC Res]]^2</f>
        <v>0.67100497962880712</v>
      </c>
      <c r="DN23">
        <f>Regression!$Q$29+(Regression!$Q$28*Table83[[#This Row],[Calories]])</f>
        <v>44.619862650994627</v>
      </c>
      <c r="DO23" s="2">
        <f>Table83[[#This Row],[Waist]]-Table7[[#This Row],[Waist v Calories]]</f>
        <v>0.88013734900537344</v>
      </c>
      <c r="DP23" s="2">
        <f>Table7[[#This Row],[WaistCal Res]]^2</f>
        <v>0.77464175311420658</v>
      </c>
      <c r="DQ23">
        <f>Regression!$R$29+(Regression!$R$28*Table83[[#This Row],[Carbs]])</f>
        <v>44.631060995186111</v>
      </c>
      <c r="DR23" s="2">
        <f>Table83[[#This Row],[Waist]]-Table7[[#This Row],[Waist v Carbs]]</f>
        <v>0.86893900481388897</v>
      </c>
      <c r="DS23" s="2">
        <f>Table7[[#This Row],[WaistCarb Res]]^2</f>
        <v>0.75505499408695176</v>
      </c>
      <c r="DT23">
        <f>Regression!$S$29+(Regression!$S$28*Table83[[#This Row],[Fat ]])</f>
        <v>44.564550531548164</v>
      </c>
      <c r="DU23" s="2">
        <f>Table83[[#This Row],[Waist]]-Table7[[#This Row],[Waist v Fat]]</f>
        <v>0.93544946845183574</v>
      </c>
      <c r="DV23" s="2">
        <f>Table7[[#This Row],[WaistF Res]]^2</f>
        <v>0.87506570802682204</v>
      </c>
      <c r="DW23">
        <f>Regression!$T$29+(Regression!$T$28*Table83[[#This Row],[Protein]])</f>
        <v>44.633133479669695</v>
      </c>
      <c r="DX23" s="2">
        <f>Table83[[#This Row],[Waist]]-Table7[[#This Row],[Waist v Protein]]</f>
        <v>0.86686652033030498</v>
      </c>
      <c r="DY23" s="2">
        <f>Table7[[#This Row],[WaistP Res]]^2</f>
        <v>0.75145756406957109</v>
      </c>
      <c r="DZ23">
        <f>Regression!$U$29+(Regression!$U$28*Table83[[#This Row],[Fiber]])</f>
        <v>44.364115308608135</v>
      </c>
      <c r="EA23" s="2">
        <f>Table83[[#This Row],[Waist]]-Table7[[#This Row],[Waist v Fiber]]</f>
        <v>1.1358846913918654</v>
      </c>
      <c r="EB23" s="2">
        <f>Table7[[#This Row],[WaistFib Res]]^2</f>
        <v>1.2902340321383934</v>
      </c>
      <c r="EC23">
        <f>Regression!$V$29+(Regression!$V$28*Table83[[#This Row],[Sugar]])</f>
        <v>44.720421312577507</v>
      </c>
      <c r="ED23" s="2">
        <f>Table83[[#This Row],[Waist]]-Table7[[#This Row],[Waist v Sugar]]</f>
        <v>0.77957868742249303</v>
      </c>
      <c r="EE23" s="2">
        <f>Table7[[#This Row],[WaistSugar Res]]^2</f>
        <v>0.60774292988337708</v>
      </c>
      <c r="EF23">
        <f>Regression!$W$29+(Regression!$W$28*Table83[[#This Row],[Servings]])</f>
        <v>44.747699604061388</v>
      </c>
      <c r="EG23" s="2">
        <f>Table83[[#This Row],[Waist]]-Table7[[#This Row],[Waist v Servings]]</f>
        <v>0.75230039593861164</v>
      </c>
      <c r="EH23" s="2">
        <f>Table7[[#This Row],[WaistServ Res]]^2</f>
        <v>0.56595588572939182</v>
      </c>
      <c r="EI23">
        <f>Regression!$X$29+(Regression!$X$28*Table83[[#This Row],[Water]])</f>
        <v>44.442082352251923</v>
      </c>
      <c r="EJ23" s="2">
        <f>Table83[[#This Row],[Waist]]-Table7[[#This Row],[Waist v Water]]</f>
        <v>1.0579176477480772</v>
      </c>
      <c r="EK23" s="2">
        <f>Table7[[#This Row],[WaistWat Res]]^2</f>
        <v>1.1191897494168246</v>
      </c>
      <c r="EL23">
        <f>Regression!$Y$29+(Regression!$Y$28*Table83[[#This Row],[Fat Calories]])</f>
        <v>44.569605495758424</v>
      </c>
      <c r="EM23" s="2">
        <f>Table83[[#This Row],[Waist]]-Table7[[#This Row],[Waist v Fat Calories]]</f>
        <v>0.93039450424157621</v>
      </c>
      <c r="EN23" s="2">
        <f>Table7[[#This Row],[WaistFatCal Res]]^2</f>
        <v>0.86563393352292839</v>
      </c>
    </row>
    <row r="24" spans="1:144" x14ac:dyDescent="0.25">
      <c r="A24">
        <f>Regression!$B$10+(Regression!$B$9*Table83[[#This Row],[Waist]])</f>
        <v>261.08819223590376</v>
      </c>
      <c r="B24" s="2">
        <f>Table83[[#This Row],[Weight]]-Table7[[#This Row],[Weight v Waist]]</f>
        <v>-1.2881922359037503</v>
      </c>
      <c r="C24" s="2">
        <f>Table7[[#This Row],[Weight v Waist Res]]^2</f>
        <v>1.6594392366427035</v>
      </c>
      <c r="D24">
        <f>Regression!$C$10+(Regression!$C$9*Table83[[#This Row],[Neck]])</f>
        <v>260.39308108104251</v>
      </c>
      <c r="E24" s="2">
        <f>Table83[[#This Row],[Weight]]-Table7[[#This Row],[Weight v Neck]]</f>
        <v>-0.59308108104249868</v>
      </c>
      <c r="F24" s="2">
        <f>Table7[[#This Row],[WN Res]]^2</f>
        <v>0.3517451686905389</v>
      </c>
      <c r="G24">
        <f>Regression!$D$10+(Regression!$D$9*Table83[[#This Row],[Morning Body Temp]])</f>
        <v>255.41155922019615</v>
      </c>
      <c r="H24" s="2">
        <f>Table83[[#This Row],[Weight]]-Table7[[#This Row],[Weight v Morning Temp]]</f>
        <v>4.388440779803858</v>
      </c>
      <c r="I24" s="2">
        <f>Table7[[#This Row],[WMT Res]]^2</f>
        <v>19.258412477845493</v>
      </c>
      <c r="J24">
        <f>Regression!$E$10+(Regression!$E$9*Table83[[#This Row],[Morning Systolic Pressure]])</f>
        <v>254.87410060943841</v>
      </c>
      <c r="K24" s="2">
        <f>Table83[[#This Row],[Weight]]-Table7[[#This Row],[Weight v Morning Sys]]</f>
        <v>4.9258993905615966</v>
      </c>
      <c r="L24" s="2">
        <f>Table7[[#This Row],[WMS Res]]^2</f>
        <v>24.264484805935108</v>
      </c>
      <c r="M24">
        <f>Regression!$F$10+(Regression!$F$9*Table83[[#This Row],[Morning Diastolic Pressure]])</f>
        <v>255.10203989724667</v>
      </c>
      <c r="N24" s="2">
        <f>Table83[[#This Row],[Weight]]-Table7[[#This Row],[Weight v Morning Dia]]</f>
        <v>4.697960102753342</v>
      </c>
      <c r="O24" s="2">
        <f>Table7[[#This Row],[WMD Res]]^2</f>
        <v>22.07082912706219</v>
      </c>
      <c r="P24">
        <f>Regression!$G$10+(Regression!$G$9*Table83[[#This Row],[Morning Pulse]])</f>
        <v>255.11912848167003</v>
      </c>
      <c r="Q24" s="2">
        <f>Table83[[#This Row],[Weight]]-Table7[[#This Row],[Weight v Morning Pulse]]</f>
        <v>4.6808715183299796</v>
      </c>
      <c r="R24" s="2">
        <f>Table7[[#This Row],[WMP Res]]^2</f>
        <v>21.910558171112807</v>
      </c>
      <c r="S24">
        <f>Regression!$H$10+(Regression!$H$9*Table83[[#This Row],[Night Body Temp]])</f>
        <v>255.46766610041516</v>
      </c>
      <c r="T24" s="2">
        <f>Table83[[#This Row],[Weight]]-Table7[[#This Row],[Weight v Night Temp]]</f>
        <v>4.332333899584853</v>
      </c>
      <c r="U24" s="2">
        <f>Table7[[#This Row],[WNT Res]]^2</f>
        <v>18.7691170174921</v>
      </c>
      <c r="V24">
        <f>Regression!$I$10+(Regression!$I$9*Table83[[#This Row],[Night Systolic Pressure]])</f>
        <v>255.34122622719568</v>
      </c>
      <c r="W24" s="2">
        <f>Table83[[#This Row],[Weight]]-Table7[[#This Row],[Weight v Night Sys]]</f>
        <v>4.4587737728043351</v>
      </c>
      <c r="X24" s="2">
        <f>Table7[[#This Row],[WNS Res]]^2</f>
        <v>19.880663557047804</v>
      </c>
      <c r="Y24">
        <f>Regression!$J$10+(Regression!$J$9*Table83[[#This Row],[Night Diastolic Pressure]])</f>
        <v>255.2146139794944</v>
      </c>
      <c r="Z24" s="2">
        <f>Table83[[#This Row],[Weight]]-Table7[[#This Row],[Weight v Night Dia]]</f>
        <v>4.5853860205056094</v>
      </c>
      <c r="AA24" s="2">
        <f>Table7[[#This Row],[WND Res]]^2</f>
        <v>21.025764957048271</v>
      </c>
      <c r="AB24">
        <f>Regression!$K$10+(Regression!$K$9*Table83[[#This Row],[Night Pulse]])</f>
        <v>255.11015185874123</v>
      </c>
      <c r="AC24" s="2">
        <f>Table83[[#This Row],[Weight]]-Table7[[#This Row],[Weight v Night Pulse]]</f>
        <v>4.6898481412587785</v>
      </c>
      <c r="AD24" s="2">
        <f>Table7[[#This Row],[WNP Res ]]^2</f>
        <v>21.994675588068418</v>
      </c>
      <c r="AE24">
        <f>Regression!$L$10+(Regression!$L$9*Table83[[#This Row],[Sleep]])</f>
        <v>255.68910954828553</v>
      </c>
      <c r="AF24" s="2">
        <f>Table83[[#This Row],[Weight]]-Table7[[#This Row],[Weight v Sleep]]</f>
        <v>4.1108904517144822</v>
      </c>
      <c r="AG24" s="2">
        <f>Table7[[#This Row],[WS Res]]^2</f>
        <v>16.8994203059973</v>
      </c>
      <c r="AH24">
        <f>Regression!$M$10+(Regression!$M$9*Table83[[#This Row],[BMI]])</f>
        <v>259.79999999998961</v>
      </c>
      <c r="AI24" s="2">
        <f>Table83[[#This Row],[Weight]]-Table7[[#This Row],[Weight v BMI]]</f>
        <v>1.0402345651527867E-11</v>
      </c>
      <c r="AJ24" s="2">
        <f>Table7[[#This Row],[WBMI Res]]^2</f>
        <v>1.0820879505386072E-22</v>
      </c>
      <c r="AK24">
        <f>Regression!$N$10+(Regression!$N$9*Table83[[#This Row],[CBF]])</f>
        <v>259.27809165285294</v>
      </c>
      <c r="AL24" s="2">
        <f>Table83[[#This Row],[Weight]]-Table7[[#This Row],[Weight v CBF]]</f>
        <v>0.52190834714707535</v>
      </c>
      <c r="AM24" s="2">
        <f>Table7[[#This Row],[WCBF Res]]^2</f>
        <v>0.27238832282179209</v>
      </c>
      <c r="AN24">
        <f>Regression!$O$10+(Regression!$O$9*Table83[[#This Row],[Gym]])</f>
        <v>255.46779661016953</v>
      </c>
      <c r="AO24" s="2">
        <f>Table83[[#This Row],[Weight]]-Table7[[#This Row],[Weight v Gym]]</f>
        <v>4.3322033898304824</v>
      </c>
      <c r="AP24" s="2">
        <f>Table7[[#This Row],[WG Res]]^2</f>
        <v>18.767986210858723</v>
      </c>
      <c r="AQ24">
        <f>Regression!$P$10+(Regression!$P$9*Table83[[#This Row],[Cardio]])</f>
        <v>256.41063829787231</v>
      </c>
      <c r="AR24" s="2">
        <f>Table83[[#This Row],[Weight]]-Table7[[#This Row],[Weight v Cardio]]</f>
        <v>3.3893617021277009</v>
      </c>
      <c r="AS24" s="2">
        <f>Table7[[#This Row],[WC Res]]^2</f>
        <v>11.487772747849986</v>
      </c>
      <c r="AT24">
        <f>Regression!$Q$10+(Regression!$Q$9*Table83[[#This Row],[Calories]])</f>
        <v>255.85687082827752</v>
      </c>
      <c r="AU24" s="2">
        <f>Table83[[#This Row],[Weight]]-Table7[[#This Row],[Weight v Calories]]</f>
        <v>3.9431291717224894</v>
      </c>
      <c r="AV24" s="2">
        <f>Table7[[#This Row],[WCAL Res]]^2</f>
        <v>15.548267664888886</v>
      </c>
      <c r="AW24">
        <f>Regression!$R$10+(Regression!$R$9*Table83[[#This Row],[Carbs]])</f>
        <v>255.9379194248902</v>
      </c>
      <c r="AX24" s="2">
        <f>Table83[[#This Row],[Weight]]-Table7[[#This Row],[Weight v Carbs]]</f>
        <v>3.8620805751098146</v>
      </c>
      <c r="AY24" s="2">
        <f>Table7[[#This Row],[Wcarb Res]]^2</f>
        <v>14.915666368640556</v>
      </c>
      <c r="AZ24">
        <f>Regression!$S$10+(Regression!$S$9*Table83[[#This Row],[Fat ]])</f>
        <v>255.5269753471631</v>
      </c>
      <c r="BA24" s="2">
        <f>Table83[[#This Row],[Weight]]-Table7[[#This Row],[Weight v Fat]]</f>
        <v>4.2730246528369094</v>
      </c>
      <c r="BB24" s="2">
        <f>Table7[[#This Row],[WF Res]]^2</f>
        <v>18.25873968375199</v>
      </c>
      <c r="BC24">
        <f>Regression!$T$10+(Regression!$T$9*Table83[[#This Row],[Protein]])</f>
        <v>256.00695365658197</v>
      </c>
      <c r="BD24" s="2">
        <f>Table83[[#This Row],[Weight]]-Table7[[#This Row],[Weight v Protein]]</f>
        <v>3.793046343418041</v>
      </c>
      <c r="BE24" s="2">
        <f>Table7[[#This Row],[WP Res]]^2</f>
        <v>14.387200563316972</v>
      </c>
      <c r="BF24">
        <f>Regression!$U$10+(Regression!$U$9*Table83[[#This Row],[Fiber]])</f>
        <v>254.9011754794478</v>
      </c>
      <c r="BG24" s="2">
        <f>Table83[[#This Row],[Weight]]-Table7[[#This Row],[Weight v Fiber]]</f>
        <v>4.8988245205522105</v>
      </c>
      <c r="BH24" s="2">
        <f>Table7[[#This Row],[Wfib Res]]^2</f>
        <v>23.998481683163597</v>
      </c>
      <c r="BI24">
        <f>Regression!$V$10+(Regression!$V$9*Table83[[#This Row],[Sugar]])</f>
        <v>256.52490617118286</v>
      </c>
      <c r="BJ24" s="2">
        <f>Table83[[#This Row],[Weight]]-Table7[[#This Row],[Weight v Sugar]]</f>
        <v>3.2750938288171483</v>
      </c>
      <c r="BK24" s="2">
        <f>Table7[[#This Row],[Wsugar Res]]^2</f>
        <v>10.726239587556169</v>
      </c>
      <c r="BL24">
        <f>Regression!$W$10+(Regression!$W$9*Table83[[#This Row],[Servings]])</f>
        <v>257.07348719111081</v>
      </c>
      <c r="BM24" s="2">
        <f>Table83[[#This Row],[Weight]]-Table7[[#This Row],[Weight v Servings]]</f>
        <v>2.726512808889197</v>
      </c>
      <c r="BN24" s="2">
        <f>Table7[[#This Row],[Wserv Res]]^2</f>
        <v>7.4338720970368586</v>
      </c>
      <c r="BO24">
        <f>Regression!$X$10+(Regression!$X$9*Table83[[#This Row],[Water]])</f>
        <v>255.27752992726238</v>
      </c>
      <c r="BP24" s="2">
        <f>Table83[[#This Row],[Weight]]-Table7[[#This Row],[Weight v Water]]</f>
        <v>4.522470072737633</v>
      </c>
      <c r="BQ24" s="2">
        <f>Table7[[#This Row],[Wwater Res]]^2</f>
        <v>20.452735558807532</v>
      </c>
      <c r="BR24">
        <f>Regression!$Y$10+(Regression!$Y$9*Table83[[#This Row],[Fat Calories]])</f>
        <v>255.54858096161831</v>
      </c>
      <c r="BS24" s="2">
        <f>Table83[[#This Row],[Weight]]-Table7[[#This Row],[Weight v Fat Calories]]</f>
        <v>4.2514190383816981</v>
      </c>
      <c r="BT24" s="2">
        <f>Table7[[#This Row],[WFC Res]]^2</f>
        <v>18.074563839914362</v>
      </c>
      <c r="BU24">
        <f>Regression!$B$29+(Regression!$B$28*Table83[[#This Row],[Weight]])</f>
        <v>45.091923655714567</v>
      </c>
      <c r="BV24" s="2">
        <f>Table83[[#This Row],[Waist]]-Table7[[#This Row],[Waist v Weight]]</f>
        <v>0.40807634428543338</v>
      </c>
      <c r="BW24" s="2">
        <f>Table7[[#This Row],[WaistW Res]]^2</f>
        <v>0.16652630276536357</v>
      </c>
      <c r="BX24">
        <f>Regression!$C$29+(Regression!$C$28*Table83[[#This Row],[Neck]])</f>
        <v>45.258648648648581</v>
      </c>
      <c r="BY24" s="2">
        <f>Table83[[#This Row],[Waist]]-Table7[[#This Row],[Waist v Neck]]</f>
        <v>0.24135135135141894</v>
      </c>
      <c r="BZ24" s="2">
        <f>Table7[[#This Row],[WaistN Res]]^2</f>
        <v>5.8250474799156071E-2</v>
      </c>
      <c r="CA24">
        <f>Regression!$D$29+(Regression!$D$28*Table83[[#This Row],[Morning Body Temp]])</f>
        <v>44.534185183460714</v>
      </c>
      <c r="CB24" s="2">
        <f>Table83[[#This Row],[Waist]]-Table7[[#This Row],[Waist v Morning Temp]]</f>
        <v>0.96581481653928591</v>
      </c>
      <c r="CC24" s="2">
        <f>Table7[[#This Row],[WaistMT Res]]^2</f>
        <v>0.93279825984681453</v>
      </c>
      <c r="CD24">
        <f>Regression!$E$29+(Regression!$E$28*Table83[[#This Row],[Morning Systolic Pressure]])</f>
        <v>44.396932701182067</v>
      </c>
      <c r="CE24" s="2">
        <f>Table83[[#This Row],[Waist]]-Table7[[#This Row],[Waist v Morning Sys]]</f>
        <v>1.1030672988179333</v>
      </c>
      <c r="CF24" s="2">
        <f>Table7[[#This Row],[WaistMS Res]]^2</f>
        <v>1.2167574657214917</v>
      </c>
      <c r="CG24">
        <f>Regression!$F$29+(Regression!$F$28*Table83[[#This Row],[Morning Diastolic Pressure]])</f>
        <v>44.452816668144258</v>
      </c>
      <c r="CH24" s="2">
        <f>Table83[[#This Row],[Waist]]-Table7[[#This Row],[Waist v Morning Dia]]</f>
        <v>1.0471833318557415</v>
      </c>
      <c r="CI24" s="2">
        <f>Table7[[#This Row],[WaistMD Res]]^2</f>
        <v>1.0965929305164921</v>
      </c>
      <c r="CJ24">
        <f>Regression!$G$29+(Regression!$G$28*Table83[[#This Row],[Morning Pulse]])</f>
        <v>44.455415702653426</v>
      </c>
      <c r="CK24" s="2">
        <f>Table83[[#This Row],[Waist]]-Table7[[#This Row],[Waist v Morning Pulse]]</f>
        <v>1.0445842973465744</v>
      </c>
      <c r="CL24" s="2">
        <f>Table7[[#This Row],[WaistMP Res]]^2</f>
        <v>1.0911563542630367</v>
      </c>
      <c r="CM24">
        <f>Regression!$H$29+(Regression!$H$28*Table83[[#This Row],[Night Body Temp]])</f>
        <v>44.481341649878722</v>
      </c>
      <c r="CN24" s="2">
        <f>Table83[[#This Row],[Waist]]-Table7[[#This Row],[Waist v Night Temp]]</f>
        <v>1.018658350121278</v>
      </c>
      <c r="CO24" s="2">
        <f>Table7[[#This Row],[WaistNT Res]]^2</f>
        <v>1.0376648342718042</v>
      </c>
      <c r="CP24">
        <f>Regression!$I$29+(Regression!$I$28*Table83[[#This Row],[Night Systolic Pressure]])</f>
        <v>44.48557954395644</v>
      </c>
      <c r="CQ24" s="2">
        <f>Table83[[#This Row],[Waist]]-Table7[[#This Row],[Waist v  Night Sys]]</f>
        <v>1.0144204560435597</v>
      </c>
      <c r="CR24" s="2">
        <f>Table7[[#This Row],[WaistNS Res]]^2</f>
        <v>1.0290488616396236</v>
      </c>
      <c r="CS24">
        <f>Regression!$J$29+(Regression!$J$28*Table83[[#This Row],[Night Diastolic Pressure]])</f>
        <v>44.495227901568619</v>
      </c>
      <c r="CT24" s="2">
        <f>Table83[[#This Row],[Waist]]-Table7[[#This Row],[Waist v Night Dia]]</f>
        <v>1.0047720984313813</v>
      </c>
      <c r="CU24" s="2">
        <f>Table7[[#This Row],[WaistND Res]]^2</f>
        <v>1.0095669697862013</v>
      </c>
      <c r="CV24">
        <f>Regression!$K$29+(Regression!$K$28*Table83[[#This Row],[Night Pulse]])</f>
        <v>44.453994879943338</v>
      </c>
      <c r="CW24" s="2">
        <f>Table83[[#This Row],[Waist]]-Table7[[#This Row],[Waist v Night Pulse]]</f>
        <v>1.0460051200566625</v>
      </c>
      <c r="CX24" s="2">
        <f>Table7[[#This Row],[WaistNP Res]]^2</f>
        <v>1.0941267111847528</v>
      </c>
      <c r="CY24">
        <f>Regression!$L$29+(Regression!$L$28*Table83[[#This Row],[Sleep]])</f>
        <v>44.541065046850498</v>
      </c>
      <c r="CZ24" s="2">
        <f>Table83[[#This Row],[Waist]]-Table7[[#This Row],[Waist v  Sleep]]</f>
        <v>0.95893495314950172</v>
      </c>
      <c r="DA24" s="2">
        <f>Table7[[#This Row],[WaistS Res]]^2</f>
        <v>0.91955624437183703</v>
      </c>
      <c r="DB24">
        <f>Regression!$M$29+(Regression!$M$28*Table83[[#This Row],[BMI]])</f>
        <v>45.091923655712534</v>
      </c>
      <c r="DC24" s="2">
        <f>Table83[[#This Row],[Waist]]-Table7[[#This Row],[Waist v BMI]]</f>
        <v>0.40807634428746553</v>
      </c>
      <c r="DD24" s="2">
        <f>Table7[[#This Row],[WaistBMI Res]]^2</f>
        <v>0.1665263027670221</v>
      </c>
      <c r="DE24">
        <f>Regression!$N$29+(Regression!$N$28*Table83[[#This Row],[CBF]])</f>
        <v>45.203183363709613</v>
      </c>
      <c r="DF24" s="2">
        <f>Table83[[#This Row],[Waist]]-Table7[[#This Row],[Waist v  CBF]]</f>
        <v>0.29681663629038724</v>
      </c>
      <c r="DG24" s="2">
        <f>Table7[[#This Row],[WaistCBF Res]]^2</f>
        <v>8.8100115578740021E-2</v>
      </c>
      <c r="DH24">
        <f>Regression!$O$29+(Regression!$O$28*Table83[[#This Row],[Gym]])</f>
        <v>44.550847457627107</v>
      </c>
      <c r="DI24" s="2">
        <f>Table83[[#This Row],[Waist]]-Table7[[#This Row],[Waist v  Gym]]</f>
        <v>0.94915254237289304</v>
      </c>
      <c r="DJ24" s="2">
        <f>Table7[[#This Row],[WaistGYM Res]]^2</f>
        <v>0.90089054869292651</v>
      </c>
      <c r="DK24">
        <f>Regression!$P$29+(Regression!$P$28*Table83[[#This Row],[Cardio]])</f>
        <v>44.680851063829778</v>
      </c>
      <c r="DL24" s="2">
        <f>Table83[[#This Row],[Waist]]-Table7[[#This Row],[Waist v Cardio]]</f>
        <v>0.81914893617022244</v>
      </c>
      <c r="DM24" s="2">
        <f>Table7[[#This Row],[WaistC Res]]^2</f>
        <v>0.67100497962880712</v>
      </c>
      <c r="DN24">
        <f>Regression!$Q$29+(Regression!$Q$28*Table83[[#This Row],[Calories]])</f>
        <v>44.620211802181423</v>
      </c>
      <c r="DO24" s="2">
        <f>Table83[[#This Row],[Waist]]-Table7[[#This Row],[Waist v Calories]]</f>
        <v>0.87978819781857709</v>
      </c>
      <c r="DP24" s="2">
        <f>Table7[[#This Row],[WaistCal Res]]^2</f>
        <v>0.77402727302085972</v>
      </c>
      <c r="DQ24">
        <f>Regression!$R$29+(Regression!$R$28*Table83[[#This Row],[Carbs]])</f>
        <v>44.624857395791729</v>
      </c>
      <c r="DR24" s="2">
        <f>Table83[[#This Row],[Waist]]-Table7[[#This Row],[Waist v Carbs]]</f>
        <v>0.87514260420827128</v>
      </c>
      <c r="DS24" s="2">
        <f>Table7[[#This Row],[WaistCarb Res]]^2</f>
        <v>0.76587457770043499</v>
      </c>
      <c r="DT24">
        <f>Regression!$S$29+(Regression!$S$28*Table83[[#This Row],[Fat ]])</f>
        <v>44.579458442509392</v>
      </c>
      <c r="DU24" s="2">
        <f>Table83[[#This Row],[Waist]]-Table7[[#This Row],[Waist v Fat]]</f>
        <v>0.9205415574906084</v>
      </c>
      <c r="DV24" s="2">
        <f>Table7[[#This Row],[WaistF Res]]^2</f>
        <v>0.84739675906723511</v>
      </c>
      <c r="DW24">
        <f>Regression!$T$29+(Regression!$T$28*Table83[[#This Row],[Protein]])</f>
        <v>44.616792376087943</v>
      </c>
      <c r="DX24" s="2">
        <f>Table83[[#This Row],[Waist]]-Table7[[#This Row],[Waist v Protein]]</f>
        <v>0.88320762391205676</v>
      </c>
      <c r="DY24" s="2">
        <f>Table7[[#This Row],[WaistP Res]]^2</f>
        <v>0.78005570693638104</v>
      </c>
      <c r="DZ24">
        <f>Regression!$U$29+(Regression!$U$28*Table83[[#This Row],[Fiber]])</f>
        <v>44.37101643023761</v>
      </c>
      <c r="EA24" s="2">
        <f>Table83[[#This Row],[Waist]]-Table7[[#This Row],[Waist v Fiber]]</f>
        <v>1.12898356976239</v>
      </c>
      <c r="EB24" s="2">
        <f>Table7[[#This Row],[WaistFib Res]]^2</f>
        <v>1.2746039007934293</v>
      </c>
      <c r="EC24">
        <f>Regression!$V$29+(Regression!$V$28*Table83[[#This Row],[Sugar]])</f>
        <v>44.706805793318779</v>
      </c>
      <c r="ED24" s="2">
        <f>Table83[[#This Row],[Waist]]-Table7[[#This Row],[Waist v Sugar]]</f>
        <v>0.7931942066812212</v>
      </c>
      <c r="EE24" s="2">
        <f>Table7[[#This Row],[WaistSugar Res]]^2</f>
        <v>0.62915704951265183</v>
      </c>
      <c r="EF24">
        <f>Regression!$W$29+(Regression!$W$28*Table83[[#This Row],[Servings]])</f>
        <v>44.752365588509591</v>
      </c>
      <c r="EG24" s="2">
        <f>Table83[[#This Row],[Waist]]-Table7[[#This Row],[Waist v Servings]]</f>
        <v>0.74763441149040943</v>
      </c>
      <c r="EH24" s="2">
        <f>Table7[[#This Row],[WaistServ Res]]^2</f>
        <v>0.5589572132446109</v>
      </c>
      <c r="EI24">
        <f>Regression!$X$29+(Regression!$X$28*Table83[[#This Row],[Water]])</f>
        <v>44.665617861897069</v>
      </c>
      <c r="EJ24" s="2">
        <f>Table83[[#This Row],[Waist]]-Table7[[#This Row],[Waist v Water]]</f>
        <v>0.83438213810293149</v>
      </c>
      <c r="EK24" s="2">
        <f>Table7[[#This Row],[WaistWat Res]]^2</f>
        <v>0.69619355238521941</v>
      </c>
      <c r="EL24">
        <f>Regression!$Y$29+(Regression!$Y$28*Table83[[#This Row],[Fat Calories]])</f>
        <v>44.58539080951671</v>
      </c>
      <c r="EM24" s="2">
        <f>Table83[[#This Row],[Waist]]-Table7[[#This Row],[Waist v Fat Calories]]</f>
        <v>0.91460919048329004</v>
      </c>
      <c r="EN24" s="2">
        <f>Table7[[#This Row],[WaistFatCal Res]]^2</f>
        <v>0.83650997131649907</v>
      </c>
    </row>
    <row r="25" spans="1:144" x14ac:dyDescent="0.25">
      <c r="A25">
        <f>Regression!$B$10+(Regression!$B$9*Table83[[#This Row],[Waist]])</f>
        <v>258.23421455025004</v>
      </c>
      <c r="B25" s="2">
        <f>Table83[[#This Row],[Weight]]-Table7[[#This Row],[Weight v Waist]]</f>
        <v>1.9657854497499443</v>
      </c>
      <c r="C25" s="2">
        <f>Table7[[#This Row],[Weight v Waist Res]]^2</f>
        <v>3.8643124344485908</v>
      </c>
      <c r="D25">
        <f>Regression!$C$10+(Regression!$C$9*Table83[[#This Row],[Neck]])</f>
        <v>260.39308108104251</v>
      </c>
      <c r="E25" s="2">
        <f>Table83[[#This Row],[Weight]]-Table7[[#This Row],[Weight v Neck]]</f>
        <v>-0.19308108104252142</v>
      </c>
      <c r="F25" s="2">
        <f>Table7[[#This Row],[WN Res]]^2</f>
        <v>3.7280303856548722E-2</v>
      </c>
      <c r="G25">
        <f>Regression!$D$10+(Regression!$D$9*Table83[[#This Row],[Morning Body Temp]])</f>
        <v>254.98916789486196</v>
      </c>
      <c r="H25" s="2">
        <f>Table83[[#This Row],[Weight]]-Table7[[#This Row],[Weight v Morning Temp]]</f>
        <v>5.2108321051380244</v>
      </c>
      <c r="I25" s="2">
        <f>Table7[[#This Row],[WMT Res]]^2</f>
        <v>27.152771227937176</v>
      </c>
      <c r="J25">
        <f>Regression!$E$10+(Regression!$E$9*Table83[[#This Row],[Morning Systolic Pressure]])</f>
        <v>254.91917781330181</v>
      </c>
      <c r="K25" s="2">
        <f>Table83[[#This Row],[Weight]]-Table7[[#This Row],[Weight v Morning Sys]]</f>
        <v>5.2808221866981739</v>
      </c>
      <c r="L25" s="2">
        <f>Table7[[#This Row],[WMS Res]]^2</f>
        <v>27.887082967523682</v>
      </c>
      <c r="M25">
        <f>Regression!$F$10+(Regression!$F$9*Table83[[#This Row],[Morning Diastolic Pressure]])</f>
        <v>255.00069564820177</v>
      </c>
      <c r="N25" s="2">
        <f>Table83[[#This Row],[Weight]]-Table7[[#This Row],[Weight v Morning Dia]]</f>
        <v>5.1993043517982187</v>
      </c>
      <c r="O25" s="2">
        <f>Table7[[#This Row],[WMD Res]]^2</f>
        <v>27.032765742627895</v>
      </c>
      <c r="P25">
        <f>Regression!$G$10+(Regression!$G$9*Table83[[#This Row],[Morning Pulse]])</f>
        <v>255.13923423499912</v>
      </c>
      <c r="Q25" s="2">
        <f>Table83[[#This Row],[Weight]]-Table7[[#This Row],[Weight v Morning Pulse]]</f>
        <v>5.0607657650008662</v>
      </c>
      <c r="R25" s="2">
        <f>Table7[[#This Row],[WMP Res]]^2</f>
        <v>25.611350128204801</v>
      </c>
      <c r="S25">
        <f>Regression!$H$10+(Regression!$H$9*Table83[[#This Row],[Night Body Temp]])</f>
        <v>253.51643126126316</v>
      </c>
      <c r="T25" s="2">
        <f>Table83[[#This Row],[Weight]]-Table7[[#This Row],[Weight v Night Temp]]</f>
        <v>6.6835687387368239</v>
      </c>
      <c r="U25" s="2">
        <f>Table7[[#This Row],[WNT Res]]^2</f>
        <v>44.67009108542014</v>
      </c>
      <c r="V25">
        <f>Regression!$I$10+(Regression!$I$9*Table83[[#This Row],[Night Systolic Pressure]])</f>
        <v>254.6227123889964</v>
      </c>
      <c r="W25" s="2">
        <f>Table83[[#This Row],[Weight]]-Table7[[#This Row],[Weight v Night Sys]]</f>
        <v>5.5772876110035838</v>
      </c>
      <c r="X25" s="2">
        <f>Table7[[#This Row],[WNS Res]]^2</f>
        <v>31.106137095854063</v>
      </c>
      <c r="Y25">
        <f>Regression!$J$10+(Regression!$J$9*Table83[[#This Row],[Night Diastolic Pressure]])</f>
        <v>255.09231637424611</v>
      </c>
      <c r="Z25" s="2">
        <f>Table83[[#This Row],[Weight]]-Table7[[#This Row],[Weight v Night Dia]]</f>
        <v>5.1076836257538787</v>
      </c>
      <c r="AA25" s="2">
        <f>Table7[[#This Row],[WND Res]]^2</f>
        <v>26.08843202079429</v>
      </c>
      <c r="AB25">
        <f>Regression!$K$10+(Regression!$K$9*Table83[[#This Row],[Night Pulse]])</f>
        <v>255.11015185874123</v>
      </c>
      <c r="AC25" s="2">
        <f>Table83[[#This Row],[Weight]]-Table7[[#This Row],[Weight v Night Pulse]]</f>
        <v>5.0898481412587557</v>
      </c>
      <c r="AD25" s="2">
        <f>Table7[[#This Row],[WNP Res ]]^2</f>
        <v>25.906554101075212</v>
      </c>
      <c r="AE25">
        <f>Regression!$L$10+(Regression!$L$9*Table83[[#This Row],[Sleep]])</f>
        <v>255.45250391075515</v>
      </c>
      <c r="AF25" s="2">
        <f>Table83[[#This Row],[Weight]]-Table7[[#This Row],[Weight v Sleep]]</f>
        <v>4.7474960892448337</v>
      </c>
      <c r="AG25" s="2">
        <f>Table7[[#This Row],[WS Res]]^2</f>
        <v>22.53871911739499</v>
      </c>
      <c r="AH25">
        <f>Regression!$M$10+(Regression!$M$9*Table83[[#This Row],[BMI]])</f>
        <v>260.19999999998868</v>
      </c>
      <c r="AI25" s="2">
        <f>Table83[[#This Row],[Weight]]-Table7[[#This Row],[Weight v BMI]]</f>
        <v>1.1311840353300795E-11</v>
      </c>
      <c r="AJ25" s="2">
        <f>Table7[[#This Row],[WBMI Res]]^2</f>
        <v>1.2795773217856425E-22</v>
      </c>
      <c r="AK25">
        <f>Regression!$N$10+(Regression!$N$9*Table83[[#This Row],[CBF]])</f>
        <v>256.25609762651322</v>
      </c>
      <c r="AL25" s="2">
        <f>Table83[[#This Row],[Weight]]-Table7[[#This Row],[Weight v CBF]]</f>
        <v>3.9439023734867646</v>
      </c>
      <c r="AM25" s="2">
        <f>Table7[[#This Row],[WCBF Res]]^2</f>
        <v>15.554365931594536</v>
      </c>
      <c r="AN25">
        <f>Regression!$O$10+(Regression!$O$9*Table83[[#This Row],[Gym]])</f>
        <v>255.46779661016953</v>
      </c>
      <c r="AO25" s="2">
        <f>Table83[[#This Row],[Weight]]-Table7[[#This Row],[Weight v Gym]]</f>
        <v>4.7322033898304596</v>
      </c>
      <c r="AP25" s="2">
        <f>Table7[[#This Row],[WG Res]]^2</f>
        <v>22.393748922722892</v>
      </c>
      <c r="AQ25">
        <f>Regression!$P$10+(Regression!$P$9*Table83[[#This Row],[Cardio]])</f>
        <v>256.41063829787231</v>
      </c>
      <c r="AR25" s="2">
        <f>Table83[[#This Row],[Weight]]-Table7[[#This Row],[Weight v Cardio]]</f>
        <v>3.7893617021276782</v>
      </c>
      <c r="AS25" s="2">
        <f>Table7[[#This Row],[WC Res]]^2</f>
        <v>14.359262109551974</v>
      </c>
      <c r="AT25">
        <f>Regression!$Q$10+(Regression!$Q$9*Table83[[#This Row],[Calories]])</f>
        <v>255.92625603991613</v>
      </c>
      <c r="AU25" s="2">
        <f>Table83[[#This Row],[Weight]]-Table7[[#This Row],[Weight v Calories]]</f>
        <v>4.2737439600838627</v>
      </c>
      <c r="AV25" s="2">
        <f>Table7[[#This Row],[WCAL Res]]^2</f>
        <v>18.264887436353298</v>
      </c>
      <c r="AW25">
        <f>Regression!$R$10+(Regression!$R$9*Table83[[#This Row],[Carbs]])</f>
        <v>255.9902071912845</v>
      </c>
      <c r="AX25" s="2">
        <f>Table83[[#This Row],[Weight]]-Table7[[#This Row],[Weight v Carbs]]</f>
        <v>4.2097928087154912</v>
      </c>
      <c r="AY25" s="2">
        <f>Table7[[#This Row],[Wcarb Res]]^2</f>
        <v>17.722355492312666</v>
      </c>
      <c r="AZ25">
        <f>Regression!$S$10+(Regression!$S$9*Table83[[#This Row],[Fat ]])</f>
        <v>255.56982112749824</v>
      </c>
      <c r="BA25" s="2">
        <f>Table83[[#This Row],[Weight]]-Table7[[#This Row],[Weight v Fat]]</f>
        <v>4.6301788725017445</v>
      </c>
      <c r="BB25" s="2">
        <f>Table7[[#This Row],[WF Res]]^2</f>
        <v>21.438556391361526</v>
      </c>
      <c r="BC25">
        <f>Regression!$T$10+(Regression!$T$9*Table83[[#This Row],[Protein]])</f>
        <v>255.81772157319494</v>
      </c>
      <c r="BD25" s="2">
        <f>Table83[[#This Row],[Weight]]-Table7[[#This Row],[Weight v Protein]]</f>
        <v>4.3822784268050441</v>
      </c>
      <c r="BE25" s="2">
        <f>Table7[[#This Row],[WP Res]]^2</f>
        <v>19.204364210040893</v>
      </c>
      <c r="BF25">
        <f>Regression!$U$10+(Regression!$U$9*Table83[[#This Row],[Fiber]])</f>
        <v>255.22226496438751</v>
      </c>
      <c r="BG25" s="2">
        <f>Table83[[#This Row],[Weight]]-Table7[[#This Row],[Weight v Fiber]]</f>
        <v>4.9777350356124828</v>
      </c>
      <c r="BH25" s="2">
        <f>Table7[[#This Row],[Wfib Res]]^2</f>
        <v>24.777846084764004</v>
      </c>
      <c r="BI25">
        <f>Regression!$V$10+(Regression!$V$9*Table83[[#This Row],[Sugar]])</f>
        <v>256.69255306436037</v>
      </c>
      <c r="BJ25" s="2">
        <f>Table83[[#This Row],[Weight]]-Table7[[#This Row],[Weight v Sugar]]</f>
        <v>3.5074469356396207</v>
      </c>
      <c r="BK25" s="2">
        <f>Table7[[#This Row],[Wsugar Res]]^2</f>
        <v>12.302184006327765</v>
      </c>
      <c r="BL25">
        <f>Regression!$W$10+(Regression!$W$9*Table83[[#This Row],[Servings]])</f>
        <v>256.63390101846011</v>
      </c>
      <c r="BM25" s="2">
        <f>Table83[[#This Row],[Weight]]-Table7[[#This Row],[Weight v Servings]]</f>
        <v>3.5660989815398807</v>
      </c>
      <c r="BN25" s="2">
        <f>Table7[[#This Row],[Wserv Res]]^2</f>
        <v>12.717061946139774</v>
      </c>
      <c r="BO25">
        <f>Regression!$X$10+(Regression!$X$9*Table83[[#This Row],[Water]])</f>
        <v>255.19189796045953</v>
      </c>
      <c r="BP25" s="2">
        <f>Table83[[#This Row],[Weight]]-Table7[[#This Row],[Weight v Water]]</f>
        <v>5.0081020395404607</v>
      </c>
      <c r="BQ25" s="2">
        <f>Table7[[#This Row],[Wwater Res]]^2</f>
        <v>25.081086038449321</v>
      </c>
      <c r="BR25">
        <f>Regression!$Y$10+(Regression!$Y$9*Table83[[#This Row],[Fat Calories]])</f>
        <v>255.59417965055053</v>
      </c>
      <c r="BS25" s="2">
        <f>Table83[[#This Row],[Weight]]-Table7[[#This Row],[Weight v Fat Calories]]</f>
        <v>4.6058203494494592</v>
      </c>
      <c r="BT25" s="2">
        <f>Table7[[#This Row],[WFC Res]]^2</f>
        <v>21.213581091402737</v>
      </c>
      <c r="BU25">
        <f>Regression!$B$29+(Regression!$B$28*Table83[[#This Row],[Weight]])</f>
        <v>45.146428659942551</v>
      </c>
      <c r="BV25" s="2">
        <f>Table83[[#This Row],[Waist]]-Table7[[#This Row],[Waist v Weight]]</f>
        <v>-0.14642865994255061</v>
      </c>
      <c r="BW25" s="2">
        <f>Table7[[#This Row],[WaistW Res]]^2</f>
        <v>2.1441352452571127E-2</v>
      </c>
      <c r="BX25">
        <f>Regression!$C$29+(Regression!$C$28*Table83[[#This Row],[Neck]])</f>
        <v>45.258648648648581</v>
      </c>
      <c r="BY25" s="2">
        <f>Table83[[#This Row],[Waist]]-Table7[[#This Row],[Waist v Neck]]</f>
        <v>-0.25864864864858106</v>
      </c>
      <c r="BZ25" s="2">
        <f>Table7[[#This Row],[WaistN Res]]^2</f>
        <v>6.689912344773713E-2</v>
      </c>
      <c r="CA25">
        <f>Regression!$D$29+(Regression!$D$28*Table83[[#This Row],[Morning Body Temp]])</f>
        <v>44.419304304405451</v>
      </c>
      <c r="CB25" s="2">
        <f>Table83[[#This Row],[Waist]]-Table7[[#This Row],[Waist v Morning Temp]]</f>
        <v>0.58069569559454948</v>
      </c>
      <c r="CC25" s="2">
        <f>Table7[[#This Row],[WaistMT Res]]^2</f>
        <v>0.33720749088203766</v>
      </c>
      <c r="CD25">
        <f>Regression!$E$29+(Regression!$E$28*Table83[[#This Row],[Morning Systolic Pressure]])</f>
        <v>44.407523106424492</v>
      </c>
      <c r="CE25" s="2">
        <f>Table83[[#This Row],[Waist]]-Table7[[#This Row],[Waist v Morning Sys]]</f>
        <v>0.59247689357550826</v>
      </c>
      <c r="CF25" s="2">
        <f>Table7[[#This Row],[WaistMS Res]]^2</f>
        <v>0.35102886942088413</v>
      </c>
      <c r="CG25">
        <f>Regression!$F$29+(Regression!$F$28*Table83[[#This Row],[Morning Diastolic Pressure]])</f>
        <v>44.447181047475404</v>
      </c>
      <c r="CH25" s="2">
        <f>Table83[[#This Row],[Waist]]-Table7[[#This Row],[Waist v Morning Dia]]</f>
        <v>0.55281895252459634</v>
      </c>
      <c r="CI25" s="2">
        <f>Table7[[#This Row],[WaistMD Res]]^2</f>
        <v>0.30560879427039189</v>
      </c>
      <c r="CJ25">
        <f>Regression!$G$29+(Regression!$G$28*Table83[[#This Row],[Morning Pulse]])</f>
        <v>44.464650230963173</v>
      </c>
      <c r="CK25" s="2">
        <f>Table83[[#This Row],[Waist]]-Table7[[#This Row],[Waist v Morning Pulse]]</f>
        <v>0.53534976903682718</v>
      </c>
      <c r="CL25" s="2">
        <f>Table7[[#This Row],[WaistMP Res]]^2</f>
        <v>0.28659937520778422</v>
      </c>
      <c r="CM25">
        <f>Regression!$H$29+(Regression!$H$28*Table83[[#This Row],[Night Body Temp]])</f>
        <v>44.32750009758589</v>
      </c>
      <c r="CN25" s="2">
        <f>Table83[[#This Row],[Waist]]-Table7[[#This Row],[Waist v Night Temp]]</f>
        <v>0.67249990241410984</v>
      </c>
      <c r="CO25" s="2">
        <f>Table7[[#This Row],[WaistNT Res]]^2</f>
        <v>0.45225611874698723</v>
      </c>
      <c r="CP25">
        <f>Regression!$I$29+(Regression!$I$28*Table83[[#This Row],[Night Systolic Pressure]])</f>
        <v>44.383798743677147</v>
      </c>
      <c r="CQ25" s="2">
        <f>Table83[[#This Row],[Waist]]-Table7[[#This Row],[Waist v  Night Sys]]</f>
        <v>0.61620125632285294</v>
      </c>
      <c r="CR25" s="2">
        <f>Table7[[#This Row],[WaistNS Res]]^2</f>
        <v>0.37970398829386232</v>
      </c>
      <c r="CS25">
        <f>Regression!$J$29+(Regression!$J$28*Table83[[#This Row],[Night Diastolic Pressure]])</f>
        <v>44.444024065946287</v>
      </c>
      <c r="CT25" s="2">
        <f>Table83[[#This Row],[Waist]]-Table7[[#This Row],[Waist v Night Dia]]</f>
        <v>0.55597593405371271</v>
      </c>
      <c r="CU25" s="2">
        <f>Table7[[#This Row],[WaistND Res]]^2</f>
        <v>0.30910923924689832</v>
      </c>
      <c r="CV25">
        <f>Regression!$K$29+(Regression!$K$28*Table83[[#This Row],[Night Pulse]])</f>
        <v>44.453994879943338</v>
      </c>
      <c r="CW25" s="2">
        <f>Table83[[#This Row],[Waist]]-Table7[[#This Row],[Waist v Night Pulse]]</f>
        <v>0.54600512005666246</v>
      </c>
      <c r="CX25" s="2">
        <f>Table7[[#This Row],[WaistNP Res]]^2</f>
        <v>0.29812159112809039</v>
      </c>
      <c r="CY25">
        <f>Regression!$L$29+(Regression!$L$28*Table83[[#This Row],[Sleep]])</f>
        <v>44.504990820853756</v>
      </c>
      <c r="CZ25" s="2">
        <f>Table83[[#This Row],[Waist]]-Table7[[#This Row],[Waist v  Sleep]]</f>
        <v>0.49500917914624409</v>
      </c>
      <c r="DA25" s="2">
        <f>Table7[[#This Row],[WaistS Res]]^2</f>
        <v>0.24503408743903837</v>
      </c>
      <c r="DB25">
        <f>Regression!$M$29+(Regression!$M$28*Table83[[#This Row],[BMI]])</f>
        <v>45.146428659940355</v>
      </c>
      <c r="DC25" s="2">
        <f>Table83[[#This Row],[Waist]]-Table7[[#This Row],[Waist v BMI]]</f>
        <v>-0.14642865994035503</v>
      </c>
      <c r="DD25" s="2">
        <f>Table7[[#This Row],[WaistBMI Res]]^2</f>
        <v>2.1441352451928134E-2</v>
      </c>
      <c r="DE25">
        <f>Regression!$N$29+(Regression!$N$28*Table83[[#This Row],[CBF]])</f>
        <v>44.659010290127611</v>
      </c>
      <c r="DF25" s="2">
        <f>Table83[[#This Row],[Waist]]-Table7[[#This Row],[Waist v  CBF]]</f>
        <v>0.34098970987238886</v>
      </c>
      <c r="DG25" s="2">
        <f>Table7[[#This Row],[WaistCBF Res]]^2</f>
        <v>0.11627398223885593</v>
      </c>
      <c r="DH25">
        <f>Regression!$O$29+(Regression!$O$28*Table83[[#This Row],[Gym]])</f>
        <v>44.550847457627107</v>
      </c>
      <c r="DI25" s="2">
        <f>Table83[[#This Row],[Waist]]-Table7[[#This Row],[Waist v  Gym]]</f>
        <v>0.44915254237289304</v>
      </c>
      <c r="DJ25" s="2">
        <f>Table7[[#This Row],[WaistGYM Res]]^2</f>
        <v>0.20173800632003347</v>
      </c>
      <c r="DK25">
        <f>Regression!$P$29+(Regression!$P$28*Table83[[#This Row],[Cardio]])</f>
        <v>44.680851063829778</v>
      </c>
      <c r="DL25" s="2">
        <f>Table83[[#This Row],[Waist]]-Table7[[#This Row],[Waist v Cardio]]</f>
        <v>0.31914893617022244</v>
      </c>
      <c r="DM25" s="2">
        <f>Table7[[#This Row],[WaistC Res]]^2</f>
        <v>0.10185604345858472</v>
      </c>
      <c r="DN25">
        <f>Regression!$Q$29+(Regression!$Q$28*Table83[[#This Row],[Calories]])</f>
        <v>44.635801120296009</v>
      </c>
      <c r="DO25" s="2">
        <f>Table83[[#This Row],[Waist]]-Table7[[#This Row],[Waist v Calories]]</f>
        <v>0.36419887970399145</v>
      </c>
      <c r="DP25" s="2">
        <f>Table7[[#This Row],[WaistCal Res]]^2</f>
        <v>0.13264082397764243</v>
      </c>
      <c r="DQ25">
        <f>Regression!$R$29+(Regression!$R$28*Table83[[#This Row],[Carbs]])</f>
        <v>44.635743388557309</v>
      </c>
      <c r="DR25" s="2">
        <f>Table83[[#This Row],[Waist]]-Table7[[#This Row],[Waist v Carbs]]</f>
        <v>0.36425661144269128</v>
      </c>
      <c r="DS25" s="2">
        <f>Table7[[#This Row],[WaistCarb Res]]^2</f>
        <v>0.13268287897971176</v>
      </c>
      <c r="DT25">
        <f>Regression!$S$29+(Regression!$S$28*Table83[[#This Row],[Fat ]])</f>
        <v>44.592555490825006</v>
      </c>
      <c r="DU25" s="2">
        <f>Table83[[#This Row],[Waist]]-Table7[[#This Row],[Waist v Fat]]</f>
        <v>0.40744450917499364</v>
      </c>
      <c r="DV25" s="2">
        <f>Table7[[#This Row],[WaistF Res]]^2</f>
        <v>0.16601102805685147</v>
      </c>
      <c r="DW25">
        <f>Regression!$T$29+(Regression!$T$28*Table83[[#This Row],[Protein]])</f>
        <v>44.582155875527675</v>
      </c>
      <c r="DX25" s="2">
        <f>Table83[[#This Row],[Waist]]-Table7[[#This Row],[Waist v Protein]]</f>
        <v>0.41784412447232455</v>
      </c>
      <c r="DY25" s="2">
        <f>Table7[[#This Row],[WaistP Res]]^2</f>
        <v>0.17459371235604346</v>
      </c>
      <c r="DZ25">
        <f>Regression!$U$29+(Regression!$U$28*Table83[[#This Row],[Fiber]])</f>
        <v>44.494912003612157</v>
      </c>
      <c r="EA25" s="2">
        <f>Table83[[#This Row],[Waist]]-Table7[[#This Row],[Waist v Fiber]]</f>
        <v>0.50508799638784296</v>
      </c>
      <c r="EB25" s="2">
        <f>Table7[[#This Row],[WaistFib Res]]^2</f>
        <v>0.25511388409508567</v>
      </c>
      <c r="EC25">
        <f>Regression!$V$29+(Regression!$V$28*Table83[[#This Row],[Sugar]])</f>
        <v>44.73692168790781</v>
      </c>
      <c r="ED25" s="2">
        <f>Table83[[#This Row],[Waist]]-Table7[[#This Row],[Waist v Sugar]]</f>
        <v>0.26307831209219046</v>
      </c>
      <c r="EE25" s="2">
        <f>Table7[[#This Row],[WaistSugar Res]]^2</f>
        <v>6.921019829327596E-2</v>
      </c>
      <c r="EF25">
        <f>Regression!$W$29+(Regression!$W$28*Table83[[#This Row],[Servings]])</f>
        <v>44.685292062066686</v>
      </c>
      <c r="EG25" s="2">
        <f>Table83[[#This Row],[Waist]]-Table7[[#This Row],[Waist v Servings]]</f>
        <v>0.31470793793331353</v>
      </c>
      <c r="EH25" s="2">
        <f>Table7[[#This Row],[WaistServ Res]]^2</f>
        <v>9.9041086198238315E-2</v>
      </c>
      <c r="EI25">
        <f>Regression!$X$29+(Regression!$X$28*Table83[[#This Row],[Water]])</f>
        <v>44.553850107074496</v>
      </c>
      <c r="EJ25" s="2">
        <f>Table83[[#This Row],[Waist]]-Table7[[#This Row],[Waist v Water]]</f>
        <v>0.44614989292550433</v>
      </c>
      <c r="EK25" s="2">
        <f>Table7[[#This Row],[WaistWat Res]]^2</f>
        <v>0.19904972695743897</v>
      </c>
      <c r="EL25">
        <f>Regression!$Y$29+(Regression!$Y$28*Table83[[#This Row],[Fat Calories]])</f>
        <v>44.599258682588072</v>
      </c>
      <c r="EM25" s="2">
        <f>Table83[[#This Row],[Waist]]-Table7[[#This Row],[Waist v Fat Calories]]</f>
        <v>0.40074131741192787</v>
      </c>
      <c r="EN25" s="2">
        <f>Table7[[#This Row],[WaistFatCal Res]]^2</f>
        <v>0.16059360348104751</v>
      </c>
    </row>
    <row r="26" spans="1:144" x14ac:dyDescent="0.25">
      <c r="A26">
        <f>Regression!$B$10+(Regression!$B$9*Table83[[#This Row],[Waist]])</f>
        <v>261.08819223590376</v>
      </c>
      <c r="B26" s="2">
        <f>Table83[[#This Row],[Weight]]-Table7[[#This Row],[Weight v Waist]]</f>
        <v>-2.0881922359037617</v>
      </c>
      <c r="C26" s="2">
        <f>Table7[[#This Row],[Weight v Waist Res]]^2</f>
        <v>4.3605468140887513</v>
      </c>
      <c r="D26">
        <f>Regression!$C$10+(Regression!$C$9*Table83[[#This Row],[Neck]])</f>
        <v>260.39308108104251</v>
      </c>
      <c r="E26" s="2">
        <f>Table83[[#This Row],[Weight]]-Table7[[#This Row],[Weight v Neck]]</f>
        <v>-1.39308108104251</v>
      </c>
      <c r="F26" s="2">
        <f>Table7[[#This Row],[WN Res]]^2</f>
        <v>1.9406748983585684</v>
      </c>
      <c r="G26">
        <f>Regression!$D$10+(Regression!$D$9*Table83[[#This Row],[Morning Body Temp]])</f>
        <v>254.49637801530542</v>
      </c>
      <c r="H26" s="2">
        <f>Table83[[#This Row],[Weight]]-Table7[[#This Row],[Weight v Morning Temp]]</f>
        <v>4.5036219846945755</v>
      </c>
      <c r="I26" s="2">
        <f>Table7[[#This Row],[WMT Res]]^2</f>
        <v>20.282610981024309</v>
      </c>
      <c r="J26">
        <f>Regression!$E$10+(Regression!$E$9*Table83[[#This Row],[Morning Systolic Pressure]])</f>
        <v>255.95595350215962</v>
      </c>
      <c r="K26" s="2">
        <f>Table83[[#This Row],[Weight]]-Table7[[#This Row],[Weight v Morning Sys]]</f>
        <v>3.0440464978403838</v>
      </c>
      <c r="L26" s="2">
        <f>Table7[[#This Row],[WMS Res]]^2</f>
        <v>9.2662190810143059</v>
      </c>
      <c r="M26">
        <f>Regression!$F$10+(Regression!$F$9*Table83[[#This Row],[Morning Diastolic Pressure]])</f>
        <v>254.79800715011203</v>
      </c>
      <c r="N26" s="2">
        <f>Table83[[#This Row],[Weight]]-Table7[[#This Row],[Weight v Morning Dia]]</f>
        <v>4.2019928498879722</v>
      </c>
      <c r="O26" s="2">
        <f>Table7[[#This Row],[WMD Res]]^2</f>
        <v>17.656743910509643</v>
      </c>
      <c r="P26">
        <f>Regression!$G$10+(Regression!$G$9*Table83[[#This Row],[Morning Pulse]])</f>
        <v>255.13740643924194</v>
      </c>
      <c r="Q26" s="2">
        <f>Table83[[#This Row],[Weight]]-Table7[[#This Row],[Weight v Morning Pulse]]</f>
        <v>3.8625935607580573</v>
      </c>
      <c r="R26" s="2">
        <f>Table7[[#This Row],[WMP Res]]^2</f>
        <v>14.919629015609608</v>
      </c>
      <c r="S26">
        <f>Regression!$H$10+(Regression!$H$9*Table83[[#This Row],[Night Body Temp]])</f>
        <v>254.13261068415329</v>
      </c>
      <c r="T26" s="2">
        <f>Table83[[#This Row],[Weight]]-Table7[[#This Row],[Weight v Night Temp]]</f>
        <v>4.8673893158467081</v>
      </c>
      <c r="U26" s="2">
        <f>Table7[[#This Row],[WNT Res]]^2</f>
        <v>23.691478752018686</v>
      </c>
      <c r="V26">
        <f>Regression!$I$10+(Regression!$I$9*Table83[[#This Row],[Night Systolic Pressure]])</f>
        <v>255.75180556330957</v>
      </c>
      <c r="W26" s="2">
        <f>Table83[[#This Row],[Weight]]-Table7[[#This Row],[Weight v Night Sys]]</f>
        <v>3.2481944366904258</v>
      </c>
      <c r="X26" s="2">
        <f>Table7[[#This Row],[WNS Res]]^2</f>
        <v>10.550767098546633</v>
      </c>
      <c r="Y26">
        <f>Regression!$J$10+(Regression!$J$9*Table83[[#This Row],[Night Diastolic Pressure]])</f>
        <v>255.29614571632661</v>
      </c>
      <c r="Z26" s="2">
        <f>Table83[[#This Row],[Weight]]-Table7[[#This Row],[Weight v Night Dia]]</f>
        <v>3.7038542836733939</v>
      </c>
      <c r="AA26" s="2">
        <f>Table7[[#This Row],[WND Res]]^2</f>
        <v>13.71853655468575</v>
      </c>
      <c r="AB26">
        <f>Regression!$K$10+(Regression!$K$9*Table83[[#This Row],[Night Pulse]])</f>
        <v>254.98729853379433</v>
      </c>
      <c r="AC26" s="2">
        <f>Table83[[#This Row],[Weight]]-Table7[[#This Row],[Weight v Night Pulse]]</f>
        <v>4.0127014662056695</v>
      </c>
      <c r="AD26" s="2">
        <f>Table7[[#This Row],[WNP Res ]]^2</f>
        <v>16.10177305688913</v>
      </c>
      <c r="AE26">
        <f>Regression!$L$10+(Regression!$L$9*Table83[[#This Row],[Sleep]])</f>
        <v>254.66381845232058</v>
      </c>
      <c r="AF26" s="2">
        <f>Table83[[#This Row],[Weight]]-Table7[[#This Row],[Weight v Sleep]]</f>
        <v>4.3361815476794163</v>
      </c>
      <c r="AG26" s="2">
        <f>Table7[[#This Row],[WS Res]]^2</f>
        <v>18.802470414435458</v>
      </c>
      <c r="AH26">
        <f>Regression!$M$10+(Regression!$M$9*Table83[[#This Row],[BMI]])</f>
        <v>258.99999999999136</v>
      </c>
      <c r="AI26" s="2">
        <f>Table83[[#This Row],[Weight]]-Table7[[#This Row],[Weight v BMI]]</f>
        <v>8.6401996668428183E-12</v>
      </c>
      <c r="AJ26" s="2">
        <f>Table7[[#This Row],[WBMI Res]]^2</f>
        <v>7.4653050282910748E-23</v>
      </c>
      <c r="AK26">
        <f>Regression!$N$10+(Regression!$N$9*Table83[[#This Row],[CBF]])</f>
        <v>259.27809165285294</v>
      </c>
      <c r="AL26" s="2">
        <f>Table83[[#This Row],[Weight]]-Table7[[#This Row],[Weight v CBF]]</f>
        <v>-0.27809165285293602</v>
      </c>
      <c r="AM26" s="2">
        <f>Table7[[#This Row],[WCBF Res]]^2</f>
        <v>7.7334967386477882E-2</v>
      </c>
      <c r="AN26">
        <f>Regression!$O$10+(Regression!$O$9*Table83[[#This Row],[Gym]])</f>
        <v>254.72962962962998</v>
      </c>
      <c r="AO26" s="2">
        <f>Table83[[#This Row],[Weight]]-Table7[[#This Row],[Weight v Gym]]</f>
        <v>4.2703703703700171</v>
      </c>
      <c r="AP26" s="2">
        <f>Table7[[#This Row],[WG Res]]^2</f>
        <v>18.236063100134157</v>
      </c>
      <c r="AQ26">
        <f>Regression!$P$10+(Regression!$P$9*Table83[[#This Row],[Cardio]])</f>
        <v>256.41063829787231</v>
      </c>
      <c r="AR26" s="2">
        <f>Table83[[#This Row],[Weight]]-Table7[[#This Row],[Weight v Cardio]]</f>
        <v>2.5893617021276896</v>
      </c>
      <c r="AS26" s="2">
        <f>Table7[[#This Row],[WC Res]]^2</f>
        <v>6.7047940244456061</v>
      </c>
      <c r="AT26">
        <f>Regression!$Q$10+(Regression!$Q$9*Table83[[#This Row],[Calories]])</f>
        <v>255.78929514082253</v>
      </c>
      <c r="AU26" s="2">
        <f>Table83[[#This Row],[Weight]]-Table7[[#This Row],[Weight v Calories]]</f>
        <v>3.2107048591774685</v>
      </c>
      <c r="AV26" s="2">
        <f>Table7[[#This Row],[WCAL Res]]^2</f>
        <v>10.308625692745808</v>
      </c>
      <c r="AW26">
        <f>Regression!$R$10+(Regression!$R$9*Table83[[#This Row],[Carbs]])</f>
        <v>255.95340948991301</v>
      </c>
      <c r="AX26" s="2">
        <f>Table83[[#This Row],[Weight]]-Table7[[#This Row],[Weight v Carbs]]</f>
        <v>3.0465905100869861</v>
      </c>
      <c r="AY26" s="2">
        <f>Table7[[#This Row],[Wcarb Res]]^2</f>
        <v>9.2817137361520814</v>
      </c>
      <c r="AZ26">
        <f>Regression!$S$10+(Regression!$S$9*Table83[[#This Row],[Fat ]])</f>
        <v>255.41241889808387</v>
      </c>
      <c r="BA26" s="2">
        <f>Table83[[#This Row],[Weight]]-Table7[[#This Row],[Weight v Fat]]</f>
        <v>3.587581101916129</v>
      </c>
      <c r="BB26" s="2">
        <f>Table7[[#This Row],[WF Res]]^2</f>
        <v>12.870738162825747</v>
      </c>
      <c r="BC26">
        <f>Regression!$T$10+(Regression!$T$9*Table83[[#This Row],[Protein]])</f>
        <v>255.57617360742859</v>
      </c>
      <c r="BD26" s="2">
        <f>Table83[[#This Row],[Weight]]-Table7[[#This Row],[Weight v Protein]]</f>
        <v>3.4238263925714136</v>
      </c>
      <c r="BE26" s="2">
        <f>Table7[[#This Row],[WP Res]]^2</f>
        <v>11.72258716646858</v>
      </c>
      <c r="BF26">
        <f>Regression!$U$10+(Regression!$U$9*Table83[[#This Row],[Fiber]])</f>
        <v>255.23969195047079</v>
      </c>
      <c r="BG26" s="2">
        <f>Table83[[#This Row],[Weight]]-Table7[[#This Row],[Weight v Fiber]]</f>
        <v>3.7603080495292147</v>
      </c>
      <c r="BH26" s="2">
        <f>Table7[[#This Row],[Wfib Res]]^2</f>
        <v>14.139916627354207</v>
      </c>
      <c r="BI26">
        <f>Regression!$V$10+(Regression!$V$9*Table83[[#This Row],[Sugar]])</f>
        <v>256.67508178272942</v>
      </c>
      <c r="BJ26" s="2">
        <f>Table83[[#This Row],[Weight]]-Table7[[#This Row],[Weight v Sugar]]</f>
        <v>2.3249182172705787</v>
      </c>
      <c r="BK26" s="2">
        <f>Table7[[#This Row],[Wsugar Res]]^2</f>
        <v>5.4052447169966058</v>
      </c>
      <c r="BL26">
        <f>Regression!$W$10+(Regression!$W$9*Table83[[#This Row],[Servings]])</f>
        <v>256.50584765512275</v>
      </c>
      <c r="BM26" s="2">
        <f>Table83[[#This Row],[Weight]]-Table7[[#This Row],[Weight v Servings]]</f>
        <v>2.49415234487725</v>
      </c>
      <c r="BN26" s="2">
        <f>Table7[[#This Row],[Wserv Res]]^2</f>
        <v>6.2207959194566849</v>
      </c>
      <c r="BO26">
        <f>Regression!$X$10+(Regression!$X$9*Table83[[#This Row],[Water]])</f>
        <v>255.1490819770581</v>
      </c>
      <c r="BP26" s="2">
        <f>Table83[[#This Row],[Weight]]-Table7[[#This Row],[Weight v Water]]</f>
        <v>3.8509180229418973</v>
      </c>
      <c r="BQ26" s="2">
        <f>Table7[[#This Row],[Wwater Res]]^2</f>
        <v>14.829569619418731</v>
      </c>
      <c r="BR26">
        <f>Regression!$Y$10+(Regression!$Y$9*Table83[[#This Row],[Fat Calories]])</f>
        <v>255.42666408098538</v>
      </c>
      <c r="BS26" s="2">
        <f>Table83[[#This Row],[Weight]]-Table7[[#This Row],[Weight v Fat Calories]]</f>
        <v>3.5733359190146246</v>
      </c>
      <c r="BT26" s="2">
        <f>Table7[[#This Row],[WFC Res]]^2</f>
        <v>12.768729590120092</v>
      </c>
      <c r="BU26">
        <f>Regression!$B$29+(Regression!$B$28*Table83[[#This Row],[Weight]])</f>
        <v>44.982913647258577</v>
      </c>
      <c r="BV26" s="2">
        <f>Table83[[#This Row],[Waist]]-Table7[[#This Row],[Waist v Weight]]</f>
        <v>0.51708635274142267</v>
      </c>
      <c r="BW26" s="2">
        <f>Table7[[#This Row],[WaistW Res]]^2</f>
        <v>0.267378296191427</v>
      </c>
      <c r="BX26">
        <f>Regression!$C$29+(Regression!$C$28*Table83[[#This Row],[Neck]])</f>
        <v>45.258648648648581</v>
      </c>
      <c r="BY26" s="2">
        <f>Table83[[#This Row],[Waist]]-Table7[[#This Row],[Waist v Neck]]</f>
        <v>0.24135135135141894</v>
      </c>
      <c r="BZ26" s="2">
        <f>Table7[[#This Row],[WaistN Res]]^2</f>
        <v>5.8250474799156071E-2</v>
      </c>
      <c r="CA26">
        <f>Regression!$D$29+(Regression!$D$28*Table83[[#This Row],[Morning Body Temp]])</f>
        <v>44.2852766121743</v>
      </c>
      <c r="CB26" s="2">
        <f>Table83[[#This Row],[Waist]]-Table7[[#This Row],[Waist v Morning Temp]]</f>
        <v>1.2147233878256998</v>
      </c>
      <c r="CC26" s="2">
        <f>Table7[[#This Row],[WaistMT Res]]^2</f>
        <v>1.4755529089307455</v>
      </c>
      <c r="CD26">
        <f>Regression!$E$29+(Regression!$E$28*Table83[[#This Row],[Morning Systolic Pressure]])</f>
        <v>44.651102427000318</v>
      </c>
      <c r="CE26" s="2">
        <f>Table83[[#This Row],[Waist]]-Table7[[#This Row],[Waist v Morning Sys]]</f>
        <v>0.84889757299968238</v>
      </c>
      <c r="CF26" s="2">
        <f>Table7[[#This Row],[WaistMS Res]]^2</f>
        <v>0.72062708944475107</v>
      </c>
      <c r="CG26">
        <f>Regression!$F$29+(Regression!$F$28*Table83[[#This Row],[Morning Diastolic Pressure]])</f>
        <v>44.435909806137701</v>
      </c>
      <c r="CH26" s="2">
        <f>Table83[[#This Row],[Waist]]-Table7[[#This Row],[Waist v Morning Dia]]</f>
        <v>1.0640901938622989</v>
      </c>
      <c r="CI26" s="2">
        <f>Table7[[#This Row],[WaistMD Res]]^2</f>
        <v>1.1322879406739048</v>
      </c>
      <c r="CJ26">
        <f>Regression!$G$29+(Regression!$G$28*Table83[[#This Row],[Morning Pulse]])</f>
        <v>44.463810728389561</v>
      </c>
      <c r="CK26" s="2">
        <f>Table83[[#This Row],[Waist]]-Table7[[#This Row],[Waist v Morning Pulse]]</f>
        <v>1.0361892716104393</v>
      </c>
      <c r="CL26" s="2">
        <f>Table7[[#This Row],[WaistMP Res]]^2</f>
        <v>1.0736882066005726</v>
      </c>
      <c r="CM26">
        <f>Regression!$H$29+(Regression!$H$28*Table83[[#This Row],[Night Body Temp]])</f>
        <v>44.376081640415208</v>
      </c>
      <c r="CN26" s="2">
        <f>Table83[[#This Row],[Waist]]-Table7[[#This Row],[Waist v Night Temp]]</f>
        <v>1.1239183595847919</v>
      </c>
      <c r="CO26" s="2">
        <f>Table7[[#This Row],[WaistNT Res]]^2</f>
        <v>1.2631924790117697</v>
      </c>
      <c r="CP26">
        <f>Regression!$I$29+(Regression!$I$28*Table83[[#This Row],[Night Systolic Pressure]])</f>
        <v>44.54374000125889</v>
      </c>
      <c r="CQ26" s="2">
        <f>Table83[[#This Row],[Waist]]-Table7[[#This Row],[Waist v  Night Sys]]</f>
        <v>0.95625999874111045</v>
      </c>
      <c r="CR26" s="2">
        <f>Table7[[#This Row],[WaistNS Res]]^2</f>
        <v>0.91443318519234851</v>
      </c>
      <c r="CS26">
        <f>Regression!$J$29+(Regression!$J$28*Table83[[#This Row],[Night Diastolic Pressure]])</f>
        <v>44.529363791983499</v>
      </c>
      <c r="CT26" s="2">
        <f>Table83[[#This Row],[Waist]]-Table7[[#This Row],[Waist v Night Dia]]</f>
        <v>0.97063620801650075</v>
      </c>
      <c r="CU26" s="2">
        <f>Table7[[#This Row],[WaistND Res]]^2</f>
        <v>0.9421346483126517</v>
      </c>
      <c r="CV26">
        <f>Regression!$K$29+(Regression!$K$28*Table83[[#This Row],[Night Pulse]])</f>
        <v>44.465421865187196</v>
      </c>
      <c r="CW26" s="2">
        <f>Table83[[#This Row],[Waist]]-Table7[[#This Row],[Waist v Night Pulse]]</f>
        <v>1.0345781348128043</v>
      </c>
      <c r="CX26" s="2">
        <f>Table7[[#This Row],[WaistNP Res]]^2</f>
        <v>1.0703519170327409</v>
      </c>
      <c r="CY26">
        <f>Regression!$L$29+(Regression!$L$28*Table83[[#This Row],[Sleep]])</f>
        <v>44.384743400864622</v>
      </c>
      <c r="CZ26" s="2">
        <f>Table83[[#This Row],[Waist]]-Table7[[#This Row],[Waist v  Sleep]]</f>
        <v>1.1152565991353782</v>
      </c>
      <c r="DA26" s="2">
        <f>Table7[[#This Row],[WaistS Res]]^2</f>
        <v>1.2437972819150098</v>
      </c>
      <c r="DB26">
        <f>Regression!$M$29+(Regression!$M$28*Table83[[#This Row],[BMI]])</f>
        <v>44.982913647256893</v>
      </c>
      <c r="DC26" s="2">
        <f>Table83[[#This Row],[Waist]]-Table7[[#This Row],[Waist v BMI]]</f>
        <v>0.51708635274310666</v>
      </c>
      <c r="DD26" s="2">
        <f>Table7[[#This Row],[WaistBMI Res]]^2</f>
        <v>0.26737829619316855</v>
      </c>
      <c r="DE26">
        <f>Regression!$N$29+(Regression!$N$28*Table83[[#This Row],[CBF]])</f>
        <v>45.203183363709613</v>
      </c>
      <c r="DF26" s="2">
        <f>Table83[[#This Row],[Waist]]-Table7[[#This Row],[Waist v  CBF]]</f>
        <v>0.29681663629038724</v>
      </c>
      <c r="DG26" s="2">
        <f>Table7[[#This Row],[WaistCBF Res]]^2</f>
        <v>8.8100115578740021E-2</v>
      </c>
      <c r="DH26">
        <f>Regression!$O$29+(Regression!$O$28*Table83[[#This Row],[Gym]])</f>
        <v>44.347222222222221</v>
      </c>
      <c r="DI26" s="2">
        <f>Table83[[#This Row],[Waist]]-Table7[[#This Row],[Waist v  Gym]]</f>
        <v>1.1527777777777786</v>
      </c>
      <c r="DJ26" s="2">
        <f>Table7[[#This Row],[WaistGYM Res]]^2</f>
        <v>1.3288966049382733</v>
      </c>
      <c r="DK26">
        <f>Regression!$P$29+(Regression!$P$28*Table83[[#This Row],[Cardio]])</f>
        <v>44.680851063829778</v>
      </c>
      <c r="DL26" s="2">
        <f>Table83[[#This Row],[Waist]]-Table7[[#This Row],[Waist v Cardio]]</f>
        <v>0.81914893617022244</v>
      </c>
      <c r="DM26" s="2">
        <f>Table7[[#This Row],[WaistC Res]]^2</f>
        <v>0.67100497962880712</v>
      </c>
      <c r="DN26">
        <f>Regression!$Q$29+(Regression!$Q$28*Table83[[#This Row],[Calories]])</f>
        <v>44.605029044016248</v>
      </c>
      <c r="DO26" s="2">
        <f>Table83[[#This Row],[Waist]]-Table7[[#This Row],[Waist v Calories]]</f>
        <v>0.89497095598375154</v>
      </c>
      <c r="DP26" s="2">
        <f>Table7[[#This Row],[WaistCal Res]]^2</f>
        <v>0.80097301205447013</v>
      </c>
      <c r="DQ26">
        <f>Regression!$R$29+(Regression!$R$28*Table83[[#This Row],[Carbs]])</f>
        <v>44.628082332472047</v>
      </c>
      <c r="DR26" s="2">
        <f>Table83[[#This Row],[Waist]]-Table7[[#This Row],[Waist v Carbs]]</f>
        <v>0.87191766752795274</v>
      </c>
      <c r="DS26" s="2">
        <f>Table7[[#This Row],[WaistCarb Res]]^2</f>
        <v>0.76024041894738559</v>
      </c>
      <c r="DT26">
        <f>Regression!$S$29+(Regression!$S$28*Table83[[#This Row],[Fat ]])</f>
        <v>44.544440960350798</v>
      </c>
      <c r="DU26" s="2">
        <f>Table83[[#This Row],[Waist]]-Table7[[#This Row],[Waist v Fat]]</f>
        <v>0.95555903964920219</v>
      </c>
      <c r="DV26" s="2">
        <f>Table7[[#This Row],[WaistF Res]]^2</f>
        <v>0.91309307825530561</v>
      </c>
      <c r="DW26">
        <f>Regression!$T$29+(Regression!$T$28*Table83[[#This Row],[Protein]])</f>
        <v>44.537943625142596</v>
      </c>
      <c r="DX26" s="2">
        <f>Table83[[#This Row],[Waist]]-Table7[[#This Row],[Waist v Protein]]</f>
        <v>0.96205637485740425</v>
      </c>
      <c r="DY26" s="2">
        <f>Table7[[#This Row],[WaistP Res]]^2</f>
        <v>0.92555246840377037</v>
      </c>
      <c r="DZ26">
        <f>Regression!$U$29+(Regression!$U$28*Table83[[#This Row],[Fiber]])</f>
        <v>44.501636379632707</v>
      </c>
      <c r="EA26" s="2">
        <f>Table83[[#This Row],[Waist]]-Table7[[#This Row],[Waist v Fiber]]</f>
        <v>0.99836362036729298</v>
      </c>
      <c r="EB26" s="2">
        <f>Table7[[#This Row],[WaistFib Res]]^2</f>
        <v>0.99672991847288828</v>
      </c>
      <c r="EC26">
        <f>Regression!$V$29+(Regression!$V$28*Table83[[#This Row],[Sugar]])</f>
        <v>44.733783167020484</v>
      </c>
      <c r="ED26" s="2">
        <f>Table83[[#This Row],[Waist]]-Table7[[#This Row],[Waist v Sugar]]</f>
        <v>0.76621683297951648</v>
      </c>
      <c r="EE26" s="2">
        <f>Table7[[#This Row],[WaistSugar Res]]^2</f>
        <v>0.58708823514116026</v>
      </c>
      <c r="EF26">
        <f>Regression!$W$29+(Regression!$W$28*Table83[[#This Row],[Servings]])</f>
        <v>44.665753252189845</v>
      </c>
      <c r="EG26" s="2">
        <f>Table83[[#This Row],[Waist]]-Table7[[#This Row],[Waist v Servings]]</f>
        <v>0.8342467478101554</v>
      </c>
      <c r="EH26" s="2">
        <f>Table7[[#This Row],[WaistServ Res]]^2</f>
        <v>0.69596763623182101</v>
      </c>
      <c r="EI26">
        <f>Regression!$X$29+(Regression!$X$28*Table83[[#This Row],[Water]])</f>
        <v>44.497966229663206</v>
      </c>
      <c r="EJ26" s="2">
        <f>Table83[[#This Row],[Waist]]-Table7[[#This Row],[Waist v Water]]</f>
        <v>1.0020337703367943</v>
      </c>
      <c r="EK26" s="2">
        <f>Table7[[#This Row],[WaistWat Res]]^2</f>
        <v>1.0040716768953715</v>
      </c>
      <c r="EL26">
        <f>Regression!$Y$29+(Regression!$Y$28*Table83[[#This Row],[Fat Calories]])</f>
        <v>44.548312378854199</v>
      </c>
      <c r="EM26" s="2">
        <f>Table83[[#This Row],[Waist]]-Table7[[#This Row],[Waist v Fat Calories]]</f>
        <v>0.95168762114580119</v>
      </c>
      <c r="EN26" s="2">
        <f>Table7[[#This Row],[WaistFatCal Res]]^2</f>
        <v>0.905709328242154</v>
      </c>
    </row>
    <row r="27" spans="1:144" x14ac:dyDescent="0.25">
      <c r="A27">
        <f>Regression!$B$10+(Regression!$B$9*Table83[[#This Row],[Waist]])</f>
        <v>258.23421455025004</v>
      </c>
      <c r="B27" s="2">
        <f>Table83[[#This Row],[Weight]]-Table7[[#This Row],[Weight v Waist]]</f>
        <v>-1.2342145502500443</v>
      </c>
      <c r="C27" s="2">
        <f>Table7[[#This Row],[Weight v Waist Res]]^2</f>
        <v>1.5232855560489191</v>
      </c>
      <c r="D27">
        <f>Regression!$C$10+(Regression!$C$9*Table83[[#This Row],[Neck]])</f>
        <v>260.39308108104251</v>
      </c>
      <c r="E27" s="2">
        <f>Table83[[#This Row],[Weight]]-Table7[[#This Row],[Weight v Neck]]</f>
        <v>-3.39308108104251</v>
      </c>
      <c r="F27" s="2">
        <f>Table7[[#This Row],[WN Res]]^2</f>
        <v>11.51299922252861</v>
      </c>
      <c r="G27">
        <f>Regression!$D$10+(Regression!$D$9*Table83[[#This Row],[Morning Body Temp]])</f>
        <v>254.84837078641723</v>
      </c>
      <c r="H27" s="2">
        <f>Table83[[#This Row],[Weight]]-Table7[[#This Row],[Weight v Morning Temp]]</f>
        <v>2.1516292135827655</v>
      </c>
      <c r="I27" s="2">
        <f>Table7[[#This Row],[WMT Res]]^2</f>
        <v>4.6295082727427896</v>
      </c>
      <c r="J27">
        <f>Regression!$E$10+(Regression!$E$9*Table83[[#This Row],[Morning Systolic Pressure]])</f>
        <v>255.95595350215962</v>
      </c>
      <c r="K27" s="2">
        <f>Table83[[#This Row],[Weight]]-Table7[[#This Row],[Weight v Morning Sys]]</f>
        <v>1.0440464978403838</v>
      </c>
      <c r="L27" s="2">
        <f>Table7[[#This Row],[WMS Res]]^2</f>
        <v>1.0900330896527706</v>
      </c>
      <c r="M27">
        <f>Regression!$F$10+(Regression!$F$9*Table83[[#This Row],[Morning Diastolic Pressure]])</f>
        <v>255.00069564820177</v>
      </c>
      <c r="N27" s="2">
        <f>Table83[[#This Row],[Weight]]-Table7[[#This Row],[Weight v Morning Dia]]</f>
        <v>1.9993043517982301</v>
      </c>
      <c r="O27" s="2">
        <f>Table7[[#This Row],[WMD Res]]^2</f>
        <v>3.997217891119341</v>
      </c>
      <c r="P27">
        <f>Regression!$G$10+(Regression!$G$9*Table83[[#This Row],[Morning Pulse]])</f>
        <v>255.13192305197038</v>
      </c>
      <c r="Q27" s="2">
        <f>Table83[[#This Row],[Weight]]-Table7[[#This Row],[Weight v Morning Pulse]]</f>
        <v>1.8680769480296249</v>
      </c>
      <c r="R27" s="2">
        <f>Table7[[#This Row],[WMP Res]]^2</f>
        <v>3.4897114837596779</v>
      </c>
      <c r="S27">
        <f>Regression!$H$10+(Regression!$H$9*Table83[[#This Row],[Night Body Temp]])</f>
        <v>255.05687981848845</v>
      </c>
      <c r="T27" s="2">
        <f>Table83[[#This Row],[Weight]]-Table7[[#This Row],[Weight v Night Temp]]</f>
        <v>1.9431201815115458</v>
      </c>
      <c r="U27" s="2">
        <f>Table7[[#This Row],[WNT Res]]^2</f>
        <v>3.7757160397974627</v>
      </c>
      <c r="V27">
        <f>Regression!$I$10+(Regression!$I$9*Table83[[#This Row],[Night Systolic Pressure]])</f>
        <v>255.03329172511027</v>
      </c>
      <c r="W27" s="2">
        <f>Table83[[#This Row],[Weight]]-Table7[[#This Row],[Weight v Night Sys]]</f>
        <v>1.9667082748897258</v>
      </c>
      <c r="X27" s="2">
        <f>Table7[[#This Row],[WNS Res]]^2</f>
        <v>3.8679414385197211</v>
      </c>
      <c r="Y27">
        <f>Regression!$J$10+(Regression!$J$9*Table83[[#This Row],[Night Diastolic Pressure]])</f>
        <v>255.41844332157493</v>
      </c>
      <c r="Z27" s="2">
        <f>Table83[[#This Row],[Weight]]-Table7[[#This Row],[Weight v Night Dia]]</f>
        <v>1.5815566784250734</v>
      </c>
      <c r="AA27" s="2">
        <f>Table7[[#This Row],[WND Res]]^2</f>
        <v>2.5013215270709512</v>
      </c>
      <c r="AB27">
        <f>Regression!$K$10+(Regression!$K$9*Table83[[#This Row],[Night Pulse]])</f>
        <v>254.68016522142707</v>
      </c>
      <c r="AC27" s="2">
        <f>Table83[[#This Row],[Weight]]-Table7[[#This Row],[Weight v Night Pulse]]</f>
        <v>2.3198347785729254</v>
      </c>
      <c r="AD27" s="2">
        <f>Table7[[#This Row],[WNP Res ]]^2</f>
        <v>5.3816333998764936</v>
      </c>
      <c r="AE27">
        <f>Regression!$L$10+(Regression!$L$9*Table83[[#This Row],[Sleep]])</f>
        <v>255.76797809412898</v>
      </c>
      <c r="AF27" s="2">
        <f>Table83[[#This Row],[Weight]]-Table7[[#This Row],[Weight v Sleep]]</f>
        <v>1.2320219058710222</v>
      </c>
      <c r="AG27" s="2">
        <f>Table7[[#This Row],[WS Res]]^2</f>
        <v>1.5178779765460659</v>
      </c>
      <c r="AH27">
        <f>Regression!$M$10+(Regression!$M$9*Table83[[#This Row],[BMI]])</f>
        <v>256.99999999999579</v>
      </c>
      <c r="AI27" s="2">
        <f>Table83[[#This Row],[Weight]]-Table7[[#This Row],[Weight v BMI]]</f>
        <v>4.2064129956997931E-12</v>
      </c>
      <c r="AJ27" s="2">
        <f>Table7[[#This Row],[WBMI Res]]^2</f>
        <v>1.7693910290392108E-23</v>
      </c>
      <c r="AK27">
        <f>Regression!$N$10+(Regression!$N$9*Table83[[#This Row],[CBF]])</f>
        <v>256.25609762651322</v>
      </c>
      <c r="AL27" s="2">
        <f>Table83[[#This Row],[Weight]]-Table7[[#This Row],[Weight v CBF]]</f>
        <v>0.74390237348677601</v>
      </c>
      <c r="AM27" s="2">
        <f>Table7[[#This Row],[WCBF Res]]^2</f>
        <v>0.5533907412792588</v>
      </c>
      <c r="AN27">
        <f>Regression!$O$10+(Regression!$O$9*Table83[[#This Row],[Gym]])</f>
        <v>255.46779661016953</v>
      </c>
      <c r="AO27" s="2">
        <f>Table83[[#This Row],[Weight]]-Table7[[#This Row],[Weight v Gym]]</f>
        <v>1.532203389830471</v>
      </c>
      <c r="AP27" s="2">
        <f>Table7[[#This Row],[WG Res]]^2</f>
        <v>2.3476472278079861</v>
      </c>
      <c r="AQ27">
        <f>Regression!$P$10+(Regression!$P$9*Table83[[#This Row],[Cardio]])</f>
        <v>256.41063829787231</v>
      </c>
      <c r="AR27" s="2">
        <f>Table83[[#This Row],[Weight]]-Table7[[#This Row],[Weight v Cardio]]</f>
        <v>0.58936170212768957</v>
      </c>
      <c r="AS27" s="2">
        <f>Table7[[#This Row],[WC Res]]^2</f>
        <v>0.34734721593484746</v>
      </c>
      <c r="AT27">
        <f>Regression!$Q$10+(Regression!$Q$9*Table83[[#This Row],[Calories]])</f>
        <v>255.89073857608074</v>
      </c>
      <c r="AU27" s="2">
        <f>Table83[[#This Row],[Weight]]-Table7[[#This Row],[Weight v Calories]]</f>
        <v>1.1092614239192642</v>
      </c>
      <c r="AV27" s="2">
        <f>Table7[[#This Row],[WCAL Res]]^2</f>
        <v>1.2304609065953935</v>
      </c>
      <c r="AW27">
        <f>Regression!$R$10+(Regression!$R$9*Table83[[#This Row],[Carbs]])</f>
        <v>255.96069351545171</v>
      </c>
      <c r="AX27" s="2">
        <f>Table83[[#This Row],[Weight]]-Table7[[#This Row],[Weight v Carbs]]</f>
        <v>1.0393064845482911</v>
      </c>
      <c r="AY27" s="2">
        <f>Table7[[#This Row],[Wcarb Res]]^2</f>
        <v>1.0801579688241272</v>
      </c>
      <c r="AZ27">
        <f>Regression!$S$10+(Regression!$S$9*Table83[[#This Row],[Fat ]])</f>
        <v>255.53910996322534</v>
      </c>
      <c r="BA27" s="2">
        <f>Table83[[#This Row],[Weight]]-Table7[[#This Row],[Weight v Fat]]</f>
        <v>1.4608900367746571</v>
      </c>
      <c r="BB27" s="2">
        <f>Table7[[#This Row],[WF Res]]^2</f>
        <v>2.1341996995474593</v>
      </c>
      <c r="BC27">
        <f>Regression!$T$10+(Regression!$T$9*Table83[[#This Row],[Protein]])</f>
        <v>255.79238742850336</v>
      </c>
      <c r="BD27" s="2">
        <f>Table83[[#This Row],[Weight]]-Table7[[#This Row],[Weight v Protein]]</f>
        <v>1.2076125714966395</v>
      </c>
      <c r="BE27" s="2">
        <f>Table7[[#This Row],[WP Res]]^2</f>
        <v>1.4583281228367262</v>
      </c>
      <c r="BF27">
        <f>Regression!$U$10+(Regression!$U$9*Table83[[#This Row],[Fiber]])</f>
        <v>255.23507892474288</v>
      </c>
      <c r="BG27" s="2">
        <f>Table83[[#This Row],[Weight]]-Table7[[#This Row],[Weight v Fiber]]</f>
        <v>1.7649210752571207</v>
      </c>
      <c r="BH27" s="2">
        <f>Table7[[#This Row],[Wfib Res]]^2</f>
        <v>3.1149464018867512</v>
      </c>
      <c r="BI27">
        <f>Regression!$V$10+(Regression!$V$9*Table83[[#This Row],[Sugar]])</f>
        <v>256.68809537110474</v>
      </c>
      <c r="BJ27" s="2">
        <f>Table83[[#This Row],[Weight]]-Table7[[#This Row],[Weight v Sugar]]</f>
        <v>0.31190462889526316</v>
      </c>
      <c r="BK27" s="2">
        <f>Table7[[#This Row],[Wsugar Res]]^2</f>
        <v>9.7284497526291827E-2</v>
      </c>
      <c r="BL27">
        <f>Regression!$W$10+(Regression!$W$9*Table83[[#This Row],[Servings]])</f>
        <v>256.59949862233964</v>
      </c>
      <c r="BM27" s="2">
        <f>Table83[[#This Row],[Weight]]-Table7[[#This Row],[Weight v Servings]]</f>
        <v>0.40050137766036187</v>
      </c>
      <c r="BN27" s="2">
        <f>Table7[[#This Row],[Wserv Res]]^2</f>
        <v>0.16040135350784782</v>
      </c>
      <c r="BO27">
        <f>Regression!$X$10+(Regression!$X$9*Table83[[#This Row],[Water]])</f>
        <v>255.1490819770581</v>
      </c>
      <c r="BP27" s="2">
        <f>Table83[[#This Row],[Weight]]-Table7[[#This Row],[Weight v Water]]</f>
        <v>1.8509180229418973</v>
      </c>
      <c r="BQ27" s="2">
        <f>Table7[[#This Row],[Wwater Res]]^2</f>
        <v>3.4258975276511419</v>
      </c>
      <c r="BR27">
        <f>Regression!$Y$10+(Regression!$Y$9*Table83[[#This Row],[Fat Calories]])</f>
        <v>255.56149524579766</v>
      </c>
      <c r="BS27" s="2">
        <f>Table83[[#This Row],[Weight]]-Table7[[#This Row],[Weight v Fat Calories]]</f>
        <v>1.4385047542023415</v>
      </c>
      <c r="BT27" s="2">
        <f>Table7[[#This Row],[WFC Res]]^2</f>
        <v>2.069295927862739</v>
      </c>
      <c r="BU27">
        <f>Regression!$B$29+(Regression!$B$28*Table83[[#This Row],[Weight]])</f>
        <v>44.710388626118615</v>
      </c>
      <c r="BV27" s="2">
        <f>Table83[[#This Row],[Waist]]-Table7[[#This Row],[Waist v Weight]]</f>
        <v>0.28961137388138525</v>
      </c>
      <c r="BW27" s="2">
        <f>Table7[[#This Row],[WaistW Res]]^2</f>
        <v>8.3874747881463513E-2</v>
      </c>
      <c r="BX27">
        <f>Regression!$C$29+(Regression!$C$28*Table83[[#This Row],[Neck]])</f>
        <v>45.258648648648581</v>
      </c>
      <c r="BY27" s="2">
        <f>Table83[[#This Row],[Waist]]-Table7[[#This Row],[Waist v Neck]]</f>
        <v>-0.25864864864858106</v>
      </c>
      <c r="BZ27" s="2">
        <f>Table7[[#This Row],[WaistN Res]]^2</f>
        <v>6.689912344773713E-2</v>
      </c>
      <c r="CA27">
        <f>Regression!$D$29+(Regression!$D$28*Table83[[#This Row],[Morning Body Temp]])</f>
        <v>44.381010678053698</v>
      </c>
      <c r="CB27" s="2">
        <f>Table83[[#This Row],[Waist]]-Table7[[#This Row],[Waist v Morning Temp]]</f>
        <v>0.61898932194630163</v>
      </c>
      <c r="CC27" s="2">
        <f>Table7[[#This Row],[WaistMT Res]]^2</f>
        <v>0.38314778068354227</v>
      </c>
      <c r="CD27">
        <f>Regression!$E$29+(Regression!$E$28*Table83[[#This Row],[Morning Systolic Pressure]])</f>
        <v>44.651102427000318</v>
      </c>
      <c r="CE27" s="2">
        <f>Table83[[#This Row],[Waist]]-Table7[[#This Row],[Waist v Morning Sys]]</f>
        <v>0.34889757299968238</v>
      </c>
      <c r="CF27" s="2">
        <f>Table7[[#This Row],[WaistMS Res]]^2</f>
        <v>0.1217295164450687</v>
      </c>
      <c r="CG27">
        <f>Regression!$F$29+(Regression!$F$28*Table83[[#This Row],[Morning Diastolic Pressure]])</f>
        <v>44.447181047475404</v>
      </c>
      <c r="CH27" s="2">
        <f>Table83[[#This Row],[Waist]]-Table7[[#This Row],[Waist v Morning Dia]]</f>
        <v>0.55281895252459634</v>
      </c>
      <c r="CI27" s="2">
        <f>Table7[[#This Row],[WaistMD Res]]^2</f>
        <v>0.30560879427039189</v>
      </c>
      <c r="CJ27">
        <f>Regression!$G$29+(Regression!$G$28*Table83[[#This Row],[Morning Pulse]])</f>
        <v>44.461292220668717</v>
      </c>
      <c r="CK27" s="2">
        <f>Table83[[#This Row],[Waist]]-Table7[[#This Row],[Waist v Morning Pulse]]</f>
        <v>0.53870777933128267</v>
      </c>
      <c r="CL27" s="2">
        <f>Table7[[#This Row],[WaistMP Res]]^2</f>
        <v>0.29020607151204192</v>
      </c>
      <c r="CM27">
        <f>Regression!$H$29+(Regression!$H$28*Table83[[#This Row],[Night Body Temp]])</f>
        <v>44.448953954659181</v>
      </c>
      <c r="CN27" s="2">
        <f>Table83[[#This Row],[Waist]]-Table7[[#This Row],[Waist v Night Temp]]</f>
        <v>0.55104604534081858</v>
      </c>
      <c r="CO27" s="2">
        <f>Table7[[#This Row],[WaistNT Res]]^2</f>
        <v>0.30365174408575546</v>
      </c>
      <c r="CP27">
        <f>Regression!$I$29+(Regression!$I$28*Table83[[#This Row],[Night Systolic Pressure]])</f>
        <v>44.441959200979596</v>
      </c>
      <c r="CQ27" s="2">
        <f>Table83[[#This Row],[Waist]]-Table7[[#This Row],[Waist v  Night Sys]]</f>
        <v>0.55804079902040371</v>
      </c>
      <c r="CR27" s="2">
        <f>Table7[[#This Row],[WaistNS Res]]^2</f>
        <v>0.31140953337133059</v>
      </c>
      <c r="CS27">
        <f>Regression!$J$29+(Regression!$J$28*Table83[[#This Row],[Night Diastolic Pressure]])</f>
        <v>44.580567627605824</v>
      </c>
      <c r="CT27" s="2">
        <f>Table83[[#This Row],[Waist]]-Table7[[#This Row],[Waist v Night Dia]]</f>
        <v>0.41943237239417641</v>
      </c>
      <c r="CU27" s="2">
        <f>Table7[[#This Row],[WaistND Res]]^2</f>
        <v>0.17592351501220707</v>
      </c>
      <c r="CV27">
        <f>Regression!$K$29+(Regression!$K$28*Table83[[#This Row],[Night Pulse]])</f>
        <v>44.493989328296848</v>
      </c>
      <c r="CW27" s="2">
        <f>Table83[[#This Row],[Waist]]-Table7[[#This Row],[Waist v Night Pulse]]</f>
        <v>0.50601067170315162</v>
      </c>
      <c r="CX27" s="2">
        <f>Table7[[#This Row],[WaistNP Res]]^2</f>
        <v>0.2560467998774747</v>
      </c>
      <c r="CY27">
        <f>Regression!$L$29+(Regression!$L$28*Table83[[#This Row],[Sleep]])</f>
        <v>44.553089788849412</v>
      </c>
      <c r="CZ27" s="2">
        <f>Table83[[#This Row],[Waist]]-Table7[[#This Row],[Waist v  Sleep]]</f>
        <v>0.4469102111505876</v>
      </c>
      <c r="DA27" s="2">
        <f>Table7[[#This Row],[WaistS Res]]^2</f>
        <v>0.19972873683066281</v>
      </c>
      <c r="DB27">
        <f>Regression!$M$29+(Regression!$M$28*Table83[[#This Row],[BMI]])</f>
        <v>44.710388626117791</v>
      </c>
      <c r="DC27" s="2">
        <f>Table83[[#This Row],[Waist]]-Table7[[#This Row],[Waist v BMI]]</f>
        <v>0.28961137388220948</v>
      </c>
      <c r="DD27" s="2">
        <f>Table7[[#This Row],[WaistBMI Res]]^2</f>
        <v>8.3874747881940923E-2</v>
      </c>
      <c r="DE27">
        <f>Regression!$N$29+(Regression!$N$28*Table83[[#This Row],[CBF]])</f>
        <v>44.659010290127611</v>
      </c>
      <c r="DF27" s="2">
        <f>Table83[[#This Row],[Waist]]-Table7[[#This Row],[Waist v  CBF]]</f>
        <v>0.34098970987238886</v>
      </c>
      <c r="DG27" s="2">
        <f>Table7[[#This Row],[WaistCBF Res]]^2</f>
        <v>0.11627398223885593</v>
      </c>
      <c r="DH27">
        <f>Regression!$O$29+(Regression!$O$28*Table83[[#This Row],[Gym]])</f>
        <v>44.550847457627107</v>
      </c>
      <c r="DI27" s="2">
        <f>Table83[[#This Row],[Waist]]-Table7[[#This Row],[Waist v  Gym]]</f>
        <v>0.44915254237289304</v>
      </c>
      <c r="DJ27" s="2">
        <f>Table7[[#This Row],[WaistGYM Res]]^2</f>
        <v>0.20173800632003347</v>
      </c>
      <c r="DK27">
        <f>Regression!$P$29+(Regression!$P$28*Table83[[#This Row],[Cardio]])</f>
        <v>44.680851063829778</v>
      </c>
      <c r="DL27" s="2">
        <f>Table83[[#This Row],[Waist]]-Table7[[#This Row],[Waist v Cardio]]</f>
        <v>0.31914893617022244</v>
      </c>
      <c r="DM27" s="2">
        <f>Table7[[#This Row],[WaistC Res]]^2</f>
        <v>0.10185604345858472</v>
      </c>
      <c r="DN27">
        <f>Regression!$Q$29+(Regression!$Q$28*Table83[[#This Row],[Calories]])</f>
        <v>44.627821133937573</v>
      </c>
      <c r="DO27" s="2">
        <f>Table83[[#This Row],[Waist]]-Table7[[#This Row],[Waist v Calories]]</f>
        <v>0.37217886606242701</v>
      </c>
      <c r="DP27" s="2">
        <f>Table7[[#This Row],[WaistCal Res]]^2</f>
        <v>0.13851710834351397</v>
      </c>
      <c r="DQ27">
        <f>Regression!$R$29+(Regression!$R$28*Table83[[#This Row],[Carbs]])</f>
        <v>44.629598821983578</v>
      </c>
      <c r="DR27" s="2">
        <f>Table83[[#This Row],[Waist]]-Table7[[#This Row],[Waist v Carbs]]</f>
        <v>0.37040117801642225</v>
      </c>
      <c r="DS27" s="2">
        <f>Table7[[#This Row],[WaistCarb Res]]^2</f>
        <v>0.13719703267595332</v>
      </c>
      <c r="DT27">
        <f>Regression!$S$29+(Regression!$S$28*Table83[[#This Row],[Fat ]])</f>
        <v>44.583167737838245</v>
      </c>
      <c r="DU27" s="2">
        <f>Table83[[#This Row],[Waist]]-Table7[[#This Row],[Waist v Fat]]</f>
        <v>0.41683226216175484</v>
      </c>
      <c r="DV27" s="2">
        <f>Table7[[#This Row],[WaistF Res]]^2</f>
        <v>0.17374913477888593</v>
      </c>
      <c r="DW27">
        <f>Regression!$T$29+(Regression!$T$28*Table83[[#This Row],[Protein]])</f>
        <v>44.577518785975535</v>
      </c>
      <c r="DX27" s="2">
        <f>Table83[[#This Row],[Waist]]-Table7[[#This Row],[Waist v Protein]]</f>
        <v>0.42248121402446515</v>
      </c>
      <c r="DY27" s="2">
        <f>Table7[[#This Row],[WaistP Res]]^2</f>
        <v>0.17849037620358593</v>
      </c>
      <c r="DZ27">
        <f>Regression!$U$29+(Regression!$U$28*Table83[[#This Row],[Fiber]])</f>
        <v>44.499856397744914</v>
      </c>
      <c r="EA27" s="2">
        <f>Table83[[#This Row],[Waist]]-Table7[[#This Row],[Waist v Fiber]]</f>
        <v>0.50014360225508625</v>
      </c>
      <c r="EB27" s="2">
        <f>Table7[[#This Row],[WaistFib Res]]^2</f>
        <v>0.25014362287669389</v>
      </c>
      <c r="EC27">
        <f>Regression!$V$29+(Regression!$V$28*Table83[[#This Row],[Sugar]])</f>
        <v>44.736120913031208</v>
      </c>
      <c r="ED27" s="2">
        <f>Table83[[#This Row],[Waist]]-Table7[[#This Row],[Waist v Sugar]]</f>
        <v>0.26387908696879236</v>
      </c>
      <c r="EE27" s="2">
        <f>Table7[[#This Row],[WaistSugar Res]]^2</f>
        <v>6.9632172539483478E-2</v>
      </c>
      <c r="EF27">
        <f>Regression!$W$29+(Regression!$W$28*Table83[[#This Row],[Servings]])</f>
        <v>44.68004282956246</v>
      </c>
      <c r="EG27" s="2">
        <f>Table83[[#This Row],[Waist]]-Table7[[#This Row],[Waist v Servings]]</f>
        <v>0.31995717043754013</v>
      </c>
      <c r="EH27" s="2">
        <f>Table7[[#This Row],[WaistServ Res]]^2</f>
        <v>0.1023725909143971</v>
      </c>
      <c r="EI27">
        <f>Regression!$X$29+(Regression!$X$28*Table83[[#This Row],[Water]])</f>
        <v>44.497966229663206</v>
      </c>
      <c r="EJ27" s="2">
        <f>Table83[[#This Row],[Waist]]-Table7[[#This Row],[Waist v Water]]</f>
        <v>0.5020337703367943</v>
      </c>
      <c r="EK27" s="2">
        <f>Table7[[#This Row],[WaistWat Res]]^2</f>
        <v>0.25203790655857711</v>
      </c>
      <c r="EL27">
        <f>Regression!$Y$29+(Regression!$Y$28*Table83[[#This Row],[Fat Calories]])</f>
        <v>44.589318414849238</v>
      </c>
      <c r="EM27" s="2">
        <f>Table83[[#This Row],[Waist]]-Table7[[#This Row],[Waist v Fat Calories]]</f>
        <v>0.41068158515076192</v>
      </c>
      <c r="EN27" s="2">
        <f>Table7[[#This Row],[WaistFatCal Res]]^2</f>
        <v>0.16865936438194251</v>
      </c>
    </row>
    <row r="28" spans="1:144" x14ac:dyDescent="0.25">
      <c r="A28">
        <f>Regression!$B$10+(Regression!$B$9*Table83[[#This Row],[Waist]])</f>
        <v>263.94216992155748</v>
      </c>
      <c r="B28" s="2">
        <f>Table83[[#This Row],[Weight]]-Table7[[#This Row],[Weight v Waist]]</f>
        <v>-4.1421699215574677</v>
      </c>
      <c r="C28" s="2">
        <f>Table7[[#This Row],[Weight v Waist Res]]^2</f>
        <v>17.157571659055399</v>
      </c>
      <c r="D28">
        <f>Regression!$C$10+(Regression!$C$9*Table83[[#This Row],[Neck]])</f>
        <v>260.39308108104251</v>
      </c>
      <c r="E28" s="2">
        <f>Table83[[#This Row],[Weight]]-Table7[[#This Row],[Weight v Neck]]</f>
        <v>-0.59308108104249868</v>
      </c>
      <c r="F28" s="2">
        <f>Table7[[#This Row],[WN Res]]^2</f>
        <v>0.3517451686905389</v>
      </c>
      <c r="G28">
        <f>Regression!$D$10+(Regression!$D$9*Table83[[#This Row],[Morning Body Temp]])</f>
        <v>255.4819577744185</v>
      </c>
      <c r="H28" s="2">
        <f>Table83[[#This Row],[Weight]]-Table7[[#This Row],[Weight v Morning Temp]]</f>
        <v>4.3180422255815074</v>
      </c>
      <c r="I28" s="2">
        <f>Table7[[#This Row],[WMT Res]]^2</f>
        <v>18.645488661904899</v>
      </c>
      <c r="J28">
        <f>Regression!$E$10+(Regression!$E$9*Table83[[#This Row],[Morning Systolic Pressure]])</f>
        <v>254.37825136694121</v>
      </c>
      <c r="K28" s="2">
        <f>Table83[[#This Row],[Weight]]-Table7[[#This Row],[Weight v Morning Sys]]</f>
        <v>5.4217486330587974</v>
      </c>
      <c r="L28" s="2">
        <f>Table7[[#This Row],[WMS Res]]^2</f>
        <v>29.395358240074938</v>
      </c>
      <c r="M28">
        <f>Regression!$F$10+(Regression!$F$9*Table83[[#This Row],[Morning Diastolic Pressure]])</f>
        <v>255.30472839533641</v>
      </c>
      <c r="N28" s="2">
        <f>Table83[[#This Row],[Weight]]-Table7[[#This Row],[Weight v Morning Dia]]</f>
        <v>4.4952716046635999</v>
      </c>
      <c r="O28" s="2">
        <f>Table7[[#This Row],[WMD Res]]^2</f>
        <v>20.207466799694856</v>
      </c>
      <c r="P28">
        <f>Regression!$G$10+(Regression!$G$9*Table83[[#This Row],[Morning Pulse]])</f>
        <v>255.12643966469878</v>
      </c>
      <c r="Q28" s="2">
        <f>Table83[[#This Row],[Weight]]-Table7[[#This Row],[Weight v Morning Pulse]]</f>
        <v>4.6735603353012323</v>
      </c>
      <c r="R28" s="2">
        <f>Table7[[#This Row],[WMP Res]]^2</f>
        <v>21.842166207700966</v>
      </c>
      <c r="S28">
        <f>Regression!$H$10+(Regression!$H$9*Table83[[#This Row],[Night Body Temp]])</f>
        <v>255.15957638897012</v>
      </c>
      <c r="T28" s="2">
        <f>Table83[[#This Row],[Weight]]-Table7[[#This Row],[Weight v Night Temp]]</f>
        <v>4.6404236110298882</v>
      </c>
      <c r="U28" s="2">
        <f>Table7[[#This Row],[WNT Res]]^2</f>
        <v>21.533531289803665</v>
      </c>
      <c r="V28">
        <f>Regression!$I$10+(Regression!$I$9*Table83[[#This Row],[Night Systolic Pressure]])</f>
        <v>254.93064689108181</v>
      </c>
      <c r="W28" s="2">
        <f>Table83[[#This Row],[Weight]]-Table7[[#This Row],[Weight v Night Sys]]</f>
        <v>4.8693531089182045</v>
      </c>
      <c r="X28" s="2">
        <f>Table7[[#This Row],[WNS Res]]^2</f>
        <v>23.710599699331382</v>
      </c>
      <c r="Y28">
        <f>Regression!$J$10+(Regression!$J$9*Table83[[#This Row],[Night Diastolic Pressure]])</f>
        <v>255.49997505840713</v>
      </c>
      <c r="Z28" s="2">
        <f>Table83[[#This Row],[Weight]]-Table7[[#This Row],[Weight v Night Dia]]</f>
        <v>4.3000249415928806</v>
      </c>
      <c r="AA28" s="2">
        <f>Table7[[#This Row],[WND Res]]^2</f>
        <v>18.490214498320857</v>
      </c>
      <c r="AB28">
        <f>Regression!$K$10+(Regression!$K$9*Table83[[#This Row],[Night Pulse]])</f>
        <v>255.11015185874123</v>
      </c>
      <c r="AC28" s="2">
        <f>Table83[[#This Row],[Weight]]-Table7[[#This Row],[Weight v Night Pulse]]</f>
        <v>4.6898481412587785</v>
      </c>
      <c r="AD28" s="2">
        <f>Table7[[#This Row],[WNP Res ]]^2</f>
        <v>21.994675588068418</v>
      </c>
      <c r="AE28">
        <f>Regression!$L$10+(Regression!$L$9*Table83[[#This Row],[Sleep]])</f>
        <v>253.87513299388604</v>
      </c>
      <c r="AF28" s="2">
        <f>Table83[[#This Row],[Weight]]-Table7[[#This Row],[Weight v Sleep]]</f>
        <v>5.9248670061139705</v>
      </c>
      <c r="AG28" s="2">
        <f>Table7[[#This Row],[WS Res]]^2</f>
        <v>35.104049040137923</v>
      </c>
      <c r="AH28">
        <f>Regression!$M$10+(Regression!$M$9*Table83[[#This Row],[BMI]])</f>
        <v>259.79999999998961</v>
      </c>
      <c r="AI28" s="2">
        <f>Table83[[#This Row],[Weight]]-Table7[[#This Row],[Weight v BMI]]</f>
        <v>1.0402345651527867E-11</v>
      </c>
      <c r="AJ28" s="2">
        <f>Table7[[#This Row],[WBMI Res]]^2</f>
        <v>1.0820879505386072E-22</v>
      </c>
      <c r="AK28">
        <f>Regression!$N$10+(Regression!$N$9*Table83[[#This Row],[CBF]])</f>
        <v>262.24752658837394</v>
      </c>
      <c r="AL28" s="2">
        <f>Table83[[#This Row],[Weight]]-Table7[[#This Row],[Weight v CBF]]</f>
        <v>-2.4475265883739326</v>
      </c>
      <c r="AM28" s="2">
        <f>Table7[[#This Row],[WCBF Res]]^2</f>
        <v>5.9903864007973411</v>
      </c>
      <c r="AN28">
        <f>Regression!$O$10+(Regression!$O$9*Table83[[#This Row],[Gym]])</f>
        <v>255.46779661016953</v>
      </c>
      <c r="AO28" s="2">
        <f>Table83[[#This Row],[Weight]]-Table7[[#This Row],[Weight v Gym]]</f>
        <v>4.3322033898304824</v>
      </c>
      <c r="AP28" s="2">
        <f>Table7[[#This Row],[WG Res]]^2</f>
        <v>18.767986210858723</v>
      </c>
      <c r="AQ28">
        <f>Regression!$P$10+(Regression!$P$9*Table83[[#This Row],[Cardio]])</f>
        <v>256.41063829787231</v>
      </c>
      <c r="AR28" s="2">
        <f>Table83[[#This Row],[Weight]]-Table7[[#This Row],[Weight v Cardio]]</f>
        <v>3.3893617021277009</v>
      </c>
      <c r="AS28" s="2">
        <f>Table7[[#This Row],[WC Res]]^2</f>
        <v>11.487772747849986</v>
      </c>
      <c r="AT28">
        <f>Regression!$Q$10+(Regression!$Q$9*Table83[[#This Row],[Calories]])</f>
        <v>255.69545383246117</v>
      </c>
      <c r="AU28" s="2">
        <f>Table83[[#This Row],[Weight]]-Table7[[#This Row],[Weight v Calories]]</f>
        <v>4.1045461675388424</v>
      </c>
      <c r="AV28" s="2">
        <f>Table7[[#This Row],[WCAL Res]]^2</f>
        <v>16.847299241457797</v>
      </c>
      <c r="AW28">
        <f>Regression!$R$10+(Regression!$R$9*Table83[[#This Row],[Carbs]])</f>
        <v>255.83571662802325</v>
      </c>
      <c r="AX28" s="2">
        <f>Table83[[#This Row],[Weight]]-Table7[[#This Row],[Weight v Carbs]]</f>
        <v>3.9642833719767623</v>
      </c>
      <c r="AY28" s="2">
        <f>Table7[[#This Row],[Wcarb Res]]^2</f>
        <v>15.715542653331449</v>
      </c>
      <c r="AZ28">
        <f>Regression!$S$10+(Regression!$S$9*Table83[[#This Row],[Fat ]])</f>
        <v>255.35868938563772</v>
      </c>
      <c r="BA28" s="2">
        <f>Table83[[#This Row],[Weight]]-Table7[[#This Row],[Weight v Fat]]</f>
        <v>4.441310614362294</v>
      </c>
      <c r="BB28" s="2">
        <f>Table7[[#This Row],[WF Res]]^2</f>
        <v>19.725239973247177</v>
      </c>
      <c r="BC28">
        <f>Regression!$T$10+(Regression!$T$9*Table83[[#This Row],[Protein]])</f>
        <v>255.56385597156131</v>
      </c>
      <c r="BD28" s="2">
        <f>Table83[[#This Row],[Weight]]-Table7[[#This Row],[Weight v Protein]]</f>
        <v>4.2361440284387015</v>
      </c>
      <c r="BE28" s="2">
        <f>Table7[[#This Row],[WP Res]]^2</f>
        <v>17.944916229676871</v>
      </c>
      <c r="BF28">
        <f>Regression!$U$10+(Regression!$U$9*Table83[[#This Row],[Fiber]])</f>
        <v>255.33390018700339</v>
      </c>
      <c r="BG28" s="2">
        <f>Table83[[#This Row],[Weight]]-Table7[[#This Row],[Weight v Fiber]]</f>
        <v>4.4660998129966174</v>
      </c>
      <c r="BH28" s="2">
        <f>Table7[[#This Row],[Wfib Res]]^2</f>
        <v>19.946047539648422</v>
      </c>
      <c r="BI28">
        <f>Regression!$V$10+(Regression!$V$9*Table83[[#This Row],[Sugar]])</f>
        <v>256.64438121788817</v>
      </c>
      <c r="BJ28" s="2">
        <f>Table83[[#This Row],[Weight]]-Table7[[#This Row],[Weight v Sugar]]</f>
        <v>3.1556187821118442</v>
      </c>
      <c r="BK28" s="2">
        <f>Table7[[#This Row],[Wsugar Res]]^2</f>
        <v>9.9579298980170385</v>
      </c>
      <c r="BL28">
        <f>Regression!$W$10+(Regression!$W$9*Table83[[#This Row],[Servings]])</f>
        <v>256.35485936103839</v>
      </c>
      <c r="BM28" s="2">
        <f>Table83[[#This Row],[Weight]]-Table7[[#This Row],[Weight v Servings]]</f>
        <v>3.4451406389616182</v>
      </c>
      <c r="BN28" s="2">
        <f>Table7[[#This Row],[Wserv Res]]^2</f>
        <v>11.868994022224866</v>
      </c>
      <c r="BO28">
        <f>Regression!$X$10+(Regression!$X$9*Table83[[#This Row],[Water]])</f>
        <v>255.10626599365665</v>
      </c>
      <c r="BP28" s="2">
        <f>Table83[[#This Row],[Weight]]-Table7[[#This Row],[Weight v Water]]</f>
        <v>4.6937340063433624</v>
      </c>
      <c r="BQ28" s="2">
        <f>Table7[[#This Row],[Wwater Res]]^2</f>
        <v>22.031138922304113</v>
      </c>
      <c r="BR28">
        <f>Regression!$Y$10+(Regression!$Y$9*Table83[[#This Row],[Fat Calories]])</f>
        <v>255.36948236308112</v>
      </c>
      <c r="BS28" s="2">
        <f>Table83[[#This Row],[Weight]]-Table7[[#This Row],[Weight v Fat Calories]]</f>
        <v>4.4305176369188928</v>
      </c>
      <c r="BT28" s="2">
        <f>Table7[[#This Row],[WFC Res]]^2</f>
        <v>19.62948653104937</v>
      </c>
      <c r="BU28">
        <f>Regression!$B$29+(Regression!$B$28*Table83[[#This Row],[Weight]])</f>
        <v>45.091923655714567</v>
      </c>
      <c r="BV28" s="2">
        <f>Table83[[#This Row],[Waist]]-Table7[[#This Row],[Waist v Weight]]</f>
        <v>0.90807634428543338</v>
      </c>
      <c r="BW28" s="2">
        <f>Table7[[#This Row],[WaistW Res]]^2</f>
        <v>0.82460264705079689</v>
      </c>
      <c r="BX28">
        <f>Regression!$C$29+(Regression!$C$28*Table83[[#This Row],[Neck]])</f>
        <v>45.258648648648581</v>
      </c>
      <c r="BY28" s="2">
        <f>Table83[[#This Row],[Waist]]-Table7[[#This Row],[Waist v Neck]]</f>
        <v>0.74135135135141894</v>
      </c>
      <c r="BZ28" s="2">
        <f>Table7[[#This Row],[WaistN Res]]^2</f>
        <v>0.54960182615057507</v>
      </c>
      <c r="CA28">
        <f>Regression!$D$29+(Regression!$D$28*Table83[[#This Row],[Morning Body Temp]])</f>
        <v>44.553331996636587</v>
      </c>
      <c r="CB28" s="2">
        <f>Table83[[#This Row],[Waist]]-Table7[[#This Row],[Waist v Morning Temp]]</f>
        <v>1.4466680033634134</v>
      </c>
      <c r="CC28" s="2">
        <f>Table7[[#This Row],[WaistMT Res]]^2</f>
        <v>2.092848311955485</v>
      </c>
      <c r="CD28">
        <f>Regression!$E$29+(Regression!$E$28*Table83[[#This Row],[Morning Systolic Pressure]])</f>
        <v>44.28043824351537</v>
      </c>
      <c r="CE28" s="2">
        <f>Table83[[#This Row],[Waist]]-Table7[[#This Row],[Waist v Morning Sys]]</f>
        <v>1.7195617564846302</v>
      </c>
      <c r="CF28" s="2">
        <f>Table7[[#This Row],[WaistMS Res]]^2</f>
        <v>2.9568926343645066</v>
      </c>
      <c r="CG28">
        <f>Regression!$F$29+(Regression!$F$28*Table83[[#This Row],[Morning Diastolic Pressure]])</f>
        <v>44.464087909481968</v>
      </c>
      <c r="CH28" s="2">
        <f>Table83[[#This Row],[Waist]]-Table7[[#This Row],[Waist v Morning Dia]]</f>
        <v>1.5359120905180319</v>
      </c>
      <c r="CI28" s="2">
        <f>Table7[[#This Row],[WaistMD Res]]^2</f>
        <v>2.359025949799471</v>
      </c>
      <c r="CJ28">
        <f>Regression!$G$29+(Regression!$G$28*Table83[[#This Row],[Morning Pulse]])</f>
        <v>44.458773712947881</v>
      </c>
      <c r="CK28" s="2">
        <f>Table83[[#This Row],[Waist]]-Table7[[#This Row],[Waist v Morning Pulse]]</f>
        <v>1.5412262870521189</v>
      </c>
      <c r="CL28" s="2">
        <f>Table7[[#This Row],[WaistMP Res]]^2</f>
        <v>2.3753784679004606</v>
      </c>
      <c r="CM28">
        <f>Regression!$H$29+(Regression!$H$28*Table83[[#This Row],[Night Body Temp]])</f>
        <v>44.457050878464067</v>
      </c>
      <c r="CN28" s="2">
        <f>Table83[[#This Row],[Waist]]-Table7[[#This Row],[Waist v Night Temp]]</f>
        <v>1.5429491215359334</v>
      </c>
      <c r="CO28" s="2">
        <f>Table7[[#This Row],[WaistNT Res]]^2</f>
        <v>2.3806919916485088</v>
      </c>
      <c r="CP28">
        <f>Regression!$I$29+(Regression!$I$28*Table83[[#This Row],[Night Systolic Pressure]])</f>
        <v>44.427419086653984</v>
      </c>
      <c r="CQ28" s="2">
        <f>Table83[[#This Row],[Waist]]-Table7[[#This Row],[Waist v  Night Sys]]</f>
        <v>1.572580913346016</v>
      </c>
      <c r="CR28" s="2">
        <f>Table7[[#This Row],[WaistNS Res]]^2</f>
        <v>2.4730107290201899</v>
      </c>
      <c r="CS28">
        <f>Regression!$J$29+(Regression!$J$28*Table83[[#This Row],[Night Diastolic Pressure]])</f>
        <v>44.614703518020711</v>
      </c>
      <c r="CT28" s="2">
        <f>Table83[[#This Row],[Waist]]-Table7[[#This Row],[Waist v Night Dia]]</f>
        <v>1.3852964819792888</v>
      </c>
      <c r="CU28" s="2">
        <f>Table7[[#This Row],[WaistND Res]]^2</f>
        <v>1.919046342984194</v>
      </c>
      <c r="CV28">
        <f>Regression!$K$29+(Regression!$K$28*Table83[[#This Row],[Night Pulse]])</f>
        <v>44.453994879943338</v>
      </c>
      <c r="CW28" s="2">
        <f>Table83[[#This Row],[Waist]]-Table7[[#This Row],[Waist v Night Pulse]]</f>
        <v>1.5460051200566625</v>
      </c>
      <c r="CX28" s="2">
        <f>Table7[[#This Row],[WaistNP Res]]^2</f>
        <v>2.3901318312414155</v>
      </c>
      <c r="CY28">
        <f>Regression!$L$29+(Regression!$L$28*Table83[[#This Row],[Sleep]])</f>
        <v>44.264495980875481</v>
      </c>
      <c r="CZ28" s="2">
        <f>Table83[[#This Row],[Waist]]-Table7[[#This Row],[Waist v  Sleep]]</f>
        <v>1.7355040191245195</v>
      </c>
      <c r="DA28" s="2">
        <f>Table7[[#This Row],[WaistS Res]]^2</f>
        <v>3.0119742003973604</v>
      </c>
      <c r="DB28">
        <f>Regression!$M$29+(Regression!$M$28*Table83[[#This Row],[BMI]])</f>
        <v>45.091923655712534</v>
      </c>
      <c r="DC28" s="2">
        <f>Table83[[#This Row],[Waist]]-Table7[[#This Row],[Waist v BMI]]</f>
        <v>0.90807634428746553</v>
      </c>
      <c r="DD28" s="2">
        <f>Table7[[#This Row],[WaistBMI Res]]^2</f>
        <v>0.8246026470544876</v>
      </c>
      <c r="DE28">
        <f>Regression!$N$29+(Regression!$N$28*Table83[[#This Row],[CBF]])</f>
        <v>45.737892076427137</v>
      </c>
      <c r="DF28" s="2">
        <f>Table83[[#This Row],[Waist]]-Table7[[#This Row],[Waist v  CBF]]</f>
        <v>0.26210792357286294</v>
      </c>
      <c r="DG28" s="2">
        <f>Table7[[#This Row],[WaistCBF Res]]^2</f>
        <v>6.8700563599677758E-2</v>
      </c>
      <c r="DH28">
        <f>Regression!$O$29+(Regression!$O$28*Table83[[#This Row],[Gym]])</f>
        <v>44.550847457627107</v>
      </c>
      <c r="DI28" s="2">
        <f>Table83[[#This Row],[Waist]]-Table7[[#This Row],[Waist v  Gym]]</f>
        <v>1.449152542372893</v>
      </c>
      <c r="DJ28" s="2">
        <f>Table7[[#This Row],[WaistGYM Res]]^2</f>
        <v>2.1000430910658197</v>
      </c>
      <c r="DK28">
        <f>Regression!$P$29+(Regression!$P$28*Table83[[#This Row],[Cardio]])</f>
        <v>44.680851063829778</v>
      </c>
      <c r="DL28" s="2">
        <f>Table83[[#This Row],[Waist]]-Table7[[#This Row],[Waist v Cardio]]</f>
        <v>1.3191489361702224</v>
      </c>
      <c r="DM28" s="2">
        <f>Table7[[#This Row],[WaistC Res]]^2</f>
        <v>1.7401539157990296</v>
      </c>
      <c r="DN28">
        <f>Regression!$Q$29+(Regression!$Q$28*Table83[[#This Row],[Calories]])</f>
        <v>44.583944983396037</v>
      </c>
      <c r="DO28" s="2">
        <f>Table83[[#This Row],[Waist]]-Table7[[#This Row],[Waist v Calories]]</f>
        <v>1.4160550166039627</v>
      </c>
      <c r="DP28" s="2">
        <f>Table7[[#This Row],[WaistCal Res]]^2</f>
        <v>2.0052118100492491</v>
      </c>
      <c r="DQ28">
        <f>Regression!$R$29+(Regression!$R$28*Table83[[#This Row],[Carbs]])</f>
        <v>44.6035793993494</v>
      </c>
      <c r="DR28" s="2">
        <f>Table83[[#This Row],[Waist]]-Table7[[#This Row],[Waist v Carbs]]</f>
        <v>1.3964206006506004</v>
      </c>
      <c r="DS28" s="2">
        <f>Table7[[#This Row],[WaistCarb Res]]^2</f>
        <v>1.9499904939213835</v>
      </c>
      <c r="DT28">
        <f>Regression!$S$29+(Regression!$S$28*Table83[[#This Row],[Fat ]])</f>
        <v>44.528016985458109</v>
      </c>
      <c r="DU28" s="2">
        <f>Table83[[#This Row],[Waist]]-Table7[[#This Row],[Waist v Fat]]</f>
        <v>1.4719830145418911</v>
      </c>
      <c r="DV28" s="2">
        <f>Table7[[#This Row],[WaistF Res]]^2</f>
        <v>2.166733995099833</v>
      </c>
      <c r="DW28">
        <f>Regression!$T$29+(Regression!$T$28*Table83[[#This Row],[Protein]])</f>
        <v>44.535689040222415</v>
      </c>
      <c r="DX28" s="2">
        <f>Table83[[#This Row],[Waist]]-Table7[[#This Row],[Waist v Protein]]</f>
        <v>1.4643109597775847</v>
      </c>
      <c r="DY28" s="2">
        <f>Table7[[#This Row],[WaistP Res]]^2</f>
        <v>2.1442065869247515</v>
      </c>
      <c r="DZ28">
        <f>Regression!$U$29+(Regression!$U$28*Table83[[#This Row],[Fiber]])</f>
        <v>44.537987565296739</v>
      </c>
      <c r="EA28" s="2">
        <f>Table83[[#This Row],[Waist]]-Table7[[#This Row],[Waist v Fiber]]</f>
        <v>1.4620124347032615</v>
      </c>
      <c r="EB28" s="2">
        <f>Table7[[#This Row],[WaistFib Res]]^2</f>
        <v>2.1374803592269584</v>
      </c>
      <c r="EC28">
        <f>Regression!$V$29+(Regression!$V$28*Table83[[#This Row],[Sugar]])</f>
        <v>44.728268152950982</v>
      </c>
      <c r="ED28" s="2">
        <f>Table83[[#This Row],[Waist]]-Table7[[#This Row],[Waist v Sugar]]</f>
        <v>1.2717318470490184</v>
      </c>
      <c r="EE28" s="2">
        <f>Table7[[#This Row],[WaistSugar Res]]^2</f>
        <v>1.617301890798708</v>
      </c>
      <c r="EF28">
        <f>Regression!$W$29+(Regression!$W$28*Table83[[#This Row],[Servings]])</f>
        <v>44.642714953976849</v>
      </c>
      <c r="EG28" s="2">
        <f>Table83[[#This Row],[Waist]]-Table7[[#This Row],[Waist v Servings]]</f>
        <v>1.3572850460231507</v>
      </c>
      <c r="EH28" s="2">
        <f>Table7[[#This Row],[WaistServ Res]]^2</f>
        <v>1.8422226961580663</v>
      </c>
      <c r="EI28">
        <f>Regression!$X$29+(Regression!$X$28*Table83[[#This Row],[Water]])</f>
        <v>44.442082352251923</v>
      </c>
      <c r="EJ28" s="2">
        <f>Table83[[#This Row],[Waist]]-Table7[[#This Row],[Waist v Water]]</f>
        <v>1.5579176477480772</v>
      </c>
      <c r="EK28" s="2">
        <f>Table7[[#This Row],[WaistWat Res]]^2</f>
        <v>2.4271073971649018</v>
      </c>
      <c r="EL28">
        <f>Regression!$Y$29+(Regression!$Y$28*Table83[[#This Row],[Fat Calories]])</f>
        <v>44.53092177345593</v>
      </c>
      <c r="EM28" s="2">
        <f>Table83[[#This Row],[Waist]]-Table7[[#This Row],[Waist v Fat Calories]]</f>
        <v>1.4690782265440703</v>
      </c>
      <c r="EN28" s="2">
        <f>Table7[[#This Row],[WaistFatCal Res]]^2</f>
        <v>2.1581908357058706</v>
      </c>
    </row>
    <row r="29" spans="1:144" x14ac:dyDescent="0.25">
      <c r="A29">
        <f>Regression!$B$10+(Regression!$B$9*Table83[[#This Row],[Waist]])</f>
        <v>258.23421455025004</v>
      </c>
      <c r="B29" s="2">
        <f>Table83[[#This Row],[Weight]]-Table7[[#This Row],[Weight v Waist]]</f>
        <v>1.565785449749967</v>
      </c>
      <c r="C29" s="2">
        <f>Table7[[#This Row],[Weight v Waist Res]]^2</f>
        <v>2.4516840746487065</v>
      </c>
      <c r="D29">
        <f>Regression!$C$10+(Regression!$C$9*Table83[[#This Row],[Neck]])</f>
        <v>260.39308108104251</v>
      </c>
      <c r="E29" s="2">
        <f>Table83[[#This Row],[Weight]]-Table7[[#This Row],[Weight v Neck]]</f>
        <v>-0.59308108104249868</v>
      </c>
      <c r="F29" s="2">
        <f>Table7[[#This Row],[WN Res]]^2</f>
        <v>0.3517451686905389</v>
      </c>
      <c r="G29">
        <f>Regression!$D$10+(Regression!$D$9*Table83[[#This Row],[Morning Body Temp]])</f>
        <v>255.05956644908434</v>
      </c>
      <c r="H29" s="2">
        <f>Table83[[#This Row],[Weight]]-Table7[[#This Row],[Weight v Morning Temp]]</f>
        <v>4.7404335509156681</v>
      </c>
      <c r="I29" s="2">
        <f>Table7[[#This Row],[WMT Res]]^2</f>
        <v>22.471710250646929</v>
      </c>
      <c r="J29">
        <f>Regression!$E$10+(Regression!$E$9*Table83[[#This Row],[Morning Systolic Pressure]])</f>
        <v>254.82902340557504</v>
      </c>
      <c r="K29" s="2">
        <f>Table83[[#This Row],[Weight]]-Table7[[#This Row],[Weight v Morning Sys]]</f>
        <v>4.9709765944249682</v>
      </c>
      <c r="L29" s="2">
        <f>Table7[[#This Row],[WMS Res]]^2</f>
        <v>24.710608302320853</v>
      </c>
      <c r="M29">
        <f>Regression!$F$10+(Regression!$F$9*Table83[[#This Row],[Morning Diastolic Pressure]])</f>
        <v>254.79800715011203</v>
      </c>
      <c r="N29" s="2">
        <f>Table83[[#This Row],[Weight]]-Table7[[#This Row],[Weight v Morning Dia]]</f>
        <v>5.0019928498879835</v>
      </c>
      <c r="O29" s="2">
        <f>Table7[[#This Row],[WMD Res]]^2</f>
        <v>25.019932470330513</v>
      </c>
      <c r="P29">
        <f>Regression!$G$10+(Regression!$G$9*Table83[[#This Row],[Morning Pulse]])</f>
        <v>255.11181729864128</v>
      </c>
      <c r="Q29" s="2">
        <f>Table83[[#This Row],[Weight]]-Table7[[#This Row],[Weight v Morning Pulse]]</f>
        <v>4.6881827013587269</v>
      </c>
      <c r="R29" s="2">
        <f>Table7[[#This Row],[WMP Res]]^2</f>
        <v>21.979057041319209</v>
      </c>
      <c r="S29">
        <f>Regression!$H$10+(Regression!$H$9*Table83[[#This Row],[Night Body Temp]])</f>
        <v>254.95418324800676</v>
      </c>
      <c r="T29" s="2">
        <f>Table83[[#This Row],[Weight]]-Table7[[#This Row],[Weight v Night Temp]]</f>
        <v>4.8458167519932545</v>
      </c>
      <c r="U29" s="2">
        <f>Table7[[#This Row],[WNT Res]]^2</f>
        <v>23.481939993898454</v>
      </c>
      <c r="V29">
        <f>Regression!$I$10+(Regression!$I$9*Table83[[#This Row],[Night Systolic Pressure]])</f>
        <v>254.72535722302487</v>
      </c>
      <c r="W29" s="2">
        <f>Table83[[#This Row],[Weight]]-Table7[[#This Row],[Weight v Night Sys]]</f>
        <v>5.0746427769751392</v>
      </c>
      <c r="X29" s="2">
        <f>Table7[[#This Row],[WNS Res]]^2</f>
        <v>25.751999313905952</v>
      </c>
      <c r="Y29">
        <f>Regression!$J$10+(Regression!$J$9*Table83[[#This Row],[Night Diastolic Pressure]])</f>
        <v>255.25537984791052</v>
      </c>
      <c r="Z29" s="2">
        <f>Table83[[#This Row],[Weight]]-Table7[[#This Row],[Weight v Night Dia]]</f>
        <v>4.5446201520894931</v>
      </c>
      <c r="AA29" s="2">
        <f>Table7[[#This Row],[WND Res]]^2</f>
        <v>20.653572326777926</v>
      </c>
      <c r="AB29">
        <f>Regression!$K$10+(Regression!$K$9*Table83[[#This Row],[Night Pulse]])</f>
        <v>254.74159188390053</v>
      </c>
      <c r="AC29" s="2">
        <f>Table83[[#This Row],[Weight]]-Table7[[#This Row],[Weight v Night Pulse]]</f>
        <v>5.0584081160994856</v>
      </c>
      <c r="AD29" s="2">
        <f>Table7[[#This Row],[WNP Res ]]^2</f>
        <v>25.587492669021145</v>
      </c>
      <c r="AE29">
        <f>Regression!$L$10+(Regression!$L$9*Table83[[#This Row],[Sleep]])</f>
        <v>255.13702972738133</v>
      </c>
      <c r="AF29" s="2">
        <f>Table83[[#This Row],[Weight]]-Table7[[#This Row],[Weight v Sleep]]</f>
        <v>4.6629702726186792</v>
      </c>
      <c r="AG29" s="2">
        <f>Table7[[#This Row],[WS Res]]^2</f>
        <v>21.743291763325519</v>
      </c>
      <c r="AH29">
        <f>Regression!$M$10+(Regression!$M$9*Table83[[#This Row],[BMI]])</f>
        <v>259.79999999998961</v>
      </c>
      <c r="AI29" s="2">
        <f>Table83[[#This Row],[Weight]]-Table7[[#This Row],[Weight v BMI]]</f>
        <v>1.0402345651527867E-11</v>
      </c>
      <c r="AJ29" s="2">
        <f>Table7[[#This Row],[WBMI Res]]^2</f>
        <v>1.0820879505386072E-22</v>
      </c>
      <c r="AK29">
        <f>Regression!$N$10+(Regression!$N$9*Table83[[#This Row],[CBF]])</f>
        <v>256.25609762651322</v>
      </c>
      <c r="AL29" s="2">
        <f>Table83[[#This Row],[Weight]]-Table7[[#This Row],[Weight v CBF]]</f>
        <v>3.5439023734867874</v>
      </c>
      <c r="AM29" s="2">
        <f>Table7[[#This Row],[WCBF Res]]^2</f>
        <v>12.559244032805285</v>
      </c>
      <c r="AN29">
        <f>Regression!$O$10+(Regression!$O$9*Table83[[#This Row],[Gym]])</f>
        <v>255.46779661016953</v>
      </c>
      <c r="AO29" s="2">
        <f>Table83[[#This Row],[Weight]]-Table7[[#This Row],[Weight v Gym]]</f>
        <v>4.3322033898304824</v>
      </c>
      <c r="AP29" s="2">
        <f>Table7[[#This Row],[WG Res]]^2</f>
        <v>18.767986210858723</v>
      </c>
      <c r="AQ29">
        <f>Regression!$P$10+(Regression!$P$9*Table83[[#This Row],[Cardio]])</f>
        <v>256.41063829787231</v>
      </c>
      <c r="AR29" s="2">
        <f>Table83[[#This Row],[Weight]]-Table7[[#This Row],[Weight v Cardio]]</f>
        <v>3.3893617021277009</v>
      </c>
      <c r="AS29" s="2">
        <f>Table7[[#This Row],[WC Res]]^2</f>
        <v>11.487772747849986</v>
      </c>
      <c r="AT29">
        <f>Regression!$Q$10+(Regression!$Q$9*Table83[[#This Row],[Calories]])</f>
        <v>255.74499027224076</v>
      </c>
      <c r="AU29" s="2">
        <f>Table83[[#This Row],[Weight]]-Table7[[#This Row],[Weight v Calories]]</f>
        <v>4.0550097277592556</v>
      </c>
      <c r="AV29" s="2">
        <f>Table7[[#This Row],[WCAL Res]]^2</f>
        <v>16.443103892222194</v>
      </c>
      <c r="AW29">
        <f>Regression!$R$10+(Regression!$R$9*Table83[[#This Row],[Carbs]])</f>
        <v>255.89354832970841</v>
      </c>
      <c r="AX29" s="2">
        <f>Table83[[#This Row],[Weight]]-Table7[[#This Row],[Weight v Carbs]]</f>
        <v>3.9064516702916023</v>
      </c>
      <c r="AY29" s="2">
        <f>Table7[[#This Row],[Wcarb Res]]^2</f>
        <v>15.26036465232405</v>
      </c>
      <c r="AZ29">
        <f>Regression!$S$10+(Regression!$S$9*Table83[[#This Row],[Fat ]])</f>
        <v>255.40725028726689</v>
      </c>
      <c r="BA29" s="2">
        <f>Table83[[#This Row],[Weight]]-Table7[[#This Row],[Weight v Fat]]</f>
        <v>4.3927497127331208</v>
      </c>
      <c r="BB29" s="2">
        <f>Table7[[#This Row],[WF Res]]^2</f>
        <v>19.296250038716916</v>
      </c>
      <c r="BC29">
        <f>Regression!$T$10+(Regression!$T$9*Table83[[#This Row],[Protein]])</f>
        <v>255.86646796194634</v>
      </c>
      <c r="BD29" s="2">
        <f>Table83[[#This Row],[Weight]]-Table7[[#This Row],[Weight v Protein]]</f>
        <v>3.93353203805367</v>
      </c>
      <c r="BE29" s="2">
        <f>Table7[[#This Row],[WP Res]]^2</f>
        <v>15.472674294394659</v>
      </c>
      <c r="BF29">
        <f>Regression!$U$10+(Regression!$U$9*Table83[[#This Row],[Fiber]])</f>
        <v>255.06675474151487</v>
      </c>
      <c r="BG29" s="2">
        <f>Table83[[#This Row],[Weight]]-Table7[[#This Row],[Weight v Fiber]]</f>
        <v>4.733245258485141</v>
      </c>
      <c r="BH29" s="2">
        <f>Table7[[#This Row],[Wfib Res]]^2</f>
        <v>22.403610676972068</v>
      </c>
      <c r="BI29">
        <f>Regression!$V$10+(Regression!$V$9*Table83[[#This Row],[Sugar]])</f>
        <v>256.5999480818885</v>
      </c>
      <c r="BJ29" s="2">
        <f>Table83[[#This Row],[Weight]]-Table7[[#This Row],[Weight v Sugar]]</f>
        <v>3.2000519181115124</v>
      </c>
      <c r="BK29" s="2">
        <f>Table7[[#This Row],[Wsugar Res]]^2</f>
        <v>10.24033227860917</v>
      </c>
      <c r="BL29">
        <f>Regression!$W$10+(Regression!$W$9*Table83[[#This Row],[Servings]])</f>
        <v>256.56891871467695</v>
      </c>
      <c r="BM29" s="2">
        <f>Table83[[#This Row],[Weight]]-Table7[[#This Row],[Weight v Servings]]</f>
        <v>3.2310812853230573</v>
      </c>
      <c r="BN29" s="2">
        <f>Table7[[#This Row],[Wserv Res]]^2</f>
        <v>10.4398862723649</v>
      </c>
      <c r="BO29">
        <f>Regression!$X$10+(Regression!$X$9*Table83[[#This Row],[Water]])</f>
        <v>255.10626599365665</v>
      </c>
      <c r="BP29" s="2">
        <f>Table83[[#This Row],[Weight]]-Table7[[#This Row],[Weight v Water]]</f>
        <v>4.6937340063433624</v>
      </c>
      <c r="BQ29" s="2">
        <f>Table7[[#This Row],[Wwater Res]]^2</f>
        <v>22.031138922304113</v>
      </c>
      <c r="BR29">
        <f>Regression!$Y$10+(Regression!$Y$9*Table83[[#This Row],[Fat Calories]])</f>
        <v>255.42116337881561</v>
      </c>
      <c r="BS29" s="2">
        <f>Table83[[#This Row],[Weight]]-Table7[[#This Row],[Weight v Fat Calories]]</f>
        <v>4.378836621184405</v>
      </c>
      <c r="BT29" s="2">
        <f>Table7[[#This Row],[WFC Res]]^2</f>
        <v>19.174210155025655</v>
      </c>
      <c r="BU29">
        <f>Regression!$B$29+(Regression!$B$28*Table83[[#This Row],[Weight]])</f>
        <v>45.091923655714567</v>
      </c>
      <c r="BV29" s="2">
        <f>Table83[[#This Row],[Waist]]-Table7[[#This Row],[Waist v Weight]]</f>
        <v>-9.1923655714566621E-2</v>
      </c>
      <c r="BW29" s="2">
        <f>Table7[[#This Row],[WaistW Res]]^2</f>
        <v>8.4499584799301759E-3</v>
      </c>
      <c r="BX29">
        <f>Regression!$C$29+(Regression!$C$28*Table83[[#This Row],[Neck]])</f>
        <v>45.258648648648581</v>
      </c>
      <c r="BY29" s="2">
        <f>Table83[[#This Row],[Waist]]-Table7[[#This Row],[Waist v Neck]]</f>
        <v>-0.25864864864858106</v>
      </c>
      <c r="BZ29" s="2">
        <f>Table7[[#This Row],[WaistN Res]]^2</f>
        <v>6.689912344773713E-2</v>
      </c>
      <c r="CA29">
        <f>Regression!$D$29+(Regression!$D$28*Table83[[#This Row],[Morning Body Temp]])</f>
        <v>44.438451117581323</v>
      </c>
      <c r="CB29" s="2">
        <f>Table83[[#This Row],[Waist]]-Table7[[#This Row],[Waist v Morning Temp]]</f>
        <v>0.56154888241867695</v>
      </c>
      <c r="CC29" s="2">
        <f>Table7[[#This Row],[WaistMT Res]]^2</f>
        <v>0.31533714734566509</v>
      </c>
      <c r="CD29">
        <f>Regression!$E$29+(Regression!$E$28*Table83[[#This Row],[Morning Systolic Pressure]])</f>
        <v>44.386342295939642</v>
      </c>
      <c r="CE29" s="2">
        <f>Table83[[#This Row],[Waist]]-Table7[[#This Row],[Waist v Morning Sys]]</f>
        <v>0.61365770406035836</v>
      </c>
      <c r="CF29" s="2">
        <f>Table7[[#This Row],[WaistMS Res]]^2</f>
        <v>0.37657577775263035</v>
      </c>
      <c r="CG29">
        <f>Regression!$F$29+(Regression!$F$28*Table83[[#This Row],[Morning Diastolic Pressure]])</f>
        <v>44.435909806137701</v>
      </c>
      <c r="CH29" s="2">
        <f>Table83[[#This Row],[Waist]]-Table7[[#This Row],[Waist v Morning Dia]]</f>
        <v>0.56409019386229886</v>
      </c>
      <c r="CI29" s="2">
        <f>Table7[[#This Row],[WaistMD Res]]^2</f>
        <v>0.3181977468116059</v>
      </c>
      <c r="CJ29">
        <f>Regression!$G$29+(Regression!$G$28*Table83[[#This Row],[Morning Pulse]])</f>
        <v>44.45205769235897</v>
      </c>
      <c r="CK29" s="2">
        <f>Table83[[#This Row],[Waist]]-Table7[[#This Row],[Waist v Morning Pulse]]</f>
        <v>0.54794230764102991</v>
      </c>
      <c r="CL29" s="2">
        <f>Table7[[#This Row],[WaistMP Res]]^2</f>
        <v>0.30024077250297709</v>
      </c>
      <c r="CM29">
        <f>Regression!$H$29+(Regression!$H$28*Table83[[#This Row],[Night Body Temp]])</f>
        <v>44.440857030854289</v>
      </c>
      <c r="CN29" s="2">
        <f>Table83[[#This Row],[Waist]]-Table7[[#This Row],[Waist v Night Temp]]</f>
        <v>0.55914296914571082</v>
      </c>
      <c r="CO29" s="2">
        <f>Table7[[#This Row],[WaistNT Res]]^2</f>
        <v>0.31264085994508134</v>
      </c>
      <c r="CP29">
        <f>Regression!$I$29+(Regression!$I$28*Table83[[#This Row],[Night Systolic Pressure]])</f>
        <v>44.398338858002759</v>
      </c>
      <c r="CQ29" s="2">
        <f>Table83[[#This Row],[Waist]]-Table7[[#This Row],[Waist v  Night Sys]]</f>
        <v>0.60166114199724063</v>
      </c>
      <c r="CR29" s="2">
        <f>Table7[[#This Row],[WaistNS Res]]^2</f>
        <v>0.36199612978942375</v>
      </c>
      <c r="CS29">
        <f>Regression!$J$29+(Regression!$J$28*Table83[[#This Row],[Night Diastolic Pressure]])</f>
        <v>44.512295846776055</v>
      </c>
      <c r="CT29" s="2">
        <f>Table83[[#This Row],[Waist]]-Table7[[#This Row],[Waist v Night Dia]]</f>
        <v>0.48770415322394456</v>
      </c>
      <c r="CU29" s="2">
        <f>Table7[[#This Row],[WaistND Res]]^2</f>
        <v>0.2378553410718848</v>
      </c>
      <c r="CV29">
        <f>Regression!$K$29+(Regression!$K$28*Table83[[#This Row],[Night Pulse]])</f>
        <v>44.488275835674919</v>
      </c>
      <c r="CW29" s="2">
        <f>Table83[[#This Row],[Waist]]-Table7[[#This Row],[Waist v Night Pulse]]</f>
        <v>0.51172416432508072</v>
      </c>
      <c r="CX29" s="2">
        <f>Table7[[#This Row],[WaistNP Res]]^2</f>
        <v>0.26186162035420224</v>
      </c>
      <c r="CY29">
        <f>Regression!$L$29+(Regression!$L$28*Table83[[#This Row],[Sleep]])</f>
        <v>44.456891852858099</v>
      </c>
      <c r="CZ29" s="2">
        <f>Table83[[#This Row],[Waist]]-Table7[[#This Row],[Waist v  Sleep]]</f>
        <v>0.54310814714190059</v>
      </c>
      <c r="DA29" s="2">
        <f>Table7[[#This Row],[WaistS Res]]^2</f>
        <v>0.29496645949190836</v>
      </c>
      <c r="DB29">
        <f>Regression!$M$29+(Regression!$M$28*Table83[[#This Row],[BMI]])</f>
        <v>45.091923655712534</v>
      </c>
      <c r="DC29" s="2">
        <f>Table83[[#This Row],[Waist]]-Table7[[#This Row],[Waist v BMI]]</f>
        <v>-9.1923655712534469E-2</v>
      </c>
      <c r="DD29" s="2">
        <f>Table7[[#This Row],[WaistBMI Res]]^2</f>
        <v>8.4499584795565703E-3</v>
      </c>
      <c r="DE29">
        <f>Regression!$N$29+(Regression!$N$28*Table83[[#This Row],[CBF]])</f>
        <v>44.659010290127611</v>
      </c>
      <c r="DF29" s="2">
        <f>Table83[[#This Row],[Waist]]-Table7[[#This Row],[Waist v  CBF]]</f>
        <v>0.34098970987238886</v>
      </c>
      <c r="DG29" s="2">
        <f>Table7[[#This Row],[WaistCBF Res]]^2</f>
        <v>0.11627398223885593</v>
      </c>
      <c r="DH29">
        <f>Regression!$O$29+(Regression!$O$28*Table83[[#This Row],[Gym]])</f>
        <v>44.550847457627107</v>
      </c>
      <c r="DI29" s="2">
        <f>Table83[[#This Row],[Waist]]-Table7[[#This Row],[Waist v  Gym]]</f>
        <v>0.44915254237289304</v>
      </c>
      <c r="DJ29" s="2">
        <f>Table7[[#This Row],[WaistGYM Res]]^2</f>
        <v>0.20173800632003347</v>
      </c>
      <c r="DK29">
        <f>Regression!$P$29+(Regression!$P$28*Table83[[#This Row],[Cardio]])</f>
        <v>44.680851063829778</v>
      </c>
      <c r="DL29" s="2">
        <f>Table83[[#This Row],[Waist]]-Table7[[#This Row],[Waist v Cardio]]</f>
        <v>0.31914893617022244</v>
      </c>
      <c r="DM29" s="2">
        <f>Table7[[#This Row],[WaistC Res]]^2</f>
        <v>0.10185604345858472</v>
      </c>
      <c r="DN29">
        <f>Regression!$Q$29+(Regression!$Q$28*Table83[[#This Row],[Calories]])</f>
        <v>44.59507472271298</v>
      </c>
      <c r="DO29" s="2">
        <f>Table83[[#This Row],[Waist]]-Table7[[#This Row],[Waist v Calories]]</f>
        <v>0.40492527728702044</v>
      </c>
      <c r="DP29" s="2">
        <f>Table7[[#This Row],[WaistCal Res]]^2</f>
        <v>0.16396448018597037</v>
      </c>
      <c r="DQ29">
        <f>Regression!$R$29+(Regression!$R$28*Table83[[#This Row],[Carbs]])</f>
        <v>44.61561960549281</v>
      </c>
      <c r="DR29" s="2">
        <f>Table83[[#This Row],[Waist]]-Table7[[#This Row],[Waist v Carbs]]</f>
        <v>0.38438039450718975</v>
      </c>
      <c r="DS29" s="2">
        <f>Table7[[#This Row],[WaistCarb Res]]^2</f>
        <v>0.14774828768150283</v>
      </c>
      <c r="DT29">
        <f>Regression!$S$29+(Regression!$S$28*Table83[[#This Row],[Fat ]])</f>
        <v>44.542861025405863</v>
      </c>
      <c r="DU29" s="2">
        <f>Table83[[#This Row],[Waist]]-Table7[[#This Row],[Waist v Fat]]</f>
        <v>0.45713897459413744</v>
      </c>
      <c r="DV29" s="2">
        <f>Table7[[#This Row],[WaistF Res]]^2</f>
        <v>0.20897604209297943</v>
      </c>
      <c r="DW29">
        <f>Regression!$T$29+(Regression!$T$28*Table83[[#This Row],[Protein]])</f>
        <v>44.591078275424557</v>
      </c>
      <c r="DX29" s="2">
        <f>Table83[[#This Row],[Waist]]-Table7[[#This Row],[Waist v Protein]]</f>
        <v>0.40892172457544262</v>
      </c>
      <c r="DY29" s="2">
        <f>Table7[[#This Row],[WaistP Res]]^2</f>
        <v>0.16721697682975414</v>
      </c>
      <c r="DZ29">
        <f>Regression!$U$29+(Regression!$U$28*Table83[[#This Row],[Fiber]])</f>
        <v>44.434906836417021</v>
      </c>
      <c r="EA29" s="2">
        <f>Table83[[#This Row],[Waist]]-Table7[[#This Row],[Waist v Fiber]]</f>
        <v>0.56509316358297923</v>
      </c>
      <c r="EB29" s="2">
        <f>Table7[[#This Row],[WaistFib Res]]^2</f>
        <v>0.31933028352821974</v>
      </c>
      <c r="EC29">
        <f>Regression!$V$29+(Regression!$V$28*Table83[[#This Row],[Sugar]])</f>
        <v>44.720286235632599</v>
      </c>
      <c r="ED29" s="2">
        <f>Table83[[#This Row],[Waist]]-Table7[[#This Row],[Waist v Sugar]]</f>
        <v>0.27971376436740059</v>
      </c>
      <c r="EE29" s="2">
        <f>Table7[[#This Row],[WaistSugar Res]]^2</f>
        <v>7.8239789976581695E-2</v>
      </c>
      <c r="EF29">
        <f>Regression!$W$29+(Regression!$W$28*Table83[[#This Row],[Servings]])</f>
        <v>44.675376845114258</v>
      </c>
      <c r="EG29" s="2">
        <f>Table83[[#This Row],[Waist]]-Table7[[#This Row],[Waist v Servings]]</f>
        <v>0.32462315488574234</v>
      </c>
      <c r="EH29" s="2">
        <f>Table7[[#This Row],[WaistServ Res]]^2</f>
        <v>0.10538019268797266</v>
      </c>
      <c r="EI29">
        <f>Regression!$X$29+(Regression!$X$28*Table83[[#This Row],[Water]])</f>
        <v>44.442082352251923</v>
      </c>
      <c r="EJ29" s="2">
        <f>Table83[[#This Row],[Waist]]-Table7[[#This Row],[Waist v Water]]</f>
        <v>0.55791764774807717</v>
      </c>
      <c r="EK29" s="2">
        <f>Table7[[#This Row],[WaistWat Res]]^2</f>
        <v>0.31127210166874753</v>
      </c>
      <c r="EL29">
        <f>Regression!$Y$29+(Regression!$Y$28*Table83[[#This Row],[Fat Calories]])</f>
        <v>44.546639457082108</v>
      </c>
      <c r="EM29" s="2">
        <f>Table83[[#This Row],[Waist]]-Table7[[#This Row],[Waist v Fat Calories]]</f>
        <v>0.45336054291789196</v>
      </c>
      <c r="EN29" s="2">
        <f>Table7[[#This Row],[WaistFatCal Res]]^2</f>
        <v>0.20553578187480576</v>
      </c>
    </row>
    <row r="30" spans="1:144" x14ac:dyDescent="0.25">
      <c r="A30">
        <f>Regression!$B$10+(Regression!$B$9*Table83[[#This Row],[Waist]])</f>
        <v>258.23421455025004</v>
      </c>
      <c r="B30" s="2">
        <f>Table83[[#This Row],[Weight]]-Table7[[#This Row],[Weight v Waist]]</f>
        <v>0.76578544974995566</v>
      </c>
      <c r="C30" s="2">
        <f>Table7[[#This Row],[Weight v Waist Res]]^2</f>
        <v>0.58642735504874188</v>
      </c>
      <c r="D30">
        <f>Regression!$C$10+(Regression!$C$9*Table83[[#This Row],[Neck]])</f>
        <v>260.39308108104251</v>
      </c>
      <c r="E30" s="2">
        <f>Table83[[#This Row],[Weight]]-Table7[[#This Row],[Weight v Neck]]</f>
        <v>-1.39308108104251</v>
      </c>
      <c r="F30" s="2">
        <f>Table7[[#This Row],[WN Res]]^2</f>
        <v>1.9406748983585684</v>
      </c>
      <c r="G30">
        <f>Regression!$D$10+(Regression!$D$9*Table83[[#This Row],[Morning Body Temp]])</f>
        <v>254.91876934063959</v>
      </c>
      <c r="H30" s="2">
        <f>Table83[[#This Row],[Weight]]-Table7[[#This Row],[Weight v Morning Temp]]</f>
        <v>4.0812306593604148</v>
      </c>
      <c r="I30" s="2">
        <f>Table7[[#This Row],[WMT Res]]^2</f>
        <v>16.656443694903448</v>
      </c>
      <c r="J30">
        <f>Regression!$E$10+(Regression!$E$9*Table83[[#This Row],[Morning Systolic Pressure]])</f>
        <v>256.00103070602302</v>
      </c>
      <c r="K30" s="2">
        <f>Table83[[#This Row],[Weight]]-Table7[[#This Row],[Weight v Morning Sys]]</f>
        <v>2.9989692939769839</v>
      </c>
      <c r="L30" s="2">
        <f>Table7[[#This Row],[WMS Res]]^2</f>
        <v>8.9938168262168094</v>
      </c>
      <c r="M30">
        <f>Regression!$F$10+(Regression!$F$9*Table83[[#This Row],[Morning Diastolic Pressure]])</f>
        <v>254.18994165584274</v>
      </c>
      <c r="N30" s="2">
        <f>Table83[[#This Row],[Weight]]-Table7[[#This Row],[Weight v Morning Dia]]</f>
        <v>4.8100583441572553</v>
      </c>
      <c r="O30" s="2">
        <f>Table7[[#This Row],[WMD Res]]^2</f>
        <v>23.136661274196836</v>
      </c>
      <c r="P30">
        <f>Regression!$G$10+(Regression!$G$9*Table83[[#This Row],[Morning Pulse]])</f>
        <v>255.13375084772755</v>
      </c>
      <c r="Q30" s="2">
        <f>Table83[[#This Row],[Weight]]-Table7[[#This Row],[Weight v Morning Pulse]]</f>
        <v>3.8662491522724451</v>
      </c>
      <c r="R30" s="2">
        <f>Table7[[#This Row],[WMP Res]]^2</f>
        <v>14.947882507447401</v>
      </c>
      <c r="S30">
        <f>Regression!$H$10+(Regression!$H$9*Table83[[#This Row],[Night Body Temp]])</f>
        <v>254.02991411367159</v>
      </c>
      <c r="T30" s="2">
        <f>Table83[[#This Row],[Weight]]-Table7[[#This Row],[Weight v Night Temp]]</f>
        <v>4.9700858863284054</v>
      </c>
      <c r="U30" s="2">
        <f>Table7[[#This Row],[WNT Res]]^2</f>
        <v>24.701753717480813</v>
      </c>
      <c r="V30">
        <f>Regression!$I$10+(Regression!$I$9*Table83[[#This Row],[Night Systolic Pressure]])</f>
        <v>255.34122622719568</v>
      </c>
      <c r="W30" s="2">
        <f>Table83[[#This Row],[Weight]]-Table7[[#This Row],[Weight v Night Sys]]</f>
        <v>3.6587737728043237</v>
      </c>
      <c r="X30" s="2">
        <f>Table7[[#This Row],[WNS Res]]^2</f>
        <v>13.386625520560784</v>
      </c>
      <c r="Y30">
        <f>Regression!$J$10+(Regression!$J$9*Table83[[#This Row],[Night Diastolic Pressure]])</f>
        <v>255.25537984791052</v>
      </c>
      <c r="Z30" s="2">
        <f>Table83[[#This Row],[Weight]]-Table7[[#This Row],[Weight v Night Dia]]</f>
        <v>3.7446201520894817</v>
      </c>
      <c r="AA30" s="2">
        <f>Table7[[#This Row],[WND Res]]^2</f>
        <v>14.022180083434653</v>
      </c>
      <c r="AB30">
        <f>Regression!$K$10+(Regression!$K$9*Table83[[#This Row],[Night Pulse]])</f>
        <v>254.77230521513724</v>
      </c>
      <c r="AC30" s="2">
        <f>Table83[[#This Row],[Weight]]-Table7[[#This Row],[Weight v Night Pulse]]</f>
        <v>4.2276947848627628</v>
      </c>
      <c r="AD30" s="2">
        <f>Table7[[#This Row],[WNP Res ]]^2</f>
        <v>17.873403193955802</v>
      </c>
      <c r="AE30">
        <f>Regression!$L$10+(Regression!$L$9*Table83[[#This Row],[Sleep]])</f>
        <v>254.66381845232058</v>
      </c>
      <c r="AF30" s="2">
        <f>Table83[[#This Row],[Weight]]-Table7[[#This Row],[Weight v Sleep]]</f>
        <v>4.3361815476794163</v>
      </c>
      <c r="AG30" s="2">
        <f>Table7[[#This Row],[WS Res]]^2</f>
        <v>18.802470414435458</v>
      </c>
      <c r="AH30">
        <f>Regression!$M$10+(Regression!$M$9*Table83[[#This Row],[BMI]])</f>
        <v>258.99999999999136</v>
      </c>
      <c r="AI30" s="2">
        <f>Table83[[#This Row],[Weight]]-Table7[[#This Row],[Weight v BMI]]</f>
        <v>8.6401996668428183E-12</v>
      </c>
      <c r="AJ30" s="2">
        <f>Table7[[#This Row],[WBMI Res]]^2</f>
        <v>7.4653050282910748E-23</v>
      </c>
      <c r="AK30">
        <f>Regression!$N$10+(Regression!$N$9*Table83[[#This Row],[CBF]])</f>
        <v>256.25609762651322</v>
      </c>
      <c r="AL30" s="2">
        <f>Table83[[#This Row],[Weight]]-Table7[[#This Row],[Weight v CBF]]</f>
        <v>2.743902373486776</v>
      </c>
      <c r="AM30" s="2">
        <f>Table7[[#This Row],[WCBF Res]]^2</f>
        <v>7.5290002352263627</v>
      </c>
      <c r="AN30">
        <f>Regression!$O$10+(Regression!$O$9*Table83[[#This Row],[Gym]])</f>
        <v>254.72962962962998</v>
      </c>
      <c r="AO30" s="2">
        <f>Table83[[#This Row],[Weight]]-Table7[[#This Row],[Weight v Gym]]</f>
        <v>4.2703703703700171</v>
      </c>
      <c r="AP30" s="2">
        <f>Table7[[#This Row],[WG Res]]^2</f>
        <v>18.236063100134157</v>
      </c>
      <c r="AQ30">
        <f>Regression!$P$10+(Regression!$P$9*Table83[[#This Row],[Cardio]])</f>
        <v>254.19242424242461</v>
      </c>
      <c r="AR30" s="2">
        <f>Table83[[#This Row],[Weight]]-Table7[[#This Row],[Weight v Cardio]]</f>
        <v>4.8075757575753926</v>
      </c>
      <c r="AS30" s="2">
        <f>Table7[[#This Row],[WC Res]]^2</f>
        <v>23.112784664826609</v>
      </c>
      <c r="AT30">
        <f>Regression!$Q$10+(Regression!$Q$9*Table83[[#This Row],[Calories]])</f>
        <v>255.812428494713</v>
      </c>
      <c r="AU30" s="2">
        <f>Table83[[#This Row],[Weight]]-Table7[[#This Row],[Weight v Calories]]</f>
        <v>3.1875715052869964</v>
      </c>
      <c r="AV30" s="2">
        <f>Table7[[#This Row],[WCAL Res]]^2</f>
        <v>10.160612101317609</v>
      </c>
      <c r="AW30">
        <f>Regression!$R$10+(Regression!$R$9*Table83[[#This Row],[Carbs]])</f>
        <v>255.82432648873598</v>
      </c>
      <c r="AX30" s="2">
        <f>Table83[[#This Row],[Weight]]-Table7[[#This Row],[Weight v Carbs]]</f>
        <v>3.1756735112640229</v>
      </c>
      <c r="AY30" s="2">
        <f>Table7[[#This Row],[Wcarb Res]]^2</f>
        <v>10.084902250143967</v>
      </c>
      <c r="AZ30">
        <f>Regression!$S$10+(Regression!$S$9*Table83[[#This Row],[Fat ]])</f>
        <v>255.55750060171363</v>
      </c>
      <c r="BA30" s="2">
        <f>Table83[[#This Row],[Weight]]-Table7[[#This Row],[Weight v Fat]]</f>
        <v>3.4424993982863725</v>
      </c>
      <c r="BB30" s="2">
        <f>Table7[[#This Row],[WF Res]]^2</f>
        <v>11.850802107202037</v>
      </c>
      <c r="BC30">
        <f>Regression!$T$10+(Regression!$T$9*Table83[[#This Row],[Protein]])</f>
        <v>255.95382708157248</v>
      </c>
      <c r="BD30" s="2">
        <f>Table83[[#This Row],[Weight]]-Table7[[#This Row],[Weight v Protein]]</f>
        <v>3.0461729184275157</v>
      </c>
      <c r="BE30" s="2">
        <f>Table7[[#This Row],[WP Res]]^2</f>
        <v>9.2791694489612073</v>
      </c>
      <c r="BF30">
        <f>Regression!$U$10+(Regression!$U$9*Table83[[#This Row],[Fiber]])</f>
        <v>255.00524773180913</v>
      </c>
      <c r="BG30" s="2">
        <f>Table83[[#This Row],[Weight]]-Table7[[#This Row],[Weight v Fiber]]</f>
        <v>3.9947522681908652</v>
      </c>
      <c r="BH30" s="2">
        <f>Table7[[#This Row],[Wfib Res]]^2</f>
        <v>15.958045684216062</v>
      </c>
      <c r="BI30">
        <f>Regression!$V$10+(Regression!$V$9*Table83[[#This Row],[Sugar]])</f>
        <v>256.13979910066166</v>
      </c>
      <c r="BJ30" s="2">
        <f>Table83[[#This Row],[Weight]]-Table7[[#This Row],[Weight v Sugar]]</f>
        <v>2.8602008993383379</v>
      </c>
      <c r="BK30" s="2">
        <f>Table7[[#This Row],[Wsugar Res]]^2</f>
        <v>8.180749184575836</v>
      </c>
      <c r="BL30">
        <f>Regression!$W$10+(Regression!$W$9*Table83[[#This Row],[Servings]])</f>
        <v>256.68359336841195</v>
      </c>
      <c r="BM30" s="2">
        <f>Table83[[#This Row],[Weight]]-Table7[[#This Row],[Weight v Servings]]</f>
        <v>2.3164066315880518</v>
      </c>
      <c r="BN30" s="2">
        <f>Table7[[#This Row],[Wserv Res]]^2</f>
        <v>5.3657396828651045</v>
      </c>
      <c r="BO30">
        <f>Regression!$X$10+(Regression!$X$9*Table83[[#This Row],[Water]])</f>
        <v>255.10626599365665</v>
      </c>
      <c r="BP30" s="2">
        <f>Table83[[#This Row],[Weight]]-Table7[[#This Row],[Weight v Water]]</f>
        <v>3.893734006343351</v>
      </c>
      <c r="BQ30" s="2">
        <f>Table7[[#This Row],[Wwater Res]]^2</f>
        <v>15.161164512154643</v>
      </c>
      <c r="BR30">
        <f>Regression!$Y$10+(Regression!$Y$9*Table83[[#This Row],[Fat Calories]])</f>
        <v>255.58106751165749</v>
      </c>
      <c r="BS30" s="2">
        <f>Table83[[#This Row],[Weight]]-Table7[[#This Row],[Weight v Fat Calories]]</f>
        <v>3.4189324883425058</v>
      </c>
      <c r="BT30" s="2">
        <f>Table7[[#This Row],[WFC Res]]^2</f>
        <v>11.68909935984388</v>
      </c>
      <c r="BU30">
        <f>Regression!$B$29+(Regression!$B$28*Table83[[#This Row],[Weight]])</f>
        <v>44.982913647258577</v>
      </c>
      <c r="BV30" s="2">
        <f>Table83[[#This Row],[Waist]]-Table7[[#This Row],[Waist v Weight]]</f>
        <v>1.7086352741422672E-2</v>
      </c>
      <c r="BW30" s="2">
        <f>Table7[[#This Row],[WaistW Res]]^2</f>
        <v>2.9194345000432207E-4</v>
      </c>
      <c r="BX30">
        <f>Regression!$C$29+(Regression!$C$28*Table83[[#This Row],[Neck]])</f>
        <v>45.258648648648581</v>
      </c>
      <c r="BY30" s="2">
        <f>Table83[[#This Row],[Waist]]-Table7[[#This Row],[Waist v Neck]]</f>
        <v>-0.25864864864858106</v>
      </c>
      <c r="BZ30" s="2">
        <f>Table7[[#This Row],[WaistN Res]]^2</f>
        <v>6.689912344773713E-2</v>
      </c>
      <c r="CA30">
        <f>Regression!$D$29+(Regression!$D$28*Table83[[#This Row],[Morning Body Temp]])</f>
        <v>44.400157491229571</v>
      </c>
      <c r="CB30" s="2">
        <f>Table83[[#This Row],[Waist]]-Table7[[#This Row],[Waist v Morning Temp]]</f>
        <v>0.59984250877042911</v>
      </c>
      <c r="CC30" s="2">
        <f>Table7[[#This Row],[WaistMT Res]]^2</f>
        <v>0.35981103532800229</v>
      </c>
      <c r="CD30">
        <f>Regression!$E$29+(Regression!$E$28*Table83[[#This Row],[Morning Systolic Pressure]])</f>
        <v>44.661692832242743</v>
      </c>
      <c r="CE30" s="2">
        <f>Table83[[#This Row],[Waist]]-Table7[[#This Row],[Waist v Morning Sys]]</f>
        <v>0.33830716775725733</v>
      </c>
      <c r="CF30" s="2">
        <f>Table7[[#This Row],[WaistMS Res]]^2</f>
        <v>0.11445173975593706</v>
      </c>
      <c r="CG30">
        <f>Regression!$F$29+(Regression!$F$28*Table83[[#This Row],[Morning Diastolic Pressure]])</f>
        <v>44.402096082124572</v>
      </c>
      <c r="CH30" s="2">
        <f>Table83[[#This Row],[Waist]]-Table7[[#This Row],[Waist v Morning Dia]]</f>
        <v>0.59790391787542774</v>
      </c>
      <c r="CI30" s="2">
        <f>Table7[[#This Row],[WaistMD Res]]^2</f>
        <v>0.35748909501078624</v>
      </c>
      <c r="CJ30">
        <f>Regression!$G$29+(Regression!$G$28*Table83[[#This Row],[Morning Pulse]])</f>
        <v>44.462131723242337</v>
      </c>
      <c r="CK30" s="2">
        <f>Table83[[#This Row],[Waist]]-Table7[[#This Row],[Waist v Morning Pulse]]</f>
        <v>0.53786827675766347</v>
      </c>
      <c r="CL30" s="2">
        <f>Table7[[#This Row],[WaistMP Res]]^2</f>
        <v>0.28930228314225848</v>
      </c>
      <c r="CM30">
        <f>Regression!$H$29+(Regression!$H$28*Table83[[#This Row],[Night Body Temp]])</f>
        <v>44.367984716610323</v>
      </c>
      <c r="CN30" s="2">
        <f>Table83[[#This Row],[Waist]]-Table7[[#This Row],[Waist v Night Temp]]</f>
        <v>0.63201528338967705</v>
      </c>
      <c r="CO30" s="2">
        <f>Table7[[#This Row],[WaistNT Res]]^2</f>
        <v>0.3994433184381338</v>
      </c>
      <c r="CP30">
        <f>Regression!$I$29+(Regression!$I$28*Table83[[#This Row],[Night Systolic Pressure]])</f>
        <v>44.48557954395644</v>
      </c>
      <c r="CQ30" s="2">
        <f>Table83[[#This Row],[Waist]]-Table7[[#This Row],[Waist v  Night Sys]]</f>
        <v>0.51442045604355968</v>
      </c>
      <c r="CR30" s="2">
        <f>Table7[[#This Row],[WaistNS Res]]^2</f>
        <v>0.26462840559606393</v>
      </c>
      <c r="CS30">
        <f>Regression!$J$29+(Regression!$J$28*Table83[[#This Row],[Night Diastolic Pressure]])</f>
        <v>44.512295846776055</v>
      </c>
      <c r="CT30" s="2">
        <f>Table83[[#This Row],[Waist]]-Table7[[#This Row],[Waist v Night Dia]]</f>
        <v>0.48770415322394456</v>
      </c>
      <c r="CU30" s="2">
        <f>Table7[[#This Row],[WaistND Res]]^2</f>
        <v>0.2378553410718848</v>
      </c>
      <c r="CV30">
        <f>Regression!$K$29+(Regression!$K$28*Table83[[#This Row],[Night Pulse]])</f>
        <v>44.485419089363951</v>
      </c>
      <c r="CW30" s="2">
        <f>Table83[[#This Row],[Waist]]-Table7[[#This Row],[Waist v Night Pulse]]</f>
        <v>0.51458091063604883</v>
      </c>
      <c r="CX30" s="2">
        <f>Table7[[#This Row],[WaistNP Res]]^2</f>
        <v>0.26479351359102526</v>
      </c>
      <c r="CY30">
        <f>Regression!$L$29+(Regression!$L$28*Table83[[#This Row],[Sleep]])</f>
        <v>44.384743400864622</v>
      </c>
      <c r="CZ30" s="2">
        <f>Table83[[#This Row],[Waist]]-Table7[[#This Row],[Waist v  Sleep]]</f>
        <v>0.61525659913537822</v>
      </c>
      <c r="DA30" s="2">
        <f>Table7[[#This Row],[WaistS Res]]^2</f>
        <v>0.37854068277963149</v>
      </c>
      <c r="DB30">
        <f>Regression!$M$29+(Regression!$M$28*Table83[[#This Row],[BMI]])</f>
        <v>44.982913647256893</v>
      </c>
      <c r="DC30" s="2">
        <f>Table83[[#This Row],[Waist]]-Table7[[#This Row],[Waist v BMI]]</f>
        <v>1.7086352743106659E-2</v>
      </c>
      <c r="DD30" s="2">
        <f>Table7[[#This Row],[WaistBMI Res]]^2</f>
        <v>2.9194345006186844E-4</v>
      </c>
      <c r="DE30">
        <f>Regression!$N$29+(Regression!$N$28*Table83[[#This Row],[CBF]])</f>
        <v>44.659010290127611</v>
      </c>
      <c r="DF30" s="2">
        <f>Table83[[#This Row],[Waist]]-Table7[[#This Row],[Waist v  CBF]]</f>
        <v>0.34098970987238886</v>
      </c>
      <c r="DG30" s="2">
        <f>Table7[[#This Row],[WaistCBF Res]]^2</f>
        <v>0.11627398223885593</v>
      </c>
      <c r="DH30">
        <f>Regression!$O$29+(Regression!$O$28*Table83[[#This Row],[Gym]])</f>
        <v>44.347222222222221</v>
      </c>
      <c r="DI30" s="2">
        <f>Table83[[#This Row],[Waist]]-Table7[[#This Row],[Waist v  Gym]]</f>
        <v>0.65277777777777857</v>
      </c>
      <c r="DJ30" s="2">
        <f>Table7[[#This Row],[WaistGYM Res]]^2</f>
        <v>0.42611882716049487</v>
      </c>
      <c r="DK30">
        <f>Regression!$P$29+(Regression!$P$28*Table83[[#This Row],[Cardio]])</f>
        <v>44.291666666666664</v>
      </c>
      <c r="DL30" s="2">
        <f>Table83[[#This Row],[Waist]]-Table7[[#This Row],[Waist v Cardio]]</f>
        <v>0.7083333333333357</v>
      </c>
      <c r="DM30" s="2">
        <f>Table7[[#This Row],[WaistC Res]]^2</f>
        <v>0.50173611111111449</v>
      </c>
      <c r="DN30">
        <f>Regression!$Q$29+(Regression!$Q$28*Table83[[#This Row],[Calories]])</f>
        <v>44.610226595545448</v>
      </c>
      <c r="DO30" s="2">
        <f>Table83[[#This Row],[Waist]]-Table7[[#This Row],[Waist v Calories]]</f>
        <v>0.38977340445455155</v>
      </c>
      <c r="DP30" s="2">
        <f>Table7[[#This Row],[WaistCal Res]]^2</f>
        <v>0.15192330682009142</v>
      </c>
      <c r="DQ30">
        <f>Regression!$R$29+(Regression!$R$28*Table83[[#This Row],[Carbs]])</f>
        <v>44.601208042100261</v>
      </c>
      <c r="DR30" s="2">
        <f>Table83[[#This Row],[Waist]]-Table7[[#This Row],[Waist v Carbs]]</f>
        <v>0.3987919578997392</v>
      </c>
      <c r="DS30" s="2">
        <f>Table7[[#This Row],[WaistCarb Res]]^2</f>
        <v>0.15903502568550737</v>
      </c>
      <c r="DT30">
        <f>Regression!$S$29+(Regression!$S$28*Table83[[#This Row],[Fat ]])</f>
        <v>44.588789366828358</v>
      </c>
      <c r="DU30" s="2">
        <f>Table83[[#This Row],[Waist]]-Table7[[#This Row],[Waist v Fat]]</f>
        <v>0.41121063317164186</v>
      </c>
      <c r="DV30" s="2">
        <f>Table7[[#This Row],[WaistF Res]]^2</f>
        <v>0.16909418483342262</v>
      </c>
      <c r="DW30">
        <f>Regression!$T$29+(Regression!$T$28*Table83[[#This Row],[Protein]])</f>
        <v>44.607068239397464</v>
      </c>
      <c r="DX30" s="2">
        <f>Table83[[#This Row],[Waist]]-Table7[[#This Row],[Waist v Protein]]</f>
        <v>0.39293176060253643</v>
      </c>
      <c r="DY30" s="2">
        <f>Table7[[#This Row],[WaistP Res]]^2</f>
        <v>0.15439536849020899</v>
      </c>
      <c r="DZ30">
        <f>Regression!$U$29+(Regression!$U$28*Table83[[#This Row],[Fiber]])</f>
        <v>44.411173744579784</v>
      </c>
      <c r="EA30" s="2">
        <f>Table83[[#This Row],[Waist]]-Table7[[#This Row],[Waist v Fiber]]</f>
        <v>0.58882625542021572</v>
      </c>
      <c r="EB30" s="2">
        <f>Table7[[#This Row],[WaistFib Res]]^2</f>
        <v>0.34671635907219311</v>
      </c>
      <c r="EC30">
        <f>Regression!$V$29+(Regression!$V$28*Table83[[#This Row],[Sugar]])</f>
        <v>44.63762560320918</v>
      </c>
      <c r="ED30" s="2">
        <f>Table83[[#This Row],[Waist]]-Table7[[#This Row],[Waist v Sugar]]</f>
        <v>0.36237439679081973</v>
      </c>
      <c r="EE30" s="2">
        <f>Table7[[#This Row],[WaistSugar Res]]^2</f>
        <v>0.13131520344951045</v>
      </c>
      <c r="EF30">
        <f>Regression!$W$29+(Regression!$W$28*Table83[[#This Row],[Servings]])</f>
        <v>44.692874286795018</v>
      </c>
      <c r="EG30" s="2">
        <f>Table83[[#This Row],[Waist]]-Table7[[#This Row],[Waist v Servings]]</f>
        <v>0.30712571320498228</v>
      </c>
      <c r="EH30" s="2">
        <f>Table7[[#This Row],[WaistServ Res]]^2</f>
        <v>9.4326203711669027E-2</v>
      </c>
      <c r="EI30">
        <f>Regression!$X$29+(Regression!$X$28*Table83[[#This Row],[Water]])</f>
        <v>44.442082352251923</v>
      </c>
      <c r="EJ30" s="2">
        <f>Table83[[#This Row],[Waist]]-Table7[[#This Row],[Waist v Water]]</f>
        <v>0.55791764774807717</v>
      </c>
      <c r="EK30" s="2">
        <f>Table7[[#This Row],[WaistWat Res]]^2</f>
        <v>0.31127210166874753</v>
      </c>
      <c r="EL30">
        <f>Regression!$Y$29+(Regression!$Y$28*Table83[[#This Row],[Fat Calories]])</f>
        <v>44.595270903945291</v>
      </c>
      <c r="EM30" s="2">
        <f>Table83[[#This Row],[Waist]]-Table7[[#This Row],[Waist v Fat Calories]]</f>
        <v>0.40472909605470875</v>
      </c>
      <c r="EN30" s="2">
        <f>Table7[[#This Row],[WaistFatCal Res]]^2</f>
        <v>0.16380564119326166</v>
      </c>
    </row>
    <row r="31" spans="1:144" x14ac:dyDescent="0.25">
      <c r="A31">
        <f>Regression!$B$10+(Regression!$B$9*Table83[[#This Row],[Waist]])</f>
        <v>258.23421455025004</v>
      </c>
      <c r="B31" s="2">
        <f>Table83[[#This Row],[Weight]]-Table7[[#This Row],[Weight v Waist]]</f>
        <v>-3.4214550250055709E-2</v>
      </c>
      <c r="C31" s="2">
        <f>Table7[[#This Row],[Weight v Waist Res]]^2</f>
        <v>1.1706354488135872E-3</v>
      </c>
      <c r="D31">
        <f>Regression!$C$10+(Regression!$C$9*Table83[[#This Row],[Neck]])</f>
        <v>260.39308108104251</v>
      </c>
      <c r="E31" s="2">
        <f>Table83[[#This Row],[Weight]]-Table7[[#This Row],[Weight v Neck]]</f>
        <v>-2.1930810810425214</v>
      </c>
      <c r="F31" s="2">
        <f>Table7[[#This Row],[WN Res]]^2</f>
        <v>4.8096046280266345</v>
      </c>
      <c r="G31">
        <f>Regression!$D$10+(Regression!$D$9*Table83[[#This Row],[Morning Body Temp]])</f>
        <v>254.77797223219488</v>
      </c>
      <c r="H31" s="2">
        <f>Table83[[#This Row],[Weight]]-Table7[[#This Row],[Weight v Morning Temp]]</f>
        <v>3.4220277678051048</v>
      </c>
      <c r="I31" s="2">
        <f>Table7[[#This Row],[WMT Res]]^2</f>
        <v>11.710274043629187</v>
      </c>
      <c r="J31">
        <f>Regression!$E$10+(Regression!$E$9*Table83[[#This Row],[Morning Systolic Pressure]])</f>
        <v>255.00933222102856</v>
      </c>
      <c r="K31" s="2">
        <f>Table83[[#This Row],[Weight]]-Table7[[#This Row],[Weight v Morning Sys]]</f>
        <v>3.1906677789714308</v>
      </c>
      <c r="L31" s="2">
        <f>Table7[[#This Row],[WMS Res]]^2</f>
        <v>10.180360875766484</v>
      </c>
      <c r="M31">
        <f>Regression!$F$10+(Regression!$F$9*Table83[[#This Row],[Morning Diastolic Pressure]])</f>
        <v>255.00069564820177</v>
      </c>
      <c r="N31" s="2">
        <f>Table83[[#This Row],[Weight]]-Table7[[#This Row],[Weight v Morning Dia]]</f>
        <v>3.1993043517982187</v>
      </c>
      <c r="O31" s="2">
        <f>Table7[[#This Row],[WMD Res]]^2</f>
        <v>10.23554833543502</v>
      </c>
      <c r="P31">
        <f>Regression!$G$10+(Regression!$G$9*Table83[[#This Row],[Morning Pulse]])</f>
        <v>255.11364509439846</v>
      </c>
      <c r="Q31" s="2">
        <f>Table83[[#This Row],[Weight]]-Table7[[#This Row],[Weight v Morning Pulse]]</f>
        <v>3.0863549056015245</v>
      </c>
      <c r="R31" s="2">
        <f>Table7[[#This Row],[WMP Res]]^2</f>
        <v>9.5255866033305949</v>
      </c>
      <c r="S31">
        <f>Regression!$H$10+(Regression!$H$9*Table83[[#This Row],[Night Body Temp]])</f>
        <v>255.05687981848845</v>
      </c>
      <c r="T31" s="2">
        <f>Table83[[#This Row],[Weight]]-Table7[[#This Row],[Weight v Night Temp]]</f>
        <v>3.1431201815115344</v>
      </c>
      <c r="U31" s="2">
        <f>Table7[[#This Row],[WNT Res]]^2</f>
        <v>9.8792044754251016</v>
      </c>
      <c r="V31">
        <f>Regression!$I$10+(Regression!$I$9*Table83[[#This Row],[Night Systolic Pressure]])</f>
        <v>255.13593655913874</v>
      </c>
      <c r="W31" s="2">
        <f>Table83[[#This Row],[Weight]]-Table7[[#This Row],[Weight v Night Sys]]</f>
        <v>3.064063440861247</v>
      </c>
      <c r="X31" s="2">
        <f>Table7[[#This Row],[WNS Res]]^2</f>
        <v>9.3884847696224654</v>
      </c>
      <c r="Y31">
        <f>Regression!$J$10+(Regression!$J$9*Table83[[#This Row],[Night Diastolic Pressure]])</f>
        <v>255.33691158474272</v>
      </c>
      <c r="Z31" s="2">
        <f>Table83[[#This Row],[Weight]]-Table7[[#This Row],[Weight v Night Dia]]</f>
        <v>2.8630884152572662</v>
      </c>
      <c r="AA31" s="2">
        <f>Table7[[#This Row],[WND Res]]^2</f>
        <v>8.1972752735803649</v>
      </c>
      <c r="AB31">
        <f>Regression!$K$10+(Regression!$K$9*Table83[[#This Row],[Night Pulse]])</f>
        <v>255.04872519626778</v>
      </c>
      <c r="AC31" s="2">
        <f>Table83[[#This Row],[Weight]]-Table7[[#This Row],[Weight v Night Pulse]]</f>
        <v>3.1512748037322069</v>
      </c>
      <c r="AD31" s="2">
        <f>Table7[[#This Row],[WNP Res ]]^2</f>
        <v>9.93053288863746</v>
      </c>
      <c r="AE31">
        <f>Regression!$L$10+(Regression!$L$9*Table83[[#This Row],[Sleep]])</f>
        <v>255.45250391075515</v>
      </c>
      <c r="AF31" s="2">
        <f>Table83[[#This Row],[Weight]]-Table7[[#This Row],[Weight v Sleep]]</f>
        <v>2.7474960892448337</v>
      </c>
      <c r="AG31" s="2">
        <f>Table7[[#This Row],[WS Res]]^2</f>
        <v>7.5487347604156554</v>
      </c>
      <c r="AH31">
        <f>Regression!$M$10+(Regression!$M$9*Table83[[#This Row],[BMI]])</f>
        <v>258.19999999999311</v>
      </c>
      <c r="AI31" s="2">
        <f>Table83[[#This Row],[Weight]]-Table7[[#This Row],[Weight v BMI]]</f>
        <v>6.8780536821577698E-12</v>
      </c>
      <c r="AJ31" s="2">
        <f>Table7[[#This Row],[WBMI Res]]^2</f>
        <v>4.7307622454644055E-23</v>
      </c>
      <c r="AK31">
        <f>Regression!$N$10+(Regression!$N$9*Table83[[#This Row],[CBF]])</f>
        <v>256.25609762651322</v>
      </c>
      <c r="AL31" s="2">
        <f>Table83[[#This Row],[Weight]]-Table7[[#This Row],[Weight v CBF]]</f>
        <v>1.9439023734867646</v>
      </c>
      <c r="AM31" s="2">
        <f>Table7[[#This Row],[WCBF Res]]^2</f>
        <v>3.7787564376474769</v>
      </c>
      <c r="AN31">
        <f>Regression!$O$10+(Regression!$O$9*Table83[[#This Row],[Gym]])</f>
        <v>255.46779661016953</v>
      </c>
      <c r="AO31" s="2">
        <f>Table83[[#This Row],[Weight]]-Table7[[#This Row],[Weight v Gym]]</f>
        <v>2.7322033898304596</v>
      </c>
      <c r="AP31" s="2">
        <f>Table7[[#This Row],[WG Res]]^2</f>
        <v>7.4649353634010547</v>
      </c>
      <c r="AQ31">
        <f>Regression!$P$10+(Regression!$P$9*Table83[[#This Row],[Cardio]])</f>
        <v>256.41063829787231</v>
      </c>
      <c r="AR31" s="2">
        <f>Table83[[#This Row],[Weight]]-Table7[[#This Row],[Weight v Cardio]]</f>
        <v>1.7893617021276782</v>
      </c>
      <c r="AS31" s="2">
        <f>Table7[[#This Row],[WC Res]]^2</f>
        <v>3.2018153010412616</v>
      </c>
      <c r="AT31">
        <f>Regression!$Q$10+(Regression!$Q$9*Table83[[#This Row],[Calories]])</f>
        <v>255.86294244812137</v>
      </c>
      <c r="AU31" s="2">
        <f>Table83[[#This Row],[Weight]]-Table7[[#This Row],[Weight v Calories]]</f>
        <v>2.3370575518786154</v>
      </c>
      <c r="AV31" s="2">
        <f>Table7[[#This Row],[WCAL Res]]^2</f>
        <v>5.4618380007928673</v>
      </c>
      <c r="AW31">
        <f>Regression!$R$10+(Regression!$R$9*Table83[[#This Row],[Carbs]])</f>
        <v>256.01161037475003</v>
      </c>
      <c r="AX31" s="2">
        <f>Table83[[#This Row],[Weight]]-Table7[[#This Row],[Weight v Carbs]]</f>
        <v>2.188389625249954</v>
      </c>
      <c r="AY31" s="2">
        <f>Table7[[#This Row],[Wcarb Res]]^2</f>
        <v>4.7890491519016338</v>
      </c>
      <c r="AZ31">
        <f>Regression!$S$10+(Regression!$S$9*Table83[[#This Row],[Fat ]])</f>
        <v>255.47924222459966</v>
      </c>
      <c r="BA31" s="2">
        <f>Table83[[#This Row],[Weight]]-Table7[[#This Row],[Weight v Fat]]</f>
        <v>2.7207577754003296</v>
      </c>
      <c r="BB31" s="2">
        <f>Table7[[#This Row],[WF Res]]^2</f>
        <v>7.4025228724013505</v>
      </c>
      <c r="BC31">
        <f>Regression!$T$10+(Regression!$T$9*Table83[[#This Row],[Protein]])</f>
        <v>255.91804478617362</v>
      </c>
      <c r="BD31" s="2">
        <f>Table83[[#This Row],[Weight]]-Table7[[#This Row],[Weight v Protein]]</f>
        <v>2.2819552138263646</v>
      </c>
      <c r="BE31" s="2">
        <f>Table7[[#This Row],[WP Res]]^2</f>
        <v>5.2073195979093292</v>
      </c>
      <c r="BF31">
        <f>Regression!$U$10+(Regression!$U$9*Table83[[#This Row],[Fiber]])</f>
        <v>254.8697358297311</v>
      </c>
      <c r="BG31" s="2">
        <f>Table83[[#This Row],[Weight]]-Table7[[#This Row],[Weight v Fiber]]</f>
        <v>3.3302641702688902</v>
      </c>
      <c r="BH31" s="2">
        <f>Table7[[#This Row],[Wfib Res]]^2</f>
        <v>11.09065944377674</v>
      </c>
      <c r="BI31">
        <f>Regression!$V$10+(Regression!$V$9*Table83[[#This Row],[Sugar]])</f>
        <v>256.53810717440365</v>
      </c>
      <c r="BJ31" s="2">
        <f>Table83[[#This Row],[Weight]]-Table7[[#This Row],[Weight v Sugar]]</f>
        <v>1.6618928255963397</v>
      </c>
      <c r="BK31" s="2">
        <f>Table7[[#This Row],[Wsugar Res]]^2</f>
        <v>2.7618877637685859</v>
      </c>
      <c r="BL31">
        <f>Regression!$W$10+(Regression!$W$9*Table83[[#This Row],[Servings]])</f>
        <v>257.00468239886987</v>
      </c>
      <c r="BM31" s="2">
        <f>Table83[[#This Row],[Weight]]-Table7[[#This Row],[Weight v Servings]]</f>
        <v>1.1953176011301139</v>
      </c>
      <c r="BN31" s="2">
        <f>Table7[[#This Row],[Wserv Res]]^2</f>
        <v>1.4287841675714501</v>
      </c>
      <c r="BO31">
        <f>Regression!$X$10+(Regression!$X$9*Table83[[#This Row],[Water]])</f>
        <v>255.1490819770581</v>
      </c>
      <c r="BP31" s="2">
        <f>Table83[[#This Row],[Weight]]-Table7[[#This Row],[Weight v Water]]</f>
        <v>3.050918022941886</v>
      </c>
      <c r="BQ31" s="2">
        <f>Table7[[#This Row],[Wwater Res]]^2</f>
        <v>9.3081007827116267</v>
      </c>
      <c r="BR31">
        <f>Regression!$Y$10+(Regression!$Y$9*Table83[[#This Row],[Fat Calories]])</f>
        <v>255.49778091105301</v>
      </c>
      <c r="BS31" s="2">
        <f>Table83[[#This Row],[Weight]]-Table7[[#This Row],[Weight v Fat Calories]]</f>
        <v>2.7022190889469755</v>
      </c>
      <c r="BT31" s="2">
        <f>Table7[[#This Row],[WFC Res]]^2</f>
        <v>7.3019880046694219</v>
      </c>
      <c r="BU31">
        <f>Regression!$B$29+(Regression!$B$28*Table83[[#This Row],[Weight]])</f>
        <v>44.873903638802588</v>
      </c>
      <c r="BV31" s="2">
        <f>Table83[[#This Row],[Waist]]-Table7[[#This Row],[Waist v Weight]]</f>
        <v>0.12609636119741197</v>
      </c>
      <c r="BW31" s="2">
        <f>Table7[[#This Row],[WaistW Res]]^2</f>
        <v>1.5900292307228184E-2</v>
      </c>
      <c r="BX31">
        <f>Regression!$C$29+(Regression!$C$28*Table83[[#This Row],[Neck]])</f>
        <v>45.258648648648581</v>
      </c>
      <c r="BY31" s="2">
        <f>Table83[[#This Row],[Waist]]-Table7[[#This Row],[Waist v Neck]]</f>
        <v>-0.25864864864858106</v>
      </c>
      <c r="BZ31" s="2">
        <f>Table7[[#This Row],[WaistN Res]]^2</f>
        <v>6.689912344773713E-2</v>
      </c>
      <c r="CA31">
        <f>Regression!$D$29+(Regression!$D$28*Table83[[#This Row],[Morning Body Temp]])</f>
        <v>44.361863864877819</v>
      </c>
      <c r="CB31" s="2">
        <f>Table83[[#This Row],[Waist]]-Table7[[#This Row],[Waist v Morning Temp]]</f>
        <v>0.63813613512218126</v>
      </c>
      <c r="CC31" s="2">
        <f>Table7[[#This Row],[WaistMT Res]]^2</f>
        <v>0.40721772694867475</v>
      </c>
      <c r="CD31">
        <f>Regression!$E$29+(Regression!$E$28*Table83[[#This Row],[Morning Systolic Pressure]])</f>
        <v>44.428703916909349</v>
      </c>
      <c r="CE31" s="2">
        <f>Table83[[#This Row],[Waist]]-Table7[[#This Row],[Waist v Morning Sys]]</f>
        <v>0.57129608309065105</v>
      </c>
      <c r="CF31" s="2">
        <f>Table7[[#This Row],[WaistMS Res]]^2</f>
        <v>0.32637921455472008</v>
      </c>
      <c r="CG31">
        <f>Regression!$F$29+(Regression!$F$28*Table83[[#This Row],[Morning Diastolic Pressure]])</f>
        <v>44.447181047475404</v>
      </c>
      <c r="CH31" s="2">
        <f>Table83[[#This Row],[Waist]]-Table7[[#This Row],[Waist v Morning Dia]]</f>
        <v>0.55281895252459634</v>
      </c>
      <c r="CI31" s="2">
        <f>Table7[[#This Row],[WaistMD Res]]^2</f>
        <v>0.30560879427039189</v>
      </c>
      <c r="CJ31">
        <f>Regression!$G$29+(Regression!$G$28*Table83[[#This Row],[Morning Pulse]])</f>
        <v>44.452897194932582</v>
      </c>
      <c r="CK31" s="2">
        <f>Table83[[#This Row],[Waist]]-Table7[[#This Row],[Waist v Morning Pulse]]</f>
        <v>0.54710280506741782</v>
      </c>
      <c r="CL31" s="2">
        <f>Table7[[#This Row],[WaistMP Res]]^2</f>
        <v>0.29932147931263697</v>
      </c>
      <c r="CM31">
        <f>Regression!$H$29+(Regression!$H$28*Table83[[#This Row],[Night Body Temp]])</f>
        <v>44.448953954659181</v>
      </c>
      <c r="CN31" s="2">
        <f>Table83[[#This Row],[Waist]]-Table7[[#This Row],[Waist v Night Temp]]</f>
        <v>0.55104604534081858</v>
      </c>
      <c r="CO31" s="2">
        <f>Table7[[#This Row],[WaistNT Res]]^2</f>
        <v>0.30365174408575546</v>
      </c>
      <c r="CP31">
        <f>Regression!$I$29+(Regression!$I$28*Table83[[#This Row],[Night Systolic Pressure]])</f>
        <v>44.456499315305209</v>
      </c>
      <c r="CQ31" s="2">
        <f>Table83[[#This Row],[Waist]]-Table7[[#This Row],[Waist v  Night Sys]]</f>
        <v>0.5435006846947914</v>
      </c>
      <c r="CR31" s="2">
        <f>Table7[[#This Row],[WaistNS Res]]^2</f>
        <v>0.29539299426370708</v>
      </c>
      <c r="CS31">
        <f>Regression!$J$29+(Regression!$J$28*Table83[[#This Row],[Night Diastolic Pressure]])</f>
        <v>44.546431737190943</v>
      </c>
      <c r="CT31" s="2">
        <f>Table83[[#This Row],[Waist]]-Table7[[#This Row],[Waist v Night Dia]]</f>
        <v>0.45356826280905693</v>
      </c>
      <c r="CU31" s="2">
        <f>Table7[[#This Row],[WaistND Res]]^2</f>
        <v>0.20572416902762575</v>
      </c>
      <c r="CV31">
        <f>Regression!$K$29+(Regression!$K$28*Table83[[#This Row],[Night Pulse]])</f>
        <v>44.459708372565267</v>
      </c>
      <c r="CW31" s="2">
        <f>Table83[[#This Row],[Waist]]-Table7[[#This Row],[Waist v Night Pulse]]</f>
        <v>0.54029162743473336</v>
      </c>
      <c r="CX31" s="2">
        <f>Table7[[#This Row],[WaistNP Res]]^2</f>
        <v>0.29191504267607271</v>
      </c>
      <c r="CY31">
        <f>Regression!$L$29+(Regression!$L$28*Table83[[#This Row],[Sleep]])</f>
        <v>44.504990820853756</v>
      </c>
      <c r="CZ31" s="2">
        <f>Table83[[#This Row],[Waist]]-Table7[[#This Row],[Waist v  Sleep]]</f>
        <v>0.49500917914624409</v>
      </c>
      <c r="DA31" s="2">
        <f>Table7[[#This Row],[WaistS Res]]^2</f>
        <v>0.24503408743903837</v>
      </c>
      <c r="DB31">
        <f>Regression!$M$29+(Regression!$M$28*Table83[[#This Row],[BMI]])</f>
        <v>44.873903638801252</v>
      </c>
      <c r="DC31" s="2">
        <f>Table83[[#This Row],[Waist]]-Table7[[#This Row],[Waist v BMI]]</f>
        <v>0.12609636119874779</v>
      </c>
      <c r="DD31" s="2">
        <f>Table7[[#This Row],[WaistBMI Res]]^2</f>
        <v>1.5900292307565067E-2</v>
      </c>
      <c r="DE31">
        <f>Regression!$N$29+(Regression!$N$28*Table83[[#This Row],[CBF]])</f>
        <v>44.659010290127611</v>
      </c>
      <c r="DF31" s="2">
        <f>Table83[[#This Row],[Waist]]-Table7[[#This Row],[Waist v  CBF]]</f>
        <v>0.34098970987238886</v>
      </c>
      <c r="DG31" s="2">
        <f>Table7[[#This Row],[WaistCBF Res]]^2</f>
        <v>0.11627398223885593</v>
      </c>
      <c r="DH31">
        <f>Regression!$O$29+(Regression!$O$28*Table83[[#This Row],[Gym]])</f>
        <v>44.550847457627107</v>
      </c>
      <c r="DI31" s="2">
        <f>Table83[[#This Row],[Waist]]-Table7[[#This Row],[Waist v  Gym]]</f>
        <v>0.44915254237289304</v>
      </c>
      <c r="DJ31" s="2">
        <f>Table7[[#This Row],[WaistGYM Res]]^2</f>
        <v>0.20173800632003347</v>
      </c>
      <c r="DK31">
        <f>Regression!$P$29+(Regression!$P$28*Table83[[#This Row],[Cardio]])</f>
        <v>44.680851063829778</v>
      </c>
      <c r="DL31" s="2">
        <f>Table83[[#This Row],[Waist]]-Table7[[#This Row],[Waist v Cardio]]</f>
        <v>0.31914893617022244</v>
      </c>
      <c r="DM31" s="2">
        <f>Table7[[#This Row],[WaistC Res]]^2</f>
        <v>0.10185604345858472</v>
      </c>
      <c r="DN31">
        <f>Regression!$Q$29+(Regression!$Q$28*Table83[[#This Row],[Calories]])</f>
        <v>44.62157596049385</v>
      </c>
      <c r="DO31" s="2">
        <f>Table83[[#This Row],[Waist]]-Table7[[#This Row],[Waist v Calories]]</f>
        <v>0.37842403950615022</v>
      </c>
      <c r="DP31" s="2">
        <f>Table7[[#This Row],[WaistCal Res]]^2</f>
        <v>0.14320475367615235</v>
      </c>
      <c r="DQ31">
        <f>Regression!$R$29+(Regression!$R$28*Table83[[#This Row],[Carbs]])</f>
        <v>44.640199400286882</v>
      </c>
      <c r="DR31" s="2">
        <f>Table83[[#This Row],[Waist]]-Table7[[#This Row],[Waist v Carbs]]</f>
        <v>0.35980059971311817</v>
      </c>
      <c r="DS31" s="2">
        <f>Table7[[#This Row],[WaistCarb Res]]^2</f>
        <v>0.12945647155391948</v>
      </c>
      <c r="DT31">
        <f>Regression!$S$29+(Regression!$S$28*Table83[[#This Row],[Fat ]])</f>
        <v>44.564867437103985</v>
      </c>
      <c r="DU31" s="2">
        <f>Table83[[#This Row],[Waist]]-Table7[[#This Row],[Waist v Fat]]</f>
        <v>0.43513256289601543</v>
      </c>
      <c r="DV31" s="2">
        <f>Table7[[#This Row],[WaistF Res]]^2</f>
        <v>0.18934034729245483</v>
      </c>
      <c r="DW31">
        <f>Regression!$T$29+(Regression!$T$28*Table83[[#This Row],[Protein]])</f>
        <v>44.600518750154158</v>
      </c>
      <c r="DX31" s="2">
        <f>Table83[[#This Row],[Waist]]-Table7[[#This Row],[Waist v Protein]]</f>
        <v>0.39948124984584155</v>
      </c>
      <c r="DY31" s="2">
        <f>Table7[[#This Row],[WaistP Res]]^2</f>
        <v>0.15958526897839567</v>
      </c>
      <c r="DZ31">
        <f>Regression!$U$29+(Regression!$U$28*Table83[[#This Row],[Fiber]])</f>
        <v>44.358885128494499</v>
      </c>
      <c r="EA31" s="2">
        <f>Table83[[#This Row],[Waist]]-Table7[[#This Row],[Waist v Fiber]]</f>
        <v>0.64111487150550062</v>
      </c>
      <c r="EB31" s="2">
        <f>Table7[[#This Row],[WaistFib Res]]^2</f>
        <v>0.41102827846551454</v>
      </c>
      <c r="EC31">
        <f>Regression!$V$29+(Regression!$V$28*Table83[[#This Row],[Sugar]])</f>
        <v>44.709177206316255</v>
      </c>
      <c r="ED31" s="2">
        <f>Table83[[#This Row],[Waist]]-Table7[[#This Row],[Waist v Sugar]]</f>
        <v>0.29082279368374486</v>
      </c>
      <c r="EE31" s="2">
        <f>Table7[[#This Row],[WaistSugar Res]]^2</f>
        <v>8.4577897326018031E-2</v>
      </c>
      <c r="EF31">
        <f>Regression!$W$29+(Regression!$W$28*Table83[[#This Row],[Servings]])</f>
        <v>44.741867123501137</v>
      </c>
      <c r="EG31" s="2">
        <f>Table83[[#This Row],[Waist]]-Table7[[#This Row],[Waist v Servings]]</f>
        <v>0.25813287649886263</v>
      </c>
      <c r="EH31" s="2">
        <f>Table7[[#This Row],[WaistServ Res]]^2</f>
        <v>6.6632581929577064E-2</v>
      </c>
      <c r="EI31">
        <f>Regression!$X$29+(Regression!$X$28*Table83[[#This Row],[Water]])</f>
        <v>44.497966229663206</v>
      </c>
      <c r="EJ31" s="2">
        <f>Table83[[#This Row],[Waist]]-Table7[[#This Row],[Waist v Water]]</f>
        <v>0.5020337703367943</v>
      </c>
      <c r="EK31" s="2">
        <f>Table7[[#This Row],[WaistWat Res]]^2</f>
        <v>0.25203790655857711</v>
      </c>
      <c r="EL31">
        <f>Regression!$Y$29+(Regression!$Y$28*Table83[[#This Row],[Fat Calories]])</f>
        <v>44.569941052741775</v>
      </c>
      <c r="EM31" s="2">
        <f>Table83[[#This Row],[Waist]]-Table7[[#This Row],[Waist v Fat Calories]]</f>
        <v>0.43005894725822458</v>
      </c>
      <c r="EN31" s="2">
        <f>Table7[[#This Row],[WaistFatCal Res]]^2</f>
        <v>0.18495069811685239</v>
      </c>
    </row>
    <row r="32" spans="1:144" x14ac:dyDescent="0.25">
      <c r="A32">
        <f>Regression!$B$10+(Regression!$B$9*Table83[[#This Row],[Waist]])</f>
        <v>258.23421455025004</v>
      </c>
      <c r="B32" s="2">
        <f>Table83[[#This Row],[Weight]]-Table7[[#This Row],[Weight v Waist]]</f>
        <v>-0.23421455025004434</v>
      </c>
      <c r="C32" s="2">
        <f>Table7[[#This Row],[Weight v Waist Res]]^2</f>
        <v>5.4856455548830542E-2</v>
      </c>
      <c r="D32">
        <f>Regression!$C$10+(Regression!$C$9*Table83[[#This Row],[Neck]])</f>
        <v>260.39308108104251</v>
      </c>
      <c r="E32" s="2">
        <f>Table83[[#This Row],[Weight]]-Table7[[#This Row],[Weight v Neck]]</f>
        <v>-2.39308108104251</v>
      </c>
      <c r="F32" s="2">
        <f>Table7[[#This Row],[WN Res]]^2</f>
        <v>5.7268370604435885</v>
      </c>
      <c r="G32">
        <f>Regression!$D$10+(Regression!$D$9*Table83[[#This Row],[Morning Body Temp]])</f>
        <v>255.27076211175142</v>
      </c>
      <c r="H32" s="2">
        <f>Table83[[#This Row],[Weight]]-Table7[[#This Row],[Weight v Morning Temp]]</f>
        <v>2.7292378882485764</v>
      </c>
      <c r="I32" s="2">
        <f>Table7[[#This Row],[WMT Res]]^2</f>
        <v>7.4487394506515487</v>
      </c>
      <c r="J32">
        <f>Regression!$E$10+(Regression!$E$9*Table83[[#This Row],[Morning Systolic Pressure]])</f>
        <v>255.27979544420887</v>
      </c>
      <c r="K32" s="2">
        <f>Table83[[#This Row],[Weight]]-Table7[[#This Row],[Weight v Morning Sys]]</f>
        <v>2.7202045557911276</v>
      </c>
      <c r="L32" s="2">
        <f>Table7[[#This Row],[WMS Res]]^2</f>
        <v>7.3995128253468057</v>
      </c>
      <c r="M32">
        <f>Regression!$F$10+(Regression!$F$9*Table83[[#This Row],[Morning Diastolic Pressure]])</f>
        <v>254.39263015393252</v>
      </c>
      <c r="N32" s="2">
        <f>Table83[[#This Row],[Weight]]-Table7[[#This Row],[Weight v Morning Dia]]</f>
        <v>3.6073698460674848</v>
      </c>
      <c r="O32" s="2">
        <f>Table7[[#This Row],[WMD Res]]^2</f>
        <v>13.013117206316949</v>
      </c>
      <c r="P32">
        <f>Regression!$G$10+(Regression!$G$9*Table83[[#This Row],[Morning Pulse]])</f>
        <v>255.11730068591285</v>
      </c>
      <c r="Q32" s="2">
        <f>Table83[[#This Row],[Weight]]-Table7[[#This Row],[Weight v Morning Pulse]]</f>
        <v>2.882699314087148</v>
      </c>
      <c r="R32" s="2">
        <f>Table7[[#This Row],[WMP Res]]^2</f>
        <v>8.3099553354385129</v>
      </c>
      <c r="S32">
        <f>Regression!$H$10+(Regression!$H$9*Table83[[#This Row],[Night Body Temp]])</f>
        <v>255.87845238234192</v>
      </c>
      <c r="T32" s="2">
        <f>Table83[[#This Row],[Weight]]-Table7[[#This Row],[Weight v Night Temp]]</f>
        <v>2.1215476176580808</v>
      </c>
      <c r="U32" s="2">
        <f>Table7[[#This Row],[WNT Res]]^2</f>
        <v>4.5009642939906778</v>
      </c>
      <c r="V32">
        <f>Regression!$I$10+(Regression!$I$9*Table83[[#This Row],[Night Systolic Pressure]])</f>
        <v>256.05974006539498</v>
      </c>
      <c r="W32" s="2">
        <f>Table83[[#This Row],[Weight]]-Table7[[#This Row],[Weight v Night Sys]]</f>
        <v>1.9402599346050238</v>
      </c>
      <c r="X32" s="2">
        <f>Table7[[#This Row],[WNS Res]]^2</f>
        <v>3.7646086138334911</v>
      </c>
      <c r="Y32">
        <f>Regression!$J$10+(Regression!$J$9*Table83[[#This Row],[Night Diastolic Pressure]])</f>
        <v>255.41844332157493</v>
      </c>
      <c r="Z32" s="2">
        <f>Table83[[#This Row],[Weight]]-Table7[[#This Row],[Weight v Night Dia]]</f>
        <v>2.5815566784250734</v>
      </c>
      <c r="AA32" s="2">
        <f>Table7[[#This Row],[WND Res]]^2</f>
        <v>6.6644348839210981</v>
      </c>
      <c r="AB32">
        <f>Regression!$K$10+(Regression!$K$9*Table83[[#This Row],[Night Pulse]])</f>
        <v>254.98729853379433</v>
      </c>
      <c r="AC32" s="2">
        <f>Table83[[#This Row],[Weight]]-Table7[[#This Row],[Weight v Night Pulse]]</f>
        <v>3.0127014662056695</v>
      </c>
      <c r="AD32" s="2">
        <f>Table7[[#This Row],[WNP Res ]]^2</f>
        <v>9.0763701244777906</v>
      </c>
      <c r="AE32">
        <f>Regression!$L$10+(Regression!$L$9*Table83[[#This Row],[Sleep]])</f>
        <v>255.45250391075515</v>
      </c>
      <c r="AF32" s="2">
        <f>Table83[[#This Row],[Weight]]-Table7[[#This Row],[Weight v Sleep]]</f>
        <v>2.5474960892448451</v>
      </c>
      <c r="AG32" s="2">
        <f>Table7[[#This Row],[WS Res]]^2</f>
        <v>6.4897363247177795</v>
      </c>
      <c r="AH32">
        <f>Regression!$M$10+(Regression!$M$9*Table83[[#This Row],[BMI]])</f>
        <v>257.99999999999352</v>
      </c>
      <c r="AI32" s="2">
        <f>Table83[[#This Row],[Weight]]-Table7[[#This Row],[Weight v BMI]]</f>
        <v>6.4801497501321137E-12</v>
      </c>
      <c r="AJ32" s="2">
        <f>Table7[[#This Row],[WBMI Res]]^2</f>
        <v>4.1992340784137296E-23</v>
      </c>
      <c r="AK32">
        <f>Regression!$N$10+(Regression!$N$9*Table83[[#This Row],[CBF]])</f>
        <v>256.25609762651322</v>
      </c>
      <c r="AL32" s="2">
        <f>Table83[[#This Row],[Weight]]-Table7[[#This Row],[Weight v CBF]]</f>
        <v>1.743902373486776</v>
      </c>
      <c r="AM32" s="2">
        <f>Table7[[#This Row],[WCBF Res]]^2</f>
        <v>3.0411954882528107</v>
      </c>
      <c r="AN32">
        <f>Regression!$O$10+(Regression!$O$9*Table83[[#This Row],[Gym]])</f>
        <v>255.46779661016953</v>
      </c>
      <c r="AO32" s="2">
        <f>Table83[[#This Row],[Weight]]-Table7[[#This Row],[Weight v Gym]]</f>
        <v>2.532203389830471</v>
      </c>
      <c r="AP32" s="2">
        <f>Table7[[#This Row],[WG Res]]^2</f>
        <v>6.4120540074689281</v>
      </c>
      <c r="AQ32">
        <f>Regression!$P$10+(Regression!$P$9*Table83[[#This Row],[Cardio]])</f>
        <v>256.41063829787231</v>
      </c>
      <c r="AR32" s="2">
        <f>Table83[[#This Row],[Weight]]-Table7[[#This Row],[Weight v Cardio]]</f>
        <v>1.5893617021276896</v>
      </c>
      <c r="AS32" s="2">
        <f>Table7[[#This Row],[WC Res]]^2</f>
        <v>2.5260706201902265</v>
      </c>
      <c r="AT32">
        <f>Regression!$Q$10+(Regression!$Q$9*Table83[[#This Row],[Calories]])</f>
        <v>255.96347444558495</v>
      </c>
      <c r="AU32" s="2">
        <f>Table83[[#This Row],[Weight]]-Table7[[#This Row],[Weight v Calories]]</f>
        <v>2.03652555441505</v>
      </c>
      <c r="AV32" s="2">
        <f>Table7[[#This Row],[WCAL Res]]^2</f>
        <v>4.1474363337855271</v>
      </c>
      <c r="AW32">
        <f>Regression!$R$10+(Regression!$R$9*Table83[[#This Row],[Carbs]])</f>
        <v>256.08200269412441</v>
      </c>
      <c r="AX32" s="2">
        <f>Table83[[#This Row],[Weight]]-Table7[[#This Row],[Weight v Carbs]]</f>
        <v>1.9179973058755877</v>
      </c>
      <c r="AY32" s="2">
        <f>Table7[[#This Row],[Wcarb Res]]^2</f>
        <v>3.6787136653460126</v>
      </c>
      <c r="AZ32">
        <f>Regression!$S$10+(Regression!$S$9*Table83[[#This Row],[Fat ]])</f>
        <v>255.53624318722569</v>
      </c>
      <c r="BA32" s="2">
        <f>Table83[[#This Row],[Weight]]-Table7[[#This Row],[Weight v Fat]]</f>
        <v>2.4637568127743066</v>
      </c>
      <c r="BB32" s="2">
        <f>Table7[[#This Row],[WF Res]]^2</f>
        <v>6.0700976324918097</v>
      </c>
      <c r="BC32">
        <f>Regression!$T$10+(Regression!$T$9*Table83[[#This Row],[Protein]])</f>
        <v>255.89981002593697</v>
      </c>
      <c r="BD32" s="2">
        <f>Table83[[#This Row],[Weight]]-Table7[[#This Row],[Weight v Protein]]</f>
        <v>2.1001899740630279</v>
      </c>
      <c r="BE32" s="2">
        <f>Table7[[#This Row],[WP Res]]^2</f>
        <v>4.4107979271548619</v>
      </c>
      <c r="BF32">
        <f>Regression!$U$10+(Regression!$U$9*Table83[[#This Row],[Fiber]])</f>
        <v>255.1359501274338</v>
      </c>
      <c r="BG32" s="2">
        <f>Table83[[#This Row],[Weight]]-Table7[[#This Row],[Weight v Fiber]]</f>
        <v>2.8640498725661985</v>
      </c>
      <c r="BH32" s="2">
        <f>Table7[[#This Row],[Wfib Res]]^2</f>
        <v>8.2027816725464575</v>
      </c>
      <c r="BI32">
        <f>Regression!$V$10+(Regression!$V$9*Table83[[#This Row],[Sugar]])</f>
        <v>256.6685042885681</v>
      </c>
      <c r="BJ32" s="2">
        <f>Table83[[#This Row],[Weight]]-Table7[[#This Row],[Weight v Sugar]]</f>
        <v>1.3314957114318986</v>
      </c>
      <c r="BK32" s="2">
        <f>Table7[[#This Row],[Wsugar Res]]^2</f>
        <v>1.7728808295615377</v>
      </c>
      <c r="BL32">
        <f>Regression!$W$10+(Regression!$W$9*Table83[[#This Row],[Servings]])</f>
        <v>256.85178286055657</v>
      </c>
      <c r="BM32" s="2">
        <f>Table83[[#This Row],[Weight]]-Table7[[#This Row],[Weight v Servings]]</f>
        <v>1.1482171394434317</v>
      </c>
      <c r="BN32" s="2">
        <f>Table7[[#This Row],[Wserv Res]]^2</f>
        <v>1.3184025993116573</v>
      </c>
      <c r="BO32">
        <f>Regression!$X$10+(Regression!$X$9*Table83[[#This Row],[Water]])</f>
        <v>255.1490819770581</v>
      </c>
      <c r="BP32" s="2">
        <f>Table83[[#This Row],[Weight]]-Table7[[#This Row],[Weight v Water]]</f>
        <v>2.8509180229418973</v>
      </c>
      <c r="BQ32" s="2">
        <f>Table7[[#This Row],[Wwater Res]]^2</f>
        <v>8.1277335735349361</v>
      </c>
      <c r="BR32">
        <f>Regression!$Y$10+(Regression!$Y$9*Table83[[#This Row],[Fat Calories]])</f>
        <v>255.55844427494301</v>
      </c>
      <c r="BS32" s="2">
        <f>Table83[[#This Row],[Weight]]-Table7[[#This Row],[Weight v Fat Calories]]</f>
        <v>2.4415557250569861</v>
      </c>
      <c r="BT32" s="2">
        <f>Table7[[#This Row],[WFC Res]]^2</f>
        <v>5.9611943585585454</v>
      </c>
      <c r="BU32">
        <f>Regression!$B$29+(Regression!$B$28*Table83[[#This Row],[Weight]])</f>
        <v>44.846651136688592</v>
      </c>
      <c r="BV32" s="2">
        <f>Table83[[#This Row],[Waist]]-Table7[[#This Row],[Waist v Weight]]</f>
        <v>0.15334886331140751</v>
      </c>
      <c r="BW32" s="2">
        <f>Table7[[#This Row],[WaistW Res]]^2</f>
        <v>2.3515873878900743E-2</v>
      </c>
      <c r="BX32">
        <f>Regression!$C$29+(Regression!$C$28*Table83[[#This Row],[Neck]])</f>
        <v>45.258648648648581</v>
      </c>
      <c r="BY32" s="2">
        <f>Table83[[#This Row],[Waist]]-Table7[[#This Row],[Waist v Neck]]</f>
        <v>-0.25864864864858106</v>
      </c>
      <c r="BZ32" s="2">
        <f>Table7[[#This Row],[WaistN Res]]^2</f>
        <v>6.689912344773713E-2</v>
      </c>
      <c r="CA32">
        <f>Regression!$D$29+(Regression!$D$28*Table83[[#This Row],[Morning Body Temp]])</f>
        <v>44.495891557108962</v>
      </c>
      <c r="CB32" s="2">
        <f>Table83[[#This Row],[Waist]]-Table7[[#This Row],[Waist v Morning Temp]]</f>
        <v>0.50410844289103807</v>
      </c>
      <c r="CC32" s="2">
        <f>Table7[[#This Row],[WaistMT Res]]^2</f>
        <v>0.254125322194027</v>
      </c>
      <c r="CD32">
        <f>Regression!$E$29+(Regression!$E$28*Table83[[#This Row],[Morning Systolic Pressure]])</f>
        <v>44.492246348363913</v>
      </c>
      <c r="CE32" s="2">
        <f>Table83[[#This Row],[Waist]]-Table7[[#This Row],[Waist v Morning Sys]]</f>
        <v>0.50775365163608654</v>
      </c>
      <c r="CF32" s="2">
        <f>Table7[[#This Row],[WaistMS Res]]^2</f>
        <v>0.25781377074978035</v>
      </c>
      <c r="CG32">
        <f>Regression!$F$29+(Regression!$F$28*Table83[[#This Row],[Morning Diastolic Pressure]])</f>
        <v>44.413367323462282</v>
      </c>
      <c r="CH32" s="2">
        <f>Table83[[#This Row],[Waist]]-Table7[[#This Row],[Waist v Morning Dia]]</f>
        <v>0.58663267653771811</v>
      </c>
      <c r="CI32" s="2">
        <f>Table7[[#This Row],[WaistMD Res]]^2</f>
        <v>0.34413789718180698</v>
      </c>
      <c r="CJ32">
        <f>Regression!$G$29+(Regression!$G$28*Table83[[#This Row],[Morning Pulse]])</f>
        <v>44.454576200079806</v>
      </c>
      <c r="CK32" s="2">
        <f>Table83[[#This Row],[Waist]]-Table7[[#This Row],[Waist v Morning Pulse]]</f>
        <v>0.54542379992019363</v>
      </c>
      <c r="CL32" s="2">
        <f>Table7[[#This Row],[WaistMP Res]]^2</f>
        <v>0.29748712151938339</v>
      </c>
      <c r="CM32">
        <f>Regression!$H$29+(Regression!$H$28*Table83[[#This Row],[Night Body Temp]])</f>
        <v>44.513729345098263</v>
      </c>
      <c r="CN32" s="2">
        <f>Table83[[#This Row],[Waist]]-Table7[[#This Row],[Waist v Night Temp]]</f>
        <v>0.48627065490173749</v>
      </c>
      <c r="CO32" s="2">
        <f>Table7[[#This Row],[WaistNT Res]]^2</f>
        <v>0.23645914981856467</v>
      </c>
      <c r="CP32">
        <f>Regression!$I$29+(Regression!$I$28*Table83[[#This Row],[Night Systolic Pressure]])</f>
        <v>44.587360344235734</v>
      </c>
      <c r="CQ32" s="2">
        <f>Table83[[#This Row],[Waist]]-Table7[[#This Row],[Waist v  Night Sys]]</f>
        <v>0.41263965576426642</v>
      </c>
      <c r="CR32" s="2">
        <f>Table7[[#This Row],[WaistNS Res]]^2</f>
        <v>0.17027148550925228</v>
      </c>
      <c r="CS32">
        <f>Regression!$J$29+(Regression!$J$28*Table83[[#This Row],[Night Diastolic Pressure]])</f>
        <v>44.580567627605824</v>
      </c>
      <c r="CT32" s="2">
        <f>Table83[[#This Row],[Waist]]-Table7[[#This Row],[Waist v Night Dia]]</f>
        <v>0.41943237239417641</v>
      </c>
      <c r="CU32" s="2">
        <f>Table7[[#This Row],[WaistND Res]]^2</f>
        <v>0.17592351501220707</v>
      </c>
      <c r="CV32">
        <f>Regression!$K$29+(Regression!$K$28*Table83[[#This Row],[Night Pulse]])</f>
        <v>44.465421865187196</v>
      </c>
      <c r="CW32" s="2">
        <f>Table83[[#This Row],[Waist]]-Table7[[#This Row],[Waist v Night Pulse]]</f>
        <v>0.53457813481280425</v>
      </c>
      <c r="CX32" s="2">
        <f>Table7[[#This Row],[WaistNP Res]]^2</f>
        <v>0.28577378221993671</v>
      </c>
      <c r="CY32">
        <f>Regression!$L$29+(Regression!$L$28*Table83[[#This Row],[Sleep]])</f>
        <v>44.504990820853756</v>
      </c>
      <c r="CZ32" s="2">
        <f>Table83[[#This Row],[Waist]]-Table7[[#This Row],[Waist v  Sleep]]</f>
        <v>0.49500917914624409</v>
      </c>
      <c r="DA32" s="2">
        <f>Table7[[#This Row],[WaistS Res]]^2</f>
        <v>0.24503408743903837</v>
      </c>
      <c r="DB32">
        <f>Regression!$M$29+(Regression!$M$28*Table83[[#This Row],[BMI]])</f>
        <v>44.846651136687342</v>
      </c>
      <c r="DC32" s="2">
        <f>Table83[[#This Row],[Waist]]-Table7[[#This Row],[Waist v BMI]]</f>
        <v>0.15334886331265807</v>
      </c>
      <c r="DD32" s="2">
        <f>Table7[[#This Row],[WaistBMI Res]]^2</f>
        <v>2.3515873879284287E-2</v>
      </c>
      <c r="DE32">
        <f>Regression!$N$29+(Regression!$N$28*Table83[[#This Row],[CBF]])</f>
        <v>44.659010290127611</v>
      </c>
      <c r="DF32" s="2">
        <f>Table83[[#This Row],[Waist]]-Table7[[#This Row],[Waist v  CBF]]</f>
        <v>0.34098970987238886</v>
      </c>
      <c r="DG32" s="2">
        <f>Table7[[#This Row],[WaistCBF Res]]^2</f>
        <v>0.11627398223885593</v>
      </c>
      <c r="DH32">
        <f>Regression!$O$29+(Regression!$O$28*Table83[[#This Row],[Gym]])</f>
        <v>44.550847457627107</v>
      </c>
      <c r="DI32" s="2">
        <f>Table83[[#This Row],[Waist]]-Table7[[#This Row],[Waist v  Gym]]</f>
        <v>0.44915254237289304</v>
      </c>
      <c r="DJ32" s="2">
        <f>Table7[[#This Row],[WaistGYM Res]]^2</f>
        <v>0.20173800632003347</v>
      </c>
      <c r="DK32">
        <f>Regression!$P$29+(Regression!$P$28*Table83[[#This Row],[Cardio]])</f>
        <v>44.680851063829778</v>
      </c>
      <c r="DL32" s="2">
        <f>Table83[[#This Row],[Waist]]-Table7[[#This Row],[Waist v Cardio]]</f>
        <v>0.31914893617022244</v>
      </c>
      <c r="DM32" s="2">
        <f>Table7[[#This Row],[WaistC Res]]^2</f>
        <v>0.10185604345858472</v>
      </c>
      <c r="DN32">
        <f>Regression!$Q$29+(Regression!$Q$28*Table83[[#This Row],[Calories]])</f>
        <v>44.64416327055811</v>
      </c>
      <c r="DO32" s="2">
        <f>Table83[[#This Row],[Waist]]-Table7[[#This Row],[Waist v Calories]]</f>
        <v>0.35583672944189004</v>
      </c>
      <c r="DP32" s="2">
        <f>Table7[[#This Row],[WaistCal Res]]^2</f>
        <v>0.12661977801990085</v>
      </c>
      <c r="DQ32">
        <f>Regression!$R$29+(Regression!$R$28*Table83[[#This Row],[Carbs]])</f>
        <v>44.65485465011497</v>
      </c>
      <c r="DR32" s="2">
        <f>Table83[[#This Row],[Waist]]-Table7[[#This Row],[Waist v Carbs]]</f>
        <v>0.34514534988502987</v>
      </c>
      <c r="DS32" s="2">
        <f>Table7[[#This Row],[WaistCarb Res]]^2</f>
        <v>0.11912531254725969</v>
      </c>
      <c r="DT32">
        <f>Regression!$S$29+(Regression!$S$28*Table83[[#This Row],[Fat ]])</f>
        <v>44.582291425083909</v>
      </c>
      <c r="DU32" s="2">
        <f>Table83[[#This Row],[Waist]]-Table7[[#This Row],[Waist v Fat]]</f>
        <v>0.41770857491609092</v>
      </c>
      <c r="DV32" s="2">
        <f>Table7[[#This Row],[WaistF Res]]^2</f>
        <v>0.17448045355843153</v>
      </c>
      <c r="DW32">
        <f>Regression!$T$29+(Regression!$T$28*Table83[[#This Row],[Protein]])</f>
        <v>44.597181111674217</v>
      </c>
      <c r="DX32" s="2">
        <f>Table83[[#This Row],[Waist]]-Table7[[#This Row],[Waist v Protein]]</f>
        <v>0.40281888832578261</v>
      </c>
      <c r="DY32" s="2">
        <f>Table7[[#This Row],[WaistP Res]]^2</f>
        <v>0.16226305679201933</v>
      </c>
      <c r="DZ32">
        <f>Regression!$U$29+(Regression!$U$28*Table83[[#This Row],[Fiber]])</f>
        <v>44.461606564733906</v>
      </c>
      <c r="EA32" s="2">
        <f>Table83[[#This Row],[Waist]]-Table7[[#This Row],[Waist v Fiber]]</f>
        <v>0.5383934352660944</v>
      </c>
      <c r="EB32" s="2">
        <f>Table7[[#This Row],[WaistFib Res]]^2</f>
        <v>0.28986749113762617</v>
      </c>
      <c r="EC32">
        <f>Regression!$V$29+(Regression!$V$28*Table83[[#This Row],[Sugar]])</f>
        <v>44.732601593553369</v>
      </c>
      <c r="ED32" s="2">
        <f>Table83[[#This Row],[Waist]]-Table7[[#This Row],[Waist v Sugar]]</f>
        <v>0.26739840644663104</v>
      </c>
      <c r="EE32" s="2">
        <f>Table7[[#This Row],[WaistSugar Res]]^2</f>
        <v>7.1501907770197701E-2</v>
      </c>
      <c r="EF32">
        <f>Regression!$W$29+(Regression!$W$28*Table83[[#This Row],[Servings]])</f>
        <v>44.718537201260126</v>
      </c>
      <c r="EG32" s="2">
        <f>Table83[[#This Row],[Waist]]-Table7[[#This Row],[Waist v Servings]]</f>
        <v>0.28146279873987368</v>
      </c>
      <c r="EH32" s="2">
        <f>Table7[[#This Row],[WaistServ Res]]^2</f>
        <v>7.9221307074482633E-2</v>
      </c>
      <c r="EI32">
        <f>Regression!$X$29+(Regression!$X$28*Table83[[#This Row],[Water]])</f>
        <v>44.497966229663206</v>
      </c>
      <c r="EJ32" s="2">
        <f>Table83[[#This Row],[Waist]]-Table7[[#This Row],[Waist v Water]]</f>
        <v>0.5020337703367943</v>
      </c>
      <c r="EK32" s="2">
        <f>Table7[[#This Row],[WaistWat Res]]^2</f>
        <v>0.25203790655857711</v>
      </c>
      <c r="EL32">
        <f>Regression!$Y$29+(Regression!$Y$28*Table83[[#This Row],[Fat Calories]])</f>
        <v>44.588390526843085</v>
      </c>
      <c r="EM32" s="2">
        <f>Table83[[#This Row],[Waist]]-Table7[[#This Row],[Waist v Fat Calories]]</f>
        <v>0.41160947315691487</v>
      </c>
      <c r="EN32" s="2">
        <f>Table7[[#This Row],[WaistFatCal Res]]^2</f>
        <v>0.16942235839251302</v>
      </c>
    </row>
    <row r="33" spans="1:144" x14ac:dyDescent="0.25">
      <c r="A33">
        <f>Regression!$B$10+(Regression!$B$9*Table83[[#This Row],[Waist]])</f>
        <v>258.23421455025004</v>
      </c>
      <c r="B33" s="2">
        <f>Table83[[#This Row],[Weight]]-Table7[[#This Row],[Weight v Waist]]</f>
        <v>-2.2342145502500443</v>
      </c>
      <c r="C33" s="2">
        <f>Table7[[#This Row],[Weight v Waist Res]]^2</f>
        <v>4.991714656549008</v>
      </c>
      <c r="D33">
        <f>Regression!$C$10+(Regression!$C$9*Table83[[#This Row],[Neck]])</f>
        <v>260.39308108104251</v>
      </c>
      <c r="E33" s="2">
        <f>Table83[[#This Row],[Weight]]-Table7[[#This Row],[Weight v Neck]]</f>
        <v>-4.39308108104251</v>
      </c>
      <c r="F33" s="2">
        <f>Table7[[#This Row],[WN Res]]^2</f>
        <v>19.29916138461363</v>
      </c>
      <c r="G33">
        <f>Regression!$D$10+(Regression!$D$9*Table83[[#This Row],[Morning Body Temp]])</f>
        <v>254.98916789486196</v>
      </c>
      <c r="H33" s="2">
        <f>Table83[[#This Row],[Weight]]-Table7[[#This Row],[Weight v Morning Temp]]</f>
        <v>1.0108321051380358</v>
      </c>
      <c r="I33" s="2">
        <f>Table7[[#This Row],[WMT Res]]^2</f>
        <v>1.0217815447777929</v>
      </c>
      <c r="J33">
        <f>Regression!$E$10+(Regression!$E$9*Table83[[#This Row],[Morning Systolic Pressure]])</f>
        <v>255.64041307511593</v>
      </c>
      <c r="K33" s="2">
        <f>Table83[[#This Row],[Weight]]-Table7[[#This Row],[Weight v Morning Sys]]</f>
        <v>0.35958692488406996</v>
      </c>
      <c r="L33" s="2">
        <f>Table7[[#This Row],[WMS Res]]^2</f>
        <v>0.12930275654758178</v>
      </c>
      <c r="M33">
        <f>Regression!$F$10+(Regression!$F$9*Table83[[#This Row],[Morning Diastolic Pressure]])</f>
        <v>254.49397440297739</v>
      </c>
      <c r="N33" s="2">
        <f>Table83[[#This Row],[Weight]]-Table7[[#This Row],[Weight v Morning Dia]]</f>
        <v>1.5060255970226137</v>
      </c>
      <c r="O33" s="2">
        <f>Table7[[#This Row],[WMD Res]]^2</f>
        <v>2.2681130988873202</v>
      </c>
      <c r="P33">
        <f>Regression!$G$10+(Regression!$G$9*Table83[[#This Row],[Morning Pulse]])</f>
        <v>255.11730068591285</v>
      </c>
      <c r="Q33" s="2">
        <f>Table83[[#This Row],[Weight]]-Table7[[#This Row],[Weight v Morning Pulse]]</f>
        <v>0.88269931408714797</v>
      </c>
      <c r="R33" s="2">
        <f>Table7[[#This Row],[WMP Res]]^2</f>
        <v>0.77915807908992152</v>
      </c>
      <c r="S33">
        <f>Regression!$H$10+(Regression!$H$9*Table83[[#This Row],[Night Body Temp]])</f>
        <v>254.33800382511666</v>
      </c>
      <c r="T33" s="2">
        <f>Table83[[#This Row],[Weight]]-Table7[[#This Row],[Weight v Night Temp]]</f>
        <v>1.6619961748833418</v>
      </c>
      <c r="U33" s="2">
        <f>Table7[[#This Row],[WNT Res]]^2</f>
        <v>2.7622312853268598</v>
      </c>
      <c r="V33">
        <f>Regression!$I$10+(Regression!$I$9*Table83[[#This Row],[Night Systolic Pressure]])</f>
        <v>256.36767456748038</v>
      </c>
      <c r="W33" s="2">
        <f>Table83[[#This Row],[Weight]]-Table7[[#This Row],[Weight v Night Sys]]</f>
        <v>-0.3676745674803783</v>
      </c>
      <c r="X33" s="2">
        <f>Table7[[#This Row],[WNS Res]]^2</f>
        <v>0.13518458757188326</v>
      </c>
      <c r="Y33">
        <f>Regression!$J$10+(Regression!$J$9*Table83[[#This Row],[Night Diastolic Pressure]])</f>
        <v>255.09231637424611</v>
      </c>
      <c r="Z33" s="2">
        <f>Table83[[#This Row],[Weight]]-Table7[[#This Row],[Weight v Night Dia]]</f>
        <v>0.90768362575389006</v>
      </c>
      <c r="AA33" s="2">
        <f>Table7[[#This Row],[WND Res]]^2</f>
        <v>0.8238895644617279</v>
      </c>
      <c r="AB33">
        <f>Regression!$K$10+(Regression!$K$9*Table83[[#This Row],[Night Pulse]])</f>
        <v>254.98729853379433</v>
      </c>
      <c r="AC33" s="2">
        <f>Table83[[#This Row],[Weight]]-Table7[[#This Row],[Weight v Night Pulse]]</f>
        <v>1.0127014662056695</v>
      </c>
      <c r="AD33" s="2">
        <f>Table7[[#This Row],[WNP Res ]]^2</f>
        <v>1.0255642596551127</v>
      </c>
      <c r="AE33">
        <f>Regression!$L$10+(Regression!$L$9*Table83[[#This Row],[Sleep]])</f>
        <v>255.05816118153788</v>
      </c>
      <c r="AF33" s="2">
        <f>Table83[[#This Row],[Weight]]-Table7[[#This Row],[Weight v Sleep]]</f>
        <v>0.94183881846211648</v>
      </c>
      <c r="AG33" s="2">
        <f>Table7[[#This Row],[WS Res]]^2</f>
        <v>0.88706035996211563</v>
      </c>
      <c r="AH33">
        <f>Regression!$M$10+(Regression!$M$9*Table83[[#This Row],[BMI]])</f>
        <v>255.99999999999804</v>
      </c>
      <c r="AI33" s="2">
        <f>Table83[[#This Row],[Weight]]-Table7[[#This Row],[Weight v BMI]]</f>
        <v>1.9610979506978765E-12</v>
      </c>
      <c r="AJ33" s="2">
        <f>Table7[[#This Row],[WBMI Res]]^2</f>
        <v>3.8459051722314109E-24</v>
      </c>
      <c r="AK33">
        <f>Regression!$N$10+(Regression!$N$9*Table83[[#This Row],[CBF]])</f>
        <v>256.25609762651322</v>
      </c>
      <c r="AL33" s="2">
        <f>Table83[[#This Row],[Weight]]-Table7[[#This Row],[Weight v CBF]]</f>
        <v>-0.25609762651322399</v>
      </c>
      <c r="AM33" s="2">
        <f>Table7[[#This Row],[WCBF Res]]^2</f>
        <v>6.558599430570676E-2</v>
      </c>
      <c r="AN33">
        <f>Regression!$O$10+(Regression!$O$9*Table83[[#This Row],[Gym]])</f>
        <v>255.46779661016953</v>
      </c>
      <c r="AO33" s="2">
        <f>Table83[[#This Row],[Weight]]-Table7[[#This Row],[Weight v Gym]]</f>
        <v>0.532203389830471</v>
      </c>
      <c r="AP33" s="2">
        <f>Table7[[#This Row],[WG Res]]^2</f>
        <v>0.2832404481470443</v>
      </c>
      <c r="AQ33">
        <f>Regression!$P$10+(Regression!$P$9*Table83[[#This Row],[Cardio]])</f>
        <v>256.41063829787231</v>
      </c>
      <c r="AR33" s="2">
        <f>Table83[[#This Row],[Weight]]-Table7[[#This Row],[Weight v Cardio]]</f>
        <v>-0.41063829787231043</v>
      </c>
      <c r="AS33" s="2">
        <f>Table7[[#This Row],[WC Res]]^2</f>
        <v>0.16862381167946836</v>
      </c>
      <c r="AT33">
        <f>Regression!$Q$10+(Regression!$Q$9*Table83[[#This Row],[Calories]])</f>
        <v>255.84806039916833</v>
      </c>
      <c r="AU33" s="2">
        <f>Table83[[#This Row],[Weight]]-Table7[[#This Row],[Weight v Calories]]</f>
        <v>0.15193960083166758</v>
      </c>
      <c r="AV33" s="2">
        <f>Table7[[#This Row],[WCAL Res]]^2</f>
        <v>2.3085642300886479E-2</v>
      </c>
      <c r="AW33">
        <f>Regression!$R$10+(Regression!$R$9*Table83[[#This Row],[Carbs]])</f>
        <v>256.15130057424034</v>
      </c>
      <c r="AX33" s="2">
        <f>Table83[[#This Row],[Weight]]-Table7[[#This Row],[Weight v Carbs]]</f>
        <v>-0.15130057424033794</v>
      </c>
      <c r="AY33" s="2">
        <f>Table7[[#This Row],[Wcarb Res]]^2</f>
        <v>2.2891863765456013E-2</v>
      </c>
      <c r="AZ33">
        <f>Regression!$S$10+(Regression!$S$9*Table83[[#This Row],[Fat ]])</f>
        <v>255.35756551328564</v>
      </c>
      <c r="BA33" s="2">
        <f>Table83[[#This Row],[Weight]]-Table7[[#This Row],[Weight v Fat]]</f>
        <v>0.64243448671436454</v>
      </c>
      <c r="BB33" s="2">
        <f>Table7[[#This Row],[WF Res]]^2</f>
        <v>0.41272206971994901</v>
      </c>
      <c r="BC33">
        <f>Regression!$T$10+(Regression!$T$9*Table83[[#This Row],[Protein]])</f>
        <v>255.70864206445904</v>
      </c>
      <c r="BD33" s="2">
        <f>Table83[[#This Row],[Weight]]-Table7[[#This Row],[Weight v Protein]]</f>
        <v>0.29135793554095812</v>
      </c>
      <c r="BE33" s="2">
        <f>Table7[[#This Row],[WP Res]]^2</f>
        <v>8.4889446602689114E-2</v>
      </c>
      <c r="BF33">
        <f>Regression!$U$10+(Regression!$U$9*Table83[[#This Row],[Fiber]])</f>
        <v>254.94696984011298</v>
      </c>
      <c r="BG33" s="2">
        <f>Table83[[#This Row],[Weight]]-Table7[[#This Row],[Weight v Fiber]]</f>
        <v>1.0530301598870153</v>
      </c>
      <c r="BH33" s="2">
        <f>Table7[[#This Row],[Wfib Res]]^2</f>
        <v>1.1088725176316729</v>
      </c>
      <c r="BI33">
        <f>Regression!$V$10+(Regression!$V$9*Table83[[#This Row],[Sugar]])</f>
        <v>256.70125635095059</v>
      </c>
      <c r="BJ33" s="2">
        <f>Table83[[#This Row],[Weight]]-Table7[[#This Row],[Weight v Sugar]]</f>
        <v>-0.70125635095058669</v>
      </c>
      <c r="BK33" s="2">
        <f>Table7[[#This Row],[Wsugar Res]]^2</f>
        <v>0.49176046974853244</v>
      </c>
      <c r="BL33">
        <f>Regression!$W$10+(Regression!$W$9*Table83[[#This Row],[Servings]])</f>
        <v>256.96645751429156</v>
      </c>
      <c r="BM33" s="2">
        <f>Table83[[#This Row],[Weight]]-Table7[[#This Row],[Weight v Servings]]</f>
        <v>-0.96645751429156235</v>
      </c>
      <c r="BN33" s="2">
        <f>Table7[[#This Row],[Wserv Res]]^2</f>
        <v>0.93404012693062544</v>
      </c>
      <c r="BO33">
        <f>Regression!$X$10+(Regression!$X$9*Table83[[#This Row],[Water]])</f>
        <v>255.23471394386095</v>
      </c>
      <c r="BP33" s="2">
        <f>Table83[[#This Row],[Weight]]-Table7[[#This Row],[Weight v Water]]</f>
        <v>0.76528605613904688</v>
      </c>
      <c r="BQ33" s="2">
        <f>Table7[[#This Row],[Wwater Res]]^2</f>
        <v>0.58566274772085636</v>
      </c>
      <c r="BR33">
        <f>Regression!$Y$10+(Regression!$Y$9*Table83[[#This Row],[Fat Calories]])</f>
        <v>255.36828628016744</v>
      </c>
      <c r="BS33" s="2">
        <f>Table83[[#This Row],[Weight]]-Table7[[#This Row],[Weight v Fat Calories]]</f>
        <v>0.63171371983256108</v>
      </c>
      <c r="BT33" s="2">
        <f>Table7[[#This Row],[WFC Res]]^2</f>
        <v>0.39906222382469148</v>
      </c>
      <c r="BU33">
        <f>Regression!$B$29+(Regression!$B$28*Table83[[#This Row],[Weight]])</f>
        <v>44.57412611554863</v>
      </c>
      <c r="BV33" s="2">
        <f>Table83[[#This Row],[Waist]]-Table7[[#This Row],[Waist v Weight]]</f>
        <v>0.42587388445137009</v>
      </c>
      <c r="BW33" s="2">
        <f>Table7[[#This Row],[WaistW Res]]^2</f>
        <v>0.18136856545769892</v>
      </c>
      <c r="BX33">
        <f>Regression!$C$29+(Regression!$C$28*Table83[[#This Row],[Neck]])</f>
        <v>45.258648648648581</v>
      </c>
      <c r="BY33" s="2">
        <f>Table83[[#This Row],[Waist]]-Table7[[#This Row],[Waist v Neck]]</f>
        <v>-0.25864864864858106</v>
      </c>
      <c r="BZ33" s="2">
        <f>Table7[[#This Row],[WaistN Res]]^2</f>
        <v>6.689912344773713E-2</v>
      </c>
      <c r="CA33">
        <f>Regression!$D$29+(Regression!$D$28*Table83[[#This Row],[Morning Body Temp]])</f>
        <v>44.419304304405451</v>
      </c>
      <c r="CB33" s="2">
        <f>Table83[[#This Row],[Waist]]-Table7[[#This Row],[Waist v Morning Temp]]</f>
        <v>0.58069569559454948</v>
      </c>
      <c r="CC33" s="2">
        <f>Table7[[#This Row],[WaistMT Res]]^2</f>
        <v>0.33720749088203766</v>
      </c>
      <c r="CD33">
        <f>Regression!$E$29+(Regression!$E$28*Table83[[#This Row],[Morning Systolic Pressure]])</f>
        <v>44.576969590303328</v>
      </c>
      <c r="CE33" s="2">
        <f>Table83[[#This Row],[Waist]]-Table7[[#This Row],[Waist v Morning Sys]]</f>
        <v>0.42303040969667194</v>
      </c>
      <c r="CF33" s="2">
        <f>Table7[[#This Row],[WaistMS Res]]^2</f>
        <v>0.1789547275281341</v>
      </c>
      <c r="CG33">
        <f>Regression!$F$29+(Regression!$F$28*Table83[[#This Row],[Morning Diastolic Pressure]])</f>
        <v>44.419002944131137</v>
      </c>
      <c r="CH33" s="2">
        <f>Table83[[#This Row],[Waist]]-Table7[[#This Row],[Waist v Morning Dia]]</f>
        <v>0.5809970558688633</v>
      </c>
      <c r="CI33" s="2">
        <f>Table7[[#This Row],[WaistMD Res]]^2</f>
        <v>0.33755757892828708</v>
      </c>
      <c r="CJ33">
        <f>Regression!$G$29+(Regression!$G$28*Table83[[#This Row],[Morning Pulse]])</f>
        <v>44.454576200079806</v>
      </c>
      <c r="CK33" s="2">
        <f>Table83[[#This Row],[Waist]]-Table7[[#This Row],[Waist v Morning Pulse]]</f>
        <v>0.54542379992019363</v>
      </c>
      <c r="CL33" s="2">
        <f>Table7[[#This Row],[WaistMP Res]]^2</f>
        <v>0.29748712151938339</v>
      </c>
      <c r="CM33">
        <f>Regression!$H$29+(Regression!$H$28*Table83[[#This Row],[Night Body Temp]])</f>
        <v>44.392275488024978</v>
      </c>
      <c r="CN33" s="2">
        <f>Table83[[#This Row],[Waist]]-Table7[[#This Row],[Waist v Night Temp]]</f>
        <v>0.60772451197502164</v>
      </c>
      <c r="CO33" s="2">
        <f>Table7[[#This Row],[WaistNT Res]]^2</f>
        <v>0.36932908245527823</v>
      </c>
      <c r="CP33">
        <f>Regression!$I$29+(Regression!$I$28*Table83[[#This Row],[Night Systolic Pressure]])</f>
        <v>44.630980687212571</v>
      </c>
      <c r="CQ33" s="2">
        <f>Table83[[#This Row],[Waist]]-Table7[[#This Row],[Waist v  Night Sys]]</f>
        <v>0.3690193127874295</v>
      </c>
      <c r="CR33" s="2">
        <f>Table7[[#This Row],[WaistNS Res]]^2</f>
        <v>0.13617525321010673</v>
      </c>
      <c r="CS33">
        <f>Regression!$J$29+(Regression!$J$28*Table83[[#This Row],[Night Diastolic Pressure]])</f>
        <v>44.444024065946287</v>
      </c>
      <c r="CT33" s="2">
        <f>Table83[[#This Row],[Waist]]-Table7[[#This Row],[Waist v Night Dia]]</f>
        <v>0.55597593405371271</v>
      </c>
      <c r="CU33" s="2">
        <f>Table7[[#This Row],[WaistND Res]]^2</f>
        <v>0.30910923924689832</v>
      </c>
      <c r="CV33">
        <f>Regression!$K$29+(Regression!$K$28*Table83[[#This Row],[Night Pulse]])</f>
        <v>44.465421865187196</v>
      </c>
      <c r="CW33" s="2">
        <f>Table83[[#This Row],[Waist]]-Table7[[#This Row],[Waist v Night Pulse]]</f>
        <v>0.53457813481280425</v>
      </c>
      <c r="CX33" s="2">
        <f>Table7[[#This Row],[WaistNP Res]]^2</f>
        <v>0.28577378221993671</v>
      </c>
      <c r="CY33">
        <f>Regression!$L$29+(Regression!$L$28*Table83[[#This Row],[Sleep]])</f>
        <v>44.444867110859185</v>
      </c>
      <c r="CZ33" s="2">
        <f>Table83[[#This Row],[Waist]]-Table7[[#This Row],[Waist v  Sleep]]</f>
        <v>0.55513288914081471</v>
      </c>
      <c r="DA33" s="2">
        <f>Table7[[#This Row],[WaistS Res]]^2</f>
        <v>0.30817252460582806</v>
      </c>
      <c r="DB33">
        <f>Regression!$M$29+(Regression!$M$28*Table83[[#This Row],[BMI]])</f>
        <v>44.574126115548246</v>
      </c>
      <c r="DC33" s="2">
        <f>Table83[[#This Row],[Waist]]-Table7[[#This Row],[Waist v BMI]]</f>
        <v>0.42587388445175378</v>
      </c>
      <c r="DD33" s="2">
        <f>Table7[[#This Row],[WaistBMI Res]]^2</f>
        <v>0.18136856545802574</v>
      </c>
      <c r="DE33">
        <f>Regression!$N$29+(Regression!$N$28*Table83[[#This Row],[CBF]])</f>
        <v>44.659010290127611</v>
      </c>
      <c r="DF33" s="2">
        <f>Table83[[#This Row],[Waist]]-Table7[[#This Row],[Waist v  CBF]]</f>
        <v>0.34098970987238886</v>
      </c>
      <c r="DG33" s="2">
        <f>Table7[[#This Row],[WaistCBF Res]]^2</f>
        <v>0.11627398223885593</v>
      </c>
      <c r="DH33">
        <f>Regression!$O$29+(Regression!$O$28*Table83[[#This Row],[Gym]])</f>
        <v>44.550847457627107</v>
      </c>
      <c r="DI33" s="2">
        <f>Table83[[#This Row],[Waist]]-Table7[[#This Row],[Waist v  Gym]]</f>
        <v>0.44915254237289304</v>
      </c>
      <c r="DJ33" s="2">
        <f>Table7[[#This Row],[WaistGYM Res]]^2</f>
        <v>0.20173800632003347</v>
      </c>
      <c r="DK33">
        <f>Regression!$P$29+(Regression!$P$28*Table83[[#This Row],[Cardio]])</f>
        <v>44.680851063829778</v>
      </c>
      <c r="DL33" s="2">
        <f>Table83[[#This Row],[Waist]]-Table7[[#This Row],[Waist v Cardio]]</f>
        <v>0.31914893617022244</v>
      </c>
      <c r="DM33" s="2">
        <f>Table7[[#This Row],[WaistC Res]]^2</f>
        <v>0.10185604345858472</v>
      </c>
      <c r="DN33">
        <f>Regression!$Q$29+(Regression!$Q$28*Table83[[#This Row],[Calories]])</f>
        <v>44.618232294172934</v>
      </c>
      <c r="DO33" s="2">
        <f>Table83[[#This Row],[Waist]]-Table7[[#This Row],[Waist v Calories]]</f>
        <v>0.3817677058270661</v>
      </c>
      <c r="DP33" s="2">
        <f>Table7[[#This Row],[WaistCal Res]]^2</f>
        <v>0.14574658121246128</v>
      </c>
      <c r="DQ33">
        <f>Regression!$R$29+(Regression!$R$28*Table83[[#This Row],[Carbs]])</f>
        <v>44.669282044391551</v>
      </c>
      <c r="DR33" s="2">
        <f>Table83[[#This Row],[Waist]]-Table7[[#This Row],[Waist v Carbs]]</f>
        <v>0.33071795560844919</v>
      </c>
      <c r="DS33" s="2">
        <f>Table7[[#This Row],[WaistCarb Res]]^2</f>
        <v>0.10937436616183217</v>
      </c>
      <c r="DT33">
        <f>Regression!$S$29+(Regression!$S$28*Table83[[#This Row],[Fat ]])</f>
        <v>44.527673441464273</v>
      </c>
      <c r="DU33" s="2">
        <f>Table83[[#This Row],[Waist]]-Table7[[#This Row],[Waist v Fat]]</f>
        <v>0.4723265585357268</v>
      </c>
      <c r="DV33" s="2">
        <f>Table7[[#This Row],[WaistF Res]]^2</f>
        <v>0.22309237789820335</v>
      </c>
      <c r="DW33">
        <f>Regression!$T$29+(Regression!$T$28*Table83[[#This Row],[Protein]])</f>
        <v>44.562190273512307</v>
      </c>
      <c r="DX33" s="2">
        <f>Table83[[#This Row],[Waist]]-Table7[[#This Row],[Waist v Protein]]</f>
        <v>0.43780972648769279</v>
      </c>
      <c r="DY33" s="2">
        <f>Table7[[#This Row],[WaistP Res]]^2</f>
        <v>0.19167735660722837</v>
      </c>
      <c r="DZ33">
        <f>Regression!$U$29+(Regression!$U$28*Table83[[#This Row],[Fiber]])</f>
        <v>44.388686640064002</v>
      </c>
      <c r="EA33" s="2">
        <f>Table83[[#This Row],[Waist]]-Table7[[#This Row],[Waist v Fiber]]</f>
        <v>0.61131335993599834</v>
      </c>
      <c r="EB33" s="2">
        <f>Table7[[#This Row],[WaistFib Res]]^2</f>
        <v>0.37370402403623948</v>
      </c>
      <c r="EC33">
        <f>Regression!$V$29+(Regression!$V$28*Table83[[#This Row],[Sugar]])</f>
        <v>44.738485136275756</v>
      </c>
      <c r="ED33" s="2">
        <f>Table83[[#This Row],[Waist]]-Table7[[#This Row],[Waist v Sugar]]</f>
        <v>0.26151486372424415</v>
      </c>
      <c r="EE33" s="2">
        <f>Table7[[#This Row],[WaistSugar Res]]^2</f>
        <v>6.8390023948709994E-2</v>
      </c>
      <c r="EF33">
        <f>Regression!$W$29+(Regression!$W$28*Table83[[#This Row],[Servings]])</f>
        <v>44.736034642940886</v>
      </c>
      <c r="EG33" s="2">
        <f>Table83[[#This Row],[Waist]]-Table7[[#This Row],[Waist v Servings]]</f>
        <v>0.26396535705911361</v>
      </c>
      <c r="EH33" s="2">
        <f>Table7[[#This Row],[WaistServ Res]]^2</f>
        <v>6.9677709727345341E-2</v>
      </c>
      <c r="EI33">
        <f>Regression!$X$29+(Regression!$X$28*Table83[[#This Row],[Water]])</f>
        <v>44.609733984485779</v>
      </c>
      <c r="EJ33" s="2">
        <f>Table83[[#This Row],[Waist]]-Table7[[#This Row],[Waist v Water]]</f>
        <v>0.39026601551422146</v>
      </c>
      <c r="EK33" s="2">
        <f>Table7[[#This Row],[WaistWat Res]]^2</f>
        <v>0.15230756286534655</v>
      </c>
      <c r="EL33">
        <f>Regression!$Y$29+(Regression!$Y$28*Table83[[#This Row],[Fat Calories]])</f>
        <v>44.530558010233392</v>
      </c>
      <c r="EM33" s="2">
        <f>Table83[[#This Row],[Waist]]-Table7[[#This Row],[Waist v Fat Calories]]</f>
        <v>0.469441989766608</v>
      </c>
      <c r="EN33" s="2">
        <f>Table7[[#This Row],[WaistFatCal Res]]^2</f>
        <v>0.22037578175603209</v>
      </c>
    </row>
    <row r="34" spans="1:144" x14ac:dyDescent="0.25">
      <c r="A34">
        <f>Regression!$B$10+(Regression!$B$9*Table83[[#This Row],[Waist]])</f>
        <v>255.38023686459636</v>
      </c>
      <c r="B34" s="2">
        <f>Table83[[#This Row],[Weight]]-Table7[[#This Row],[Weight v Waist]]</f>
        <v>0.61976313540364458</v>
      </c>
      <c r="C34" s="2">
        <f>Table7[[#This Row],[Weight v Waist Res]]^2</f>
        <v>0.38410634400535631</v>
      </c>
      <c r="D34">
        <f>Regression!$C$10+(Regression!$C$9*Table83[[#This Row],[Neck]])</f>
        <v>260.39308108104251</v>
      </c>
      <c r="E34" s="2">
        <f>Table83[[#This Row],[Weight]]-Table7[[#This Row],[Weight v Neck]]</f>
        <v>-4.39308108104251</v>
      </c>
      <c r="F34" s="2">
        <f>Table7[[#This Row],[WN Res]]^2</f>
        <v>19.29916138461363</v>
      </c>
      <c r="G34">
        <f>Regression!$D$10+(Regression!$D$9*Table83[[#This Row],[Morning Body Temp]])</f>
        <v>255.20036355752904</v>
      </c>
      <c r="H34" s="2">
        <f>Table83[[#This Row],[Weight]]-Table7[[#This Row],[Weight v Morning Temp]]</f>
        <v>0.79963644247095544</v>
      </c>
      <c r="I34" s="2">
        <f>Table7[[#This Row],[WMT Res]]^2</f>
        <v>0.63941844012760563</v>
      </c>
      <c r="J34">
        <f>Regression!$E$10+(Regression!$E$9*Table83[[#This Row],[Morning Systolic Pressure]])</f>
        <v>255.27979544420887</v>
      </c>
      <c r="K34" s="2">
        <f>Table83[[#This Row],[Weight]]-Table7[[#This Row],[Weight v Morning Sys]]</f>
        <v>0.72020455579112763</v>
      </c>
      <c r="L34" s="2">
        <f>Table7[[#This Row],[WMS Res]]^2</f>
        <v>0.51869460218229546</v>
      </c>
      <c r="M34">
        <f>Regression!$F$10+(Regression!$F$9*Table83[[#This Row],[Morning Diastolic Pressure]])</f>
        <v>255.30472839533641</v>
      </c>
      <c r="N34" s="2">
        <f>Table83[[#This Row],[Weight]]-Table7[[#This Row],[Weight v Morning Dia]]</f>
        <v>0.6952716046635885</v>
      </c>
      <c r="O34" s="2">
        <f>Table7[[#This Row],[WMD Res]]^2</f>
        <v>0.48340260425148129</v>
      </c>
      <c r="P34">
        <f>Regression!$G$10+(Regression!$G$9*Table83[[#This Row],[Morning Pulse]])</f>
        <v>255.12826746045599</v>
      </c>
      <c r="Q34" s="2">
        <f>Table83[[#This Row],[Weight]]-Table7[[#This Row],[Weight v Morning Pulse]]</f>
        <v>0.87173253954401275</v>
      </c>
      <c r="R34" s="2">
        <f>Table7[[#This Row],[WMP Res]]^2</f>
        <v>0.75991762049985379</v>
      </c>
      <c r="S34">
        <f>Regression!$H$10+(Regression!$H$9*Table83[[#This Row],[Night Body Temp]])</f>
        <v>254.33800382511666</v>
      </c>
      <c r="T34" s="2">
        <f>Table83[[#This Row],[Weight]]-Table7[[#This Row],[Weight v Night Temp]]</f>
        <v>1.6619961748833418</v>
      </c>
      <c r="U34" s="2">
        <f>Table7[[#This Row],[WNT Res]]^2</f>
        <v>2.7622312853268598</v>
      </c>
      <c r="V34">
        <f>Regression!$I$10+(Regression!$I$9*Table83[[#This Row],[Night Systolic Pressure]])</f>
        <v>255.85445039733804</v>
      </c>
      <c r="W34" s="2">
        <f>Table83[[#This Row],[Weight]]-Table7[[#This Row],[Weight v Night Sys]]</f>
        <v>0.14554960266195849</v>
      </c>
      <c r="X34" s="2">
        <f>Table7[[#This Row],[WNS Res]]^2</f>
        <v>2.1184686835053992E-2</v>
      </c>
      <c r="Y34">
        <f>Regression!$J$10+(Regression!$J$9*Table83[[#This Row],[Night Diastolic Pressure]])</f>
        <v>255.1330822426622</v>
      </c>
      <c r="Z34" s="2">
        <f>Table83[[#This Row],[Weight]]-Table7[[#This Row],[Weight v Night Dia]]</f>
        <v>0.86691775733780219</v>
      </c>
      <c r="AA34" s="2">
        <f>Table7[[#This Row],[WND Res]]^2</f>
        <v>0.75154639798760448</v>
      </c>
      <c r="AB34">
        <f>Regression!$K$10+(Regression!$K$9*Table83[[#This Row],[Night Pulse]])</f>
        <v>255.04872519626778</v>
      </c>
      <c r="AC34" s="2">
        <f>Table83[[#This Row],[Weight]]-Table7[[#This Row],[Weight v Night Pulse]]</f>
        <v>0.95127480373221829</v>
      </c>
      <c r="AD34" s="2">
        <f>Table7[[#This Row],[WNP Res ]]^2</f>
        <v>0.90492375221577037</v>
      </c>
      <c r="AE34">
        <f>Regression!$L$10+(Regression!$L$9*Table83[[#This Row],[Sleep]])</f>
        <v>255.29476681906823</v>
      </c>
      <c r="AF34" s="2">
        <f>Table83[[#This Row],[Weight]]-Table7[[#This Row],[Weight v Sleep]]</f>
        <v>0.70523318093177068</v>
      </c>
      <c r="AG34" s="2">
        <f>Table7[[#This Row],[WS Res]]^2</f>
        <v>0.49735383948714357</v>
      </c>
      <c r="AH34">
        <f>Regression!$M$10+(Regression!$M$9*Table83[[#This Row],[BMI]])</f>
        <v>255.99999999999804</v>
      </c>
      <c r="AI34" s="2">
        <f>Table83[[#This Row],[Weight]]-Table7[[#This Row],[Weight v BMI]]</f>
        <v>1.9610979506978765E-12</v>
      </c>
      <c r="AJ34" s="2">
        <f>Table7[[#This Row],[WBMI Res]]^2</f>
        <v>3.8459051722314109E-24</v>
      </c>
      <c r="AK34">
        <f>Regression!$N$10+(Regression!$N$9*Table83[[#This Row],[CBF]])</f>
        <v>253.17965033701802</v>
      </c>
      <c r="AL34" s="2">
        <f>Table83[[#This Row],[Weight]]-Table7[[#This Row],[Weight v CBF]]</f>
        <v>2.8203496629819824</v>
      </c>
      <c r="AM34" s="2">
        <f>Table7[[#This Row],[WCBF Res]]^2</f>
        <v>7.9543722214825818</v>
      </c>
      <c r="AN34">
        <f>Regression!$O$10+(Regression!$O$9*Table83[[#This Row],[Gym]])</f>
        <v>255.46779661016953</v>
      </c>
      <c r="AO34" s="2">
        <f>Table83[[#This Row],[Weight]]-Table7[[#This Row],[Weight v Gym]]</f>
        <v>0.532203389830471</v>
      </c>
      <c r="AP34" s="2">
        <f>Table7[[#This Row],[WG Res]]^2</f>
        <v>0.2832404481470443</v>
      </c>
      <c r="AQ34">
        <f>Regression!$P$10+(Regression!$P$9*Table83[[#This Row],[Cardio]])</f>
        <v>256.41063829787231</v>
      </c>
      <c r="AR34" s="2">
        <f>Table83[[#This Row],[Weight]]-Table7[[#This Row],[Weight v Cardio]]</f>
        <v>-0.41063829787231043</v>
      </c>
      <c r="AS34" s="2">
        <f>Table7[[#This Row],[WC Res]]^2</f>
        <v>0.16862381167946836</v>
      </c>
      <c r="AT34">
        <f>Regression!$Q$10+(Regression!$Q$9*Table83[[#This Row],[Calories]])</f>
        <v>255.91320231610567</v>
      </c>
      <c r="AU34" s="2">
        <f>Table83[[#This Row],[Weight]]-Table7[[#This Row],[Weight v Calories]]</f>
        <v>8.6797683894332067E-2</v>
      </c>
      <c r="AV34" s="2">
        <f>Table7[[#This Row],[WCAL Res]]^2</f>
        <v>7.533837929420392E-3</v>
      </c>
      <c r="AW34">
        <f>Regression!$R$10+(Regression!$R$9*Table83[[#This Row],[Carbs]])</f>
        <v>256.05462860246712</v>
      </c>
      <c r="AX34" s="2">
        <f>Table83[[#This Row],[Weight]]-Table7[[#This Row],[Weight v Carbs]]</f>
        <v>-5.4628602467118981E-2</v>
      </c>
      <c r="AY34" s="2">
        <f>Table7[[#This Row],[Wcarb Res]]^2</f>
        <v>2.9842842075105181E-3</v>
      </c>
      <c r="AZ34">
        <f>Regression!$S$10+(Regression!$S$9*Table83[[#This Row],[Fat ]])</f>
        <v>255.49176909414948</v>
      </c>
      <c r="BA34" s="2">
        <f>Table83[[#This Row],[Weight]]-Table7[[#This Row],[Weight v Fat]]</f>
        <v>0.50823090585052455</v>
      </c>
      <c r="BB34" s="2">
        <f>Table7[[#This Row],[WF Res]]^2</f>
        <v>0.25829865366164473</v>
      </c>
      <c r="BC34">
        <f>Regression!$T$10+(Regression!$T$9*Table83[[#This Row],[Protein]])</f>
        <v>255.87010792526408</v>
      </c>
      <c r="BD34" s="2">
        <f>Table83[[#This Row],[Weight]]-Table7[[#This Row],[Weight v Protein]]</f>
        <v>0.12989207473592046</v>
      </c>
      <c r="BE34" s="2">
        <f>Table7[[#This Row],[WP Res]]^2</f>
        <v>1.6871951079201947E-2</v>
      </c>
      <c r="BF34">
        <f>Regression!$U$10+(Regression!$U$9*Table83[[#This Row],[Fiber]])</f>
        <v>255.11134732355151</v>
      </c>
      <c r="BG34" s="2">
        <f>Table83[[#This Row],[Weight]]-Table7[[#This Row],[Weight v Fiber]]</f>
        <v>0.888652676448487</v>
      </c>
      <c r="BH34" s="2">
        <f>Table7[[#This Row],[Wfib Res]]^2</f>
        <v>0.78970357935905933</v>
      </c>
      <c r="BI34">
        <f>Regression!$V$10+(Regression!$V$9*Table83[[#This Row],[Sugar]])</f>
        <v>256.62248939044542</v>
      </c>
      <c r="BJ34" s="2">
        <f>Table83[[#This Row],[Weight]]-Table7[[#This Row],[Weight v Sugar]]</f>
        <v>-0.6224893904454234</v>
      </c>
      <c r="BK34" s="2">
        <f>Table7[[#This Row],[Wsugar Res]]^2</f>
        <v>0.38749304121711475</v>
      </c>
      <c r="BL34">
        <f>Regression!$W$10+(Regression!$W$9*Table83[[#This Row],[Servings]])</f>
        <v>256.68741585686979</v>
      </c>
      <c r="BM34" s="2">
        <f>Table83[[#This Row],[Weight]]-Table7[[#This Row],[Weight v Servings]]</f>
        <v>-0.68741585686979079</v>
      </c>
      <c r="BN34" s="2">
        <f>Table7[[#This Row],[Wserv Res]]^2</f>
        <v>0.4725405602760287</v>
      </c>
      <c r="BO34">
        <f>Regression!$X$10+(Regression!$X$9*Table83[[#This Row],[Water]])</f>
        <v>255.19189796045953</v>
      </c>
      <c r="BP34" s="2">
        <f>Table83[[#This Row],[Weight]]-Table7[[#This Row],[Weight v Water]]</f>
        <v>0.80810203954047211</v>
      </c>
      <c r="BQ34" s="2">
        <f>Table7[[#This Row],[Wwater Res]]^2</f>
        <v>0.65302890630947075</v>
      </c>
      <c r="BR34">
        <f>Regression!$Y$10+(Regression!$Y$9*Table83[[#This Row],[Fat Calories]])</f>
        <v>255.51111265162183</v>
      </c>
      <c r="BS34" s="2">
        <f>Table83[[#This Row],[Weight]]-Table7[[#This Row],[Weight v Fat Calories]]</f>
        <v>0.48888734837817083</v>
      </c>
      <c r="BT34" s="2">
        <f>Table7[[#This Row],[WFC Res]]^2</f>
        <v>0.23901083940423898</v>
      </c>
      <c r="BU34">
        <f>Regression!$B$29+(Regression!$B$28*Table83[[#This Row],[Weight]])</f>
        <v>44.57412611554863</v>
      </c>
      <c r="BV34" s="2">
        <f>Table83[[#This Row],[Waist]]-Table7[[#This Row],[Waist v Weight]]</f>
        <v>-7.4126115548629912E-2</v>
      </c>
      <c r="BW34" s="2">
        <f>Table7[[#This Row],[WaistW Res]]^2</f>
        <v>5.4946810063288328E-3</v>
      </c>
      <c r="BX34">
        <f>Regression!$C$29+(Regression!$C$28*Table83[[#This Row],[Neck]])</f>
        <v>45.258648648648581</v>
      </c>
      <c r="BY34" s="2">
        <f>Table83[[#This Row],[Waist]]-Table7[[#This Row],[Waist v Neck]]</f>
        <v>-0.75864864864858106</v>
      </c>
      <c r="BZ34" s="2">
        <f>Table7[[#This Row],[WaistN Res]]^2</f>
        <v>0.57554777209631824</v>
      </c>
      <c r="CA34">
        <f>Regression!$D$29+(Regression!$D$28*Table83[[#This Row],[Morning Body Temp]])</f>
        <v>44.476744743933082</v>
      </c>
      <c r="CB34" s="2">
        <f>Table83[[#This Row],[Waist]]-Table7[[#This Row],[Waist v Morning Temp]]</f>
        <v>2.3255256066917696E-2</v>
      </c>
      <c r="CC34" s="2">
        <f>Table7[[#This Row],[WaistMT Res]]^2</f>
        <v>5.408069347379123E-4</v>
      </c>
      <c r="CD34">
        <f>Regression!$E$29+(Regression!$E$28*Table83[[#This Row],[Morning Systolic Pressure]])</f>
        <v>44.492246348363913</v>
      </c>
      <c r="CE34" s="2">
        <f>Table83[[#This Row],[Waist]]-Table7[[#This Row],[Waist v Morning Sys]]</f>
        <v>7.7536516360865448E-3</v>
      </c>
      <c r="CF34" s="2">
        <f>Table7[[#This Row],[WaistMS Res]]^2</f>
        <v>6.0119113693787551E-5</v>
      </c>
      <c r="CG34">
        <f>Regression!$F$29+(Regression!$F$28*Table83[[#This Row],[Morning Diastolic Pressure]])</f>
        <v>44.464087909481968</v>
      </c>
      <c r="CH34" s="2">
        <f>Table83[[#This Row],[Waist]]-Table7[[#This Row],[Waist v Morning Dia]]</f>
        <v>3.5912090518031903E-2</v>
      </c>
      <c r="CI34" s="2">
        <f>Table7[[#This Row],[WaistMD Res]]^2</f>
        <v>1.2896782453753169E-3</v>
      </c>
      <c r="CJ34">
        <f>Regression!$G$29+(Regression!$G$28*Table83[[#This Row],[Morning Pulse]])</f>
        <v>44.459613215521493</v>
      </c>
      <c r="CK34" s="2">
        <f>Table83[[#This Row],[Waist]]-Table7[[#This Row],[Waist v Morning Pulse]]</f>
        <v>4.0386784478506854E-2</v>
      </c>
      <c r="CL34" s="2">
        <f>Table7[[#This Row],[WaistMP Res]]^2</f>
        <v>1.6310923605133622E-3</v>
      </c>
      <c r="CM34">
        <f>Regression!$H$29+(Regression!$H$28*Table83[[#This Row],[Night Body Temp]])</f>
        <v>44.392275488024978</v>
      </c>
      <c r="CN34" s="2">
        <f>Table83[[#This Row],[Waist]]-Table7[[#This Row],[Waist v Night Temp]]</f>
        <v>0.10772451197502164</v>
      </c>
      <c r="CO34" s="2">
        <f>Table7[[#This Row],[WaistNT Res]]^2</f>
        <v>1.1604570480256581E-2</v>
      </c>
      <c r="CP34">
        <f>Regression!$I$29+(Regression!$I$28*Table83[[#This Row],[Night Systolic Pressure]])</f>
        <v>44.558280115584509</v>
      </c>
      <c r="CQ34" s="2">
        <f>Table83[[#This Row],[Waist]]-Table7[[#This Row],[Waist v  Night Sys]]</f>
        <v>-5.8280115584508962E-2</v>
      </c>
      <c r="CR34" s="2">
        <f>Table7[[#This Row],[WaistNS Res]]^2</f>
        <v>3.3965718725437245E-3</v>
      </c>
      <c r="CS34">
        <f>Regression!$J$29+(Regression!$J$28*Table83[[#This Row],[Night Diastolic Pressure]])</f>
        <v>44.461092011153731</v>
      </c>
      <c r="CT34" s="2">
        <f>Table83[[#This Row],[Waist]]-Table7[[#This Row],[Waist v Night Dia]]</f>
        <v>3.8907988846268893E-2</v>
      </c>
      <c r="CU34" s="2">
        <f>Table7[[#This Row],[WaistND Res]]^2</f>
        <v>1.5138315960613845E-3</v>
      </c>
      <c r="CV34">
        <f>Regression!$K$29+(Regression!$K$28*Table83[[#This Row],[Night Pulse]])</f>
        <v>44.459708372565267</v>
      </c>
      <c r="CW34" s="2">
        <f>Table83[[#This Row],[Waist]]-Table7[[#This Row],[Waist v Night Pulse]]</f>
        <v>4.0291627434733357E-2</v>
      </c>
      <c r="CX34" s="2">
        <f>Table7[[#This Row],[WaistNP Res]]^2</f>
        <v>1.6234152413393578E-3</v>
      </c>
      <c r="CY34">
        <f>Regression!$L$29+(Regression!$L$28*Table83[[#This Row],[Sleep]])</f>
        <v>44.480941336855928</v>
      </c>
      <c r="CZ34" s="2">
        <f>Table83[[#This Row],[Waist]]-Table7[[#This Row],[Waist v  Sleep]]</f>
        <v>1.9058663144072341E-2</v>
      </c>
      <c r="DA34" s="2">
        <f>Table7[[#This Row],[WaistS Res]]^2</f>
        <v>3.6323264083922143E-4</v>
      </c>
      <c r="DB34">
        <f>Regression!$M$29+(Regression!$M$28*Table83[[#This Row],[BMI]])</f>
        <v>44.574126115548246</v>
      </c>
      <c r="DC34" s="2">
        <f>Table83[[#This Row],[Waist]]-Table7[[#This Row],[Waist v BMI]]</f>
        <v>-7.4126115548246219E-2</v>
      </c>
      <c r="DD34" s="2">
        <f>Table7[[#This Row],[WaistBMI Res]]^2</f>
        <v>5.4946810062719495E-3</v>
      </c>
      <c r="DE34">
        <f>Regression!$N$29+(Regression!$N$28*Table83[[#This Row],[CBF]])</f>
        <v>44.105031770433015</v>
      </c>
      <c r="DF34" s="2">
        <f>Table83[[#This Row],[Waist]]-Table7[[#This Row],[Waist v  CBF]]</f>
        <v>0.39496822956698452</v>
      </c>
      <c r="DG34" s="2">
        <f>Table7[[#This Row],[WaistCBF Res]]^2</f>
        <v>0.15599990236727818</v>
      </c>
      <c r="DH34">
        <f>Regression!$O$29+(Regression!$O$28*Table83[[#This Row],[Gym]])</f>
        <v>44.550847457627107</v>
      </c>
      <c r="DI34" s="2">
        <f>Table83[[#This Row],[Waist]]-Table7[[#This Row],[Waist v  Gym]]</f>
        <v>-5.0847457627106962E-2</v>
      </c>
      <c r="DJ34" s="2">
        <f>Table7[[#This Row],[WaistGYM Res]]^2</f>
        <v>2.5854639471404378E-3</v>
      </c>
      <c r="DK34">
        <f>Regression!$P$29+(Regression!$P$28*Table83[[#This Row],[Cardio]])</f>
        <v>44.680851063829778</v>
      </c>
      <c r="DL34" s="2">
        <f>Table83[[#This Row],[Waist]]-Table7[[#This Row],[Waist v Cardio]]</f>
        <v>-0.18085106382977756</v>
      </c>
      <c r="DM34" s="2">
        <f>Table7[[#This Row],[WaistC Res]]^2</f>
        <v>3.2707107288362278E-2</v>
      </c>
      <c r="DN34">
        <f>Regression!$Q$29+(Regression!$Q$28*Table83[[#This Row],[Calories]])</f>
        <v>44.632868238082992</v>
      </c>
      <c r="DO34" s="2">
        <f>Table83[[#This Row],[Waist]]-Table7[[#This Row],[Waist v Calories]]</f>
        <v>-0.13286823808299175</v>
      </c>
      <c r="DP34" s="2">
        <f>Table7[[#This Row],[WaistCal Res]]^2</f>
        <v>1.7653968691278579E-2</v>
      </c>
      <c r="DQ34">
        <f>Regression!$R$29+(Regression!$R$28*Table83[[#This Row],[Carbs]])</f>
        <v>44.649155531864281</v>
      </c>
      <c r="DR34" s="2">
        <f>Table83[[#This Row],[Waist]]-Table7[[#This Row],[Waist v Carbs]]</f>
        <v>-0.14915553186428099</v>
      </c>
      <c r="DS34" s="2">
        <f>Table7[[#This Row],[WaistCarb Res]]^2</f>
        <v>2.224737268571654E-2</v>
      </c>
      <c r="DT34">
        <f>Regression!$S$29+(Regression!$S$28*Table83[[#This Row],[Fat ]])</f>
        <v>44.56869663602285</v>
      </c>
      <c r="DU34" s="2">
        <f>Table83[[#This Row],[Waist]]-Table7[[#This Row],[Waist v Fat]]</f>
        <v>-6.8696636022849589E-2</v>
      </c>
      <c r="DV34" s="2">
        <f>Table7[[#This Row],[WaistF Res]]^2</f>
        <v>4.7192278008558759E-3</v>
      </c>
      <c r="DW34">
        <f>Regression!$T$29+(Regression!$T$28*Table83[[#This Row],[Protein]])</f>
        <v>44.591744523923424</v>
      </c>
      <c r="DX34" s="2">
        <f>Table83[[#This Row],[Waist]]-Table7[[#This Row],[Waist v Protein]]</f>
        <v>-9.1744523923424026E-2</v>
      </c>
      <c r="DY34" s="2">
        <f>Table7[[#This Row],[WaistP Res]]^2</f>
        <v>8.4170576699357236E-3</v>
      </c>
      <c r="DZ34">
        <f>Regression!$U$29+(Regression!$U$28*Table83[[#This Row],[Fiber]])</f>
        <v>44.452113327999015</v>
      </c>
      <c r="EA34" s="2">
        <f>Table83[[#This Row],[Waist]]-Table7[[#This Row],[Waist v Fiber]]</f>
        <v>4.7886672000984731E-2</v>
      </c>
      <c r="EB34" s="2">
        <f>Table7[[#This Row],[WaistFib Res]]^2</f>
        <v>2.293133355329895E-3</v>
      </c>
      <c r="EC34">
        <f>Regression!$V$29+(Regression!$V$28*Table83[[#This Row],[Sugar]])</f>
        <v>44.724335530311023</v>
      </c>
      <c r="ED34" s="2">
        <f>Table83[[#This Row],[Waist]]-Table7[[#This Row],[Waist v Sugar]]</f>
        <v>-0.22433553031102349</v>
      </c>
      <c r="EE34" s="2">
        <f>Table7[[#This Row],[WaistSugar Res]]^2</f>
        <v>5.0326430159928139E-2</v>
      </c>
      <c r="EF34">
        <f>Regression!$W$29+(Regression!$W$28*Table83[[#This Row],[Servings]])</f>
        <v>44.693457534851042</v>
      </c>
      <c r="EG34" s="2">
        <f>Table83[[#This Row],[Waist]]-Table7[[#This Row],[Waist v Servings]]</f>
        <v>-0.19345753485104211</v>
      </c>
      <c r="EH34" s="2">
        <f>Table7[[#This Row],[WaistServ Res]]^2</f>
        <v>3.7425817790642177E-2</v>
      </c>
      <c r="EI34">
        <f>Regression!$X$29+(Regression!$X$28*Table83[[#This Row],[Water]])</f>
        <v>44.553850107074496</v>
      </c>
      <c r="EJ34" s="2">
        <f>Table83[[#This Row],[Waist]]-Table7[[#This Row],[Waist v Water]]</f>
        <v>-5.3850107074495668E-2</v>
      </c>
      <c r="EK34" s="2">
        <f>Table7[[#This Row],[WaistWat Res]]^2</f>
        <v>2.8998340319346485E-3</v>
      </c>
      <c r="EL34">
        <f>Regression!$Y$29+(Regression!$Y$28*Table83[[#This Row],[Fat Calories]])</f>
        <v>44.573995618571587</v>
      </c>
      <c r="EM34" s="2">
        <f>Table83[[#This Row],[Waist]]-Table7[[#This Row],[Waist v Fat Calories]]</f>
        <v>-7.3995618571586874E-2</v>
      </c>
      <c r="EN34" s="2">
        <f>Table7[[#This Row],[WaistFatCal Res]]^2</f>
        <v>5.4753515677917726E-3</v>
      </c>
    </row>
    <row r="35" spans="1:144" x14ac:dyDescent="0.25">
      <c r="A35">
        <f>Regression!$B$10+(Regression!$B$9*Table83[[#This Row],[Waist]])</f>
        <v>255.38023686459636</v>
      </c>
      <c r="B35" s="2">
        <f>Table83[[#This Row],[Weight]]-Table7[[#This Row],[Weight v Waist]]</f>
        <v>-0.38023686459635542</v>
      </c>
      <c r="C35" s="2">
        <f>Table7[[#This Row],[Weight v Waist Res]]^2</f>
        <v>0.14458007319806712</v>
      </c>
      <c r="D35">
        <f>Regression!$C$10+(Regression!$C$9*Table83[[#This Row],[Neck]])</f>
        <v>260.39308108104251</v>
      </c>
      <c r="E35" s="2">
        <f>Table83[[#This Row],[Weight]]-Table7[[#This Row],[Weight v Neck]]</f>
        <v>-5.39308108104251</v>
      </c>
      <c r="F35" s="2">
        <f>Table7[[#This Row],[WN Res]]^2</f>
        <v>29.08532354669865</v>
      </c>
      <c r="G35">
        <f>Regression!$D$10+(Regression!$D$9*Table83[[#This Row],[Morning Body Temp]])</f>
        <v>255.4819577744185</v>
      </c>
      <c r="H35" s="2">
        <f>Table83[[#This Row],[Weight]]-Table7[[#This Row],[Weight v Morning Temp]]</f>
        <v>-0.48195777441850396</v>
      </c>
      <c r="I35" s="2">
        <f>Table7[[#This Row],[WMT Res]]^2</f>
        <v>0.23228329632243755</v>
      </c>
      <c r="J35">
        <f>Regression!$E$10+(Regression!$E$9*Table83[[#This Row],[Morning Systolic Pressure]])</f>
        <v>255.46010425966242</v>
      </c>
      <c r="K35" s="2">
        <f>Table83[[#This Row],[Weight]]-Table7[[#This Row],[Weight v Morning Sys]]</f>
        <v>-0.46010425966241542</v>
      </c>
      <c r="L35" s="2">
        <f>Table7[[#This Row],[WMS Res]]^2</f>
        <v>0.21169592975949938</v>
      </c>
      <c r="M35">
        <f>Regression!$F$10+(Regression!$F$9*Table83[[#This Row],[Morning Diastolic Pressure]])</f>
        <v>254.79800715011203</v>
      </c>
      <c r="N35" s="2">
        <f>Table83[[#This Row],[Weight]]-Table7[[#This Row],[Weight v Morning Dia]]</f>
        <v>0.20199284988797217</v>
      </c>
      <c r="O35" s="2">
        <f>Table7[[#This Row],[WMD Res]]^2</f>
        <v>4.0801111405864857E-2</v>
      </c>
      <c r="P35">
        <f>Regression!$G$10+(Regression!$G$9*Table83[[#This Row],[Morning Pulse]])</f>
        <v>255.14471762227069</v>
      </c>
      <c r="Q35" s="2">
        <f>Table83[[#This Row],[Weight]]-Table7[[#This Row],[Weight v Morning Pulse]]</f>
        <v>-0.14471762227069007</v>
      </c>
      <c r="R35" s="2">
        <f>Table7[[#This Row],[WMP Res]]^2</f>
        <v>2.0943190195682131E-2</v>
      </c>
      <c r="S35">
        <f>Regression!$H$10+(Regression!$H$9*Table83[[#This Row],[Night Body Temp]])</f>
        <v>253.9272175431899</v>
      </c>
      <c r="T35" s="2">
        <f>Table83[[#This Row],[Weight]]-Table7[[#This Row],[Weight v Night Temp]]</f>
        <v>1.0727824568101028</v>
      </c>
      <c r="U35" s="2">
        <f>Table7[[#This Row],[WNT Res]]^2</f>
        <v>1.1508621996395201</v>
      </c>
      <c r="V35">
        <f>Regression!$I$10+(Regression!$I$9*Table83[[#This Row],[Night Systolic Pressure]])</f>
        <v>255.75180556330957</v>
      </c>
      <c r="W35" s="2">
        <f>Table83[[#This Row],[Weight]]-Table7[[#This Row],[Weight v Night Sys]]</f>
        <v>-0.75180556330957415</v>
      </c>
      <c r="X35" s="2">
        <f>Table7[[#This Row],[WNS Res]]^2</f>
        <v>0.56521160502322609</v>
      </c>
      <c r="Y35">
        <f>Regression!$J$10+(Regression!$J$9*Table83[[#This Row],[Night Diastolic Pressure]])</f>
        <v>255.1330822426622</v>
      </c>
      <c r="Z35" s="2">
        <f>Table83[[#This Row],[Weight]]-Table7[[#This Row],[Weight v Night Dia]]</f>
        <v>-0.13308224266219781</v>
      </c>
      <c r="AA35" s="2">
        <f>Table7[[#This Row],[WND Res]]^2</f>
        <v>1.7710883312000103E-2</v>
      </c>
      <c r="AB35">
        <f>Regression!$K$10+(Regression!$K$9*Table83[[#This Row],[Night Pulse]])</f>
        <v>254.49588523400669</v>
      </c>
      <c r="AC35" s="2">
        <f>Table83[[#This Row],[Weight]]-Table7[[#This Row],[Weight v Night Pulse]]</f>
        <v>0.5041147659933074</v>
      </c>
      <c r="AD35" s="2">
        <f>Table7[[#This Row],[WNP Res ]]^2</f>
        <v>0.25413169729248708</v>
      </c>
      <c r="AE35">
        <f>Regression!$L$10+(Regression!$L$9*Table83[[#This Row],[Sleep]])</f>
        <v>255.37363536491171</v>
      </c>
      <c r="AF35" s="2">
        <f>Table83[[#This Row],[Weight]]-Table7[[#This Row],[Weight v Sleep]]</f>
        <v>-0.37363536491170635</v>
      </c>
      <c r="AG35" s="2">
        <f>Table7[[#This Row],[WS Res]]^2</f>
        <v>0.13960338591270396</v>
      </c>
      <c r="AH35">
        <f>Regression!$M$10+(Regression!$M$9*Table83[[#This Row],[BMI]])</f>
        <v>255.00000000000026</v>
      </c>
      <c r="AI35" s="2">
        <f>Table83[[#This Row],[Weight]]-Table7[[#This Row],[Weight v BMI]]</f>
        <v>-2.5579538487363607E-13</v>
      </c>
      <c r="AJ35" s="2">
        <f>Table7[[#This Row],[WBMI Res]]^2</f>
        <v>6.5431278922651603E-26</v>
      </c>
      <c r="AK35">
        <f>Regression!$N$10+(Regression!$N$9*Table83[[#This Row],[CBF]])</f>
        <v>253.17965033701802</v>
      </c>
      <c r="AL35" s="2">
        <f>Table83[[#This Row],[Weight]]-Table7[[#This Row],[Weight v CBF]]</f>
        <v>1.8203496629819824</v>
      </c>
      <c r="AM35" s="2">
        <f>Table7[[#This Row],[WCBF Res]]^2</f>
        <v>3.313672895518617</v>
      </c>
      <c r="AN35">
        <f>Regression!$O$10+(Regression!$O$9*Table83[[#This Row],[Gym]])</f>
        <v>255.46779661016953</v>
      </c>
      <c r="AO35" s="2">
        <f>Table83[[#This Row],[Weight]]-Table7[[#This Row],[Weight v Gym]]</f>
        <v>-0.467796610169529</v>
      </c>
      <c r="AP35" s="2">
        <f>Table7[[#This Row],[WG Res]]^2</f>
        <v>0.21883366848610228</v>
      </c>
      <c r="AQ35">
        <f>Regression!$P$10+(Regression!$P$9*Table83[[#This Row],[Cardio]])</f>
        <v>256.41063829787231</v>
      </c>
      <c r="AR35" s="2">
        <f>Table83[[#This Row],[Weight]]-Table7[[#This Row],[Weight v Cardio]]</f>
        <v>-1.4106382978723104</v>
      </c>
      <c r="AS35" s="2">
        <f>Table7[[#This Row],[WC Res]]^2</f>
        <v>1.9899004074240891</v>
      </c>
      <c r="AT35">
        <f>Regression!$Q$10+(Regression!$Q$9*Table83[[#This Row],[Calories]])</f>
        <v>255.61994209672892</v>
      </c>
      <c r="AU35" s="2">
        <f>Table83[[#This Row],[Weight]]-Table7[[#This Row],[Weight v Calories]]</f>
        <v>-0.61994209672891998</v>
      </c>
      <c r="AV35" s="2">
        <f>Table7[[#This Row],[WCAL Res]]^2</f>
        <v>0.38432820329664957</v>
      </c>
      <c r="AW35">
        <f>Regression!$R$10+(Regression!$R$9*Table83[[#This Row],[Carbs]])</f>
        <v>255.99129848409558</v>
      </c>
      <c r="AX35" s="2">
        <f>Table83[[#This Row],[Weight]]-Table7[[#This Row],[Weight v Carbs]]</f>
        <v>-0.99129848409558008</v>
      </c>
      <c r="AY35" s="2">
        <f>Table7[[#This Row],[Wcarb Res]]^2</f>
        <v>0.98267268457019508</v>
      </c>
      <c r="AZ35">
        <f>Regression!$S$10+(Regression!$S$9*Table83[[#This Row],[Fat ]])</f>
        <v>255.21022604826413</v>
      </c>
      <c r="BA35" s="2">
        <f>Table83[[#This Row],[Weight]]-Table7[[#This Row],[Weight v Fat]]</f>
        <v>-0.21022604826413271</v>
      </c>
      <c r="BB35" s="2">
        <f>Table7[[#This Row],[WF Res]]^2</f>
        <v>4.4194991368753454E-2</v>
      </c>
      <c r="BC35">
        <f>Regression!$T$10+(Regression!$T$9*Table83[[#This Row],[Protein]])</f>
        <v>254.74443034143854</v>
      </c>
      <c r="BD35" s="2">
        <f>Table83[[#This Row],[Weight]]-Table7[[#This Row],[Weight v Protein]]</f>
        <v>0.25556965856145553</v>
      </c>
      <c r="BE35" s="2">
        <f>Table7[[#This Row],[WP Res]]^2</f>
        <v>6.5315850377218959E-2</v>
      </c>
      <c r="BF35">
        <f>Regression!$U$10+(Regression!$U$9*Table83[[#This Row],[Fiber]])</f>
        <v>255.28381981287856</v>
      </c>
      <c r="BG35" s="2">
        <f>Table83[[#This Row],[Weight]]-Table7[[#This Row],[Weight v Fiber]]</f>
        <v>-0.28381981287856206</v>
      </c>
      <c r="BH35" s="2">
        <f>Table7[[#This Row],[Wfib Res]]^2</f>
        <v>8.055368618242198E-2</v>
      </c>
      <c r="BI35">
        <f>Regression!$V$10+(Regression!$V$9*Table83[[#This Row],[Sugar]])</f>
        <v>256.66113351673596</v>
      </c>
      <c r="BJ35" s="2">
        <f>Table83[[#This Row],[Weight]]-Table7[[#This Row],[Weight v Sugar]]</f>
        <v>-1.6611335167359584</v>
      </c>
      <c r="BK35" s="2">
        <f>Table7[[#This Row],[Wsugar Res]]^2</f>
        <v>2.7593645604235726</v>
      </c>
      <c r="BL35">
        <f>Regression!$W$10+(Regression!$W$9*Table83[[#This Row],[Servings]])</f>
        <v>256.48864645706249</v>
      </c>
      <c r="BM35" s="2">
        <f>Table83[[#This Row],[Weight]]-Table7[[#This Row],[Weight v Servings]]</f>
        <v>-1.4886464570624867</v>
      </c>
      <c r="BN35" s="2">
        <f>Table7[[#This Row],[Wserv Res]]^2</f>
        <v>2.216068274124694</v>
      </c>
      <c r="BO35">
        <f>Regression!$X$10+(Regression!$X$9*Table83[[#This Row],[Water]])</f>
        <v>255.19189796045953</v>
      </c>
      <c r="BP35" s="2">
        <f>Table83[[#This Row],[Weight]]-Table7[[#This Row],[Weight v Water]]</f>
        <v>-0.19189796045952789</v>
      </c>
      <c r="BQ35" s="2">
        <f>Table7[[#This Row],[Wwater Res]]^2</f>
        <v>3.6824827228526529E-2</v>
      </c>
      <c r="BR35">
        <f>Regression!$Y$10+(Regression!$Y$9*Table83[[#This Row],[Fat Calories]])</f>
        <v>255.21148002339248</v>
      </c>
      <c r="BS35" s="2">
        <f>Table83[[#This Row],[Weight]]-Table7[[#This Row],[Weight v Fat Calories]]</f>
        <v>-0.21148002339248251</v>
      </c>
      <c r="BT35" s="2">
        <f>Table7[[#This Row],[WFC Res]]^2</f>
        <v>4.4723800294084952E-2</v>
      </c>
      <c r="BU35">
        <f>Regression!$B$29+(Regression!$B$28*Table83[[#This Row],[Weight]])</f>
        <v>44.437863604978645</v>
      </c>
      <c r="BV35" s="2">
        <f>Table83[[#This Row],[Waist]]-Table7[[#This Row],[Waist v Weight]]</f>
        <v>6.2136395021354929E-2</v>
      </c>
      <c r="BW35" s="2">
        <f>Table7[[#This Row],[WaistW Res]]^2</f>
        <v>3.8609315862498618E-3</v>
      </c>
      <c r="BX35">
        <f>Regression!$C$29+(Regression!$C$28*Table83[[#This Row],[Neck]])</f>
        <v>45.258648648648581</v>
      </c>
      <c r="BY35" s="2">
        <f>Table83[[#This Row],[Waist]]-Table7[[#This Row],[Waist v Neck]]</f>
        <v>-0.75864864864858106</v>
      </c>
      <c r="BZ35" s="2">
        <f>Table7[[#This Row],[WaistN Res]]^2</f>
        <v>0.57554777209631824</v>
      </c>
      <c r="CA35">
        <f>Regression!$D$29+(Regression!$D$28*Table83[[#This Row],[Morning Body Temp]])</f>
        <v>44.553331996636587</v>
      </c>
      <c r="CB35" s="2">
        <f>Table83[[#This Row],[Waist]]-Table7[[#This Row],[Waist v Morning Temp]]</f>
        <v>-5.3331996636586609E-2</v>
      </c>
      <c r="CC35" s="2">
        <f>Table7[[#This Row],[WaistMT Res]]^2</f>
        <v>2.8443018652448853E-3</v>
      </c>
      <c r="CD35">
        <f>Regression!$E$29+(Regression!$E$28*Table83[[#This Row],[Morning Systolic Pressure]])</f>
        <v>44.534607969333621</v>
      </c>
      <c r="CE35" s="2">
        <f>Table83[[#This Row],[Waist]]-Table7[[#This Row],[Waist v Morning Sys]]</f>
        <v>-3.4607969333620758E-2</v>
      </c>
      <c r="CF35" s="2">
        <f>Table7[[#This Row],[WaistMS Res]]^2</f>
        <v>1.1977115413968349E-3</v>
      </c>
      <c r="CG35">
        <f>Regression!$F$29+(Regression!$F$28*Table83[[#This Row],[Morning Diastolic Pressure]])</f>
        <v>44.435909806137701</v>
      </c>
      <c r="CH35" s="2">
        <f>Table83[[#This Row],[Waist]]-Table7[[#This Row],[Waist v Morning Dia]]</f>
        <v>6.4090193862298861E-2</v>
      </c>
      <c r="CI35" s="2">
        <f>Table7[[#This Row],[WaistMD Res]]^2</f>
        <v>4.1075529493070509E-3</v>
      </c>
      <c r="CJ35">
        <f>Regression!$G$29+(Regression!$G$28*Table83[[#This Row],[Morning Pulse]])</f>
        <v>44.467168738684016</v>
      </c>
      <c r="CK35" s="2">
        <f>Table83[[#This Row],[Waist]]-Table7[[#This Row],[Waist v Morning Pulse]]</f>
        <v>3.2831261315983795E-2</v>
      </c>
      <c r="CL35" s="2">
        <f>Table7[[#This Row],[WaistMP Res]]^2</f>
        <v>1.0778917195984139E-3</v>
      </c>
      <c r="CM35">
        <f>Regression!$H$29+(Regression!$H$28*Table83[[#This Row],[Night Body Temp]])</f>
        <v>44.359887792805431</v>
      </c>
      <c r="CN35" s="2">
        <f>Table83[[#This Row],[Waist]]-Table7[[#This Row],[Waist v Night Temp]]</f>
        <v>0.14011220719456929</v>
      </c>
      <c r="CO35" s="2">
        <f>Table7[[#This Row],[WaistNT Res]]^2</f>
        <v>1.9631430604933914E-2</v>
      </c>
      <c r="CP35">
        <f>Regression!$I$29+(Regression!$I$28*Table83[[#This Row],[Night Systolic Pressure]])</f>
        <v>44.54374000125889</v>
      </c>
      <c r="CQ35" s="2">
        <f>Table83[[#This Row],[Waist]]-Table7[[#This Row],[Waist v  Night Sys]]</f>
        <v>-4.3740001258889549E-2</v>
      </c>
      <c r="CR35" s="2">
        <f>Table7[[#This Row],[WaistNS Res]]^2</f>
        <v>1.9131877101276594E-3</v>
      </c>
      <c r="CS35">
        <f>Regression!$J$29+(Regression!$J$28*Table83[[#This Row],[Night Diastolic Pressure]])</f>
        <v>44.461092011153731</v>
      </c>
      <c r="CT35" s="2">
        <f>Table83[[#This Row],[Waist]]-Table7[[#This Row],[Waist v Night Dia]]</f>
        <v>3.8907988846268893E-2</v>
      </c>
      <c r="CU35" s="2">
        <f>Table7[[#This Row],[WaistND Res]]^2</f>
        <v>1.5138315960613845E-3</v>
      </c>
      <c r="CV35">
        <f>Regression!$K$29+(Regression!$K$28*Table83[[#This Row],[Night Pulse]])</f>
        <v>44.511129806162636</v>
      </c>
      <c r="CW35" s="2">
        <f>Table83[[#This Row],[Waist]]-Table7[[#This Row],[Waist v Night Pulse]]</f>
        <v>-1.1129806162635703E-2</v>
      </c>
      <c r="CX35" s="2">
        <f>Table7[[#This Row],[WaistNP Res]]^2</f>
        <v>1.2387258521784366E-4</v>
      </c>
      <c r="CY35">
        <f>Regression!$L$29+(Regression!$L$28*Table83[[#This Row],[Sleep]])</f>
        <v>44.492966078854842</v>
      </c>
      <c r="CZ35" s="2">
        <f>Table83[[#This Row],[Waist]]-Table7[[#This Row],[Waist v  Sleep]]</f>
        <v>7.0339211451582173E-3</v>
      </c>
      <c r="DA35" s="2">
        <f>Table7[[#This Row],[WaistS Res]]^2</f>
        <v>4.9476046676303886E-5</v>
      </c>
      <c r="DB35">
        <f>Regression!$M$29+(Regression!$M$28*Table83[[#This Row],[BMI]])</f>
        <v>44.437863604978695</v>
      </c>
      <c r="DC35" s="2">
        <f>Table83[[#This Row],[Waist]]-Table7[[#This Row],[Waist v BMI]]</f>
        <v>6.2136395021305191E-2</v>
      </c>
      <c r="DD35" s="2">
        <f>Table7[[#This Row],[WaistBMI Res]]^2</f>
        <v>3.8609315862436805E-3</v>
      </c>
      <c r="DE35">
        <f>Regression!$N$29+(Regression!$N$28*Table83[[#This Row],[CBF]])</f>
        <v>44.105031770433015</v>
      </c>
      <c r="DF35" s="2">
        <f>Table83[[#This Row],[Waist]]-Table7[[#This Row],[Waist v  CBF]]</f>
        <v>0.39496822956698452</v>
      </c>
      <c r="DG35" s="2">
        <f>Table7[[#This Row],[WaistCBF Res]]^2</f>
        <v>0.15599990236727818</v>
      </c>
      <c r="DH35">
        <f>Regression!$O$29+(Regression!$O$28*Table83[[#This Row],[Gym]])</f>
        <v>44.550847457627107</v>
      </c>
      <c r="DI35" s="2">
        <f>Table83[[#This Row],[Waist]]-Table7[[#This Row],[Waist v  Gym]]</f>
        <v>-5.0847457627106962E-2</v>
      </c>
      <c r="DJ35" s="2">
        <f>Table7[[#This Row],[WaistGYM Res]]^2</f>
        <v>2.5854639471404378E-3</v>
      </c>
      <c r="DK35">
        <f>Regression!$P$29+(Regression!$P$28*Table83[[#This Row],[Cardio]])</f>
        <v>44.680851063829778</v>
      </c>
      <c r="DL35" s="2">
        <f>Table83[[#This Row],[Waist]]-Table7[[#This Row],[Waist v Cardio]]</f>
        <v>-0.18085106382977756</v>
      </c>
      <c r="DM35" s="2">
        <f>Table7[[#This Row],[WaistC Res]]^2</f>
        <v>3.2707107288362278E-2</v>
      </c>
      <c r="DN35">
        <f>Regression!$Q$29+(Regression!$Q$28*Table83[[#This Row],[Calories]])</f>
        <v>44.566979171201844</v>
      </c>
      <c r="DO35" s="2">
        <f>Table83[[#This Row],[Waist]]-Table7[[#This Row],[Waist v Calories]]</f>
        <v>-6.6979171201843712E-2</v>
      </c>
      <c r="DP35" s="2">
        <f>Table7[[#This Row],[WaistCal Res]]^2</f>
        <v>4.4862093748858902E-3</v>
      </c>
      <c r="DQ35">
        <f>Regression!$R$29+(Regression!$R$28*Table83[[#This Row],[Carbs]])</f>
        <v>44.635970589037761</v>
      </c>
      <c r="DR35" s="2">
        <f>Table83[[#This Row],[Waist]]-Table7[[#This Row],[Waist v Carbs]]</f>
        <v>-0.13597058903776116</v>
      </c>
      <c r="DS35" s="2">
        <f>Table7[[#This Row],[WaistCarb Res]]^2</f>
        <v>1.8488001083275734E-2</v>
      </c>
      <c r="DT35">
        <f>Regression!$S$29+(Regression!$S$28*Table83[[#This Row],[Fat ]])</f>
        <v>44.482634885109597</v>
      </c>
      <c r="DU35" s="2">
        <f>Table83[[#This Row],[Waist]]-Table7[[#This Row],[Waist v Fat]]</f>
        <v>1.7365114890402822E-2</v>
      </c>
      <c r="DV35" s="2">
        <f>Table7[[#This Row],[WaistF Res]]^2</f>
        <v>3.015472151568898E-4</v>
      </c>
      <c r="DW35">
        <f>Regression!$T$29+(Regression!$T$28*Table83[[#This Row],[Protein]])</f>
        <v>44.385703711155365</v>
      </c>
      <c r="DX35" s="2">
        <f>Table83[[#This Row],[Waist]]-Table7[[#This Row],[Waist v Protein]]</f>
        <v>0.11429628884463483</v>
      </c>
      <c r="DY35" s="2">
        <f>Table7[[#This Row],[WaistP Res]]^2</f>
        <v>1.3063641643656197E-2</v>
      </c>
      <c r="DZ35">
        <f>Regression!$U$29+(Regression!$U$28*Table83[[#This Row],[Fiber]])</f>
        <v>44.51866355452082</v>
      </c>
      <c r="EA35" s="2">
        <f>Table83[[#This Row],[Waist]]-Table7[[#This Row],[Waist v Fiber]]</f>
        <v>-1.8663554520820469E-2</v>
      </c>
      <c r="EB35" s="2">
        <f>Table7[[#This Row],[WaistFib Res]]^2</f>
        <v>3.4832826735163819E-4</v>
      </c>
      <c r="EC35">
        <f>Regression!$V$29+(Regression!$V$28*Table83[[#This Row],[Sugar]])</f>
        <v>44.731277516600152</v>
      </c>
      <c r="ED35" s="2">
        <f>Table83[[#This Row],[Waist]]-Table7[[#This Row],[Waist v Sugar]]</f>
        <v>-0.2312775166001515</v>
      </c>
      <c r="EE35" s="2">
        <f>Table7[[#This Row],[WaistSugar Res]]^2</f>
        <v>5.3489289684733356E-2</v>
      </c>
      <c r="EF35">
        <f>Regression!$W$29+(Regression!$W$28*Table83[[#This Row],[Servings]])</f>
        <v>44.663128635937731</v>
      </c>
      <c r="EG35" s="2">
        <f>Table83[[#This Row],[Waist]]-Table7[[#This Row],[Waist v Servings]]</f>
        <v>-0.1631286359377313</v>
      </c>
      <c r="EH35" s="2">
        <f>Table7[[#This Row],[WaistServ Res]]^2</f>
        <v>2.661095186290488E-2</v>
      </c>
      <c r="EI35">
        <f>Regression!$X$29+(Regression!$X$28*Table83[[#This Row],[Water]])</f>
        <v>44.553850107074496</v>
      </c>
      <c r="EJ35" s="2">
        <f>Table83[[#This Row],[Waist]]-Table7[[#This Row],[Waist v Water]]</f>
        <v>-5.3850107074495668E-2</v>
      </c>
      <c r="EK35" s="2">
        <f>Table7[[#This Row],[WaistWat Res]]^2</f>
        <v>2.8998340319346485E-3</v>
      </c>
      <c r="EL35">
        <f>Regression!$Y$29+(Regression!$Y$28*Table83[[#This Row],[Fat Calories]])</f>
        <v>44.48286871660077</v>
      </c>
      <c r="EM35" s="2">
        <f>Table83[[#This Row],[Waist]]-Table7[[#This Row],[Waist v Fat Calories]]</f>
        <v>1.7131283399230313E-2</v>
      </c>
      <c r="EN35" s="2">
        <f>Table7[[#This Row],[WaistFatCal Res]]^2</f>
        <v>2.9348087090474409E-4</v>
      </c>
    </row>
    <row r="36" spans="1:144" x14ac:dyDescent="0.25">
      <c r="A36">
        <f>Regression!$B$10+(Regression!$B$9*Table83[[#This Row],[Waist]])</f>
        <v>255.38023686459636</v>
      </c>
      <c r="B36" s="2">
        <f>Table83[[#This Row],[Weight]]-Table7[[#This Row],[Weight v Waist]]</f>
        <v>0.2197631354036389</v>
      </c>
      <c r="C36" s="2">
        <f>Table7[[#This Row],[Weight v Waist Res]]^2</f>
        <v>4.8295835682438122E-2</v>
      </c>
      <c r="D36">
        <f>Regression!$C$10+(Regression!$C$9*Table83[[#This Row],[Neck]])</f>
        <v>260.39308108104251</v>
      </c>
      <c r="E36" s="2">
        <f>Table83[[#This Row],[Weight]]-Table7[[#This Row],[Weight v Neck]]</f>
        <v>-4.7930810810425157</v>
      </c>
      <c r="F36" s="2">
        <f>Table7[[#This Row],[WN Res]]^2</f>
        <v>22.97362624944769</v>
      </c>
      <c r="G36">
        <f>Regression!$D$10+(Regression!$D$9*Table83[[#This Row],[Morning Body Temp]])</f>
        <v>254.84837078641723</v>
      </c>
      <c r="H36" s="2">
        <f>Table83[[#This Row],[Weight]]-Table7[[#This Row],[Weight v Morning Temp]]</f>
        <v>0.7516292135827598</v>
      </c>
      <c r="I36" s="2">
        <f>Table7[[#This Row],[WMT Res]]^2</f>
        <v>0.56494647471103798</v>
      </c>
      <c r="J36">
        <f>Regression!$E$10+(Regression!$E$9*Table83[[#This Row],[Morning Systolic Pressure]])</f>
        <v>254.87410060943841</v>
      </c>
      <c r="K36" s="2">
        <f>Table83[[#This Row],[Weight]]-Table7[[#This Row],[Weight v Morning Sys]]</f>
        <v>0.72589939056157959</v>
      </c>
      <c r="L36" s="2">
        <f>Table7[[#This Row],[WMS Res]]^2</f>
        <v>0.52692992521767268</v>
      </c>
      <c r="M36">
        <f>Regression!$F$10+(Regression!$F$9*Table83[[#This Row],[Morning Diastolic Pressure]])</f>
        <v>254.8993513991569</v>
      </c>
      <c r="N36" s="2">
        <f>Table83[[#This Row],[Weight]]-Table7[[#This Row],[Weight v Morning Dia]]</f>
        <v>0.70064860084309544</v>
      </c>
      <c r="O36" s="2">
        <f>Table7[[#This Row],[WMD Res]]^2</f>
        <v>0.49090846186338727</v>
      </c>
      <c r="P36">
        <f>Regression!$G$10+(Regression!$G$9*Table83[[#This Row],[Morning Pulse]])</f>
        <v>255.13557864348473</v>
      </c>
      <c r="Q36" s="2">
        <f>Table83[[#This Row],[Weight]]-Table7[[#This Row],[Weight v Morning Pulse]]</f>
        <v>0.46442135651525973</v>
      </c>
      <c r="R36" s="2">
        <f>Table7[[#This Row],[WMP Res]]^2</f>
        <v>0.215687196387474</v>
      </c>
      <c r="S36">
        <f>Regression!$H$10+(Regression!$H$9*Table83[[#This Row],[Night Body Temp]])</f>
        <v>255.87845238234192</v>
      </c>
      <c r="T36" s="2">
        <f>Table83[[#This Row],[Weight]]-Table7[[#This Row],[Weight v Night Temp]]</f>
        <v>-0.27845238234192493</v>
      </c>
      <c r="U36" s="2">
        <f>Table7[[#This Row],[WNT Res]]^2</f>
        <v>7.7535729231893544E-2</v>
      </c>
      <c r="V36">
        <f>Regression!$I$10+(Regression!$I$9*Table83[[#This Row],[Night Systolic Pressure]])</f>
        <v>255.34122622719568</v>
      </c>
      <c r="W36" s="2">
        <f>Table83[[#This Row],[Weight]]-Table7[[#This Row],[Weight v Night Sys]]</f>
        <v>0.25877377280431801</v>
      </c>
      <c r="X36" s="2">
        <f>Table7[[#This Row],[WNS Res]]^2</f>
        <v>6.6963865491380795E-2</v>
      </c>
      <c r="Y36">
        <f>Regression!$J$10+(Regression!$J$9*Table83[[#This Row],[Night Diastolic Pressure]])</f>
        <v>255.29614571632661</v>
      </c>
      <c r="Z36" s="2">
        <f>Table83[[#This Row],[Weight]]-Table7[[#This Row],[Weight v Night Dia]]</f>
        <v>0.30385428367338818</v>
      </c>
      <c r="AA36" s="2">
        <f>Table7[[#This Row],[WND Res]]^2</f>
        <v>9.2327425706667854E-2</v>
      </c>
      <c r="AB36">
        <f>Regression!$K$10+(Regression!$K$9*Table83[[#This Row],[Night Pulse]])</f>
        <v>254.86444520884743</v>
      </c>
      <c r="AC36" s="2">
        <f>Table83[[#This Row],[Weight]]-Table7[[#This Row],[Weight v Night Pulse]]</f>
        <v>0.73555479115256617</v>
      </c>
      <c r="AD36" s="2">
        <f>Table7[[#This Row],[WNP Res ]]^2</f>
        <v>0.5410408507874952</v>
      </c>
      <c r="AE36">
        <f>Regression!$L$10+(Regression!$L$9*Table83[[#This Row],[Sleep]])</f>
        <v>254.90042408985096</v>
      </c>
      <c r="AF36" s="2">
        <f>Table83[[#This Row],[Weight]]-Table7[[#This Row],[Weight v Sleep]]</f>
        <v>0.69957591014903642</v>
      </c>
      <c r="AG36" s="2">
        <f>Table7[[#This Row],[WS Res]]^2</f>
        <v>0.48940645406085265</v>
      </c>
      <c r="AH36">
        <f>Regression!$M$10+(Regression!$M$9*Table83[[#This Row],[BMI]])</f>
        <v>255.59999999999894</v>
      </c>
      <c r="AI36" s="2">
        <f>Table83[[#This Row],[Weight]]-Table7[[#This Row],[Weight v BMI]]</f>
        <v>1.0516032489249483E-12</v>
      </c>
      <c r="AJ36" s="2">
        <f>Table7[[#This Row],[WBMI Res]]^2</f>
        <v>1.1058693931495067E-24</v>
      </c>
      <c r="AK36">
        <f>Regression!$N$10+(Regression!$N$9*Table83[[#This Row],[CBF]])</f>
        <v>253.17965033701802</v>
      </c>
      <c r="AL36" s="2">
        <f>Table83[[#This Row],[Weight]]-Table7[[#This Row],[Weight v CBF]]</f>
        <v>2.4203496629819767</v>
      </c>
      <c r="AM36" s="2">
        <f>Table7[[#This Row],[WCBF Res]]^2</f>
        <v>5.8580924910969685</v>
      </c>
      <c r="AN36">
        <f>Regression!$O$10+(Regression!$O$9*Table83[[#This Row],[Gym]])</f>
        <v>255.46779661016953</v>
      </c>
      <c r="AO36" s="2">
        <f>Table83[[#This Row],[Weight]]-Table7[[#This Row],[Weight v Gym]]</f>
        <v>0.13220338983046531</v>
      </c>
      <c r="AP36" s="2">
        <f>Table7[[#This Row],[WG Res]]^2</f>
        <v>1.7477736282665978E-2</v>
      </c>
      <c r="AQ36">
        <f>Regression!$P$10+(Regression!$P$9*Table83[[#This Row],[Cardio]])</f>
        <v>256.41063829787231</v>
      </c>
      <c r="AR36" s="2">
        <f>Table83[[#This Row],[Weight]]-Table7[[#This Row],[Weight v Cardio]]</f>
        <v>-0.81063829787231612</v>
      </c>
      <c r="AS36" s="2">
        <f>Table7[[#This Row],[WC Res]]^2</f>
        <v>0.65713444997732595</v>
      </c>
      <c r="AT36">
        <f>Regression!$Q$10+(Regression!$Q$9*Table83[[#This Row],[Calories]])</f>
        <v>255.93389086413299</v>
      </c>
      <c r="AU36" s="2">
        <f>Table83[[#This Row],[Weight]]-Table7[[#This Row],[Weight v Calories]]</f>
        <v>-0.33389086413299651</v>
      </c>
      <c r="AV36" s="2">
        <f>Table7[[#This Row],[WCAL Res]]^2</f>
        <v>0.11148310915147913</v>
      </c>
      <c r="AW36">
        <f>Regression!$R$10+(Regression!$R$9*Table83[[#This Row],[Carbs]])</f>
        <v>256.23153498082206</v>
      </c>
      <c r="AX36" s="2">
        <f>Table83[[#This Row],[Weight]]-Table7[[#This Row],[Weight v Carbs]]</f>
        <v>-0.63153498082206738</v>
      </c>
      <c r="AY36" s="2">
        <f>Table7[[#This Row],[Wcarb Res]]^2</f>
        <v>0.39883643200192903</v>
      </c>
      <c r="AZ36">
        <f>Regression!$S$10+(Regression!$S$9*Table83[[#This Row],[Fat ]])</f>
        <v>255.43569567679793</v>
      </c>
      <c r="BA36" s="2">
        <f>Table83[[#This Row],[Weight]]-Table7[[#This Row],[Weight v Fat]]</f>
        <v>0.16430432320206023</v>
      </c>
      <c r="BB36" s="2">
        <f>Table7[[#This Row],[WF Res]]^2</f>
        <v>2.699591062288707E-2</v>
      </c>
      <c r="BC36">
        <f>Regression!$T$10+(Regression!$T$9*Table83[[#This Row],[Protein]])</f>
        <v>255.65622659268337</v>
      </c>
      <c r="BD36" s="2">
        <f>Table83[[#This Row],[Weight]]-Table7[[#This Row],[Weight v Protein]]</f>
        <v>-5.6226592683373156E-2</v>
      </c>
      <c r="BE36" s="2">
        <f>Table7[[#This Row],[WP Res]]^2</f>
        <v>3.1614297247819518E-3</v>
      </c>
      <c r="BF36">
        <f>Regression!$U$10+(Regression!$U$9*Table83[[#This Row],[Fiber]])</f>
        <v>254.90596516697582</v>
      </c>
      <c r="BG36" s="2">
        <f>Table83[[#This Row],[Weight]]-Table7[[#This Row],[Weight v Fiber]]</f>
        <v>0.69403483302417612</v>
      </c>
      <c r="BH36" s="2">
        <f>Table7[[#This Row],[Wfib Res]]^2</f>
        <v>0.48168434945089605</v>
      </c>
      <c r="BI36">
        <f>Regression!$V$10+(Regression!$V$9*Table83[[#This Row],[Sugar]])</f>
        <v>256.71563600661392</v>
      </c>
      <c r="BJ36" s="2">
        <f>Table83[[#This Row],[Weight]]-Table7[[#This Row],[Weight v Sugar]]</f>
        <v>-1.1156360066139257</v>
      </c>
      <c r="BK36" s="2">
        <f>Table7[[#This Row],[Wsugar Res]]^2</f>
        <v>1.2446436992534673</v>
      </c>
      <c r="BL36">
        <f>Regression!$W$10+(Regression!$W$9*Table83[[#This Row],[Servings]])</f>
        <v>257.00468239886987</v>
      </c>
      <c r="BM36" s="2">
        <f>Table83[[#This Row],[Weight]]-Table7[[#This Row],[Weight v Servings]]</f>
        <v>-1.4046823988698804</v>
      </c>
      <c r="BN36" s="2">
        <f>Table7[[#This Row],[Wserv Res]]^2</f>
        <v>1.9731326416948418</v>
      </c>
      <c r="BO36">
        <f>Regression!$X$10+(Regression!$X$9*Table83[[#This Row],[Water]])</f>
        <v>255.10626599365665</v>
      </c>
      <c r="BP36" s="2">
        <f>Table83[[#This Row],[Weight]]-Table7[[#This Row],[Weight v Water]]</f>
        <v>0.4937340063433453</v>
      </c>
      <c r="BQ36" s="2">
        <f>Table7[[#This Row],[Wwater Res]]^2</f>
        <v>0.24377326901985052</v>
      </c>
      <c r="BR36">
        <f>Regression!$Y$10+(Regression!$Y$9*Table83[[#This Row],[Fat Calories]])</f>
        <v>255.45143642924523</v>
      </c>
      <c r="BS36" s="2">
        <f>Table83[[#This Row],[Weight]]-Table7[[#This Row],[Weight v Fat Calories]]</f>
        <v>0.14856357075476012</v>
      </c>
      <c r="BT36" s="2">
        <f>Table7[[#This Row],[WFC Res]]^2</f>
        <v>2.2071134555404617E-2</v>
      </c>
      <c r="BU36">
        <f>Regression!$B$29+(Regression!$B$28*Table83[[#This Row],[Weight]])</f>
        <v>44.519621111320639</v>
      </c>
      <c r="BV36" s="2">
        <f>Table83[[#This Row],[Waist]]-Table7[[#This Row],[Waist v Weight]]</f>
        <v>-1.9621111320638818E-2</v>
      </c>
      <c r="BW36" s="2">
        <f>Table7[[#This Row],[WaistW Res]]^2</f>
        <v>3.8498800945690077E-4</v>
      </c>
      <c r="BX36">
        <f>Regression!$C$29+(Regression!$C$28*Table83[[#This Row],[Neck]])</f>
        <v>45.258648648648581</v>
      </c>
      <c r="BY36" s="2">
        <f>Table83[[#This Row],[Waist]]-Table7[[#This Row],[Waist v Neck]]</f>
        <v>-0.75864864864858106</v>
      </c>
      <c r="BZ36" s="2">
        <f>Table7[[#This Row],[WaistN Res]]^2</f>
        <v>0.57554777209631824</v>
      </c>
      <c r="CA36">
        <f>Regression!$D$29+(Regression!$D$28*Table83[[#This Row],[Morning Body Temp]])</f>
        <v>44.381010678053698</v>
      </c>
      <c r="CB36" s="2">
        <f>Table83[[#This Row],[Waist]]-Table7[[#This Row],[Waist v Morning Temp]]</f>
        <v>0.11898932194630163</v>
      </c>
      <c r="CC36" s="2">
        <f>Table7[[#This Row],[WaistMT Res]]^2</f>
        <v>1.4158458737240618E-2</v>
      </c>
      <c r="CD36">
        <f>Regression!$E$29+(Regression!$E$28*Table83[[#This Row],[Morning Systolic Pressure]])</f>
        <v>44.396932701182067</v>
      </c>
      <c r="CE36" s="2">
        <f>Table83[[#This Row],[Waist]]-Table7[[#This Row],[Waist v Morning Sys]]</f>
        <v>0.10306729881793331</v>
      </c>
      <c r="CF36" s="2">
        <f>Table7[[#This Row],[WaistMS Res]]^2</f>
        <v>1.0622868085625157E-2</v>
      </c>
      <c r="CG36">
        <f>Regression!$F$29+(Regression!$F$28*Table83[[#This Row],[Morning Diastolic Pressure]])</f>
        <v>44.441545426806556</v>
      </c>
      <c r="CH36" s="2">
        <f>Table83[[#This Row],[Waist]]-Table7[[#This Row],[Waist v Morning Dia]]</f>
        <v>5.8454573193444048E-2</v>
      </c>
      <c r="CI36" s="2">
        <f>Table7[[#This Row],[WaistMD Res]]^2</f>
        <v>3.4169371272277076E-3</v>
      </c>
      <c r="CJ36">
        <f>Regression!$G$29+(Regression!$G$28*Table83[[#This Row],[Morning Pulse]])</f>
        <v>44.462971225815949</v>
      </c>
      <c r="CK36" s="2">
        <f>Table83[[#This Row],[Waist]]-Table7[[#This Row],[Waist v Morning Pulse]]</f>
        <v>3.7028774184051372E-2</v>
      </c>
      <c r="CL36" s="2">
        <f>Table7[[#This Row],[WaistMP Res]]^2</f>
        <v>1.3711301175734693E-3</v>
      </c>
      <c r="CM36">
        <f>Regression!$H$29+(Regression!$H$28*Table83[[#This Row],[Night Body Temp]])</f>
        <v>44.513729345098263</v>
      </c>
      <c r="CN36" s="2">
        <f>Table83[[#This Row],[Waist]]-Table7[[#This Row],[Waist v Night Temp]]</f>
        <v>-1.3729345098262513E-2</v>
      </c>
      <c r="CO36" s="2">
        <f>Table7[[#This Row],[WaistNT Res]]^2</f>
        <v>1.8849491682718491E-4</v>
      </c>
      <c r="CP36">
        <f>Regression!$I$29+(Regression!$I$28*Table83[[#This Row],[Night Systolic Pressure]])</f>
        <v>44.48557954395644</v>
      </c>
      <c r="CQ36" s="2">
        <f>Table83[[#This Row],[Waist]]-Table7[[#This Row],[Waist v  Night Sys]]</f>
        <v>1.4420456043559682E-2</v>
      </c>
      <c r="CR36" s="2">
        <f>Table7[[#This Row],[WaistNS Res]]^2</f>
        <v>2.0794955250423694E-4</v>
      </c>
      <c r="CS36">
        <f>Regression!$J$29+(Regression!$J$28*Table83[[#This Row],[Night Diastolic Pressure]])</f>
        <v>44.529363791983499</v>
      </c>
      <c r="CT36" s="2">
        <f>Table83[[#This Row],[Waist]]-Table7[[#This Row],[Waist v Night Dia]]</f>
        <v>-2.9363791983499254E-2</v>
      </c>
      <c r="CU36" s="2">
        <f>Table7[[#This Row],[WaistND Res]]^2</f>
        <v>8.6223227965021509E-4</v>
      </c>
      <c r="CV36">
        <f>Regression!$K$29+(Regression!$K$28*Table83[[#This Row],[Night Pulse]])</f>
        <v>44.476848850431054</v>
      </c>
      <c r="CW36" s="2">
        <f>Table83[[#This Row],[Waist]]-Table7[[#This Row],[Waist v Night Pulse]]</f>
        <v>2.3151149568946039E-2</v>
      </c>
      <c r="CX36" s="2">
        <f>Table7[[#This Row],[WaistNP Res]]^2</f>
        <v>5.3597572636371034E-4</v>
      </c>
      <c r="CY36">
        <f>Regression!$L$29+(Regression!$L$28*Table83[[#This Row],[Sleep]])</f>
        <v>44.420817626861357</v>
      </c>
      <c r="CZ36" s="2">
        <f>Table83[[#This Row],[Waist]]-Table7[[#This Row],[Waist v  Sleep]]</f>
        <v>7.9182373138642959E-2</v>
      </c>
      <c r="DA36" s="2">
        <f>Table7[[#This Row],[WaistS Res]]^2</f>
        <v>6.2698482158672856E-3</v>
      </c>
      <c r="DB36">
        <f>Regression!$M$29+(Regression!$M$28*Table83[[#This Row],[BMI]])</f>
        <v>44.519621111320426</v>
      </c>
      <c r="DC36" s="2">
        <f>Table83[[#This Row],[Waist]]-Table7[[#This Row],[Waist v BMI]]</f>
        <v>-1.9621111320425655E-2</v>
      </c>
      <c r="DD36" s="2">
        <f>Table7[[#This Row],[WaistBMI Res]]^2</f>
        <v>3.8498800944853577E-4</v>
      </c>
      <c r="DE36">
        <f>Regression!$N$29+(Regression!$N$28*Table83[[#This Row],[CBF]])</f>
        <v>44.105031770433015</v>
      </c>
      <c r="DF36" s="2">
        <f>Table83[[#This Row],[Waist]]-Table7[[#This Row],[Waist v  CBF]]</f>
        <v>0.39496822956698452</v>
      </c>
      <c r="DG36" s="2">
        <f>Table7[[#This Row],[WaistCBF Res]]^2</f>
        <v>0.15599990236727818</v>
      </c>
      <c r="DH36">
        <f>Regression!$O$29+(Regression!$O$28*Table83[[#This Row],[Gym]])</f>
        <v>44.550847457627107</v>
      </c>
      <c r="DI36" s="2">
        <f>Table83[[#This Row],[Waist]]-Table7[[#This Row],[Waist v  Gym]]</f>
        <v>-5.0847457627106962E-2</v>
      </c>
      <c r="DJ36" s="2">
        <f>Table7[[#This Row],[WaistGYM Res]]^2</f>
        <v>2.5854639471404378E-3</v>
      </c>
      <c r="DK36">
        <f>Regression!$P$29+(Regression!$P$28*Table83[[#This Row],[Cardio]])</f>
        <v>44.680851063829778</v>
      </c>
      <c r="DL36" s="2">
        <f>Table83[[#This Row],[Waist]]-Table7[[#This Row],[Waist v Cardio]]</f>
        <v>-0.18085106382977756</v>
      </c>
      <c r="DM36" s="2">
        <f>Table7[[#This Row],[WaistC Res]]^2</f>
        <v>3.2707107288362278E-2</v>
      </c>
      <c r="DN36">
        <f>Regression!$Q$29+(Regression!$Q$28*Table83[[#This Row],[Calories]])</f>
        <v>44.637516495959709</v>
      </c>
      <c r="DO36" s="2">
        <f>Table83[[#This Row],[Waist]]-Table7[[#This Row],[Waist v Calories]]</f>
        <v>-0.13751649595970861</v>
      </c>
      <c r="DP36" s="2">
        <f>Table7[[#This Row],[WaistCal Res]]^2</f>
        <v>1.8910786661036554E-2</v>
      </c>
      <c r="DQ36">
        <f>Regression!$R$29+(Regression!$R$28*Table83[[#This Row],[Carbs]])</f>
        <v>44.685986356505637</v>
      </c>
      <c r="DR36" s="2">
        <f>Table83[[#This Row],[Waist]]-Table7[[#This Row],[Waist v Carbs]]</f>
        <v>-0.18598635650563722</v>
      </c>
      <c r="DS36" s="2">
        <f>Table7[[#This Row],[WaistCarb Res]]^2</f>
        <v>3.4590924806241985E-2</v>
      </c>
      <c r="DT36">
        <f>Regression!$S$29+(Regression!$S$28*Table83[[#This Row],[Fat ]])</f>
        <v>44.551556179003967</v>
      </c>
      <c r="DU36" s="2">
        <f>Table83[[#This Row],[Waist]]-Table7[[#This Row],[Waist v Fat]]</f>
        <v>-5.1556179003966918E-2</v>
      </c>
      <c r="DV36" s="2">
        <f>Table7[[#This Row],[WaistF Res]]^2</f>
        <v>2.6580395934890791E-3</v>
      </c>
      <c r="DW36">
        <f>Regression!$T$29+(Regression!$T$28*Table83[[#This Row],[Protein]])</f>
        <v>44.552596295128566</v>
      </c>
      <c r="DX36" s="2">
        <f>Table83[[#This Row],[Waist]]-Table7[[#This Row],[Waist v Protein]]</f>
        <v>-5.2596295128566339E-2</v>
      </c>
      <c r="DY36" s="2">
        <f>Table7[[#This Row],[WaistP Res]]^2</f>
        <v>2.7663702612512513E-3</v>
      </c>
      <c r="DZ36">
        <f>Regression!$U$29+(Regression!$U$28*Table83[[#This Row],[Fiber]])</f>
        <v>44.372864578839184</v>
      </c>
      <c r="EA36" s="2">
        <f>Table83[[#This Row],[Waist]]-Table7[[#This Row],[Waist v Fiber]]</f>
        <v>0.12713542116081555</v>
      </c>
      <c r="EB36" s="2">
        <f>Table7[[#This Row],[WaistFib Res]]^2</f>
        <v>1.6163415313737946E-2</v>
      </c>
      <c r="EC36">
        <f>Regression!$V$29+(Regression!$V$28*Table83[[#This Row],[Sugar]])</f>
        <v>44.741068281038991</v>
      </c>
      <c r="ED36" s="2">
        <f>Table83[[#This Row],[Waist]]-Table7[[#This Row],[Waist v Sugar]]</f>
        <v>-0.24106828103899147</v>
      </c>
      <c r="EE36" s="2">
        <f>Table7[[#This Row],[WaistSugar Res]]^2</f>
        <v>5.8113916123094175E-2</v>
      </c>
      <c r="EF36">
        <f>Regression!$W$29+(Regression!$W$28*Table83[[#This Row],[Servings]])</f>
        <v>44.741867123501137</v>
      </c>
      <c r="EG36" s="2">
        <f>Table83[[#This Row],[Waist]]-Table7[[#This Row],[Waist v Servings]]</f>
        <v>-0.24186712350113737</v>
      </c>
      <c r="EH36" s="2">
        <f>Table7[[#This Row],[WaistServ Res]]^2</f>
        <v>5.8499705430714435E-2</v>
      </c>
      <c r="EI36">
        <f>Regression!$X$29+(Regression!$X$28*Table83[[#This Row],[Water]])</f>
        <v>44.442082352251923</v>
      </c>
      <c r="EJ36" s="2">
        <f>Table83[[#This Row],[Waist]]-Table7[[#This Row],[Waist v Water]]</f>
        <v>5.7917647748077172E-2</v>
      </c>
      <c r="EK36" s="2">
        <f>Table7[[#This Row],[WaistWat Res]]^2</f>
        <v>3.3544539206703488E-3</v>
      </c>
      <c r="EL36">
        <f>Regression!$Y$29+(Regression!$Y$28*Table83[[#This Row],[Fat Calories]])</f>
        <v>44.555846362602246</v>
      </c>
      <c r="EM36" s="2">
        <f>Table83[[#This Row],[Waist]]-Table7[[#This Row],[Waist v Fat Calories]]</f>
        <v>-5.5846362602245847E-2</v>
      </c>
      <c r="EN36" s="2">
        <f>Table7[[#This Row],[WaistFatCal Res]]^2</f>
        <v>3.1188162159015236E-3</v>
      </c>
    </row>
    <row r="37" spans="1:144" x14ac:dyDescent="0.25">
      <c r="A37">
        <f>Regression!$B$10+(Regression!$B$9*Table83[[#This Row],[Waist]])</f>
        <v>255.38023686459636</v>
      </c>
      <c r="B37" s="2">
        <f>Table83[[#This Row],[Weight]]-Table7[[#This Row],[Weight v Waist]]</f>
        <v>0.2197631354036389</v>
      </c>
      <c r="C37" s="2">
        <f>Table7[[#This Row],[Weight v Waist Res]]^2</f>
        <v>4.8295835682438122E-2</v>
      </c>
      <c r="D37">
        <f>Regression!$C$10+(Regression!$C$9*Table83[[#This Row],[Neck]])</f>
        <v>260.39308108104251</v>
      </c>
      <c r="E37" s="2">
        <f>Table83[[#This Row],[Weight]]-Table7[[#This Row],[Weight v Neck]]</f>
        <v>-4.7930810810425157</v>
      </c>
      <c r="F37" s="2">
        <f>Table7[[#This Row],[WN Res]]^2</f>
        <v>22.97362624944769</v>
      </c>
      <c r="G37">
        <f>Regression!$D$10+(Regression!$D$9*Table83[[#This Row],[Morning Body Temp]])</f>
        <v>254.84837078641723</v>
      </c>
      <c r="H37" s="2">
        <f>Table83[[#This Row],[Weight]]-Table7[[#This Row],[Weight v Morning Temp]]</f>
        <v>0.7516292135827598</v>
      </c>
      <c r="I37" s="2">
        <f>Table7[[#This Row],[WMT Res]]^2</f>
        <v>0.56494647471103798</v>
      </c>
      <c r="J37">
        <f>Regression!$E$10+(Regression!$E$9*Table83[[#This Row],[Morning Systolic Pressure]])</f>
        <v>254.6937917939849</v>
      </c>
      <c r="K37" s="2">
        <f>Table83[[#This Row],[Weight]]-Table7[[#This Row],[Weight v Morning Sys]]</f>
        <v>0.90620820601509422</v>
      </c>
      <c r="L37" s="2">
        <f>Table7[[#This Row],[WMS Res]]^2</f>
        <v>0.82121331264909547</v>
      </c>
      <c r="M37">
        <f>Regression!$F$10+(Regression!$F$9*Table83[[#This Row],[Morning Diastolic Pressure]])</f>
        <v>254.59531865202226</v>
      </c>
      <c r="N37" s="2">
        <f>Table83[[#This Row],[Weight]]-Table7[[#This Row],[Weight v Morning Dia]]</f>
        <v>1.004681347977737</v>
      </c>
      <c r="O37" s="2">
        <f>Table7[[#This Row],[WMD Res]]^2</f>
        <v>1.0093846109743627</v>
      </c>
      <c r="P37">
        <f>Regression!$G$10+(Regression!$G$9*Table83[[#This Row],[Morning Pulse]])</f>
        <v>255.12826746045599</v>
      </c>
      <c r="Q37" s="2">
        <f>Table83[[#This Row],[Weight]]-Table7[[#This Row],[Weight v Morning Pulse]]</f>
        <v>0.47173253954400707</v>
      </c>
      <c r="R37" s="2">
        <f>Table7[[#This Row],[WMP Res]]^2</f>
        <v>0.2225315888646382</v>
      </c>
      <c r="S37">
        <f>Regression!$H$10+(Regression!$H$9*Table83[[#This Row],[Night Body Temp]])</f>
        <v>255.36496952993349</v>
      </c>
      <c r="T37" s="2">
        <f>Table83[[#This Row],[Weight]]-Table7[[#This Row],[Weight v Night Temp]]</f>
        <v>0.2350304700665049</v>
      </c>
      <c r="U37" s="2">
        <f>Table7[[#This Row],[WNT Res]]^2</f>
        <v>5.5239321859682257E-2</v>
      </c>
      <c r="V37">
        <f>Regression!$I$10+(Regression!$I$9*Table83[[#This Row],[Night Systolic Pressure]])</f>
        <v>255.85445039733804</v>
      </c>
      <c r="W37" s="2">
        <f>Table83[[#This Row],[Weight]]-Table7[[#This Row],[Weight v Night Sys]]</f>
        <v>-0.2544503973380472</v>
      </c>
      <c r="X37" s="2">
        <f>Table7[[#This Row],[WNS Res]]^2</f>
        <v>6.4745004705490092E-2</v>
      </c>
      <c r="Y37">
        <f>Regression!$J$10+(Regression!$J$9*Table83[[#This Row],[Night Diastolic Pressure]])</f>
        <v>255.49997505840713</v>
      </c>
      <c r="Z37" s="2">
        <f>Table83[[#This Row],[Weight]]-Table7[[#This Row],[Weight v Night Dia]]</f>
        <v>0.10002494159286357</v>
      </c>
      <c r="AA37" s="2">
        <f>Table7[[#This Row],[WND Res]]^2</f>
        <v>1.0004988940655768E-2</v>
      </c>
      <c r="AB37">
        <f>Regression!$K$10+(Regression!$K$9*Table83[[#This Row],[Night Pulse]])</f>
        <v>255.01801186503107</v>
      </c>
      <c r="AC37" s="2">
        <f>Table83[[#This Row],[Weight]]-Table7[[#This Row],[Weight v Night Pulse]]</f>
        <v>0.58198813496892399</v>
      </c>
      <c r="AD37" s="2">
        <f>Table7[[#This Row],[WNP Res ]]^2</f>
        <v>0.3387101892446065</v>
      </c>
      <c r="AE37">
        <f>Regression!$L$10+(Regression!$L$9*Table83[[#This Row],[Sleep]])</f>
        <v>254.03287008557294</v>
      </c>
      <c r="AF37" s="2">
        <f>Table83[[#This Row],[Weight]]-Table7[[#This Row],[Weight v Sleep]]</f>
        <v>1.5671299144270563</v>
      </c>
      <c r="AG37" s="2">
        <f>Table7[[#This Row],[WS Res]]^2</f>
        <v>2.4558961686921528</v>
      </c>
      <c r="AH37">
        <f>Regression!$M$10+(Regression!$M$9*Table83[[#This Row],[BMI]])</f>
        <v>255.59999999999894</v>
      </c>
      <c r="AI37" s="2">
        <f>Table83[[#This Row],[Weight]]-Table7[[#This Row],[Weight v BMI]]</f>
        <v>1.0516032489249483E-12</v>
      </c>
      <c r="AJ37" s="2">
        <f>Table7[[#This Row],[WBMI Res]]^2</f>
        <v>1.1058693931495067E-24</v>
      </c>
      <c r="AK37">
        <f>Regression!$N$10+(Regression!$N$9*Table83[[#This Row],[CBF]])</f>
        <v>253.17965033701802</v>
      </c>
      <c r="AL37" s="2">
        <f>Table83[[#This Row],[Weight]]-Table7[[#This Row],[Weight v CBF]]</f>
        <v>2.4203496629819767</v>
      </c>
      <c r="AM37" s="2">
        <f>Table7[[#This Row],[WCBF Res]]^2</f>
        <v>5.8580924910969685</v>
      </c>
      <c r="AN37">
        <f>Regression!$O$10+(Regression!$O$9*Table83[[#This Row],[Gym]])</f>
        <v>255.46779661016953</v>
      </c>
      <c r="AO37" s="2">
        <f>Table83[[#This Row],[Weight]]-Table7[[#This Row],[Weight v Gym]]</f>
        <v>0.13220338983046531</v>
      </c>
      <c r="AP37" s="2">
        <f>Table7[[#This Row],[WG Res]]^2</f>
        <v>1.7477736282665978E-2</v>
      </c>
      <c r="AQ37">
        <f>Regression!$P$10+(Regression!$P$9*Table83[[#This Row],[Cardio]])</f>
        <v>254.19242424242461</v>
      </c>
      <c r="AR37" s="2">
        <f>Table83[[#This Row],[Weight]]-Table7[[#This Row],[Weight v Cardio]]</f>
        <v>1.4075757575753869</v>
      </c>
      <c r="AS37" s="2">
        <f>Table7[[#This Row],[WC Res]]^2</f>
        <v>1.9812695133139244</v>
      </c>
      <c r="AT37">
        <f>Regression!$Q$10+(Regression!$Q$9*Table83[[#This Row],[Calories]])</f>
        <v>255.52431469726329</v>
      </c>
      <c r="AU37" s="2">
        <f>Table83[[#This Row],[Weight]]-Table7[[#This Row],[Weight v Calories]]</f>
        <v>7.5685302736701487E-2</v>
      </c>
      <c r="AV37" s="2">
        <f>Table7[[#This Row],[WCAL Res]]^2</f>
        <v>5.7282650503461541E-3</v>
      </c>
      <c r="AW37">
        <f>Regression!$R$10+(Regression!$R$9*Table83[[#This Row],[Carbs]])</f>
        <v>255.90494423748245</v>
      </c>
      <c r="AX37" s="2">
        <f>Table83[[#This Row],[Weight]]-Table7[[#This Row],[Weight v Carbs]]</f>
        <v>-0.30494423748245936</v>
      </c>
      <c r="AY37" s="2">
        <f>Table7[[#This Row],[Wcarb Res]]^2</f>
        <v>9.2990987973758571E-2</v>
      </c>
      <c r="AZ37">
        <f>Regression!$S$10+(Regression!$S$9*Table83[[#This Row],[Fat ]])</f>
        <v>255.18673491243476</v>
      </c>
      <c r="BA37" s="2">
        <f>Table83[[#This Row],[Weight]]-Table7[[#This Row],[Weight v Fat]]</f>
        <v>0.41326508756523594</v>
      </c>
      <c r="BB37" s="2">
        <f>Table7[[#This Row],[WF Res]]^2</f>
        <v>0.17078803260030212</v>
      </c>
      <c r="BC37">
        <f>Regression!$T$10+(Regression!$T$9*Table83[[#This Row],[Protein]])</f>
        <v>255.83041485327661</v>
      </c>
      <c r="BD37" s="2">
        <f>Table83[[#This Row],[Weight]]-Table7[[#This Row],[Weight v Protein]]</f>
        <v>-0.23041485327661348</v>
      </c>
      <c r="BE37" s="2">
        <f>Table7[[#This Row],[WP Res]]^2</f>
        <v>5.3091004610483321E-2</v>
      </c>
      <c r="BF37">
        <f>Regression!$U$10+(Regression!$U$9*Table83[[#This Row],[Fiber]])</f>
        <v>254.92247296496961</v>
      </c>
      <c r="BG37" s="2">
        <f>Table83[[#This Row],[Weight]]-Table7[[#This Row],[Weight v Fiber]]</f>
        <v>0.67752703503037992</v>
      </c>
      <c r="BH37" s="2">
        <f>Table7[[#This Row],[Wfib Res]]^2</f>
        <v>0.45904288319705766</v>
      </c>
      <c r="BI37">
        <f>Regression!$V$10+(Regression!$V$9*Table83[[#This Row],[Sugar]])</f>
        <v>256.19990845794371</v>
      </c>
      <c r="BJ37" s="2">
        <f>Table83[[#This Row],[Weight]]-Table7[[#This Row],[Weight v Sugar]]</f>
        <v>-0.59990845794371239</v>
      </c>
      <c r="BK37" s="2">
        <f>Table7[[#This Row],[Wsugar Res]]^2</f>
        <v>0.35989015791240292</v>
      </c>
      <c r="BL37">
        <f>Regression!$W$10+(Regression!$W$9*Table83[[#This Row],[Servings]])</f>
        <v>256.73710820682157</v>
      </c>
      <c r="BM37" s="2">
        <f>Table83[[#This Row],[Weight]]-Table7[[#This Row],[Weight v Servings]]</f>
        <v>-1.1371082068215799</v>
      </c>
      <c r="BN37" s="2">
        <f>Table7[[#This Row],[Wserv Res]]^2</f>
        <v>1.2930150740209889</v>
      </c>
      <c r="BO37">
        <f>Regression!$X$10+(Regression!$X$9*Table83[[#This Row],[Water]])</f>
        <v>255.1490819770581</v>
      </c>
      <c r="BP37" s="2">
        <f>Table83[[#This Row],[Weight]]-Table7[[#This Row],[Weight v Water]]</f>
        <v>0.45091802294189165</v>
      </c>
      <c r="BQ37" s="2">
        <f>Table7[[#This Row],[Wwater Res]]^2</f>
        <v>0.20332706341382431</v>
      </c>
      <c r="BR37">
        <f>Regression!$Y$10+(Regression!$Y$9*Table83[[#This Row],[Fat Calories]])</f>
        <v>255.18647954523644</v>
      </c>
      <c r="BS37" s="2">
        <f>Table83[[#This Row],[Weight]]-Table7[[#This Row],[Weight v Fat Calories]]</f>
        <v>0.4135204547635567</v>
      </c>
      <c r="BT37" s="2">
        <f>Table7[[#This Row],[WFC Res]]^2</f>
        <v>0.17099916650785874</v>
      </c>
      <c r="BU37">
        <f>Regression!$B$29+(Regression!$B$28*Table83[[#This Row],[Weight]])</f>
        <v>44.519621111320639</v>
      </c>
      <c r="BV37" s="2">
        <f>Table83[[#This Row],[Waist]]-Table7[[#This Row],[Waist v Weight]]</f>
        <v>-1.9621111320638818E-2</v>
      </c>
      <c r="BW37" s="2">
        <f>Table7[[#This Row],[WaistW Res]]^2</f>
        <v>3.8498800945690077E-4</v>
      </c>
      <c r="BX37">
        <f>Regression!$C$29+(Regression!$C$28*Table83[[#This Row],[Neck]])</f>
        <v>45.258648648648581</v>
      </c>
      <c r="BY37" s="2">
        <f>Table83[[#This Row],[Waist]]-Table7[[#This Row],[Waist v Neck]]</f>
        <v>-0.75864864864858106</v>
      </c>
      <c r="BZ37" s="2">
        <f>Table7[[#This Row],[WaistN Res]]^2</f>
        <v>0.57554777209631824</v>
      </c>
      <c r="CA37">
        <f>Regression!$D$29+(Regression!$D$28*Table83[[#This Row],[Morning Body Temp]])</f>
        <v>44.381010678053698</v>
      </c>
      <c r="CB37" s="2">
        <f>Table83[[#This Row],[Waist]]-Table7[[#This Row],[Waist v Morning Temp]]</f>
        <v>0.11898932194630163</v>
      </c>
      <c r="CC37" s="2">
        <f>Table7[[#This Row],[WaistMT Res]]^2</f>
        <v>1.4158458737240618E-2</v>
      </c>
      <c r="CD37">
        <f>Regression!$E$29+(Regression!$E$28*Table83[[#This Row],[Morning Systolic Pressure]])</f>
        <v>44.354571080212359</v>
      </c>
      <c r="CE37" s="2">
        <f>Table83[[#This Row],[Waist]]-Table7[[#This Row],[Waist v Morning Sys]]</f>
        <v>0.14542891978764061</v>
      </c>
      <c r="CF37" s="2">
        <f>Table7[[#This Row],[WaistMS Res]]^2</f>
        <v>2.1149570710600005E-2</v>
      </c>
      <c r="CG37">
        <f>Regression!$F$29+(Regression!$F$28*Table83[[#This Row],[Morning Diastolic Pressure]])</f>
        <v>44.424638564799992</v>
      </c>
      <c r="CH37" s="2">
        <f>Table83[[#This Row],[Waist]]-Table7[[#This Row],[Waist v Morning Dia]]</f>
        <v>7.5361435200008486E-2</v>
      </c>
      <c r="CI37" s="2">
        <f>Table7[[#This Row],[WaistMD Res]]^2</f>
        <v>5.6793459154050778E-3</v>
      </c>
      <c r="CJ37">
        <f>Regression!$G$29+(Regression!$G$28*Table83[[#This Row],[Morning Pulse]])</f>
        <v>44.459613215521493</v>
      </c>
      <c r="CK37" s="2">
        <f>Table83[[#This Row],[Waist]]-Table7[[#This Row],[Waist v Morning Pulse]]</f>
        <v>4.0386784478506854E-2</v>
      </c>
      <c r="CL37" s="2">
        <f>Table7[[#This Row],[WaistMP Res]]^2</f>
        <v>1.6310923605133622E-3</v>
      </c>
      <c r="CM37">
        <f>Regression!$H$29+(Regression!$H$28*Table83[[#This Row],[Night Body Temp]])</f>
        <v>44.473244726073837</v>
      </c>
      <c r="CN37" s="2">
        <f>Table83[[#This Row],[Waist]]-Table7[[#This Row],[Waist v Night Temp]]</f>
        <v>2.675527392616317E-2</v>
      </c>
      <c r="CO37" s="2">
        <f>Table7[[#This Row],[WaistNT Res]]^2</f>
        <v>7.1584468286402681E-4</v>
      </c>
      <c r="CP37">
        <f>Regression!$I$29+(Regression!$I$28*Table83[[#This Row],[Night Systolic Pressure]])</f>
        <v>44.558280115584509</v>
      </c>
      <c r="CQ37" s="2">
        <f>Table83[[#This Row],[Waist]]-Table7[[#This Row],[Waist v  Night Sys]]</f>
        <v>-5.8280115584508962E-2</v>
      </c>
      <c r="CR37" s="2">
        <f>Table7[[#This Row],[WaistNS Res]]^2</f>
        <v>3.3965718725437245E-3</v>
      </c>
      <c r="CS37">
        <f>Regression!$J$29+(Regression!$J$28*Table83[[#This Row],[Night Diastolic Pressure]])</f>
        <v>44.614703518020711</v>
      </c>
      <c r="CT37" s="2">
        <f>Table83[[#This Row],[Waist]]-Table7[[#This Row],[Waist v Night Dia]]</f>
        <v>-0.11470351802071121</v>
      </c>
      <c r="CU37" s="2">
        <f>Table7[[#This Row],[WaistND Res]]^2</f>
        <v>1.3156897046327623E-2</v>
      </c>
      <c r="CV37">
        <f>Regression!$K$29+(Regression!$K$28*Table83[[#This Row],[Night Pulse]])</f>
        <v>44.462565118876235</v>
      </c>
      <c r="CW37" s="2">
        <f>Table83[[#This Row],[Waist]]-Table7[[#This Row],[Waist v Night Pulse]]</f>
        <v>3.7434881123765251E-2</v>
      </c>
      <c r="CX37" s="2">
        <f>Table7[[#This Row],[WaistNP Res]]^2</f>
        <v>1.4013703247504358E-3</v>
      </c>
      <c r="CY37">
        <f>Regression!$L$29+(Regression!$L$28*Table83[[#This Row],[Sleep]])</f>
        <v>44.288545464873309</v>
      </c>
      <c r="CZ37" s="2">
        <f>Table83[[#This Row],[Waist]]-Table7[[#This Row],[Waist v  Sleep]]</f>
        <v>0.21145453512669121</v>
      </c>
      <c r="DA37" s="2">
        <f>Table7[[#This Row],[WaistS Res]]^2</f>
        <v>4.4713020425645088E-2</v>
      </c>
      <c r="DB37">
        <f>Regression!$M$29+(Regression!$M$28*Table83[[#This Row],[BMI]])</f>
        <v>44.519621111320426</v>
      </c>
      <c r="DC37" s="2">
        <f>Table83[[#This Row],[Waist]]-Table7[[#This Row],[Waist v BMI]]</f>
        <v>-1.9621111320425655E-2</v>
      </c>
      <c r="DD37" s="2">
        <f>Table7[[#This Row],[WaistBMI Res]]^2</f>
        <v>3.8498800944853577E-4</v>
      </c>
      <c r="DE37">
        <f>Regression!$N$29+(Regression!$N$28*Table83[[#This Row],[CBF]])</f>
        <v>44.105031770433015</v>
      </c>
      <c r="DF37" s="2">
        <f>Table83[[#This Row],[Waist]]-Table7[[#This Row],[Waist v  CBF]]</f>
        <v>0.39496822956698452</v>
      </c>
      <c r="DG37" s="2">
        <f>Table7[[#This Row],[WaistCBF Res]]^2</f>
        <v>0.15599990236727818</v>
      </c>
      <c r="DH37">
        <f>Regression!$O$29+(Regression!$O$28*Table83[[#This Row],[Gym]])</f>
        <v>44.550847457627107</v>
      </c>
      <c r="DI37" s="2">
        <f>Table83[[#This Row],[Waist]]-Table7[[#This Row],[Waist v  Gym]]</f>
        <v>-5.0847457627106962E-2</v>
      </c>
      <c r="DJ37" s="2">
        <f>Table7[[#This Row],[WaistGYM Res]]^2</f>
        <v>2.5854639471404378E-3</v>
      </c>
      <c r="DK37">
        <f>Regression!$P$29+(Regression!$P$28*Table83[[#This Row],[Cardio]])</f>
        <v>44.291666666666664</v>
      </c>
      <c r="DL37" s="2">
        <f>Table83[[#This Row],[Waist]]-Table7[[#This Row],[Waist v Cardio]]</f>
        <v>0.2083333333333357</v>
      </c>
      <c r="DM37" s="2">
        <f>Table7[[#This Row],[WaistC Res]]^2</f>
        <v>4.3402777777778762E-2</v>
      </c>
      <c r="DN37">
        <f>Regression!$Q$29+(Regression!$Q$28*Table83[[#This Row],[Calories]])</f>
        <v>44.545493815525397</v>
      </c>
      <c r="DO37" s="2">
        <f>Table83[[#This Row],[Waist]]-Table7[[#This Row],[Waist v Calories]]</f>
        <v>-4.5493815525396997E-2</v>
      </c>
      <c r="DP37" s="2">
        <f>Table7[[#This Row],[WaistCal Res]]^2</f>
        <v>2.0696872510588527E-3</v>
      </c>
      <c r="DQ37">
        <f>Regression!$R$29+(Regression!$R$28*Table83[[#This Row],[Carbs]])</f>
        <v>44.617992163705559</v>
      </c>
      <c r="DR37" s="2">
        <f>Table83[[#This Row],[Waist]]-Table7[[#This Row],[Waist v Carbs]]</f>
        <v>-0.11799216370555854</v>
      </c>
      <c r="DS37" s="2">
        <f>Table7[[#This Row],[WaistCarb Res]]^2</f>
        <v>1.3922150695919325E-2</v>
      </c>
      <c r="DT37">
        <f>Regression!$S$29+(Regression!$S$28*Table83[[#This Row],[Fat ]])</f>
        <v>44.475454142022663</v>
      </c>
      <c r="DU37" s="2">
        <f>Table83[[#This Row],[Waist]]-Table7[[#This Row],[Waist v Fat]]</f>
        <v>2.4545857977336993E-2</v>
      </c>
      <c r="DV37" s="2">
        <f>Table7[[#This Row],[WaistF Res]]^2</f>
        <v>6.024991438435981E-4</v>
      </c>
      <c r="DW37">
        <f>Regression!$T$29+(Regression!$T$28*Table83[[#This Row],[Protein]])</f>
        <v>44.584479217292937</v>
      </c>
      <c r="DX37" s="2">
        <f>Table83[[#This Row],[Waist]]-Table7[[#This Row],[Waist v Protein]]</f>
        <v>-8.4479217292937392E-2</v>
      </c>
      <c r="DY37" s="2">
        <f>Table7[[#This Row],[WaistP Res]]^2</f>
        <v>7.1367381544273321E-3</v>
      </c>
      <c r="DZ37">
        <f>Regression!$U$29+(Regression!$U$28*Table83[[#This Row],[Fiber]])</f>
        <v>44.379234276987276</v>
      </c>
      <c r="EA37" s="2">
        <f>Table83[[#This Row],[Waist]]-Table7[[#This Row],[Waist v Fiber]]</f>
        <v>0.12076572301272392</v>
      </c>
      <c r="EB37" s="2">
        <f>Table7[[#This Row],[WaistFib Res]]^2</f>
        <v>1.4584359854785957E-2</v>
      </c>
      <c r="EC37">
        <f>Regression!$V$29+(Regression!$V$28*Table83[[#This Row],[Sugar]])</f>
        <v>44.648423578843612</v>
      </c>
      <c r="ED37" s="2">
        <f>Table83[[#This Row],[Waist]]-Table7[[#This Row],[Waist v Sugar]]</f>
        <v>-0.14842357884361235</v>
      </c>
      <c r="EE37" s="2">
        <f>Table7[[#This Row],[WaistSugar Res]]^2</f>
        <v>2.2029558756746011E-2</v>
      </c>
      <c r="EF37">
        <f>Regression!$W$29+(Regression!$W$28*Table83[[#This Row],[Servings]])</f>
        <v>44.701039759579366</v>
      </c>
      <c r="EG37" s="2">
        <f>Table83[[#This Row],[Waist]]-Table7[[#This Row],[Waist v Servings]]</f>
        <v>-0.20103975957936626</v>
      </c>
      <c r="EH37" s="2">
        <f>Table7[[#This Row],[WaistServ Res]]^2</f>
        <v>4.0416984931729391E-2</v>
      </c>
      <c r="EI37">
        <f>Regression!$X$29+(Regression!$X$28*Table83[[#This Row],[Water]])</f>
        <v>44.497966229663206</v>
      </c>
      <c r="EJ37" s="2">
        <f>Table83[[#This Row],[Waist]]-Table7[[#This Row],[Waist v Water]]</f>
        <v>2.033770336794305E-3</v>
      </c>
      <c r="EK37" s="2">
        <f>Table7[[#This Row],[WaistWat Res]]^2</f>
        <v>4.1362217828244205E-6</v>
      </c>
      <c r="EL37">
        <f>Regression!$Y$29+(Regression!$Y$28*Table83[[#This Row],[Fat Calories]])</f>
        <v>44.475265351988533</v>
      </c>
      <c r="EM37" s="2">
        <f>Table83[[#This Row],[Waist]]-Table7[[#This Row],[Waist v Fat Calories]]</f>
        <v>2.4734648011467186E-2</v>
      </c>
      <c r="EN37" s="2">
        <f>Table7[[#This Row],[WaistFatCal Res]]^2</f>
        <v>6.1180281225117761E-4</v>
      </c>
    </row>
    <row r="38" spans="1:144" x14ac:dyDescent="0.25">
      <c r="A38">
        <f>Regression!$B$10+(Regression!$B$9*Table83[[#This Row],[Waist]])</f>
        <v>255.38023686459636</v>
      </c>
      <c r="B38" s="2">
        <f>Table83[[#This Row],[Weight]]-Table7[[#This Row],[Weight v Waist]]</f>
        <v>-2.580236864596344</v>
      </c>
      <c r="C38" s="2">
        <f>Table7[[#This Row],[Weight v Waist Res]]^2</f>
        <v>6.6576222774219724</v>
      </c>
      <c r="D38">
        <f>Regression!$C$10+(Regression!$C$9*Table83[[#This Row],[Neck]])</f>
        <v>260.39308108104251</v>
      </c>
      <c r="E38" s="2">
        <f>Table83[[#This Row],[Weight]]-Table7[[#This Row],[Weight v Neck]]</f>
        <v>-7.5930810810424987</v>
      </c>
      <c r="F38" s="2">
        <f>Table7[[#This Row],[WN Res]]^2</f>
        <v>57.654880303285523</v>
      </c>
      <c r="G38">
        <f>Regression!$D$10+(Regression!$D$9*Table83[[#This Row],[Morning Body Temp]])</f>
        <v>254.77797223219488</v>
      </c>
      <c r="H38" s="2">
        <f>Table83[[#This Row],[Weight]]-Table7[[#This Row],[Weight v Morning Temp]]</f>
        <v>-1.9779722321948725</v>
      </c>
      <c r="I38" s="2">
        <f>Table7[[#This Row],[WMT Res]]^2</f>
        <v>3.9123741513339665</v>
      </c>
      <c r="J38">
        <f>Regression!$E$10+(Regression!$E$9*Table83[[#This Row],[Morning Systolic Pressure]])</f>
        <v>255.27979544420887</v>
      </c>
      <c r="K38" s="2">
        <f>Table83[[#This Row],[Weight]]-Table7[[#This Row],[Weight v Morning Sys]]</f>
        <v>-2.479795444208861</v>
      </c>
      <c r="L38" s="2">
        <f>Table7[[#This Row],[WMS Res]]^2</f>
        <v>6.1493854451190222</v>
      </c>
      <c r="M38">
        <f>Regression!$F$10+(Regression!$F$9*Table83[[#This Row],[Morning Diastolic Pressure]])</f>
        <v>254.59531865202226</v>
      </c>
      <c r="N38" s="2">
        <f>Table83[[#This Row],[Weight]]-Table7[[#This Row],[Weight v Morning Dia]]</f>
        <v>-1.7953186520222459</v>
      </c>
      <c r="O38" s="2">
        <f>Table7[[#This Row],[WMD Res]]^2</f>
        <v>3.2231690622989744</v>
      </c>
      <c r="P38">
        <f>Regression!$G$10+(Regression!$G$9*Table83[[#This Row],[Morning Pulse]])</f>
        <v>255.12095627742721</v>
      </c>
      <c r="Q38" s="2">
        <f>Table83[[#This Row],[Weight]]-Table7[[#This Row],[Weight v Morning Pulse]]</f>
        <v>-2.3209562774272001</v>
      </c>
      <c r="R38" s="2">
        <f>Table7[[#This Row],[WMP Res]]^2</f>
        <v>5.3868380417287263</v>
      </c>
      <c r="S38">
        <f>Regression!$H$10+(Regression!$H$9*Table83[[#This Row],[Night Body Temp]])</f>
        <v>255.87845238234192</v>
      </c>
      <c r="T38" s="2">
        <f>Table83[[#This Row],[Weight]]-Table7[[#This Row],[Weight v Night Temp]]</f>
        <v>-3.0784523823419079</v>
      </c>
      <c r="U38" s="2">
        <f>Table7[[#This Row],[WNT Res]]^2</f>
        <v>9.4768690703465683</v>
      </c>
      <c r="V38">
        <f>Regression!$I$10+(Regression!$I$9*Table83[[#This Row],[Night Systolic Pressure]])</f>
        <v>254.52006755496794</v>
      </c>
      <c r="W38" s="2">
        <f>Table83[[#This Row],[Weight]]-Table7[[#This Row],[Weight v Night Sys]]</f>
        <v>-1.7200675549679261</v>
      </c>
      <c r="X38" s="2">
        <f>Table7[[#This Row],[WNS Res]]^2</f>
        <v>2.9586323936533394</v>
      </c>
      <c r="Y38">
        <f>Regression!$J$10+(Regression!$J$9*Table83[[#This Row],[Night Diastolic Pressure]])</f>
        <v>255.01078463741391</v>
      </c>
      <c r="Z38" s="2">
        <f>Table83[[#This Row],[Weight]]-Table7[[#This Row],[Weight v Night Dia]]</f>
        <v>-2.2107846374138944</v>
      </c>
      <c r="AA38" s="2">
        <f>Table7[[#This Row],[WND Res]]^2</f>
        <v>4.8875687130252849</v>
      </c>
      <c r="AB38">
        <f>Regression!$K$10+(Regression!$K$9*Table83[[#This Row],[Night Pulse]])</f>
        <v>255.54013849605542</v>
      </c>
      <c r="AC38" s="2">
        <f>Table83[[#This Row],[Weight]]-Table7[[#This Row],[Weight v Night Pulse]]</f>
        <v>-2.7401384960554083</v>
      </c>
      <c r="AD38" s="2">
        <f>Table7[[#This Row],[WNP Res ]]^2</f>
        <v>7.5083589775647948</v>
      </c>
      <c r="AE38">
        <f>Regression!$L$10+(Regression!$L$9*Table83[[#This Row],[Sleep]])</f>
        <v>255.37363536491171</v>
      </c>
      <c r="AF38" s="2">
        <f>Table83[[#This Row],[Weight]]-Table7[[#This Row],[Weight v Sleep]]</f>
        <v>-2.573635364911695</v>
      </c>
      <c r="AG38" s="2">
        <f>Table7[[#This Row],[WS Res]]^2</f>
        <v>6.6235989915241538</v>
      </c>
      <c r="AH38">
        <f>Regression!$M$10+(Regression!$M$9*Table83[[#This Row],[BMI]])</f>
        <v>252.80000000000521</v>
      </c>
      <c r="AI38" s="2">
        <f>Table83[[#This Row],[Weight]]-Table7[[#This Row],[Weight v BMI]]</f>
        <v>-5.2011728257639334E-12</v>
      </c>
      <c r="AJ38" s="2">
        <f>Table7[[#This Row],[WBMI Res]]^2</f>
        <v>2.7052198763465179E-23</v>
      </c>
      <c r="AK38">
        <f>Regression!$N$10+(Regression!$N$9*Table83[[#This Row],[CBF]])</f>
        <v>253.17965033701802</v>
      </c>
      <c r="AL38" s="2">
        <f>Table83[[#This Row],[Weight]]-Table7[[#This Row],[Weight v CBF]]</f>
        <v>-0.37965033701800621</v>
      </c>
      <c r="AM38" s="2">
        <f>Table7[[#This Row],[WCBF Res]]^2</f>
        <v>0.1441343783978857</v>
      </c>
      <c r="AN38">
        <f>Regression!$O$10+(Regression!$O$9*Table83[[#This Row],[Gym]])</f>
        <v>255.46779661016953</v>
      </c>
      <c r="AO38" s="2">
        <f>Table83[[#This Row],[Weight]]-Table7[[#This Row],[Weight v Gym]]</f>
        <v>-2.6677966101695176</v>
      </c>
      <c r="AP38" s="2">
        <f>Table7[[#This Row],[WG Res]]^2</f>
        <v>7.117138753231969</v>
      </c>
      <c r="AQ38">
        <f>Regression!$P$10+(Regression!$P$9*Table83[[#This Row],[Cardio]])</f>
        <v>256.41063829787231</v>
      </c>
      <c r="AR38" s="2">
        <f>Table83[[#This Row],[Weight]]-Table7[[#This Row],[Weight v Cardio]]</f>
        <v>-3.6106382978722991</v>
      </c>
      <c r="AS38" s="2">
        <f>Table7[[#This Row],[WC Res]]^2</f>
        <v>13.036708918062173</v>
      </c>
      <c r="AT38">
        <f>Regression!$Q$10+(Regression!$Q$9*Table83[[#This Row],[Calories]])</f>
        <v>256.03630772585495</v>
      </c>
      <c r="AU38" s="2">
        <f>Table83[[#This Row],[Weight]]-Table7[[#This Row],[Weight v Calories]]</f>
        <v>-3.2363077258549424</v>
      </c>
      <c r="AV38" s="2">
        <f>Table7[[#This Row],[WCAL Res]]^2</f>
        <v>10.473687696428389</v>
      </c>
      <c r="AW38">
        <f>Regression!$R$10+(Regression!$R$9*Table83[[#This Row],[Carbs]])</f>
        <v>256.21566377614755</v>
      </c>
      <c r="AX38" s="2">
        <f>Table83[[#This Row],[Weight]]-Table7[[#This Row],[Weight v Carbs]]</f>
        <v>-3.4156637761475395</v>
      </c>
      <c r="AY38" s="2">
        <f>Table7[[#This Row],[Wcarb Res]]^2</f>
        <v>11.666759031686469</v>
      </c>
      <c r="AZ38">
        <f>Regression!$S$10+(Regression!$S$9*Table83[[#This Row],[Fat ]])</f>
        <v>255.56917805615242</v>
      </c>
      <c r="BA38" s="2">
        <f>Table83[[#This Row],[Weight]]-Table7[[#This Row],[Weight v Fat]]</f>
        <v>-2.7691780561524126</v>
      </c>
      <c r="BB38" s="2">
        <f>Table7[[#This Row],[WF Res]]^2</f>
        <v>7.6683471066760545</v>
      </c>
      <c r="BC38">
        <f>Regression!$T$10+(Regression!$T$9*Table83[[#This Row],[Protein]])</f>
        <v>256.08885516080801</v>
      </c>
      <c r="BD38" s="2">
        <f>Table83[[#This Row],[Weight]]-Table7[[#This Row],[Weight v Protein]]</f>
        <v>-3.2888551608079979</v>
      </c>
      <c r="BE38" s="2">
        <f>Table7[[#This Row],[WP Res]]^2</f>
        <v>10.816568268773402</v>
      </c>
      <c r="BF38">
        <f>Regression!$U$10+(Regression!$U$9*Table83[[#This Row],[Fiber]])</f>
        <v>254.88930701851385</v>
      </c>
      <c r="BG38" s="2">
        <f>Table83[[#This Row],[Weight]]-Table7[[#This Row],[Weight v Fiber]]</f>
        <v>-2.0893070185138356</v>
      </c>
      <c r="BH38" s="2">
        <f>Table7[[#This Row],[Wfib Res]]^2</f>
        <v>4.3652038176111727</v>
      </c>
      <c r="BI38">
        <f>Regression!$V$10+(Regression!$V$9*Table83[[#This Row],[Sugar]])</f>
        <v>256.68087079243855</v>
      </c>
      <c r="BJ38" s="2">
        <f>Table83[[#This Row],[Weight]]-Table7[[#This Row],[Weight v Sugar]]</f>
        <v>-3.880870792438543</v>
      </c>
      <c r="BK38" s="2">
        <f>Table7[[#This Row],[Wsugar Res]]^2</f>
        <v>15.061158107602566</v>
      </c>
      <c r="BL38">
        <f>Regression!$W$10+(Regression!$W$9*Table83[[#This Row],[Servings]])</f>
        <v>256.79826802214694</v>
      </c>
      <c r="BM38" s="2">
        <f>Table83[[#This Row],[Weight]]-Table7[[#This Row],[Weight v Servings]]</f>
        <v>-3.9982680221469309</v>
      </c>
      <c r="BN38" s="2">
        <f>Table7[[#This Row],[Wserv Res]]^2</f>
        <v>15.986147176922731</v>
      </c>
      <c r="BO38">
        <f>Regression!$X$10+(Regression!$X$9*Table83[[#This Row],[Water]])</f>
        <v>255.19189796045953</v>
      </c>
      <c r="BP38" s="2">
        <f>Table83[[#This Row],[Weight]]-Table7[[#This Row],[Weight v Water]]</f>
        <v>-2.3918979604595165</v>
      </c>
      <c r="BQ38" s="2">
        <f>Table7[[#This Row],[Wwater Res]]^2</f>
        <v>5.7211758532503945</v>
      </c>
      <c r="BR38">
        <f>Regression!$Y$10+(Regression!$Y$9*Table83[[#This Row],[Fat Calories]])</f>
        <v>255.59349526086197</v>
      </c>
      <c r="BS38" s="2">
        <f>Table83[[#This Row],[Weight]]-Table7[[#This Row],[Weight v Fat Calories]]</f>
        <v>-2.7934952608619597</v>
      </c>
      <c r="BT38" s="2">
        <f>Table7[[#This Row],[WFC Res]]^2</f>
        <v>7.8036157724582278</v>
      </c>
      <c r="BU38">
        <f>Regression!$B$29+(Regression!$B$28*Table83[[#This Row],[Weight]])</f>
        <v>44.138086081724687</v>
      </c>
      <c r="BV38" s="2">
        <f>Table83[[#This Row],[Waist]]-Table7[[#This Row],[Waist v Weight]]</f>
        <v>0.36191391827531305</v>
      </c>
      <c r="BW38" s="2">
        <f>Table7[[#This Row],[WaistW Res]]^2</f>
        <v>0.13098168424138998</v>
      </c>
      <c r="BX38">
        <f>Regression!$C$29+(Regression!$C$28*Table83[[#This Row],[Neck]])</f>
        <v>45.258648648648581</v>
      </c>
      <c r="BY38" s="2">
        <f>Table83[[#This Row],[Waist]]-Table7[[#This Row],[Waist v Neck]]</f>
        <v>-0.75864864864858106</v>
      </c>
      <c r="BZ38" s="2">
        <f>Table7[[#This Row],[WaistN Res]]^2</f>
        <v>0.57554777209631824</v>
      </c>
      <c r="CA38">
        <f>Regression!$D$29+(Regression!$D$28*Table83[[#This Row],[Morning Body Temp]])</f>
        <v>44.361863864877819</v>
      </c>
      <c r="CB38" s="2">
        <f>Table83[[#This Row],[Waist]]-Table7[[#This Row],[Waist v Morning Temp]]</f>
        <v>0.13813613512218126</v>
      </c>
      <c r="CC38" s="2">
        <f>Table7[[#This Row],[WaistMT Res]]^2</f>
        <v>1.9081591826493518E-2</v>
      </c>
      <c r="CD38">
        <f>Regression!$E$29+(Regression!$E$28*Table83[[#This Row],[Morning Systolic Pressure]])</f>
        <v>44.492246348363913</v>
      </c>
      <c r="CE38" s="2">
        <f>Table83[[#This Row],[Waist]]-Table7[[#This Row],[Waist v Morning Sys]]</f>
        <v>7.7536516360865448E-3</v>
      </c>
      <c r="CF38" s="2">
        <f>Table7[[#This Row],[WaistMS Res]]^2</f>
        <v>6.0119113693787551E-5</v>
      </c>
      <c r="CG38">
        <f>Regression!$F$29+(Regression!$F$28*Table83[[#This Row],[Morning Diastolic Pressure]])</f>
        <v>44.424638564799992</v>
      </c>
      <c r="CH38" s="2">
        <f>Table83[[#This Row],[Waist]]-Table7[[#This Row],[Waist v Morning Dia]]</f>
        <v>7.5361435200008486E-2</v>
      </c>
      <c r="CI38" s="2">
        <f>Table7[[#This Row],[WaistMD Res]]^2</f>
        <v>5.6793459154050778E-3</v>
      </c>
      <c r="CJ38">
        <f>Regression!$G$29+(Regression!$G$28*Table83[[#This Row],[Morning Pulse]])</f>
        <v>44.456255205227038</v>
      </c>
      <c r="CK38" s="2">
        <f>Table83[[#This Row],[Waist]]-Table7[[#This Row],[Waist v Morning Pulse]]</f>
        <v>4.3744794772962337E-2</v>
      </c>
      <c r="CL38" s="2">
        <f>Table7[[#This Row],[WaistMP Res]]^2</f>
        <v>1.913607069728593E-3</v>
      </c>
      <c r="CM38">
        <f>Regression!$H$29+(Regression!$H$28*Table83[[#This Row],[Night Body Temp]])</f>
        <v>44.513729345098263</v>
      </c>
      <c r="CN38" s="2">
        <f>Table83[[#This Row],[Waist]]-Table7[[#This Row],[Waist v Night Temp]]</f>
        <v>-1.3729345098262513E-2</v>
      </c>
      <c r="CO38" s="2">
        <f>Table7[[#This Row],[WaistNT Res]]^2</f>
        <v>1.8849491682718491E-4</v>
      </c>
      <c r="CP38">
        <f>Regression!$I$29+(Regression!$I$28*Table83[[#This Row],[Night Systolic Pressure]])</f>
        <v>44.369258629351535</v>
      </c>
      <c r="CQ38" s="2">
        <f>Table83[[#This Row],[Waist]]-Table7[[#This Row],[Waist v  Night Sys]]</f>
        <v>0.13074137064846525</v>
      </c>
      <c r="CR38" s="2">
        <f>Table7[[#This Row],[WaistNS Res]]^2</f>
        <v>1.7093305999039372E-2</v>
      </c>
      <c r="CS38">
        <f>Regression!$J$29+(Regression!$J$28*Table83[[#This Row],[Night Diastolic Pressure]])</f>
        <v>44.409888175531407</v>
      </c>
      <c r="CT38" s="2">
        <f>Table83[[#This Row],[Waist]]-Table7[[#This Row],[Waist v Night Dia]]</f>
        <v>9.0111824468593227E-2</v>
      </c>
      <c r="CU38" s="2">
        <f>Table7[[#This Row],[WaistND Res]]^2</f>
        <v>8.1201409090585572E-3</v>
      </c>
      <c r="CV38">
        <f>Regression!$K$29+(Regression!$K$28*Table83[[#This Row],[Night Pulse]])</f>
        <v>44.414000431589827</v>
      </c>
      <c r="CW38" s="2">
        <f>Table83[[#This Row],[Waist]]-Table7[[#This Row],[Waist v Night Pulse]]</f>
        <v>8.599956841017331E-2</v>
      </c>
      <c r="CX38" s="2">
        <f>Table7[[#This Row],[WaistNP Res]]^2</f>
        <v>7.3959257667360794E-3</v>
      </c>
      <c r="CY38">
        <f>Regression!$L$29+(Regression!$L$28*Table83[[#This Row],[Sleep]])</f>
        <v>44.492966078854842</v>
      </c>
      <c r="CZ38" s="2">
        <f>Table83[[#This Row],[Waist]]-Table7[[#This Row],[Waist v  Sleep]]</f>
        <v>7.0339211451582173E-3</v>
      </c>
      <c r="DA38" s="2">
        <f>Table7[[#This Row],[WaistS Res]]^2</f>
        <v>4.9476046676303886E-5</v>
      </c>
      <c r="DB38">
        <f>Regression!$M$29+(Regression!$M$28*Table83[[#This Row],[BMI]])</f>
        <v>44.138086081725689</v>
      </c>
      <c r="DC38" s="2">
        <f>Table83[[#This Row],[Waist]]-Table7[[#This Row],[Waist v BMI]]</f>
        <v>0.36191391827431119</v>
      </c>
      <c r="DD38" s="2">
        <f>Table7[[#This Row],[WaistBMI Res]]^2</f>
        <v>0.13098168424066481</v>
      </c>
      <c r="DE38">
        <f>Regression!$N$29+(Regression!$N$28*Table83[[#This Row],[CBF]])</f>
        <v>44.105031770433015</v>
      </c>
      <c r="DF38" s="2">
        <f>Table83[[#This Row],[Waist]]-Table7[[#This Row],[Waist v  CBF]]</f>
        <v>0.39496822956698452</v>
      </c>
      <c r="DG38" s="2">
        <f>Table7[[#This Row],[WaistCBF Res]]^2</f>
        <v>0.15599990236727818</v>
      </c>
      <c r="DH38">
        <f>Regression!$O$29+(Regression!$O$28*Table83[[#This Row],[Gym]])</f>
        <v>44.550847457627107</v>
      </c>
      <c r="DI38" s="2">
        <f>Table83[[#This Row],[Waist]]-Table7[[#This Row],[Waist v  Gym]]</f>
        <v>-5.0847457627106962E-2</v>
      </c>
      <c r="DJ38" s="2">
        <f>Table7[[#This Row],[WaistGYM Res]]^2</f>
        <v>2.5854639471404378E-3</v>
      </c>
      <c r="DK38">
        <f>Regression!$P$29+(Regression!$P$28*Table83[[#This Row],[Cardio]])</f>
        <v>44.680851063829778</v>
      </c>
      <c r="DL38" s="2">
        <f>Table83[[#This Row],[Waist]]-Table7[[#This Row],[Waist v Cardio]]</f>
        <v>-0.18085106382977756</v>
      </c>
      <c r="DM38" s="2">
        <f>Table7[[#This Row],[WaistC Res]]^2</f>
        <v>3.2707107288362278E-2</v>
      </c>
      <c r="DN38">
        <f>Regression!$Q$29+(Regression!$Q$28*Table83[[#This Row],[Calories]])</f>
        <v>44.660527293217179</v>
      </c>
      <c r="DO38" s="2">
        <f>Table83[[#This Row],[Waist]]-Table7[[#This Row],[Waist v Calories]]</f>
        <v>-0.16052729321717862</v>
      </c>
      <c r="DP38" s="2">
        <f>Table7[[#This Row],[WaistCal Res]]^2</f>
        <v>2.5769011867634042E-2</v>
      </c>
      <c r="DQ38">
        <f>Regression!$R$29+(Regression!$R$28*Table83[[#This Row],[Carbs]])</f>
        <v>44.68268206888385</v>
      </c>
      <c r="DR38" s="2">
        <f>Table83[[#This Row],[Waist]]-Table7[[#This Row],[Waist v Carbs]]</f>
        <v>-0.18268206888384952</v>
      </c>
      <c r="DS38" s="2">
        <f>Table7[[#This Row],[WaistCarb Res]]^2</f>
        <v>3.3372738291683544E-2</v>
      </c>
      <c r="DT38">
        <f>Regression!$S$29+(Regression!$S$28*Table83[[#This Row],[Fat ]])</f>
        <v>44.592358917523718</v>
      </c>
      <c r="DU38" s="2">
        <f>Table83[[#This Row],[Waist]]-Table7[[#This Row],[Waist v Fat]]</f>
        <v>-9.2358917523718276E-2</v>
      </c>
      <c r="DV38" s="2">
        <f>Table7[[#This Row],[WaistF Res]]^2</f>
        <v>8.5301696461529946E-3</v>
      </c>
      <c r="DW38">
        <f>Regression!$T$29+(Regression!$T$28*Table83[[#This Row],[Protein]])</f>
        <v>44.631783393711579</v>
      </c>
      <c r="DX38" s="2">
        <f>Table83[[#This Row],[Waist]]-Table7[[#This Row],[Waist v Protein]]</f>
        <v>-0.13178339371157932</v>
      </c>
      <c r="DY38" s="2">
        <f>Table7[[#This Row],[WaistP Res]]^2</f>
        <v>1.7366862858141124E-2</v>
      </c>
      <c r="DZ38">
        <f>Regression!$U$29+(Regression!$U$28*Table83[[#This Row],[Fiber]])</f>
        <v>44.3664368664666</v>
      </c>
      <c r="EA38" s="2">
        <f>Table83[[#This Row],[Waist]]-Table7[[#This Row],[Waist v Fiber]]</f>
        <v>0.13356313353339999</v>
      </c>
      <c r="EB38" s="2">
        <f>Table7[[#This Row],[WaistFib Res]]^2</f>
        <v>1.7839110639260837E-2</v>
      </c>
      <c r="EC38">
        <f>Regression!$V$29+(Regression!$V$28*Table83[[#This Row],[Sugar]])</f>
        <v>44.734823098049745</v>
      </c>
      <c r="ED38" s="2">
        <f>Table83[[#This Row],[Waist]]-Table7[[#This Row],[Waist v Sugar]]</f>
        <v>-0.23482309804974477</v>
      </c>
      <c r="EE38" s="2">
        <f>Table7[[#This Row],[WaistSugar Res]]^2</f>
        <v>5.5141887377680047E-2</v>
      </c>
      <c r="EF38">
        <f>Regression!$W$29+(Regression!$W$28*Table83[[#This Row],[Servings]])</f>
        <v>44.710371728475771</v>
      </c>
      <c r="EG38" s="2">
        <f>Table83[[#This Row],[Waist]]-Table7[[#This Row],[Waist v Servings]]</f>
        <v>-0.21037172847577068</v>
      </c>
      <c r="EH38" s="2">
        <f>Table7[[#This Row],[WaistServ Res]]^2</f>
        <v>4.4256264141883384E-2</v>
      </c>
      <c r="EI38">
        <f>Regression!$X$29+(Regression!$X$28*Table83[[#This Row],[Water]])</f>
        <v>44.553850107074496</v>
      </c>
      <c r="EJ38" s="2">
        <f>Table83[[#This Row],[Waist]]-Table7[[#This Row],[Waist v Water]]</f>
        <v>-5.3850107074495668E-2</v>
      </c>
      <c r="EK38" s="2">
        <f>Table7[[#This Row],[WaistWat Res]]^2</f>
        <v>2.8998340319346485E-3</v>
      </c>
      <c r="EL38">
        <f>Regression!$Y$29+(Regression!$Y$28*Table83[[#This Row],[Fat Calories]])</f>
        <v>44.599050539995496</v>
      </c>
      <c r="EM38" s="2">
        <f>Table83[[#This Row],[Waist]]-Table7[[#This Row],[Waist v Fat Calories]]</f>
        <v>-9.9050539995495512E-2</v>
      </c>
      <c r="EN38" s="2">
        <f>Table7[[#This Row],[WaistFatCal Res]]^2</f>
        <v>9.8110094733992563E-3</v>
      </c>
    </row>
    <row r="39" spans="1:144" x14ac:dyDescent="0.25">
      <c r="A39">
        <f>Regression!$B$10+(Regression!$B$9*Table83[[#This Row],[Waist]])</f>
        <v>255.38023686459636</v>
      </c>
      <c r="B39" s="2">
        <f>Table83[[#This Row],[Weight]]-Table7[[#This Row],[Weight v Waist]]</f>
        <v>-2.580236864596344</v>
      </c>
      <c r="C39" s="2">
        <f>Table7[[#This Row],[Weight v Waist Res]]^2</f>
        <v>6.6576222774219724</v>
      </c>
      <c r="D39">
        <f>Regression!$C$10+(Regression!$C$9*Table83[[#This Row],[Neck]])</f>
        <v>260.39308108104251</v>
      </c>
      <c r="E39" s="2">
        <f>Table83[[#This Row],[Weight]]-Table7[[#This Row],[Weight v Neck]]</f>
        <v>-7.5930810810424987</v>
      </c>
      <c r="F39" s="2">
        <f>Table7[[#This Row],[WN Res]]^2</f>
        <v>57.654880303285523</v>
      </c>
      <c r="G39">
        <f>Regression!$D$10+(Regression!$D$9*Table83[[#This Row],[Morning Body Temp]])</f>
        <v>254.91876934063959</v>
      </c>
      <c r="H39" s="2">
        <f>Table83[[#This Row],[Weight]]-Table7[[#This Row],[Weight v Morning Temp]]</f>
        <v>-2.1187693406395738</v>
      </c>
      <c r="I39" s="2">
        <f>Table7[[#This Row],[WMT Res]]^2</f>
        <v>4.4891835188342544</v>
      </c>
      <c r="J39">
        <f>Regression!$E$10+(Regression!$E$9*Table83[[#This Row],[Morning Systolic Pressure]])</f>
        <v>255.36994985193564</v>
      </c>
      <c r="K39" s="2">
        <f>Table83[[#This Row],[Weight]]-Table7[[#This Row],[Weight v Morning Sys]]</f>
        <v>-2.5699498519356325</v>
      </c>
      <c r="L39" s="2">
        <f>Table7[[#This Row],[WMS Res]]^2</f>
        <v>6.6046422414639796</v>
      </c>
      <c r="M39">
        <f>Regression!$F$10+(Regression!$F$9*Table83[[#This Row],[Morning Diastolic Pressure]])</f>
        <v>254.18994165584274</v>
      </c>
      <c r="N39" s="2">
        <f>Table83[[#This Row],[Weight]]-Table7[[#This Row],[Weight v Morning Dia]]</f>
        <v>-1.3899416558427333</v>
      </c>
      <c r="O39" s="2">
        <f>Table7[[#This Row],[WMD Res]]^2</f>
        <v>1.9319378066468393</v>
      </c>
      <c r="P39">
        <f>Regression!$G$10+(Regression!$G$9*Table83[[#This Row],[Morning Pulse]])</f>
        <v>255.11181729864128</v>
      </c>
      <c r="Q39" s="2">
        <f>Table83[[#This Row],[Weight]]-Table7[[#This Row],[Weight v Morning Pulse]]</f>
        <v>-2.3118172986412731</v>
      </c>
      <c r="R39" s="2">
        <f>Table7[[#This Row],[WMP Res]]^2</f>
        <v>5.3444992222970331</v>
      </c>
      <c r="S39">
        <f>Regression!$H$10+(Regression!$H$9*Table83[[#This Row],[Night Body Temp]])</f>
        <v>254.85148667752509</v>
      </c>
      <c r="T39" s="2">
        <f>Table83[[#This Row],[Weight]]-Table7[[#This Row],[Weight v Night Temp]]</f>
        <v>-2.0514866775250766</v>
      </c>
      <c r="U39" s="2">
        <f>Table7[[#This Row],[WNT Res]]^2</f>
        <v>4.2085975880628776</v>
      </c>
      <c r="V39">
        <f>Regression!$I$10+(Regression!$I$9*Table83[[#This Row],[Night Systolic Pressure]])</f>
        <v>252.56981570842703</v>
      </c>
      <c r="W39" s="2">
        <f>Table83[[#This Row],[Weight]]-Table7[[#This Row],[Weight v Night Sys]]</f>
        <v>0.23018429157298215</v>
      </c>
      <c r="X39" s="2">
        <f>Table7[[#This Row],[WNS Res]]^2</f>
        <v>5.2984808086955659E-2</v>
      </c>
      <c r="Y39">
        <f>Regression!$J$10+(Regression!$J$9*Table83[[#This Row],[Night Diastolic Pressure]])</f>
        <v>255.37767745315881</v>
      </c>
      <c r="Z39" s="2">
        <f>Table83[[#This Row],[Weight]]-Table7[[#This Row],[Weight v Night Dia]]</f>
        <v>-2.5776774531587989</v>
      </c>
      <c r="AA39" s="2">
        <f>Table7[[#This Row],[WND Res]]^2</f>
        <v>6.6444210525232323</v>
      </c>
      <c r="AB39">
        <f>Regression!$K$10+(Regression!$K$9*Table83[[#This Row],[Night Pulse]])</f>
        <v>255.84727180842268</v>
      </c>
      <c r="AC39" s="2">
        <f>Table83[[#This Row],[Weight]]-Table7[[#This Row],[Weight v Night Pulse]]</f>
        <v>-3.0472718084226642</v>
      </c>
      <c r="AD39" s="2">
        <f>Table7[[#This Row],[WNP Res ]]^2</f>
        <v>9.2858654744075348</v>
      </c>
      <c r="AE39">
        <f>Regression!$L$10+(Regression!$L$9*Table83[[#This Row],[Sleep]])</f>
        <v>254.19060717725986</v>
      </c>
      <c r="AF39" s="2">
        <f>Table83[[#This Row],[Weight]]-Table7[[#This Row],[Weight v Sleep]]</f>
        <v>-1.3906071772598523</v>
      </c>
      <c r="AG39" s="2">
        <f>Table7[[#This Row],[WS Res]]^2</f>
        <v>1.9337883214466143</v>
      </c>
      <c r="AH39">
        <f>Regression!$M$10+(Regression!$M$9*Table83[[#This Row],[BMI]])</f>
        <v>252.80000000000521</v>
      </c>
      <c r="AI39" s="2">
        <f>Table83[[#This Row],[Weight]]-Table7[[#This Row],[Weight v BMI]]</f>
        <v>-5.2011728257639334E-12</v>
      </c>
      <c r="AJ39" s="2">
        <f>Table7[[#This Row],[WBMI Res]]^2</f>
        <v>2.7052198763465179E-23</v>
      </c>
      <c r="AK39">
        <f>Regression!$N$10+(Regression!$N$9*Table83[[#This Row],[CBF]])</f>
        <v>253.17965033701802</v>
      </c>
      <c r="AL39" s="2">
        <f>Table83[[#This Row],[Weight]]-Table7[[#This Row],[Weight v CBF]]</f>
        <v>-0.37965033701800621</v>
      </c>
      <c r="AM39" s="2">
        <f>Table7[[#This Row],[WCBF Res]]^2</f>
        <v>0.1441343783978857</v>
      </c>
      <c r="AN39">
        <f>Regression!$O$10+(Regression!$O$9*Table83[[#This Row],[Gym]])</f>
        <v>255.46779661016953</v>
      </c>
      <c r="AO39" s="2">
        <f>Table83[[#This Row],[Weight]]-Table7[[#This Row],[Weight v Gym]]</f>
        <v>-2.6677966101695176</v>
      </c>
      <c r="AP39" s="2">
        <f>Table7[[#This Row],[WG Res]]^2</f>
        <v>7.117138753231969</v>
      </c>
      <c r="AQ39">
        <f>Regression!$P$10+(Regression!$P$9*Table83[[#This Row],[Cardio]])</f>
        <v>256.41063829787231</v>
      </c>
      <c r="AR39" s="2">
        <f>Table83[[#This Row],[Weight]]-Table7[[#This Row],[Weight v Cardio]]</f>
        <v>-3.6106382978722991</v>
      </c>
      <c r="AS39" s="2">
        <f>Table7[[#This Row],[WC Res]]^2</f>
        <v>13.036708918062173</v>
      </c>
      <c r="AT39">
        <f>Regression!$Q$10+(Regression!$Q$9*Table83[[#This Row],[Calories]])</f>
        <v>252.73850303441046</v>
      </c>
      <c r="AU39" s="2">
        <f>Table83[[#This Row],[Weight]]-Table7[[#This Row],[Weight v Calories]]</f>
        <v>6.1496965589554975E-2</v>
      </c>
      <c r="AV39" s="2">
        <f>Table7[[#This Row],[WCAL Res]]^2</f>
        <v>3.7818767767229086E-3</v>
      </c>
      <c r="AW39">
        <f>Regression!$R$10+(Regression!$R$9*Table83[[#This Row],[Carbs]])</f>
        <v>253.50719405961613</v>
      </c>
      <c r="AX39" s="2">
        <f>Table83[[#This Row],[Weight]]-Table7[[#This Row],[Weight v Carbs]]</f>
        <v>-0.70719405961611415</v>
      </c>
      <c r="AY39" s="2">
        <f>Table7[[#This Row],[Wcarb Res]]^2</f>
        <v>0.50012343795631997</v>
      </c>
      <c r="AZ39">
        <f>Regression!$S$10+(Regression!$S$9*Table83[[#This Row],[Fat ]])</f>
        <v>254.09020811760257</v>
      </c>
      <c r="BA39" s="2">
        <f>Table83[[#This Row],[Weight]]-Table7[[#This Row],[Weight v Fat]]</f>
        <v>-1.2902081176025604</v>
      </c>
      <c r="BB39" s="2">
        <f>Table7[[#This Row],[WF Res]]^2</f>
        <v>1.6646369867275423</v>
      </c>
      <c r="BC39">
        <f>Regression!$T$10+(Regression!$T$9*Table83[[#This Row],[Protein]])</f>
        <v>253.69011642243564</v>
      </c>
      <c r="BD39" s="2">
        <f>Table83[[#This Row],[Weight]]-Table7[[#This Row],[Weight v Protein]]</f>
        <v>-0.89011642243562505</v>
      </c>
      <c r="BE39" s="2">
        <f>Table7[[#This Row],[WP Res]]^2</f>
        <v>0.79230724548959608</v>
      </c>
      <c r="BF39">
        <f>Regression!$U$10+(Regression!$U$9*Table83[[#This Row],[Fiber]])</f>
        <v>255.19361636608903</v>
      </c>
      <c r="BG39" s="2">
        <f>Table83[[#This Row],[Weight]]-Table7[[#This Row],[Weight v Fiber]]</f>
        <v>-2.3936163660890202</v>
      </c>
      <c r="BH39" s="2">
        <f>Table7[[#This Row],[Wfib Res]]^2</f>
        <v>5.7293993080092065</v>
      </c>
      <c r="BI39">
        <f>Regression!$V$10+(Regression!$V$9*Table83[[#This Row],[Sugar]])</f>
        <v>253.39623509498449</v>
      </c>
      <c r="BJ39" s="2">
        <f>Table83[[#This Row],[Weight]]-Table7[[#This Row],[Weight v Sugar]]</f>
        <v>-0.59623509498447902</v>
      </c>
      <c r="BK39" s="2">
        <f>Table7[[#This Row],[Wsugar Res]]^2</f>
        <v>0.35549628849115072</v>
      </c>
      <c r="BL39">
        <f>Regression!$W$10+(Regression!$W$9*Table83[[#This Row],[Servings]])</f>
        <v>250.9078133086274</v>
      </c>
      <c r="BM39" s="2">
        <f>Table83[[#This Row],[Weight]]-Table7[[#This Row],[Weight v Servings]]</f>
        <v>1.8921866913726149</v>
      </c>
      <c r="BN39" s="2">
        <f>Table7[[#This Row],[Wserv Res]]^2</f>
        <v>3.5803704750076433</v>
      </c>
      <c r="BO39">
        <f>Regression!$X$10+(Regression!$X$9*Table83[[#This Row],[Water]])</f>
        <v>255.10626599365665</v>
      </c>
      <c r="BP39" s="2">
        <f>Table83[[#This Row],[Weight]]-Table7[[#This Row],[Weight v Water]]</f>
        <v>-2.3062659936566376</v>
      </c>
      <c r="BQ39" s="2">
        <f>Table7[[#This Row],[Wwater Res]]^2</f>
        <v>5.3188628334970378</v>
      </c>
      <c r="BR39">
        <f>Regression!$Y$10+(Regression!$Y$9*Table83[[#This Row],[Fat Calories]])</f>
        <v>254.0194991837563</v>
      </c>
      <c r="BS39" s="2">
        <f>Table83[[#This Row],[Weight]]-Table7[[#This Row],[Weight v Fat Calories]]</f>
        <v>-1.2194991837562839</v>
      </c>
      <c r="BT39" s="2">
        <f>Table7[[#This Row],[WFC Res]]^2</f>
        <v>1.4871782591822427</v>
      </c>
      <c r="BU39">
        <f>Regression!$B$29+(Regression!$B$28*Table83[[#This Row],[Weight]])</f>
        <v>44.138086081724687</v>
      </c>
      <c r="BV39" s="2">
        <f>Table83[[#This Row],[Waist]]-Table7[[#This Row],[Waist v Weight]]</f>
        <v>0.36191391827531305</v>
      </c>
      <c r="BW39" s="2">
        <f>Table7[[#This Row],[WaistW Res]]^2</f>
        <v>0.13098168424138998</v>
      </c>
      <c r="BX39">
        <f>Regression!$C$29+(Regression!$C$28*Table83[[#This Row],[Neck]])</f>
        <v>45.258648648648581</v>
      </c>
      <c r="BY39" s="2">
        <f>Table83[[#This Row],[Waist]]-Table7[[#This Row],[Waist v Neck]]</f>
        <v>-0.75864864864858106</v>
      </c>
      <c r="BZ39" s="2">
        <f>Table7[[#This Row],[WaistN Res]]^2</f>
        <v>0.57554777209631824</v>
      </c>
      <c r="CA39">
        <f>Regression!$D$29+(Regression!$D$28*Table83[[#This Row],[Morning Body Temp]])</f>
        <v>44.400157491229571</v>
      </c>
      <c r="CB39" s="2">
        <f>Table83[[#This Row],[Waist]]-Table7[[#This Row],[Waist v Morning Temp]]</f>
        <v>9.9842508770429106E-2</v>
      </c>
      <c r="CC39" s="2">
        <f>Table7[[#This Row],[WaistMT Res]]^2</f>
        <v>9.9685265575732134E-3</v>
      </c>
      <c r="CD39">
        <f>Regression!$E$29+(Regression!$E$28*Table83[[#This Row],[Morning Systolic Pressure]])</f>
        <v>44.513427158848764</v>
      </c>
      <c r="CE39" s="2">
        <f>Table83[[#This Row],[Waist]]-Table7[[#This Row],[Waist v Morning Sys]]</f>
        <v>-1.3427158848763554E-2</v>
      </c>
      <c r="CF39" s="2">
        <f>Table7[[#This Row],[WaistMS Res]]^2</f>
        <v>1.8028859474992942E-4</v>
      </c>
      <c r="CG39">
        <f>Regression!$F$29+(Regression!$F$28*Table83[[#This Row],[Morning Diastolic Pressure]])</f>
        <v>44.402096082124572</v>
      </c>
      <c r="CH39" s="2">
        <f>Table83[[#This Row],[Waist]]-Table7[[#This Row],[Waist v Morning Dia]]</f>
        <v>9.7903917875427737E-2</v>
      </c>
      <c r="CI39" s="2">
        <f>Table7[[#This Row],[WaistMD Res]]^2</f>
        <v>9.585177135358499E-3</v>
      </c>
      <c r="CJ39">
        <f>Regression!$G$29+(Regression!$G$28*Table83[[#This Row],[Morning Pulse]])</f>
        <v>44.45205769235897</v>
      </c>
      <c r="CK39" s="2">
        <f>Table83[[#This Row],[Waist]]-Table7[[#This Row],[Waist v Morning Pulse]]</f>
        <v>4.7942307641029913E-2</v>
      </c>
      <c r="CL39" s="2">
        <f>Table7[[#This Row],[WaistMP Res]]^2</f>
        <v>2.2984648619471552E-3</v>
      </c>
      <c r="CM39">
        <f>Regression!$H$29+(Regression!$H$28*Table83[[#This Row],[Night Body Temp]])</f>
        <v>44.432760107049404</v>
      </c>
      <c r="CN39" s="2">
        <f>Table83[[#This Row],[Waist]]-Table7[[#This Row],[Waist v Night Temp]]</f>
        <v>6.7239892950595959E-2</v>
      </c>
      <c r="CO39" s="2">
        <f>Table7[[#This Row],[WaistNT Res]]^2</f>
        <v>4.5212032040076039E-3</v>
      </c>
      <c r="CP39">
        <f>Regression!$I$29+(Regression!$I$28*Table83[[#This Row],[Night Systolic Pressure]])</f>
        <v>44.092996457164872</v>
      </c>
      <c r="CQ39" s="2">
        <f>Table83[[#This Row],[Waist]]-Table7[[#This Row],[Waist v  Night Sys]]</f>
        <v>0.40700354283512752</v>
      </c>
      <c r="CR39" s="2">
        <f>Table7[[#This Row],[WaistNS Res]]^2</f>
        <v>0.16565188388034549</v>
      </c>
      <c r="CS39">
        <f>Regression!$J$29+(Regression!$J$28*Table83[[#This Row],[Night Diastolic Pressure]])</f>
        <v>44.563499682398387</v>
      </c>
      <c r="CT39" s="2">
        <f>Table83[[#This Row],[Waist]]-Table7[[#This Row],[Waist v Night Dia]]</f>
        <v>-6.3499682398386881E-2</v>
      </c>
      <c r="CU39" s="2">
        <f>Table7[[#This Row],[WaistND Res]]^2</f>
        <v>4.032209664696005E-3</v>
      </c>
      <c r="CV39">
        <f>Regression!$K$29+(Regression!$K$28*Table83[[#This Row],[Night Pulse]])</f>
        <v>44.385432968480181</v>
      </c>
      <c r="CW39" s="2">
        <f>Table83[[#This Row],[Waist]]-Table7[[#This Row],[Waist v Night Pulse]]</f>
        <v>0.11456703151981884</v>
      </c>
      <c r="CX39" s="2">
        <f>Table7[[#This Row],[WaistNP Res]]^2</f>
        <v>1.3125604711263164E-2</v>
      </c>
      <c r="CY39">
        <f>Regression!$L$29+(Regression!$L$28*Table83[[#This Row],[Sleep]])</f>
        <v>44.312594948871137</v>
      </c>
      <c r="CZ39" s="2">
        <f>Table83[[#This Row],[Waist]]-Table7[[#This Row],[Waist v  Sleep]]</f>
        <v>0.18740505112886297</v>
      </c>
      <c r="DA39" s="2">
        <f>Table7[[#This Row],[WaistS Res]]^2</f>
        <v>3.5120653188611739E-2</v>
      </c>
      <c r="DB39">
        <f>Regression!$M$29+(Regression!$M$28*Table83[[#This Row],[BMI]])</f>
        <v>44.138086081725689</v>
      </c>
      <c r="DC39" s="2">
        <f>Table83[[#This Row],[Waist]]-Table7[[#This Row],[Waist v BMI]]</f>
        <v>0.36191391827431119</v>
      </c>
      <c r="DD39" s="2">
        <f>Table7[[#This Row],[WaistBMI Res]]^2</f>
        <v>0.13098168424066481</v>
      </c>
      <c r="DE39">
        <f>Regression!$N$29+(Regression!$N$28*Table83[[#This Row],[CBF]])</f>
        <v>44.105031770433015</v>
      </c>
      <c r="DF39" s="2">
        <f>Table83[[#This Row],[Waist]]-Table7[[#This Row],[Waist v  CBF]]</f>
        <v>0.39496822956698452</v>
      </c>
      <c r="DG39" s="2">
        <f>Table7[[#This Row],[WaistCBF Res]]^2</f>
        <v>0.15599990236727818</v>
      </c>
      <c r="DH39">
        <f>Regression!$O$29+(Regression!$O$28*Table83[[#This Row],[Gym]])</f>
        <v>44.550847457627107</v>
      </c>
      <c r="DI39" s="2">
        <f>Table83[[#This Row],[Waist]]-Table7[[#This Row],[Waist v  Gym]]</f>
        <v>-5.0847457627106962E-2</v>
      </c>
      <c r="DJ39" s="2">
        <f>Table7[[#This Row],[WaistGYM Res]]^2</f>
        <v>2.5854639471404378E-3</v>
      </c>
      <c r="DK39">
        <f>Regression!$P$29+(Regression!$P$28*Table83[[#This Row],[Cardio]])</f>
        <v>44.680851063829778</v>
      </c>
      <c r="DL39" s="2">
        <f>Table83[[#This Row],[Waist]]-Table7[[#This Row],[Waist v Cardio]]</f>
        <v>-0.18085106382977756</v>
      </c>
      <c r="DM39" s="2">
        <f>Table7[[#This Row],[WaistC Res]]^2</f>
        <v>3.2707107288362278E-2</v>
      </c>
      <c r="DN39">
        <f>Regression!$Q$29+(Regression!$Q$28*Table83[[#This Row],[Calories]])</f>
        <v>43.9195837232459</v>
      </c>
      <c r="DO39" s="2">
        <f>Table83[[#This Row],[Waist]]-Table7[[#This Row],[Waist v Calories]]</f>
        <v>0.58041627675410012</v>
      </c>
      <c r="DP39" s="2">
        <f>Table7[[#This Row],[WaistCal Res]]^2</f>
        <v>0.33688305432109217</v>
      </c>
      <c r="DQ39">
        <f>Regression!$R$29+(Regression!$R$28*Table83[[#This Row],[Carbs]])</f>
        <v>44.118795259919679</v>
      </c>
      <c r="DR39" s="2">
        <f>Table83[[#This Row],[Waist]]-Table7[[#This Row],[Waist v Carbs]]</f>
        <v>0.3812047400803209</v>
      </c>
      <c r="DS39" s="2">
        <f>Table7[[#This Row],[WaistCarb Res]]^2</f>
        <v>0.14531705385970503</v>
      </c>
      <c r="DT39">
        <f>Regression!$S$29+(Regression!$S$28*Table83[[#This Row],[Fat ]])</f>
        <v>44.14026910632127</v>
      </c>
      <c r="DU39" s="2">
        <f>Table83[[#This Row],[Waist]]-Table7[[#This Row],[Waist v Fat]]</f>
        <v>0.35973089367873001</v>
      </c>
      <c r="DV39" s="2">
        <f>Table7[[#This Row],[WaistF Res]]^2</f>
        <v>0.12940631586689777</v>
      </c>
      <c r="DW39">
        <f>Regression!$T$29+(Regression!$T$28*Table83[[#This Row],[Protein]])</f>
        <v>44.192725099956768</v>
      </c>
      <c r="DX39" s="2">
        <f>Table83[[#This Row],[Waist]]-Table7[[#This Row],[Waist v Protein]]</f>
        <v>0.30727490004323244</v>
      </c>
      <c r="DY39" s="2">
        <f>Table7[[#This Row],[WaistP Res]]^2</f>
        <v>9.441786419657848E-2</v>
      </c>
      <c r="DZ39">
        <f>Regression!$U$29+(Regression!$U$28*Table83[[#This Row],[Fiber]])</f>
        <v>44.483857656836413</v>
      </c>
      <c r="EA39" s="2">
        <f>Table83[[#This Row],[Waist]]-Table7[[#This Row],[Waist v Fiber]]</f>
        <v>1.6142343163586759E-2</v>
      </c>
      <c r="EB39" s="2">
        <f>Table7[[#This Row],[WaistFib Res]]^2</f>
        <v>2.6057524281099617E-4</v>
      </c>
      <c r="EC39">
        <f>Regression!$V$29+(Regression!$V$28*Table83[[#This Row],[Sugar]])</f>
        <v>44.144774928632479</v>
      </c>
      <c r="ED39" s="2">
        <f>Table83[[#This Row],[Waist]]-Table7[[#This Row],[Waist v Sugar]]</f>
        <v>0.35522507136752068</v>
      </c>
      <c r="EE39" s="2">
        <f>Table7[[#This Row],[WaistSugar Res]]^2</f>
        <v>0.12618485132806018</v>
      </c>
      <c r="EF39">
        <f>Regression!$W$29+(Regression!$W$28*Table83[[#This Row],[Servings]])</f>
        <v>43.811586474140896</v>
      </c>
      <c r="EG39" s="2">
        <f>Table83[[#This Row],[Waist]]-Table7[[#This Row],[Waist v Servings]]</f>
        <v>0.68841352585910442</v>
      </c>
      <c r="EH39" s="2">
        <f>Table7[[#This Row],[WaistServ Res]]^2</f>
        <v>0.47391318258576381</v>
      </c>
      <c r="EI39">
        <f>Regression!$X$29+(Regression!$X$28*Table83[[#This Row],[Water]])</f>
        <v>44.442082352251923</v>
      </c>
      <c r="EJ39" s="2">
        <f>Table83[[#This Row],[Waist]]-Table7[[#This Row],[Waist v Water]]</f>
        <v>5.7917647748077172E-2</v>
      </c>
      <c r="EK39" s="2">
        <f>Table7[[#This Row],[WaistWat Res]]^2</f>
        <v>3.3544539206703488E-3</v>
      </c>
      <c r="EL39">
        <f>Regression!$Y$29+(Regression!$Y$28*Table83[[#This Row],[Fat Calories]])</f>
        <v>44.120353052781034</v>
      </c>
      <c r="EM39" s="2">
        <f>Table83[[#This Row],[Waist]]-Table7[[#This Row],[Waist v Fat Calories]]</f>
        <v>0.37964694721896564</v>
      </c>
      <c r="EN39" s="2">
        <f>Table7[[#This Row],[WaistFatCal Res]]^2</f>
        <v>0.14413180453268007</v>
      </c>
    </row>
    <row r="40" spans="1:144" x14ac:dyDescent="0.25">
      <c r="A40">
        <f>Regression!$B$10+(Regression!$B$9*Table83[[#This Row],[Waist]])</f>
        <v>258.23421455025004</v>
      </c>
      <c r="B40" s="2">
        <f>Table83[[#This Row],[Weight]]-Table7[[#This Row],[Weight v Waist]]</f>
        <v>-1.2342145502500443</v>
      </c>
      <c r="C40" s="2">
        <f>Table7[[#This Row],[Weight v Waist Res]]^2</f>
        <v>1.5232855560489191</v>
      </c>
      <c r="D40">
        <f>Regression!$C$10+(Regression!$C$9*Table83[[#This Row],[Neck]])</f>
        <v>260.39308108104251</v>
      </c>
      <c r="E40" s="2">
        <f>Table83[[#This Row],[Weight]]-Table7[[#This Row],[Weight v Neck]]</f>
        <v>-3.39308108104251</v>
      </c>
      <c r="F40" s="2">
        <f>Table7[[#This Row],[WN Res]]^2</f>
        <v>11.51299922252861</v>
      </c>
      <c r="G40">
        <f>Regression!$D$10+(Regression!$D$9*Table83[[#This Row],[Morning Body Temp]])</f>
        <v>255.4819577744185</v>
      </c>
      <c r="H40" s="2">
        <f>Table83[[#This Row],[Weight]]-Table7[[#This Row],[Weight v Morning Temp]]</f>
        <v>1.518042225581496</v>
      </c>
      <c r="I40" s="2">
        <f>Table7[[#This Row],[WMT Res]]^2</f>
        <v>2.3044521986484217</v>
      </c>
      <c r="J40">
        <f>Regression!$E$10+(Regression!$E$9*Table83[[#This Row],[Morning Systolic Pressure]])</f>
        <v>254.73886899784827</v>
      </c>
      <c r="K40" s="2">
        <f>Table83[[#This Row],[Weight]]-Table7[[#This Row],[Weight v Morning Sys]]</f>
        <v>2.2611310021517284</v>
      </c>
      <c r="L40" s="2">
        <f>Table7[[#This Row],[WMS Res]]^2</f>
        <v>5.112713408891679</v>
      </c>
      <c r="M40">
        <f>Regression!$F$10+(Regression!$F$9*Table83[[#This Row],[Morning Diastolic Pressure]])</f>
        <v>255.50741689342618</v>
      </c>
      <c r="N40" s="2">
        <f>Table83[[#This Row],[Weight]]-Table7[[#This Row],[Weight v Morning Dia]]</f>
        <v>1.492583106573818</v>
      </c>
      <c r="O40" s="2">
        <f>Table7[[#This Row],[WMD Res]]^2</f>
        <v>2.2278043300295494</v>
      </c>
      <c r="P40">
        <f>Regression!$G$10+(Regression!$G$9*Table83[[#This Row],[Morning Pulse]])</f>
        <v>255.11912848167003</v>
      </c>
      <c r="Q40" s="2">
        <f>Table83[[#This Row],[Weight]]-Table7[[#This Row],[Weight v Morning Pulse]]</f>
        <v>1.8808715183299682</v>
      </c>
      <c r="R40" s="2">
        <f>Table7[[#This Row],[WMP Res]]^2</f>
        <v>3.5376776684648799</v>
      </c>
      <c r="S40">
        <f>Regression!$H$10+(Regression!$H$9*Table83[[#This Row],[Night Body Temp]])</f>
        <v>255.87845238234192</v>
      </c>
      <c r="T40" s="2">
        <f>Table83[[#This Row],[Weight]]-Table7[[#This Row],[Weight v Night Temp]]</f>
        <v>1.1215476176580808</v>
      </c>
      <c r="U40" s="2">
        <f>Table7[[#This Row],[WNT Res]]^2</f>
        <v>1.2578690586745165</v>
      </c>
      <c r="V40">
        <f>Regression!$I$10+(Regression!$I$9*Table83[[#This Row],[Night Systolic Pressure]])</f>
        <v>256.77825390359425</v>
      </c>
      <c r="W40" s="2">
        <f>Table83[[#This Row],[Weight]]-Table7[[#This Row],[Weight v Night Sys]]</f>
        <v>0.22174609640575227</v>
      </c>
      <c r="X40" s="2">
        <f>Table7[[#This Row],[WNS Res]]^2</f>
        <v>4.9171331271189181E-2</v>
      </c>
      <c r="Y40">
        <f>Regression!$J$10+(Regression!$J$9*Table83[[#This Row],[Night Diastolic Pressure]])</f>
        <v>254.8477211637495</v>
      </c>
      <c r="Z40" s="2">
        <f>Table83[[#This Row],[Weight]]-Table7[[#This Row],[Weight v Night Dia]]</f>
        <v>2.1522788362505025</v>
      </c>
      <c r="AA40" s="2">
        <f>Table7[[#This Row],[WND Res]]^2</f>
        <v>4.6323041889718173</v>
      </c>
      <c r="AB40">
        <f>Regression!$K$10+(Regression!$K$9*Table83[[#This Row],[Night Pulse]])</f>
        <v>255.04872519626778</v>
      </c>
      <c r="AC40" s="2">
        <f>Table83[[#This Row],[Weight]]-Table7[[#This Row],[Weight v Night Pulse]]</f>
        <v>1.9512748037322183</v>
      </c>
      <c r="AD40" s="2">
        <f>Table7[[#This Row],[WNP Res ]]^2</f>
        <v>3.8074733596802068</v>
      </c>
      <c r="AE40">
        <f>Regression!$L$10+(Regression!$L$9*Table83[[#This Row],[Sleep]])</f>
        <v>255.76797809412898</v>
      </c>
      <c r="AF40" s="2">
        <f>Table83[[#This Row],[Weight]]-Table7[[#This Row],[Weight v Sleep]]</f>
        <v>1.2320219058710222</v>
      </c>
      <c r="AG40" s="2">
        <f>Table7[[#This Row],[WS Res]]^2</f>
        <v>1.5178779765460659</v>
      </c>
      <c r="AH40">
        <f>Regression!$M$10+(Regression!$M$9*Table83[[#This Row],[BMI]])</f>
        <v>256.99999999999579</v>
      </c>
      <c r="AI40" s="2">
        <f>Table83[[#This Row],[Weight]]-Table7[[#This Row],[Weight v BMI]]</f>
        <v>4.2064129956997931E-12</v>
      </c>
      <c r="AJ40" s="2">
        <f>Table7[[#This Row],[WBMI Res]]^2</f>
        <v>1.7693910290392108E-23</v>
      </c>
      <c r="AK40">
        <f>Regression!$N$10+(Regression!$N$9*Table83[[#This Row],[CBF]])</f>
        <v>256.25609762651322</v>
      </c>
      <c r="AL40" s="2">
        <f>Table83[[#This Row],[Weight]]-Table7[[#This Row],[Weight v CBF]]</f>
        <v>0.74390237348677601</v>
      </c>
      <c r="AM40" s="2">
        <f>Table7[[#This Row],[WCBF Res]]^2</f>
        <v>0.5533907412792588</v>
      </c>
      <c r="AN40">
        <f>Regression!$O$10+(Regression!$O$9*Table83[[#This Row],[Gym]])</f>
        <v>254.72962962962998</v>
      </c>
      <c r="AO40" s="2">
        <f>Table83[[#This Row],[Weight]]-Table7[[#This Row],[Weight v Gym]]</f>
        <v>2.2703703703700171</v>
      </c>
      <c r="AP40" s="2">
        <f>Table7[[#This Row],[WG Res]]^2</f>
        <v>5.1545816186540883</v>
      </c>
      <c r="AQ40">
        <f>Regression!$P$10+(Regression!$P$9*Table83[[#This Row],[Cardio]])</f>
        <v>254.19242424242461</v>
      </c>
      <c r="AR40" s="2">
        <f>Table83[[#This Row],[Weight]]-Table7[[#This Row],[Weight v Cardio]]</f>
        <v>2.8075757575753926</v>
      </c>
      <c r="AS40" s="2">
        <f>Table7[[#This Row],[WC Res]]^2</f>
        <v>7.8824816345250399</v>
      </c>
      <c r="AT40">
        <f>Regression!$Q$10+(Regression!$Q$9*Table83[[#This Row],[Calories]])</f>
        <v>254.16206260332424</v>
      </c>
      <c r="AU40" s="2">
        <f>Table83[[#This Row],[Weight]]-Table7[[#This Row],[Weight v Calories]]</f>
        <v>2.8379373966757555</v>
      </c>
      <c r="AV40" s="2">
        <f>Table7[[#This Row],[WCAL Res]]^2</f>
        <v>8.0538886674507637</v>
      </c>
      <c r="AW40">
        <f>Regression!$R$10+(Regression!$R$9*Table83[[#This Row],[Carbs]])</f>
        <v>254.40912318301403</v>
      </c>
      <c r="AX40" s="2">
        <f>Table83[[#This Row],[Weight]]-Table7[[#This Row],[Weight v Carbs]]</f>
        <v>2.5908768169859684</v>
      </c>
      <c r="AY40" s="2">
        <f>Table7[[#This Row],[Wcarb Res]]^2</f>
        <v>6.7126426807953434</v>
      </c>
      <c r="AZ40">
        <f>Regression!$S$10+(Regression!$S$9*Table83[[#This Row],[Fat ]])</f>
        <v>254.34533315153311</v>
      </c>
      <c r="BA40" s="2">
        <f>Table83[[#This Row],[Weight]]-Table7[[#This Row],[Weight v Fat]]</f>
        <v>2.6546668484668885</v>
      </c>
      <c r="BB40" s="2">
        <f>Table7[[#This Row],[WF Res]]^2</f>
        <v>7.0472560763491217</v>
      </c>
      <c r="BC40">
        <f>Regression!$T$10+(Regression!$T$9*Table83[[#This Row],[Protein]])</f>
        <v>253.88055930322065</v>
      </c>
      <c r="BD40" s="2">
        <f>Table83[[#This Row],[Weight]]-Table7[[#This Row],[Weight v Protein]]</f>
        <v>3.1194406967793498</v>
      </c>
      <c r="BE40" s="2">
        <f>Table7[[#This Row],[WP Res]]^2</f>
        <v>9.7309102607232347</v>
      </c>
      <c r="BF40">
        <f>Regression!$U$10+(Regression!$U$9*Table83[[#This Row],[Fiber]])</f>
        <v>255.07367769716285</v>
      </c>
      <c r="BG40" s="2">
        <f>Table83[[#This Row],[Weight]]-Table7[[#This Row],[Weight v Fiber]]</f>
        <v>1.9263223028371499</v>
      </c>
      <c r="BH40" s="2">
        <f>Table7[[#This Row],[Wfib Res]]^2</f>
        <v>3.71071761440782</v>
      </c>
      <c r="BI40">
        <f>Regression!$V$10+(Regression!$V$9*Table83[[#This Row],[Sugar]])</f>
        <v>255.02221465911637</v>
      </c>
      <c r="BJ40" s="2">
        <f>Table83[[#This Row],[Weight]]-Table7[[#This Row],[Weight v Sugar]]</f>
        <v>1.9777853408836279</v>
      </c>
      <c r="BK40" s="2">
        <f>Table7[[#This Row],[Wsugar Res]]^2</f>
        <v>3.9116348546141682</v>
      </c>
      <c r="BL40">
        <f>Regression!$W$10+(Regression!$W$9*Table83[[#This Row],[Servings]])</f>
        <v>254.34805292067642</v>
      </c>
      <c r="BM40" s="2">
        <f>Table83[[#This Row],[Weight]]-Table7[[#This Row],[Weight v Servings]]</f>
        <v>2.6519470793235769</v>
      </c>
      <c r="BN40" s="2">
        <f>Table7[[#This Row],[Wserv Res]]^2</f>
        <v>7.0328233115328498</v>
      </c>
      <c r="BO40">
        <f>Regression!$X$10+(Regression!$X$9*Table83[[#This Row],[Water]])</f>
        <v>255.19189796045953</v>
      </c>
      <c r="BP40" s="2">
        <f>Table83[[#This Row],[Weight]]-Table7[[#This Row],[Weight v Water]]</f>
        <v>1.8081020395404721</v>
      </c>
      <c r="BQ40" s="2">
        <f>Table7[[#This Row],[Wwater Res]]^2</f>
        <v>3.2692329853904147</v>
      </c>
      <c r="BR40">
        <f>Regression!$Y$10+(Regression!$Y$9*Table83[[#This Row],[Fat Calories]])</f>
        <v>255.33963217024723</v>
      </c>
      <c r="BS40" s="2">
        <f>Table83[[#This Row],[Weight]]-Table7[[#This Row],[Weight v Fat Calories]]</f>
        <v>1.6603678297527722</v>
      </c>
      <c r="BT40" s="2">
        <f>Table7[[#This Row],[WFC Res]]^2</f>
        <v>2.7568213300779307</v>
      </c>
      <c r="BU40">
        <f>Regression!$B$29+(Regression!$B$28*Table83[[#This Row],[Weight]])</f>
        <v>44.710388626118615</v>
      </c>
      <c r="BV40" s="2">
        <f>Table83[[#This Row],[Waist]]-Table7[[#This Row],[Waist v Weight]]</f>
        <v>0.28961137388138525</v>
      </c>
      <c r="BW40" s="2">
        <f>Table7[[#This Row],[WaistW Res]]^2</f>
        <v>8.3874747881463513E-2</v>
      </c>
      <c r="BX40">
        <f>Regression!$C$29+(Regression!$C$28*Table83[[#This Row],[Neck]])</f>
        <v>45.258648648648581</v>
      </c>
      <c r="BY40" s="2">
        <f>Table83[[#This Row],[Waist]]-Table7[[#This Row],[Waist v Neck]]</f>
        <v>-0.25864864864858106</v>
      </c>
      <c r="BZ40" s="2">
        <f>Table7[[#This Row],[WaistN Res]]^2</f>
        <v>6.689912344773713E-2</v>
      </c>
      <c r="CA40">
        <f>Regression!$D$29+(Regression!$D$28*Table83[[#This Row],[Morning Body Temp]])</f>
        <v>44.553331996636587</v>
      </c>
      <c r="CB40" s="2">
        <f>Table83[[#This Row],[Waist]]-Table7[[#This Row],[Waist v Morning Temp]]</f>
        <v>0.44666800336341339</v>
      </c>
      <c r="CC40" s="2">
        <f>Table7[[#This Row],[WaistMT Res]]^2</f>
        <v>0.19951230522865829</v>
      </c>
      <c r="CD40">
        <f>Regression!$E$29+(Regression!$E$28*Table83[[#This Row],[Morning Systolic Pressure]])</f>
        <v>44.365161485454784</v>
      </c>
      <c r="CE40" s="2">
        <f>Table83[[#This Row],[Waist]]-Table7[[#This Row],[Waist v Morning Sys]]</f>
        <v>0.63483851454521556</v>
      </c>
      <c r="CF40" s="2">
        <f>Table7[[#This Row],[WaistMS Res]]^2</f>
        <v>0.40301993954997589</v>
      </c>
      <c r="CG40">
        <f>Regression!$F$29+(Regression!$F$28*Table83[[#This Row],[Morning Diastolic Pressure]])</f>
        <v>44.475359150819678</v>
      </c>
      <c r="CH40" s="2">
        <f>Table83[[#This Row],[Waist]]-Table7[[#This Row],[Waist v Morning Dia]]</f>
        <v>0.52464084918032228</v>
      </c>
      <c r="CI40" s="2">
        <f>Table7[[#This Row],[WaistMD Res]]^2</f>
        <v>0.27524802062864967</v>
      </c>
      <c r="CJ40">
        <f>Regression!$G$29+(Regression!$G$28*Table83[[#This Row],[Morning Pulse]])</f>
        <v>44.455415702653426</v>
      </c>
      <c r="CK40" s="2">
        <f>Table83[[#This Row],[Waist]]-Table7[[#This Row],[Waist v Morning Pulse]]</f>
        <v>0.54458429734657443</v>
      </c>
      <c r="CL40" s="2">
        <f>Table7[[#This Row],[WaistMP Res]]^2</f>
        <v>0.29657205691646221</v>
      </c>
      <c r="CM40">
        <f>Regression!$H$29+(Regression!$H$28*Table83[[#This Row],[Night Body Temp]])</f>
        <v>44.513729345098263</v>
      </c>
      <c r="CN40" s="2">
        <f>Table83[[#This Row],[Waist]]-Table7[[#This Row],[Waist v Night Temp]]</f>
        <v>0.48627065490173749</v>
      </c>
      <c r="CO40" s="2">
        <f>Table7[[#This Row],[WaistNT Res]]^2</f>
        <v>0.23645914981856467</v>
      </c>
      <c r="CP40">
        <f>Regression!$I$29+(Regression!$I$28*Table83[[#This Row],[Night Systolic Pressure]])</f>
        <v>44.689141144515027</v>
      </c>
      <c r="CQ40" s="2">
        <f>Table83[[#This Row],[Waist]]-Table7[[#This Row],[Waist v  Night Sys]]</f>
        <v>0.31085885548497316</v>
      </c>
      <c r="CR40" s="2">
        <f>Table7[[#This Row],[WaistNS Res]]^2</f>
        <v>9.6633228033427429E-2</v>
      </c>
      <c r="CS40">
        <f>Regression!$J$29+(Regression!$J$28*Table83[[#This Row],[Night Diastolic Pressure]])</f>
        <v>44.341616394701639</v>
      </c>
      <c r="CT40" s="2">
        <f>Table83[[#This Row],[Waist]]-Table7[[#This Row],[Waist v Night Dia]]</f>
        <v>0.65838360529836137</v>
      </c>
      <c r="CU40" s="2">
        <f>Table7[[#This Row],[WaistND Res]]^2</f>
        <v>0.43346897172566851</v>
      </c>
      <c r="CV40">
        <f>Regression!$K$29+(Regression!$K$28*Table83[[#This Row],[Night Pulse]])</f>
        <v>44.459708372565267</v>
      </c>
      <c r="CW40" s="2">
        <f>Table83[[#This Row],[Waist]]-Table7[[#This Row],[Waist v Night Pulse]]</f>
        <v>0.54029162743473336</v>
      </c>
      <c r="CX40" s="2">
        <f>Table7[[#This Row],[WaistNP Res]]^2</f>
        <v>0.29191504267607271</v>
      </c>
      <c r="CY40">
        <f>Regression!$L$29+(Regression!$L$28*Table83[[#This Row],[Sleep]])</f>
        <v>44.553089788849412</v>
      </c>
      <c r="CZ40" s="2">
        <f>Table83[[#This Row],[Waist]]-Table7[[#This Row],[Waist v  Sleep]]</f>
        <v>0.4469102111505876</v>
      </c>
      <c r="DA40" s="2">
        <f>Table7[[#This Row],[WaistS Res]]^2</f>
        <v>0.19972873683066281</v>
      </c>
      <c r="DB40">
        <f>Regression!$M$29+(Regression!$M$28*Table83[[#This Row],[BMI]])</f>
        <v>44.710388626117791</v>
      </c>
      <c r="DC40" s="2">
        <f>Table83[[#This Row],[Waist]]-Table7[[#This Row],[Waist v BMI]]</f>
        <v>0.28961137388220948</v>
      </c>
      <c r="DD40" s="2">
        <f>Table7[[#This Row],[WaistBMI Res]]^2</f>
        <v>8.3874747881940923E-2</v>
      </c>
      <c r="DE40">
        <f>Regression!$N$29+(Regression!$N$28*Table83[[#This Row],[CBF]])</f>
        <v>44.659010290127611</v>
      </c>
      <c r="DF40" s="2">
        <f>Table83[[#This Row],[Waist]]-Table7[[#This Row],[Waist v  CBF]]</f>
        <v>0.34098970987238886</v>
      </c>
      <c r="DG40" s="2">
        <f>Table7[[#This Row],[WaistCBF Res]]^2</f>
        <v>0.11627398223885593</v>
      </c>
      <c r="DH40">
        <f>Regression!$O$29+(Regression!$O$28*Table83[[#This Row],[Gym]])</f>
        <v>44.347222222222221</v>
      </c>
      <c r="DI40" s="2">
        <f>Table83[[#This Row],[Waist]]-Table7[[#This Row],[Waist v  Gym]]</f>
        <v>0.65277777777777857</v>
      </c>
      <c r="DJ40" s="2">
        <f>Table7[[#This Row],[WaistGYM Res]]^2</f>
        <v>0.42611882716049487</v>
      </c>
      <c r="DK40">
        <f>Regression!$P$29+(Regression!$P$28*Table83[[#This Row],[Cardio]])</f>
        <v>44.291666666666664</v>
      </c>
      <c r="DL40" s="2">
        <f>Table83[[#This Row],[Waist]]-Table7[[#This Row],[Waist v Cardio]]</f>
        <v>0.7083333333333357</v>
      </c>
      <c r="DM40" s="2">
        <f>Table7[[#This Row],[WaistC Res]]^2</f>
        <v>0.50173611111111449</v>
      </c>
      <c r="DN40">
        <f>Regression!$Q$29+(Regression!$Q$28*Table83[[#This Row],[Calories]])</f>
        <v>44.239425984309499</v>
      </c>
      <c r="DO40" s="2">
        <f>Table83[[#This Row],[Waist]]-Table7[[#This Row],[Waist v Calories]]</f>
        <v>0.76057401569050143</v>
      </c>
      <c r="DP40" s="2">
        <f>Table7[[#This Row],[WaistCal Res]]^2</f>
        <v>0.57847283334357513</v>
      </c>
      <c r="DQ40">
        <f>Regression!$R$29+(Regression!$R$28*Table83[[#This Row],[Carbs]])</f>
        <v>44.306571380213917</v>
      </c>
      <c r="DR40" s="2">
        <f>Table83[[#This Row],[Waist]]-Table7[[#This Row],[Waist v Carbs]]</f>
        <v>0.69342861978608283</v>
      </c>
      <c r="DS40" s="2">
        <f>Table7[[#This Row],[WaistCarb Res]]^2</f>
        <v>0.48084325073843182</v>
      </c>
      <c r="DT40">
        <f>Regression!$S$29+(Regression!$S$28*Table83[[#This Row],[Fat ]])</f>
        <v>44.218255430056672</v>
      </c>
      <c r="DU40" s="2">
        <f>Table83[[#This Row],[Waist]]-Table7[[#This Row],[Waist v Fat]]</f>
        <v>0.78174456994332786</v>
      </c>
      <c r="DV40" s="2">
        <f>Table7[[#This Row],[WaistF Res]]^2</f>
        <v>0.6111245726358786</v>
      </c>
      <c r="DW40">
        <f>Regression!$T$29+(Regression!$T$28*Table83[[#This Row],[Protein]])</f>
        <v>44.227583221417703</v>
      </c>
      <c r="DX40" s="2">
        <f>Table83[[#This Row],[Waist]]-Table7[[#This Row],[Waist v Protein]]</f>
        <v>0.77241677858229707</v>
      </c>
      <c r="DY40" s="2">
        <f>Table7[[#This Row],[WaistP Res]]^2</f>
        <v>0.59662767983545328</v>
      </c>
      <c r="DZ40">
        <f>Regression!$U$29+(Regression!$U$28*Table83[[#This Row],[Fiber]])</f>
        <v>44.43757812775381</v>
      </c>
      <c r="EA40" s="2">
        <f>Table83[[#This Row],[Waist]]-Table7[[#This Row],[Waist v Fiber]]</f>
        <v>0.56242187224619045</v>
      </c>
      <c r="EB40" s="2">
        <f>Table7[[#This Row],[WaistFib Res]]^2</f>
        <v>0.31631836238091016</v>
      </c>
      <c r="EC40">
        <f>Regression!$V$29+(Regression!$V$28*Table83[[#This Row],[Sugar]])</f>
        <v>44.436864022734923</v>
      </c>
      <c r="ED40" s="2">
        <f>Table83[[#This Row],[Waist]]-Table7[[#This Row],[Waist v Sugar]]</f>
        <v>0.5631359772650768</v>
      </c>
      <c r="EE40" s="2">
        <f>Table7[[#This Row],[WaistSugar Res]]^2</f>
        <v>0.31712212889029312</v>
      </c>
      <c r="EF40">
        <f>Regression!$W$29+(Regression!$W$28*Table83[[#This Row],[Servings]])</f>
        <v>44.336509724563598</v>
      </c>
      <c r="EG40" s="2">
        <f>Table83[[#This Row],[Waist]]-Table7[[#This Row],[Waist v Servings]]</f>
        <v>0.66349027543640204</v>
      </c>
      <c r="EH40" s="2">
        <f>Table7[[#This Row],[WaistServ Res]]^2</f>
        <v>0.44021934559867265</v>
      </c>
      <c r="EI40">
        <f>Regression!$X$29+(Regression!$X$28*Table83[[#This Row],[Water]])</f>
        <v>44.553850107074496</v>
      </c>
      <c r="EJ40" s="2">
        <f>Table83[[#This Row],[Waist]]-Table7[[#This Row],[Waist v Water]]</f>
        <v>0.44614989292550433</v>
      </c>
      <c r="EK40" s="2">
        <f>Table7[[#This Row],[WaistWat Res]]^2</f>
        <v>0.19904972695743897</v>
      </c>
      <c r="EL40">
        <f>Regression!$Y$29+(Regression!$Y$28*Table83[[#This Row],[Fat Calories]])</f>
        <v>44.521843471095274</v>
      </c>
      <c r="EM40" s="2">
        <f>Table83[[#This Row],[Waist]]-Table7[[#This Row],[Waist v Fat Calories]]</f>
        <v>0.47815652890472649</v>
      </c>
      <c r="EN40" s="2">
        <f>Table7[[#This Row],[WaistFatCal Res]]^2</f>
        <v>0.22863366613421654</v>
      </c>
    </row>
    <row r="41" spans="1:144" x14ac:dyDescent="0.25">
      <c r="A41">
        <f>Regression!$B$10+(Regression!$B$9*Table83[[#This Row],[Waist]])</f>
        <v>258.23421455025004</v>
      </c>
      <c r="B41" s="2">
        <f>Table83[[#This Row],[Weight]]-Table7[[#This Row],[Weight v Waist]]</f>
        <v>2.9657854497499443</v>
      </c>
      <c r="C41" s="2">
        <f>Table7[[#This Row],[Weight v Waist Res]]^2</f>
        <v>8.7958833339484794</v>
      </c>
      <c r="D41">
        <f>Regression!$C$10+(Regression!$C$9*Table83[[#This Row],[Neck]])</f>
        <v>260.39308108104251</v>
      </c>
      <c r="E41" s="2">
        <f>Table83[[#This Row],[Weight]]-Table7[[#This Row],[Weight v Neck]]</f>
        <v>0.80691891895747858</v>
      </c>
      <c r="F41" s="2">
        <f>Table7[[#This Row],[WN Res]]^2</f>
        <v>0.65111814177150584</v>
      </c>
      <c r="G41">
        <f>Regression!$D$10+(Regression!$D$9*Table83[[#This Row],[Morning Body Temp]])</f>
        <v>255.41155922019615</v>
      </c>
      <c r="H41" s="2">
        <f>Table83[[#This Row],[Weight]]-Table7[[#This Row],[Weight v Morning Temp]]</f>
        <v>5.7884407798038353</v>
      </c>
      <c r="I41" s="2">
        <f>Table7[[#This Row],[WMT Res]]^2</f>
        <v>33.506046661296033</v>
      </c>
      <c r="J41">
        <f>Regression!$E$10+(Regression!$E$9*Table83[[#This Row],[Morning Systolic Pressure]])</f>
        <v>254.33317416307781</v>
      </c>
      <c r="K41" s="2">
        <f>Table83[[#This Row],[Weight]]-Table7[[#This Row],[Weight v Morning Sys]]</f>
        <v>6.8668258369221746</v>
      </c>
      <c r="L41" s="2">
        <f>Table7[[#This Row],[WMS Res]]^2</f>
        <v>47.153297074621925</v>
      </c>
      <c r="M41">
        <f>Regression!$F$10+(Regression!$F$9*Table83[[#This Row],[Morning Diastolic Pressure]])</f>
        <v>256.31817088578521</v>
      </c>
      <c r="N41" s="2">
        <f>Table83[[#This Row],[Weight]]-Table7[[#This Row],[Weight v Morning Dia]]</f>
        <v>4.8818291142147814</v>
      </c>
      <c r="O41" s="2">
        <f>Table7[[#This Row],[WMD Res]]^2</f>
        <v>23.832255500395078</v>
      </c>
      <c r="P41">
        <f>Regression!$G$10+(Regression!$G$9*Table83[[#This Row],[Morning Pulse]])</f>
        <v>255.10633391136972</v>
      </c>
      <c r="Q41" s="2">
        <f>Table83[[#This Row],[Weight]]-Table7[[#This Row],[Weight v Morning Pulse]]</f>
        <v>6.0936660886302718</v>
      </c>
      <c r="R41" s="2">
        <f>Table7[[#This Row],[WMP Res]]^2</f>
        <v>37.132766399722556</v>
      </c>
      <c r="S41">
        <f>Regression!$H$10+(Regression!$H$9*Table83[[#This Row],[Night Body Temp]])</f>
        <v>255.87845238234192</v>
      </c>
      <c r="T41" s="2">
        <f>Table83[[#This Row],[Weight]]-Table7[[#This Row],[Weight v Night Temp]]</f>
        <v>5.3215476176580694</v>
      </c>
      <c r="U41" s="2">
        <f>Table7[[#This Row],[WNT Res]]^2</f>
        <v>28.318869047002273</v>
      </c>
      <c r="V41">
        <f>Regression!$I$10+(Regression!$I$9*Table83[[#This Row],[Night Systolic Pressure]])</f>
        <v>254.52006755496794</v>
      </c>
      <c r="W41" s="2">
        <f>Table83[[#This Row],[Weight]]-Table7[[#This Row],[Weight v Night Sys]]</f>
        <v>6.6799324450320512</v>
      </c>
      <c r="X41" s="2">
        <f>Table7[[#This Row],[WNS Res]]^2</f>
        <v>44.621497470191876</v>
      </c>
      <c r="Y41">
        <f>Regression!$J$10+(Regression!$J$9*Table83[[#This Row],[Night Diastolic Pressure]])</f>
        <v>254.8477211637495</v>
      </c>
      <c r="Z41" s="2">
        <f>Table83[[#This Row],[Weight]]-Table7[[#This Row],[Weight v Night Dia]]</f>
        <v>6.3522788362504912</v>
      </c>
      <c r="AA41" s="2">
        <f>Table7[[#This Row],[WND Res]]^2</f>
        <v>40.351446413475891</v>
      </c>
      <c r="AB41">
        <f>Regression!$K$10+(Regression!$K$9*Table83[[#This Row],[Night Pulse]])</f>
        <v>255.38657183987178</v>
      </c>
      <c r="AC41" s="2">
        <f>Table83[[#This Row],[Weight]]-Table7[[#This Row],[Weight v Night Pulse]]</f>
        <v>5.8134281601282112</v>
      </c>
      <c r="AD41" s="2">
        <f>Table7[[#This Row],[WNP Res ]]^2</f>
        <v>33.795946972971677</v>
      </c>
      <c r="AE41">
        <f>Regression!$L$10+(Regression!$L$9*Table83[[#This Row],[Sleep]])</f>
        <v>255.76797809412898</v>
      </c>
      <c r="AF41" s="2">
        <f>Table83[[#This Row],[Weight]]-Table7[[#This Row],[Weight v Sleep]]</f>
        <v>5.4320219058710109</v>
      </c>
      <c r="AG41" s="2">
        <f>Table7[[#This Row],[WS Res]]^2</f>
        <v>29.506861985862528</v>
      </c>
      <c r="AH41">
        <f>Regression!$M$10+(Regression!$M$9*Table83[[#This Row],[BMI]])</f>
        <v>261.1999999999864</v>
      </c>
      <c r="AI41" s="2">
        <f>Table83[[#This Row],[Weight]]-Table7[[#This Row],[Weight v BMI]]</f>
        <v>1.3585577107733116E-11</v>
      </c>
      <c r="AJ41" s="2">
        <f>Table7[[#This Row],[WBMI Res]]^2</f>
        <v>1.8456790535016209E-22</v>
      </c>
      <c r="AK41">
        <f>Regression!$N$10+(Regression!$N$9*Table83[[#This Row],[CBF]])</f>
        <v>256.25609762651322</v>
      </c>
      <c r="AL41" s="2">
        <f>Table83[[#This Row],[Weight]]-Table7[[#This Row],[Weight v CBF]]</f>
        <v>4.9439023734867646</v>
      </c>
      <c r="AM41" s="2">
        <f>Table7[[#This Row],[WCBF Res]]^2</f>
        <v>24.442170678568065</v>
      </c>
      <c r="AN41">
        <f>Regression!$O$10+(Regression!$O$9*Table83[[#This Row],[Gym]])</f>
        <v>254.72962962962998</v>
      </c>
      <c r="AO41" s="2">
        <f>Table83[[#This Row],[Weight]]-Table7[[#This Row],[Weight v Gym]]</f>
        <v>6.4703703703700057</v>
      </c>
      <c r="AP41" s="2">
        <f>Table7[[#This Row],[WG Res]]^2</f>
        <v>41.865692729762088</v>
      </c>
      <c r="AQ41">
        <f>Regression!$P$10+(Regression!$P$9*Table83[[#This Row],[Cardio]])</f>
        <v>254.19242424242461</v>
      </c>
      <c r="AR41" s="2">
        <f>Table83[[#This Row],[Weight]]-Table7[[#This Row],[Weight v Cardio]]</f>
        <v>7.0075757575753812</v>
      </c>
      <c r="AS41" s="2">
        <f>Table7[[#This Row],[WC Res]]^2</f>
        <v>49.106117998158176</v>
      </c>
      <c r="AT41">
        <f>Regression!$Q$10+(Regression!$Q$9*Table83[[#This Row],[Calories]])</f>
        <v>254.56914423715662</v>
      </c>
      <c r="AU41" s="2">
        <f>Table83[[#This Row],[Weight]]-Table7[[#This Row],[Weight v Calories]]</f>
        <v>6.6308557628433675</v>
      </c>
      <c r="AV41" s="2">
        <f>Table7[[#This Row],[WCAL Res]]^2</f>
        <v>43.968248147633098</v>
      </c>
      <c r="AW41">
        <f>Regression!$R$10+(Regression!$R$9*Table83[[#This Row],[Carbs]])</f>
        <v>254.56550161466546</v>
      </c>
      <c r="AX41" s="2">
        <f>Table83[[#This Row],[Weight]]-Table7[[#This Row],[Weight v Carbs]]</f>
        <v>6.6344983853345241</v>
      </c>
      <c r="AY41" s="2">
        <f>Table7[[#This Row],[Wcarb Res]]^2</f>
        <v>44.016568825006409</v>
      </c>
      <c r="AZ41">
        <f>Regression!$S$10+(Regression!$S$9*Table83[[#This Row],[Fat ]])</f>
        <v>254.75701901311714</v>
      </c>
      <c r="BA41" s="2">
        <f>Table83[[#This Row],[Weight]]-Table7[[#This Row],[Weight v Fat]]</f>
        <v>6.4429809868828443</v>
      </c>
      <c r="BB41" s="2">
        <f>Table7[[#This Row],[WF Res]]^2</f>
        <v>41.512003997333828</v>
      </c>
      <c r="BC41">
        <f>Regression!$T$10+(Regression!$T$9*Table83[[#This Row],[Protein]])</f>
        <v>254.55322452434211</v>
      </c>
      <c r="BD41" s="2">
        <f>Table83[[#This Row],[Weight]]-Table7[[#This Row],[Weight v Protein]]</f>
        <v>6.6467754756578756</v>
      </c>
      <c r="BE41" s="2">
        <f>Table7[[#This Row],[WP Res]]^2</f>
        <v>44.179624223806982</v>
      </c>
      <c r="BF41">
        <f>Regression!$U$10+(Regression!$U$9*Table83[[#This Row],[Fiber]])</f>
        <v>255.49141280474757</v>
      </c>
      <c r="BG41" s="2">
        <f>Table83[[#This Row],[Weight]]-Table7[[#This Row],[Weight v Fiber]]</f>
        <v>5.7085871952524201</v>
      </c>
      <c r="BH41" s="2">
        <f>Table7[[#This Row],[Wfib Res]]^2</f>
        <v>32.587967765799895</v>
      </c>
      <c r="BI41">
        <f>Regression!$V$10+(Regression!$V$9*Table83[[#This Row],[Sugar]])</f>
        <v>254.49340282209712</v>
      </c>
      <c r="BJ41" s="2">
        <f>Table83[[#This Row],[Weight]]-Table7[[#This Row],[Weight v Sugar]]</f>
        <v>6.7065971779028644</v>
      </c>
      <c r="BK41" s="2">
        <f>Table7[[#This Row],[Wsugar Res]]^2</f>
        <v>44.978445706654668</v>
      </c>
      <c r="BL41">
        <f>Regression!$W$10+(Regression!$W$9*Table83[[#This Row],[Servings]])</f>
        <v>254.29071559380895</v>
      </c>
      <c r="BM41" s="2">
        <f>Table83[[#This Row],[Weight]]-Table7[[#This Row],[Weight v Servings]]</f>
        <v>6.9092844061910341</v>
      </c>
      <c r="BN41" s="2">
        <f>Table7[[#This Row],[Wserv Res]]^2</f>
        <v>47.738211005634589</v>
      </c>
      <c r="BO41">
        <f>Regression!$X$10+(Regression!$X$9*Table83[[#This Row],[Water]])</f>
        <v>255.0206340268538</v>
      </c>
      <c r="BP41" s="2">
        <f>Table83[[#This Row],[Weight]]-Table7[[#This Row],[Weight v Water]]</f>
        <v>6.1793659731461901</v>
      </c>
      <c r="BQ41" s="2">
        <f>Table7[[#This Row],[Wwater Res]]^2</f>
        <v>38.184563830076961</v>
      </c>
      <c r="BR41">
        <f>Regression!$Y$10+(Regression!$Y$9*Table83[[#This Row],[Fat Calories]])</f>
        <v>254.72915372530861</v>
      </c>
      <c r="BS41" s="2">
        <f>Table83[[#This Row],[Weight]]-Table7[[#This Row],[Weight v Fat Calories]]</f>
        <v>6.4708462746913824</v>
      </c>
      <c r="BT41" s="2">
        <f>Table7[[#This Row],[WFC Res]]^2</f>
        <v>41.871851510687343</v>
      </c>
      <c r="BU41">
        <f>Regression!$B$29+(Regression!$B$28*Table83[[#This Row],[Weight]])</f>
        <v>45.282691170512535</v>
      </c>
      <c r="BV41" s="2">
        <f>Table83[[#This Row],[Waist]]-Table7[[#This Row],[Waist v Weight]]</f>
        <v>-0.28269117051253545</v>
      </c>
      <c r="BW41" s="2">
        <f>Table7[[#This Row],[WaistW Res]]^2</f>
        <v>7.9914297885747387E-2</v>
      </c>
      <c r="BX41">
        <f>Regression!$C$29+(Regression!$C$28*Table83[[#This Row],[Neck]])</f>
        <v>45.258648648648581</v>
      </c>
      <c r="BY41" s="2">
        <f>Table83[[#This Row],[Waist]]-Table7[[#This Row],[Waist v Neck]]</f>
        <v>-0.25864864864858106</v>
      </c>
      <c r="BZ41" s="2">
        <f>Table7[[#This Row],[WaistN Res]]^2</f>
        <v>6.689912344773713E-2</v>
      </c>
      <c r="CA41">
        <f>Regression!$D$29+(Regression!$D$28*Table83[[#This Row],[Morning Body Temp]])</f>
        <v>44.534185183460714</v>
      </c>
      <c r="CB41" s="2">
        <f>Table83[[#This Row],[Waist]]-Table7[[#This Row],[Waist v Morning Temp]]</f>
        <v>0.46581481653928591</v>
      </c>
      <c r="CC41" s="2">
        <f>Table7[[#This Row],[WaistMT Res]]^2</f>
        <v>0.21698344330752858</v>
      </c>
      <c r="CD41">
        <f>Regression!$E$29+(Regression!$E$28*Table83[[#This Row],[Morning Systolic Pressure]])</f>
        <v>44.269847838272945</v>
      </c>
      <c r="CE41" s="2">
        <f>Table83[[#This Row],[Waist]]-Table7[[#This Row],[Waist v Morning Sys]]</f>
        <v>0.73015216172705522</v>
      </c>
      <c r="CF41" s="2">
        <f>Table7[[#This Row],[WaistMS Res]]^2</f>
        <v>0.53312217927469174</v>
      </c>
      <c r="CG41">
        <f>Regression!$F$29+(Regression!$F$28*Table83[[#This Row],[Morning Diastolic Pressure]])</f>
        <v>44.520444116170509</v>
      </c>
      <c r="CH41" s="2">
        <f>Table83[[#This Row],[Waist]]-Table7[[#This Row],[Waist v Morning Dia]]</f>
        <v>0.47955588382949088</v>
      </c>
      <c r="CI41" s="2">
        <f>Table7[[#This Row],[WaistMD Res]]^2</f>
        <v>0.22997384571548415</v>
      </c>
      <c r="CJ41">
        <f>Regression!$G$29+(Regression!$G$28*Table83[[#This Row],[Morning Pulse]])</f>
        <v>44.449539184638127</v>
      </c>
      <c r="CK41" s="2">
        <f>Table83[[#This Row],[Waist]]-Table7[[#This Row],[Waist v Morning Pulse]]</f>
        <v>0.5504608153618733</v>
      </c>
      <c r="CL41" s="2">
        <f>Table7[[#This Row],[WaistMP Res]]^2</f>
        <v>0.30300710924885838</v>
      </c>
      <c r="CM41">
        <f>Regression!$H$29+(Regression!$H$28*Table83[[#This Row],[Night Body Temp]])</f>
        <v>44.513729345098263</v>
      </c>
      <c r="CN41" s="2">
        <f>Table83[[#This Row],[Waist]]-Table7[[#This Row],[Waist v Night Temp]]</f>
        <v>0.48627065490173749</v>
      </c>
      <c r="CO41" s="2">
        <f>Table7[[#This Row],[WaistNT Res]]^2</f>
        <v>0.23645914981856467</v>
      </c>
      <c r="CP41">
        <f>Regression!$I$29+(Regression!$I$28*Table83[[#This Row],[Night Systolic Pressure]])</f>
        <v>44.369258629351535</v>
      </c>
      <c r="CQ41" s="2">
        <f>Table83[[#This Row],[Waist]]-Table7[[#This Row],[Waist v  Night Sys]]</f>
        <v>0.63074137064846525</v>
      </c>
      <c r="CR41" s="2">
        <f>Table7[[#This Row],[WaistNS Res]]^2</f>
        <v>0.3978346766475046</v>
      </c>
      <c r="CS41">
        <f>Regression!$J$29+(Regression!$J$28*Table83[[#This Row],[Night Diastolic Pressure]])</f>
        <v>44.341616394701639</v>
      </c>
      <c r="CT41" s="2">
        <f>Table83[[#This Row],[Waist]]-Table7[[#This Row],[Waist v Night Dia]]</f>
        <v>0.65838360529836137</v>
      </c>
      <c r="CU41" s="2">
        <f>Table7[[#This Row],[WaistND Res]]^2</f>
        <v>0.43346897172566851</v>
      </c>
      <c r="CV41">
        <f>Regression!$K$29+(Regression!$K$28*Table83[[#This Row],[Night Pulse]])</f>
        <v>44.428284163144653</v>
      </c>
      <c r="CW41" s="2">
        <f>Table83[[#This Row],[Waist]]-Table7[[#This Row],[Waist v Night Pulse]]</f>
        <v>0.57171583685534699</v>
      </c>
      <c r="CX41" s="2">
        <f>Table7[[#This Row],[WaistNP Res]]^2</f>
        <v>0.32685899811120972</v>
      </c>
      <c r="CY41">
        <f>Regression!$L$29+(Regression!$L$28*Table83[[#This Row],[Sleep]])</f>
        <v>44.553089788849412</v>
      </c>
      <c r="CZ41" s="2">
        <f>Table83[[#This Row],[Waist]]-Table7[[#This Row],[Waist v  Sleep]]</f>
        <v>0.4469102111505876</v>
      </c>
      <c r="DA41" s="2">
        <f>Table7[[#This Row],[WaistS Res]]^2</f>
        <v>0.19972873683066281</v>
      </c>
      <c r="DB41">
        <f>Regression!$M$29+(Regression!$M$28*Table83[[#This Row],[BMI]])</f>
        <v>45.282691170509899</v>
      </c>
      <c r="DC41" s="2">
        <f>Table83[[#This Row],[Waist]]-Table7[[#This Row],[Waist v BMI]]</f>
        <v>-0.28269117050989934</v>
      </c>
      <c r="DD41" s="2">
        <f>Table7[[#This Row],[WaistBMI Res]]^2</f>
        <v>7.9914297884256982E-2</v>
      </c>
      <c r="DE41">
        <f>Regression!$N$29+(Regression!$N$28*Table83[[#This Row],[CBF]])</f>
        <v>44.659010290127611</v>
      </c>
      <c r="DF41" s="2">
        <f>Table83[[#This Row],[Waist]]-Table7[[#This Row],[Waist v  CBF]]</f>
        <v>0.34098970987238886</v>
      </c>
      <c r="DG41" s="2">
        <f>Table7[[#This Row],[WaistCBF Res]]^2</f>
        <v>0.11627398223885593</v>
      </c>
      <c r="DH41">
        <f>Regression!$O$29+(Regression!$O$28*Table83[[#This Row],[Gym]])</f>
        <v>44.347222222222221</v>
      </c>
      <c r="DI41" s="2">
        <f>Table83[[#This Row],[Waist]]-Table7[[#This Row],[Waist v  Gym]]</f>
        <v>0.65277777777777857</v>
      </c>
      <c r="DJ41" s="2">
        <f>Table7[[#This Row],[WaistGYM Res]]^2</f>
        <v>0.42611882716049487</v>
      </c>
      <c r="DK41">
        <f>Regression!$P$29+(Regression!$P$28*Table83[[#This Row],[Cardio]])</f>
        <v>44.291666666666664</v>
      </c>
      <c r="DL41" s="2">
        <f>Table83[[#This Row],[Waist]]-Table7[[#This Row],[Waist v Cardio]]</f>
        <v>0.7083333333333357</v>
      </c>
      <c r="DM41" s="2">
        <f>Table7[[#This Row],[WaistC Res]]^2</f>
        <v>0.50173611111111449</v>
      </c>
      <c r="DN41">
        <f>Regression!$Q$29+(Regression!$Q$28*Table83[[#This Row],[Calories]])</f>
        <v>44.330888198498229</v>
      </c>
      <c r="DO41" s="2">
        <f>Table83[[#This Row],[Waist]]-Table7[[#This Row],[Waist v Calories]]</f>
        <v>0.66911180150177074</v>
      </c>
      <c r="DP41" s="2">
        <f>Table7[[#This Row],[WaistCal Res]]^2</f>
        <v>0.44771060290894504</v>
      </c>
      <c r="DQ41">
        <f>Regression!$R$29+(Regression!$R$28*Table83[[#This Row],[Carbs]])</f>
        <v>44.3391284120598</v>
      </c>
      <c r="DR41" s="2">
        <f>Table83[[#This Row],[Waist]]-Table7[[#This Row],[Waist v Carbs]]</f>
        <v>0.66087158794019984</v>
      </c>
      <c r="DS41" s="2">
        <f>Table7[[#This Row],[WaistCarb Res]]^2</f>
        <v>0.43675125574660129</v>
      </c>
      <c r="DT41">
        <f>Regression!$S$29+(Regression!$S$28*Table83[[#This Row],[Fat ]])</f>
        <v>44.344099085554319</v>
      </c>
      <c r="DU41" s="2">
        <f>Table83[[#This Row],[Waist]]-Table7[[#This Row],[Waist v Fat]]</f>
        <v>0.65590091444568088</v>
      </c>
      <c r="DV41" s="2">
        <f>Table7[[#This Row],[WaistF Res]]^2</f>
        <v>0.43020600957068039</v>
      </c>
      <c r="DW41">
        <f>Regression!$T$29+(Regression!$T$28*Table83[[#This Row],[Protein]])</f>
        <v>44.350705944009071</v>
      </c>
      <c r="DX41" s="2">
        <f>Table83[[#This Row],[Waist]]-Table7[[#This Row],[Waist v Protein]]</f>
        <v>0.6492940559909286</v>
      </c>
      <c r="DY41" s="2">
        <f>Table7[[#This Row],[WaistP Res]]^2</f>
        <v>0.42158277114515114</v>
      </c>
      <c r="DZ41">
        <f>Regression!$U$29+(Regression!$U$28*Table83[[#This Row],[Fiber]])</f>
        <v>44.598765376481687</v>
      </c>
      <c r="EA41" s="2">
        <f>Table83[[#This Row],[Waist]]-Table7[[#This Row],[Waist v Fiber]]</f>
        <v>0.40123462351831307</v>
      </c>
      <c r="EB41" s="2">
        <f>Table7[[#This Row],[WaistFib Res]]^2</f>
        <v>0.16098922310988242</v>
      </c>
      <c r="EC41">
        <f>Regression!$V$29+(Regression!$V$28*Table83[[#This Row],[Sugar]])</f>
        <v>44.341868874067075</v>
      </c>
      <c r="ED41" s="2">
        <f>Table83[[#This Row],[Waist]]-Table7[[#This Row],[Waist v Sugar]]</f>
        <v>0.65813112593292544</v>
      </c>
      <c r="EE41" s="2">
        <f>Table7[[#This Row],[WaistSugar Res]]^2</f>
        <v>0.43313657892174018</v>
      </c>
      <c r="EF41">
        <f>Regression!$W$29+(Regression!$W$28*Table83[[#This Row],[Servings]])</f>
        <v>44.327761003723225</v>
      </c>
      <c r="EG41" s="2">
        <f>Table83[[#This Row],[Waist]]-Table7[[#This Row],[Waist v Servings]]</f>
        <v>0.67223899627677497</v>
      </c>
      <c r="EH41" s="2">
        <f>Table7[[#This Row],[WaistServ Res]]^2</f>
        <v>0.45190526811520587</v>
      </c>
      <c r="EI41">
        <f>Regression!$X$29+(Regression!$X$28*Table83[[#This Row],[Water]])</f>
        <v>44.33031459742935</v>
      </c>
      <c r="EJ41" s="2">
        <f>Table83[[#This Row],[Waist]]-Table7[[#This Row],[Waist v Water]]</f>
        <v>0.66968540257065001</v>
      </c>
      <c r="EK41" s="2">
        <f>Table7[[#This Row],[WaistWat Res]]^2</f>
        <v>0.44847853841621355</v>
      </c>
      <c r="EL41">
        <f>Regression!$Y$29+(Regression!$Y$28*Table83[[#This Row],[Fat Calories]])</f>
        <v>44.336179413959833</v>
      </c>
      <c r="EM41" s="2">
        <f>Table83[[#This Row],[Waist]]-Table7[[#This Row],[Waist v Fat Calories]]</f>
        <v>0.66382058604016692</v>
      </c>
      <c r="EN41" s="2">
        <f>Table7[[#This Row],[WaistFatCal Res]]^2</f>
        <v>0.44065777045071064</v>
      </c>
    </row>
    <row r="42" spans="1:144" x14ac:dyDescent="0.25">
      <c r="A42">
        <f>Regression!$B$10+(Regression!$B$9*Table83[[#This Row],[Waist]])</f>
        <v>252.52625917894264</v>
      </c>
      <c r="B42" s="2">
        <f>Table83[[#This Row],[Weight]]-Table7[[#This Row],[Weight v Waist]]</f>
        <v>8.4737408210573619</v>
      </c>
      <c r="C42" s="2">
        <f>Table7[[#This Row],[Weight v Waist Res]]^2</f>
        <v>71.804283502453899</v>
      </c>
      <c r="D42">
        <f>Regression!$C$10+(Regression!$C$9*Table83[[#This Row],[Neck]])</f>
        <v>260.39308108104251</v>
      </c>
      <c r="E42" s="2">
        <f>Table83[[#This Row],[Weight]]-Table7[[#This Row],[Weight v Neck]]</f>
        <v>0.60691891895748995</v>
      </c>
      <c r="F42" s="2">
        <f>Table7[[#This Row],[WN Res]]^2</f>
        <v>0.36835057418852823</v>
      </c>
      <c r="G42">
        <f>Regression!$D$10+(Regression!$D$9*Table83[[#This Row],[Morning Body Temp]])</f>
        <v>255.20036355752904</v>
      </c>
      <c r="H42" s="2">
        <f>Table83[[#This Row],[Weight]]-Table7[[#This Row],[Weight v Morning Temp]]</f>
        <v>5.7996364424709554</v>
      </c>
      <c r="I42" s="2">
        <f>Table7[[#This Row],[WMT Res]]^2</f>
        <v>33.635782864837161</v>
      </c>
      <c r="J42">
        <f>Regression!$E$10+(Regression!$E$9*Table83[[#This Row],[Morning Systolic Pressure]])</f>
        <v>254.60363738625813</v>
      </c>
      <c r="K42" s="2">
        <f>Table83[[#This Row],[Weight]]-Table7[[#This Row],[Weight v Morning Sys]]</f>
        <v>6.3963626137418714</v>
      </c>
      <c r="L42" s="2">
        <f>Table7[[#This Row],[WMS Res]]^2</f>
        <v>40.913454686474743</v>
      </c>
      <c r="M42">
        <f>Regression!$F$10+(Regression!$F$9*Table83[[#This Row],[Morning Diastolic Pressure]])</f>
        <v>255.20338414629154</v>
      </c>
      <c r="N42" s="2">
        <f>Table83[[#This Row],[Weight]]-Table7[[#This Row],[Weight v Morning Dia]]</f>
        <v>5.7966158537084596</v>
      </c>
      <c r="O42" s="2">
        <f>Table7[[#This Row],[WMD Res]]^2</f>
        <v>33.600755355464251</v>
      </c>
      <c r="P42">
        <f>Regression!$G$10+(Regression!$G$9*Table83[[#This Row],[Morning Pulse]])</f>
        <v>255.09353934106937</v>
      </c>
      <c r="Q42" s="2">
        <f>Table83[[#This Row],[Weight]]-Table7[[#This Row],[Weight v Morning Pulse]]</f>
        <v>5.9064606589306266</v>
      </c>
      <c r="R42" s="2">
        <f>Table7[[#This Row],[WMP Res]]^2</f>
        <v>34.886277515495209</v>
      </c>
      <c r="S42">
        <f>Regression!$H$10+(Regression!$H$9*Table83[[#This Row],[Night Body Temp]])</f>
        <v>257.11081122812215</v>
      </c>
      <c r="T42" s="2">
        <f>Table83[[#This Row],[Weight]]-Table7[[#This Row],[Weight v Night Temp]]</f>
        <v>3.8891887718778548</v>
      </c>
      <c r="U42" s="2">
        <f>Table7[[#This Row],[WNT Res]]^2</f>
        <v>15.125789303300778</v>
      </c>
      <c r="V42">
        <f>Regression!$I$10+(Regression!$I$9*Table83[[#This Row],[Night Systolic Pressure]])</f>
        <v>254.72535722302487</v>
      </c>
      <c r="W42" s="2">
        <f>Table83[[#This Row],[Weight]]-Table7[[#This Row],[Weight v Night Sys]]</f>
        <v>6.2746427769751278</v>
      </c>
      <c r="X42" s="2">
        <f>Table7[[#This Row],[WNS Res]]^2</f>
        <v>39.371141978646143</v>
      </c>
      <c r="Y42">
        <f>Regression!$J$10+(Regression!$J$9*Table83[[#This Row],[Night Diastolic Pressure]])</f>
        <v>254.44006247958848</v>
      </c>
      <c r="Z42" s="2">
        <f>Table83[[#This Row],[Weight]]-Table7[[#This Row],[Weight v Night Dia]]</f>
        <v>6.5599375204115233</v>
      </c>
      <c r="AA42" s="2">
        <f>Table7[[#This Row],[WND Res]]^2</f>
        <v>43.032780271702883</v>
      </c>
      <c r="AB42">
        <f>Regression!$K$10+(Regression!$K$9*Table83[[#This Row],[Night Pulse]])</f>
        <v>255.81655847718594</v>
      </c>
      <c r="AC42" s="2">
        <f>Table83[[#This Row],[Weight]]-Table7[[#This Row],[Weight v Night Pulse]]</f>
        <v>5.1834415228140642</v>
      </c>
      <c r="AD42" s="2">
        <f>Table7[[#This Row],[WNP Res ]]^2</f>
        <v>26.868066020432984</v>
      </c>
      <c r="AE42">
        <f>Regression!$L$10+(Regression!$L$9*Table83[[#This Row],[Sleep]])</f>
        <v>254.66381845232058</v>
      </c>
      <c r="AF42" s="2">
        <f>Table83[[#This Row],[Weight]]-Table7[[#This Row],[Weight v Sleep]]</f>
        <v>6.3361815476794163</v>
      </c>
      <c r="AG42" s="2">
        <f>Table7[[#This Row],[WS Res]]^2</f>
        <v>40.147196605153127</v>
      </c>
      <c r="AH42">
        <f>Regression!$M$10+(Regression!$M$9*Table83[[#This Row],[BMI]])</f>
        <v>260.99999999998693</v>
      </c>
      <c r="AI42" s="2">
        <f>Table83[[#This Row],[Weight]]-Table7[[#This Row],[Weight v BMI]]</f>
        <v>1.3073986337985843E-11</v>
      </c>
      <c r="AJ42" s="2">
        <f>Table7[[#This Row],[WBMI Res]]^2</f>
        <v>1.7092911876584048E-22</v>
      </c>
      <c r="AK42">
        <f>Regression!$N$10+(Regression!$N$9*Table83[[#This Row],[CBF]])</f>
        <v>250.04675133427031</v>
      </c>
      <c r="AL42" s="2">
        <f>Table83[[#This Row],[Weight]]-Table7[[#This Row],[Weight v CBF]]</f>
        <v>10.953248665729689</v>
      </c>
      <c r="AM42" s="2">
        <f>Table7[[#This Row],[WCBF Res]]^2</f>
        <v>119.97365633330921</v>
      </c>
      <c r="AN42">
        <f>Regression!$O$10+(Regression!$O$9*Table83[[#This Row],[Gym]])</f>
        <v>254.72962962962998</v>
      </c>
      <c r="AO42" s="2">
        <f>Table83[[#This Row],[Weight]]-Table7[[#This Row],[Weight v Gym]]</f>
        <v>6.2703703703700171</v>
      </c>
      <c r="AP42" s="2">
        <f>Table7[[#This Row],[WG Res]]^2</f>
        <v>39.317544581614229</v>
      </c>
      <c r="AQ42">
        <f>Regression!$P$10+(Regression!$P$9*Table83[[#This Row],[Cardio]])</f>
        <v>254.19242424242461</v>
      </c>
      <c r="AR42" s="2">
        <f>Table83[[#This Row],[Weight]]-Table7[[#This Row],[Weight v Cardio]]</f>
        <v>6.8075757575753926</v>
      </c>
      <c r="AS42" s="2">
        <f>Table7[[#This Row],[WC Res]]^2</f>
        <v>46.343087695128183</v>
      </c>
      <c r="AT42">
        <f>Regression!$Q$10+(Regression!$Q$9*Table83[[#This Row],[Calories]])</f>
        <v>254.7081078470994</v>
      </c>
      <c r="AU42" s="2">
        <f>Table83[[#This Row],[Weight]]-Table7[[#This Row],[Weight v Calories]]</f>
        <v>6.2918921529006013</v>
      </c>
      <c r="AV42" s="2">
        <f>Table7[[#This Row],[WCAL Res]]^2</f>
        <v>39.587906863732165</v>
      </c>
      <c r="AW42">
        <f>Regression!$R$10+(Regression!$R$9*Table83[[#This Row],[Carbs]])</f>
        <v>254.30591971101876</v>
      </c>
      <c r="AX42" s="2">
        <f>Table83[[#This Row],[Weight]]-Table7[[#This Row],[Weight v Carbs]]</f>
        <v>6.6940802889812403</v>
      </c>
      <c r="AY42" s="2">
        <f>Table7[[#This Row],[Wcarb Res]]^2</f>
        <v>44.810710915327164</v>
      </c>
      <c r="AZ42">
        <f>Regression!$S$10+(Regression!$S$9*Table83[[#This Row],[Fat ]])</f>
        <v>255.15217734011202</v>
      </c>
      <c r="BA42" s="2">
        <f>Table83[[#This Row],[Weight]]-Table7[[#This Row],[Weight v Fat]]</f>
        <v>5.8478226598879814</v>
      </c>
      <c r="BB42" s="2">
        <f>Table7[[#This Row],[WF Res]]^2</f>
        <v>34.197029861499345</v>
      </c>
      <c r="BC42">
        <f>Regression!$T$10+(Regression!$T$9*Table83[[#This Row],[Protein]])</f>
        <v>254.84150961910845</v>
      </c>
      <c r="BD42" s="2">
        <f>Table83[[#This Row],[Weight]]-Table7[[#This Row],[Weight v Protein]]</f>
        <v>6.1584903808915499</v>
      </c>
      <c r="BE42" s="2">
        <f>Table7[[#This Row],[WP Res]]^2</f>
        <v>37.927003771533748</v>
      </c>
      <c r="BF42">
        <f>Regression!$U$10+(Regression!$U$9*Table83[[#This Row],[Fiber]])</f>
        <v>255.51704072545829</v>
      </c>
      <c r="BG42" s="2">
        <f>Table83[[#This Row],[Weight]]-Table7[[#This Row],[Weight v Fiber]]</f>
        <v>5.4829592745417131</v>
      </c>
      <c r="BH42" s="2">
        <f>Table7[[#This Row],[Wfib Res]]^2</f>
        <v>30.062842406282989</v>
      </c>
      <c r="BI42">
        <f>Regression!$V$10+(Regression!$V$9*Table83[[#This Row],[Sugar]])</f>
        <v>254.47542825251796</v>
      </c>
      <c r="BJ42" s="2">
        <f>Table83[[#This Row],[Weight]]-Table7[[#This Row],[Weight v Sugar]]</f>
        <v>6.5245717474820424</v>
      </c>
      <c r="BK42" s="2">
        <f>Table7[[#This Row],[Wsugar Res]]^2</f>
        <v>42.57003648804087</v>
      </c>
      <c r="BL42">
        <f>Regression!$W$10+(Regression!$W$9*Table83[[#This Row],[Servings]])</f>
        <v>254.04225384404984</v>
      </c>
      <c r="BM42" s="2">
        <f>Table83[[#This Row],[Weight]]-Table7[[#This Row],[Weight v Servings]]</f>
        <v>6.9577461559501614</v>
      </c>
      <c r="BN42" s="2">
        <f>Table7[[#This Row],[Wserv Res]]^2</f>
        <v>48.410231570639247</v>
      </c>
      <c r="BO42">
        <f>Regression!$X$10+(Regression!$X$9*Table83[[#This Row],[Water]])</f>
        <v>255.0206340268538</v>
      </c>
      <c r="BP42" s="2">
        <f>Table83[[#This Row],[Weight]]-Table7[[#This Row],[Weight v Water]]</f>
        <v>5.9793659731462014</v>
      </c>
      <c r="BQ42" s="2">
        <f>Table7[[#This Row],[Wwater Res]]^2</f>
        <v>35.752817440818617</v>
      </c>
      <c r="BR42">
        <f>Regression!$Y$10+(Regression!$Y$9*Table83[[#This Row],[Fat Calories]])</f>
        <v>255.1497015946828</v>
      </c>
      <c r="BS42" s="2">
        <f>Table83[[#This Row],[Weight]]-Table7[[#This Row],[Weight v Fat Calories]]</f>
        <v>5.8502984053172042</v>
      </c>
      <c r="BT42" s="2">
        <f>Table7[[#This Row],[WFC Res]]^2</f>
        <v>34.225991431257022</v>
      </c>
      <c r="BU42">
        <f>Regression!$B$29+(Regression!$B$28*Table83[[#This Row],[Weight]])</f>
        <v>45.25543866839854</v>
      </c>
      <c r="BV42" s="2">
        <f>Table83[[#This Row],[Waist]]-Table7[[#This Row],[Waist v Weight]]</f>
        <v>-1.2554386683985399</v>
      </c>
      <c r="BW42" s="2">
        <f>Table7[[#This Row],[WaistW Res]]^2</f>
        <v>1.5761262501102991</v>
      </c>
      <c r="BX42">
        <f>Regression!$C$29+(Regression!$C$28*Table83[[#This Row],[Neck]])</f>
        <v>45.258648648648581</v>
      </c>
      <c r="BY42" s="2">
        <f>Table83[[#This Row],[Waist]]-Table7[[#This Row],[Waist v Neck]]</f>
        <v>-1.2586486486485811</v>
      </c>
      <c r="BZ42" s="2">
        <f>Table7[[#This Row],[WaistN Res]]^2</f>
        <v>1.5841964207448993</v>
      </c>
      <c r="CA42">
        <f>Regression!$D$29+(Regression!$D$28*Table83[[#This Row],[Morning Body Temp]])</f>
        <v>44.476744743933082</v>
      </c>
      <c r="CB42" s="2">
        <f>Table83[[#This Row],[Waist]]-Table7[[#This Row],[Waist v Morning Temp]]</f>
        <v>-0.4767447439330823</v>
      </c>
      <c r="CC42" s="2">
        <f>Table7[[#This Row],[WaistMT Res]]^2</f>
        <v>0.22728555086782021</v>
      </c>
      <c r="CD42">
        <f>Regression!$E$29+(Regression!$E$28*Table83[[#This Row],[Morning Systolic Pressure]])</f>
        <v>44.333390269727509</v>
      </c>
      <c r="CE42" s="2">
        <f>Table83[[#This Row],[Waist]]-Table7[[#This Row],[Waist v Morning Sys]]</f>
        <v>-0.33339026972750929</v>
      </c>
      <c r="CF42" s="2">
        <f>Table7[[#This Row],[WaistMS Res]]^2</f>
        <v>0.1111490719489814</v>
      </c>
      <c r="CG42">
        <f>Regression!$F$29+(Regression!$F$28*Table83[[#This Row],[Morning Diastolic Pressure]])</f>
        <v>44.458452288813113</v>
      </c>
      <c r="CH42" s="2">
        <f>Table83[[#This Row],[Waist]]-Table7[[#This Row],[Waist v Morning Dia]]</f>
        <v>-0.45845228881311328</v>
      </c>
      <c r="CI42" s="2">
        <f>Table7[[#This Row],[WaistMD Res]]^2</f>
        <v>0.21017850111798222</v>
      </c>
      <c r="CJ42">
        <f>Regression!$G$29+(Regression!$G$28*Table83[[#This Row],[Morning Pulse]])</f>
        <v>44.443662666622828</v>
      </c>
      <c r="CK42" s="2">
        <f>Table83[[#This Row],[Waist]]-Table7[[#This Row],[Waist v Morning Pulse]]</f>
        <v>-0.44366266662282783</v>
      </c>
      <c r="CL42" s="2">
        <f>Table7[[#This Row],[WaistMP Res]]^2</f>
        <v>0.19683656175487846</v>
      </c>
      <c r="CM42">
        <f>Regression!$H$29+(Regression!$H$28*Table83[[#This Row],[Night Body Temp]])</f>
        <v>44.610892430756898</v>
      </c>
      <c r="CN42" s="2">
        <f>Table83[[#This Row],[Waist]]-Table7[[#This Row],[Waist v Night Temp]]</f>
        <v>-0.61089243075689836</v>
      </c>
      <c r="CO42" s="2">
        <f>Table7[[#This Row],[WaistNT Res]]^2</f>
        <v>0.37318956195607184</v>
      </c>
      <c r="CP42">
        <f>Regression!$I$29+(Regression!$I$28*Table83[[#This Row],[Night Systolic Pressure]])</f>
        <v>44.398338858002759</v>
      </c>
      <c r="CQ42" s="2">
        <f>Table83[[#This Row],[Waist]]-Table7[[#This Row],[Waist v  Night Sys]]</f>
        <v>-0.39833885800275937</v>
      </c>
      <c r="CR42" s="2">
        <f>Table7[[#This Row],[WaistNS Res]]^2</f>
        <v>0.15867384579494248</v>
      </c>
      <c r="CS42">
        <f>Regression!$J$29+(Regression!$J$28*Table83[[#This Row],[Night Diastolic Pressure]])</f>
        <v>44.170936942627215</v>
      </c>
      <c r="CT42" s="2">
        <f>Table83[[#This Row],[Waist]]-Table7[[#This Row],[Waist v Night Dia]]</f>
        <v>-0.17093694262721471</v>
      </c>
      <c r="CU42" s="2">
        <f>Table7[[#This Row],[WaistND Res]]^2</f>
        <v>2.9219438354739693E-2</v>
      </c>
      <c r="CV42">
        <f>Regression!$K$29+(Regression!$K$28*Table83[[#This Row],[Night Pulse]])</f>
        <v>44.388289714791142</v>
      </c>
      <c r="CW42" s="2">
        <f>Table83[[#This Row],[Waist]]-Table7[[#This Row],[Waist v Night Pulse]]</f>
        <v>-0.38828971479114216</v>
      </c>
      <c r="CX42" s="2">
        <f>Table7[[#This Row],[WaistNP Res]]^2</f>
        <v>0.15076890261258652</v>
      </c>
      <c r="CY42">
        <f>Regression!$L$29+(Regression!$L$28*Table83[[#This Row],[Sleep]])</f>
        <v>44.384743400864622</v>
      </c>
      <c r="CZ42" s="2">
        <f>Table83[[#This Row],[Waist]]-Table7[[#This Row],[Waist v  Sleep]]</f>
        <v>-0.38474340086462178</v>
      </c>
      <c r="DA42" s="2">
        <f>Table7[[#This Row],[WaistS Res]]^2</f>
        <v>0.14802748450887504</v>
      </c>
      <c r="DB42">
        <f>Regression!$M$29+(Regression!$M$28*Table83[[#This Row],[BMI]])</f>
        <v>45.255438668395996</v>
      </c>
      <c r="DC42" s="2">
        <f>Table83[[#This Row],[Waist]]-Table7[[#This Row],[Waist v BMI]]</f>
        <v>-1.2554386683959962</v>
      </c>
      <c r="DD42" s="2">
        <f>Table7[[#This Row],[WaistBMI Res]]^2</f>
        <v>1.5761262501039119</v>
      </c>
      <c r="DE42">
        <f>Regression!$N$29+(Regression!$N$28*Table83[[#This Row],[CBF]])</f>
        <v>43.540887941991329</v>
      </c>
      <c r="DF42" s="2">
        <f>Table83[[#This Row],[Waist]]-Table7[[#This Row],[Waist v  CBF]]</f>
        <v>0.45911205800867094</v>
      </c>
      <c r="DG42" s="2">
        <f>Table7[[#This Row],[WaistCBF Res]]^2</f>
        <v>0.21078388180895724</v>
      </c>
      <c r="DH42">
        <f>Regression!$O$29+(Regression!$O$28*Table83[[#This Row],[Gym]])</f>
        <v>44.347222222222221</v>
      </c>
      <c r="DI42" s="2">
        <f>Table83[[#This Row],[Waist]]-Table7[[#This Row],[Waist v  Gym]]</f>
        <v>-0.34722222222222143</v>
      </c>
      <c r="DJ42" s="2">
        <f>Table7[[#This Row],[WaistGYM Res]]^2</f>
        <v>0.12056327160493772</v>
      </c>
      <c r="DK42">
        <f>Regression!$P$29+(Regression!$P$28*Table83[[#This Row],[Cardio]])</f>
        <v>44.291666666666664</v>
      </c>
      <c r="DL42" s="2">
        <f>Table83[[#This Row],[Waist]]-Table7[[#This Row],[Waist v Cardio]]</f>
        <v>-0.2916666666666643</v>
      </c>
      <c r="DM42" s="2">
        <f>Table7[[#This Row],[WaistC Res]]^2</f>
        <v>8.506944444444306E-2</v>
      </c>
      <c r="DN42">
        <f>Regression!$Q$29+(Regression!$Q$28*Table83[[#This Row],[Calories]])</f>
        <v>44.362110239486348</v>
      </c>
      <c r="DO42" s="2">
        <f>Table83[[#This Row],[Waist]]-Table7[[#This Row],[Waist v Calories]]</f>
        <v>-0.36211023948634846</v>
      </c>
      <c r="DP42" s="2">
        <f>Table7[[#This Row],[WaistCal Res]]^2</f>
        <v>0.13112382554086063</v>
      </c>
      <c r="DQ42">
        <f>Regression!$R$29+(Regression!$R$28*Table83[[#This Row],[Carbs]])</f>
        <v>44.285085049337752</v>
      </c>
      <c r="DR42" s="2">
        <f>Table83[[#This Row],[Waist]]-Table7[[#This Row],[Waist v Carbs]]</f>
        <v>-0.28508504933775214</v>
      </c>
      <c r="DS42" s="2">
        <f>Table7[[#This Row],[WaistCarb Res]]^2</f>
        <v>8.1273485355908573E-2</v>
      </c>
      <c r="DT42">
        <f>Regression!$S$29+(Regression!$S$28*Table83[[#This Row],[Fat ]])</f>
        <v>44.464890623495485</v>
      </c>
      <c r="DU42" s="2">
        <f>Table83[[#This Row],[Waist]]-Table7[[#This Row],[Waist v Fat]]</f>
        <v>-0.46489062349548504</v>
      </c>
      <c r="DV42" s="2">
        <f>Table7[[#This Row],[WaistF Res]]^2</f>
        <v>0.21612329181402082</v>
      </c>
      <c r="DW42">
        <f>Regression!$T$29+(Regression!$T$28*Table83[[#This Row],[Protein]])</f>
        <v>44.403472825119657</v>
      </c>
      <c r="DX42" s="2">
        <f>Table83[[#This Row],[Waist]]-Table7[[#This Row],[Waist v Protein]]</f>
        <v>-0.40347282511965687</v>
      </c>
      <c r="DY42" s="2">
        <f>Table7[[#This Row],[WaistP Res]]^2</f>
        <v>0.16279032061003723</v>
      </c>
      <c r="DZ42">
        <f>Regression!$U$29+(Regression!$U$28*Table83[[#This Row],[Fiber]])</f>
        <v>44.6086541647472</v>
      </c>
      <c r="EA42" s="2">
        <f>Table83[[#This Row],[Waist]]-Table7[[#This Row],[Waist v Fiber]]</f>
        <v>-0.60865416474720035</v>
      </c>
      <c r="EB42" s="2">
        <f>Table7[[#This Row],[WaistFib Res]]^2</f>
        <v>0.37045989226411213</v>
      </c>
      <c r="EC42">
        <f>Regression!$V$29+(Regression!$V$28*Table83[[#This Row],[Sugar]])</f>
        <v>44.33863994311303</v>
      </c>
      <c r="ED42" s="2">
        <f>Table83[[#This Row],[Waist]]-Table7[[#This Row],[Waist v Sugar]]</f>
        <v>-0.33863994311303003</v>
      </c>
      <c r="EE42" s="2">
        <f>Table7[[#This Row],[WaistSugar Res]]^2</f>
        <v>0.11467701107159621</v>
      </c>
      <c r="EF42">
        <f>Regression!$W$29+(Regression!$W$28*Table83[[#This Row],[Servings]])</f>
        <v>44.289849880081583</v>
      </c>
      <c r="EG42" s="2">
        <f>Table83[[#This Row],[Waist]]-Table7[[#This Row],[Waist v Servings]]</f>
        <v>-0.28984988008158297</v>
      </c>
      <c r="EH42" s="2">
        <f>Table7[[#This Row],[WaistServ Res]]^2</f>
        <v>8.401295298330802E-2</v>
      </c>
      <c r="EI42">
        <f>Regression!$X$29+(Regression!$X$28*Table83[[#This Row],[Water]])</f>
        <v>44.33031459742935</v>
      </c>
      <c r="EJ42" s="2">
        <f>Table83[[#This Row],[Waist]]-Table7[[#This Row],[Waist v Water]]</f>
        <v>-0.33031459742934999</v>
      </c>
      <c r="EK42" s="2">
        <f>Table7[[#This Row],[WaistWat Res]]^2</f>
        <v>0.10910773327491355</v>
      </c>
      <c r="EL42">
        <f>Regression!$Y$29+(Regression!$Y$28*Table83[[#This Row],[Fat Calories]])</f>
        <v>44.464080119210003</v>
      </c>
      <c r="EM42" s="2">
        <f>Table83[[#This Row],[Waist]]-Table7[[#This Row],[Waist v Fat Calories]]</f>
        <v>-0.46408011921000281</v>
      </c>
      <c r="EN42" s="2">
        <f>Table7[[#This Row],[WaistFatCal Res]]^2</f>
        <v>0.21537035704597041</v>
      </c>
    </row>
    <row r="43" spans="1:144" x14ac:dyDescent="0.25">
      <c r="A43">
        <f>Regression!$B$10+(Regression!$B$9*Table83[[#This Row],[Waist]])</f>
        <v>255.38023686459636</v>
      </c>
      <c r="B43" s="2">
        <f>Table83[[#This Row],[Weight]]-Table7[[#This Row],[Weight v Waist]]</f>
        <v>3.2197631354036673</v>
      </c>
      <c r="C43" s="2">
        <f>Table7[[#This Row],[Weight v Waist Res]]^2</f>
        <v>10.366874648104455</v>
      </c>
      <c r="D43">
        <f>Regression!$C$10+(Regression!$C$9*Table83[[#This Row],[Neck]])</f>
        <v>260.39308108104251</v>
      </c>
      <c r="E43" s="2">
        <f>Table83[[#This Row],[Weight]]-Table7[[#This Row],[Weight v Neck]]</f>
        <v>-1.7930810810424873</v>
      </c>
      <c r="F43" s="2">
        <f>Table7[[#This Row],[WN Res]]^2</f>
        <v>3.2151397631924952</v>
      </c>
      <c r="G43">
        <f>Regression!$D$10+(Regression!$D$9*Table83[[#This Row],[Morning Body Temp]])</f>
        <v>254.98916789486196</v>
      </c>
      <c r="H43" s="2">
        <f>Table83[[#This Row],[Weight]]-Table7[[#This Row],[Weight v Morning Temp]]</f>
        <v>3.6108321051380585</v>
      </c>
      <c r="I43" s="2">
        <f>Table7[[#This Row],[WMT Res]]^2</f>
        <v>13.038108491495743</v>
      </c>
      <c r="J43">
        <f>Regression!$E$10+(Regression!$E$9*Table83[[#This Row],[Morning Systolic Pressure]])</f>
        <v>255.05440942489196</v>
      </c>
      <c r="K43" s="2">
        <f>Table83[[#This Row],[Weight]]-Table7[[#This Row],[Weight v Morning Sys]]</f>
        <v>3.545590575108065</v>
      </c>
      <c r="L43" s="2">
        <f>Table7[[#This Row],[WMS Res]]^2</f>
        <v>12.571212526295138</v>
      </c>
      <c r="M43">
        <f>Regression!$F$10+(Regression!$F$9*Table83[[#This Row],[Morning Diastolic Pressure]])</f>
        <v>256.01413813865059</v>
      </c>
      <c r="N43" s="2">
        <f>Table83[[#This Row],[Weight]]-Table7[[#This Row],[Weight v Morning Dia]]</f>
        <v>2.5858618613494286</v>
      </c>
      <c r="O43" s="2">
        <f>Table7[[#This Row],[WMD Res]]^2</f>
        <v>6.686681565981532</v>
      </c>
      <c r="P43">
        <f>Regression!$G$10+(Regression!$G$9*Table83[[#This Row],[Morning Pulse]])</f>
        <v>255.09719493258376</v>
      </c>
      <c r="Q43" s="2">
        <f>Table83[[#This Row],[Weight]]-Table7[[#This Row],[Weight v Morning Pulse]]</f>
        <v>3.5028050674162614</v>
      </c>
      <c r="R43" s="2">
        <f>Table7[[#This Row],[WMP Res]]^2</f>
        <v>12.269643340317039</v>
      </c>
      <c r="S43">
        <f>Regression!$H$10+(Regression!$H$9*Table83[[#This Row],[Night Body Temp]])</f>
        <v>255.46766610041516</v>
      </c>
      <c r="T43" s="2">
        <f>Table83[[#This Row],[Weight]]-Table7[[#This Row],[Weight v Night Temp]]</f>
        <v>3.1323338995848644</v>
      </c>
      <c r="U43" s="2">
        <f>Table7[[#This Row],[WNT Res]]^2</f>
        <v>9.8115156584885241</v>
      </c>
      <c r="V43">
        <f>Regression!$I$10+(Regression!$I$9*Table83[[#This Row],[Night Systolic Pressure]])</f>
        <v>253.2883295466263</v>
      </c>
      <c r="W43" s="2">
        <f>Table83[[#This Row],[Weight]]-Table7[[#This Row],[Weight v Night Sys]]</f>
        <v>5.311670453373722</v>
      </c>
      <c r="X43" s="2">
        <f>Table7[[#This Row],[WNS Res]]^2</f>
        <v>28.213843005243401</v>
      </c>
      <c r="Y43">
        <f>Regression!$J$10+(Regression!$J$9*Table83[[#This Row],[Night Diastolic Pressure]])</f>
        <v>254.60312595325288</v>
      </c>
      <c r="Z43" s="2">
        <f>Table83[[#This Row],[Weight]]-Table7[[#This Row],[Weight v Night Dia]]</f>
        <v>3.9968740467471378</v>
      </c>
      <c r="AA43" s="2">
        <f>Table7[[#This Row],[WND Res]]^2</f>
        <v>15.975002145560842</v>
      </c>
      <c r="AB43">
        <f>Regression!$K$10+(Regression!$K$9*Table83[[#This Row],[Night Pulse]])</f>
        <v>255.35585850863504</v>
      </c>
      <c r="AC43" s="2">
        <f>Table83[[#This Row],[Weight]]-Table7[[#This Row],[Weight v Night Pulse]]</f>
        <v>3.2441414913649851</v>
      </c>
      <c r="AD43" s="2">
        <f>Table7[[#This Row],[WNP Res ]]^2</f>
        <v>10.524454015995829</v>
      </c>
      <c r="AE43">
        <f>Regression!$L$10+(Regression!$L$9*Table83[[#This Row],[Sleep]])</f>
        <v>255.45250391075515</v>
      </c>
      <c r="AF43" s="2">
        <f>Table83[[#This Row],[Weight]]-Table7[[#This Row],[Weight v Sleep]]</f>
        <v>3.1474960892448678</v>
      </c>
      <c r="AG43" s="2">
        <f>Table7[[#This Row],[WS Res]]^2</f>
        <v>9.906731631811736</v>
      </c>
      <c r="AH43">
        <f>Regression!$M$10+(Regression!$M$9*Table83[[#This Row],[BMI]])</f>
        <v>258.59999999999229</v>
      </c>
      <c r="AI43" s="2">
        <f>Table83[[#This Row],[Weight]]-Table7[[#This Row],[Weight v BMI]]</f>
        <v>7.73070496506989E-12</v>
      </c>
      <c r="AJ43" s="2">
        <f>Table7[[#This Row],[WBMI Res]]^2</f>
        <v>5.976379925695625E-23</v>
      </c>
      <c r="AK43">
        <f>Regression!$N$10+(Regression!$N$9*Table83[[#This Row],[CBF]])</f>
        <v>253.17965033701802</v>
      </c>
      <c r="AL43" s="2">
        <f>Table83[[#This Row],[Weight]]-Table7[[#This Row],[Weight v CBF]]</f>
        <v>5.4203496629820052</v>
      </c>
      <c r="AM43" s="2">
        <f>Table7[[#This Row],[WCBF Res]]^2</f>
        <v>29.380190468989138</v>
      </c>
      <c r="AN43">
        <f>Regression!$O$10+(Regression!$O$9*Table83[[#This Row],[Gym]])</f>
        <v>255.46779661016953</v>
      </c>
      <c r="AO43" s="2">
        <f>Table83[[#This Row],[Weight]]-Table7[[#This Row],[Weight v Gym]]</f>
        <v>3.1322033898304937</v>
      </c>
      <c r="AP43" s="2">
        <f>Table7[[#This Row],[WG Res]]^2</f>
        <v>9.8106980752656359</v>
      </c>
      <c r="AQ43">
        <f>Regression!$P$10+(Regression!$P$9*Table83[[#This Row],[Cardio]])</f>
        <v>254.19242424242461</v>
      </c>
      <c r="AR43" s="2">
        <f>Table83[[#This Row],[Weight]]-Table7[[#This Row],[Weight v Cardio]]</f>
        <v>4.4075757575754153</v>
      </c>
      <c r="AS43" s="2">
        <f>Table7[[#This Row],[WC Res]]^2</f>
        <v>19.426724058766496</v>
      </c>
      <c r="AT43">
        <f>Regression!$Q$10+(Regression!$Q$9*Table83[[#This Row],[Calories]])</f>
        <v>255.21409887389103</v>
      </c>
      <c r="AU43" s="2">
        <f>Table83[[#This Row],[Weight]]-Table7[[#This Row],[Weight v Calories]]</f>
        <v>3.3859011261089904</v>
      </c>
      <c r="AV43" s="2">
        <f>Table7[[#This Row],[WCAL Res]]^2</f>
        <v>11.464326435786129</v>
      </c>
      <c r="AW43">
        <f>Regression!$R$10+(Regression!$R$9*Table83[[#This Row],[Carbs]])</f>
        <v>255.29453345799809</v>
      </c>
      <c r="AX43" s="2">
        <f>Table83[[#This Row],[Weight]]-Table7[[#This Row],[Weight v Carbs]]</f>
        <v>3.3054665420019376</v>
      </c>
      <c r="AY43" s="2">
        <f>Table7[[#This Row],[Wcarb Res]]^2</f>
        <v>10.926109060294246</v>
      </c>
      <c r="AZ43">
        <f>Regression!$S$10+(Regression!$S$9*Table83[[#This Row],[Fat ]])</f>
        <v>255.0298735841524</v>
      </c>
      <c r="BA43" s="2">
        <f>Table83[[#This Row],[Weight]]-Table7[[#This Row],[Weight v Fat]]</f>
        <v>3.5701264158476249</v>
      </c>
      <c r="BB43" s="2">
        <f>Table7[[#This Row],[WF Res]]^2</f>
        <v>12.745802625133008</v>
      </c>
      <c r="BC43">
        <f>Regression!$T$10+(Regression!$T$9*Table83[[#This Row],[Protein]])</f>
        <v>255.25733902852897</v>
      </c>
      <c r="BD43" s="2">
        <f>Table83[[#This Row],[Weight]]-Table7[[#This Row],[Weight v Protein]]</f>
        <v>3.342660971471048</v>
      </c>
      <c r="BE43" s="2">
        <f>Table7[[#This Row],[WP Res]]^2</f>
        <v>11.173382370195771</v>
      </c>
      <c r="BF43">
        <f>Regression!$U$10+(Regression!$U$9*Table83[[#This Row],[Fiber]])</f>
        <v>254.99013067564593</v>
      </c>
      <c r="BG43" s="2">
        <f>Table83[[#This Row],[Weight]]-Table7[[#This Row],[Weight v Fiber]]</f>
        <v>3.6098693243540936</v>
      </c>
      <c r="BH43" s="2">
        <f>Table7[[#This Row],[Wfib Res]]^2</f>
        <v>13.031156538912681</v>
      </c>
      <c r="BI43">
        <f>Regression!$V$10+(Regression!$V$9*Table83[[#This Row],[Sugar]])</f>
        <v>254.87985606804932</v>
      </c>
      <c r="BJ43" s="2">
        <f>Table83[[#This Row],[Weight]]-Table7[[#This Row],[Weight v Sugar]]</f>
        <v>3.7201439319507017</v>
      </c>
      <c r="BK43" s="2">
        <f>Table7[[#This Row],[Wsugar Res]]^2</f>
        <v>13.839470874429628</v>
      </c>
      <c r="BL43">
        <f>Regression!$W$10+(Regression!$W$9*Table83[[#This Row],[Servings]])</f>
        <v>254.2142658246523</v>
      </c>
      <c r="BM43" s="2">
        <f>Table83[[#This Row],[Weight]]-Table7[[#This Row],[Weight v Servings]]</f>
        <v>4.3857341753477215</v>
      </c>
      <c r="BN43" s="2">
        <f>Table7[[#This Row],[Wserv Res]]^2</f>
        <v>19.234664256812959</v>
      </c>
      <c r="BO43">
        <f>Regression!$X$10+(Regression!$X$9*Table83[[#This Row],[Water]])</f>
        <v>255.0206340268538</v>
      </c>
      <c r="BP43" s="2">
        <f>Table83[[#This Row],[Weight]]-Table7[[#This Row],[Weight v Water]]</f>
        <v>3.5793659731462242</v>
      </c>
      <c r="BQ43" s="2">
        <f>Table7[[#This Row],[Wwater Res]]^2</f>
        <v>12.811860769717017</v>
      </c>
      <c r="BR43">
        <f>Regression!$Y$10+(Regression!$Y$9*Table83[[#This Row],[Fat Calories]])</f>
        <v>255.01953963054947</v>
      </c>
      <c r="BS43" s="2">
        <f>Table83[[#This Row],[Weight]]-Table7[[#This Row],[Weight v Fat Calories]]</f>
        <v>3.5804603694505488</v>
      </c>
      <c r="BT43" s="2">
        <f>Table7[[#This Row],[WFC Res]]^2</f>
        <v>12.819696457205961</v>
      </c>
      <c r="BU43">
        <f>Regression!$B$29+(Regression!$B$28*Table83[[#This Row],[Weight]])</f>
        <v>44.928408643030586</v>
      </c>
      <c r="BV43" s="2">
        <f>Table83[[#This Row],[Waist]]-Table7[[#This Row],[Waist v Weight]]</f>
        <v>-0.42840864303058623</v>
      </c>
      <c r="BW43" s="2">
        <f>Table7[[#This Row],[WaistW Res]]^2</f>
        <v>0.18353396542330827</v>
      </c>
      <c r="BX43">
        <f>Regression!$C$29+(Regression!$C$28*Table83[[#This Row],[Neck]])</f>
        <v>45.258648648648581</v>
      </c>
      <c r="BY43" s="2">
        <f>Table83[[#This Row],[Waist]]-Table7[[#This Row],[Waist v Neck]]</f>
        <v>-0.75864864864858106</v>
      </c>
      <c r="BZ43" s="2">
        <f>Table7[[#This Row],[WaistN Res]]^2</f>
        <v>0.57554777209631824</v>
      </c>
      <c r="CA43">
        <f>Regression!$D$29+(Regression!$D$28*Table83[[#This Row],[Morning Body Temp]])</f>
        <v>44.419304304405451</v>
      </c>
      <c r="CB43" s="2">
        <f>Table83[[#This Row],[Waist]]-Table7[[#This Row],[Waist v Morning Temp]]</f>
        <v>8.0695695594549477E-2</v>
      </c>
      <c r="CC43" s="2">
        <f>Table7[[#This Row],[WaistMT Res]]^2</f>
        <v>6.511795287488192E-3</v>
      </c>
      <c r="CD43">
        <f>Regression!$E$29+(Regression!$E$28*Table83[[#This Row],[Morning Systolic Pressure]])</f>
        <v>44.439294322151774</v>
      </c>
      <c r="CE43" s="2">
        <f>Table83[[#This Row],[Waist]]-Table7[[#This Row],[Waist v Morning Sys]]</f>
        <v>6.0705677848226003E-2</v>
      </c>
      <c r="CF43" s="2">
        <f>Table7[[#This Row],[WaistMS Res]]^2</f>
        <v>3.6851793230125974E-3</v>
      </c>
      <c r="CG43">
        <f>Regression!$F$29+(Regression!$F$28*Table83[[#This Row],[Morning Diastolic Pressure]])</f>
        <v>44.503537254163952</v>
      </c>
      <c r="CH43" s="2">
        <f>Table83[[#This Row],[Waist]]-Table7[[#This Row],[Waist v Morning Dia]]</f>
        <v>-3.5372541639517863E-3</v>
      </c>
      <c r="CI43" s="2">
        <f>Table7[[#This Row],[WaistMD Res]]^2</f>
        <v>1.2512167020394251E-5</v>
      </c>
      <c r="CJ43">
        <f>Regression!$G$29+(Regression!$G$28*Table83[[#This Row],[Morning Pulse]])</f>
        <v>44.445341671770059</v>
      </c>
      <c r="CK43" s="2">
        <f>Table83[[#This Row],[Waist]]-Table7[[#This Row],[Waist v Morning Pulse]]</f>
        <v>5.4658328229940878E-2</v>
      </c>
      <c r="CL43" s="2">
        <f>Table7[[#This Row],[WaistMP Res]]^2</f>
        <v>2.9875328448919517E-3</v>
      </c>
      <c r="CM43">
        <f>Regression!$H$29+(Regression!$H$28*Table83[[#This Row],[Night Body Temp]])</f>
        <v>44.481341649878722</v>
      </c>
      <c r="CN43" s="2">
        <f>Table83[[#This Row],[Waist]]-Table7[[#This Row],[Waist v Night Temp]]</f>
        <v>1.8658350121278033E-2</v>
      </c>
      <c r="CO43" s="2">
        <f>Table7[[#This Row],[WaistNT Res]]^2</f>
        <v>3.4813402924819599E-4</v>
      </c>
      <c r="CP43">
        <f>Regression!$I$29+(Regression!$I$28*Table83[[#This Row],[Night Systolic Pressure]])</f>
        <v>44.194777257444173</v>
      </c>
      <c r="CQ43" s="2">
        <f>Table83[[#This Row],[Waist]]-Table7[[#This Row],[Waist v  Night Sys]]</f>
        <v>0.30522274255582715</v>
      </c>
      <c r="CR43" s="2">
        <f>Table7[[#This Row],[WaistNS Res]]^2</f>
        <v>9.3160922573300733E-2</v>
      </c>
      <c r="CS43">
        <f>Regression!$J$29+(Regression!$J$28*Table83[[#This Row],[Night Diastolic Pressure]])</f>
        <v>44.239208723456983</v>
      </c>
      <c r="CT43" s="2">
        <f>Table83[[#This Row],[Waist]]-Table7[[#This Row],[Waist v Night Dia]]</f>
        <v>0.26079127654301715</v>
      </c>
      <c r="CU43" s="2">
        <f>Table7[[#This Row],[WaistND Res]]^2</f>
        <v>6.801208992093645E-2</v>
      </c>
      <c r="CV43">
        <f>Regression!$K$29+(Regression!$K$28*Table83[[#This Row],[Night Pulse]])</f>
        <v>44.431140909455621</v>
      </c>
      <c r="CW43" s="2">
        <f>Table83[[#This Row],[Waist]]-Table7[[#This Row],[Waist v Night Pulse]]</f>
        <v>6.8859090544378887E-2</v>
      </c>
      <c r="CX43" s="2">
        <f>Table7[[#This Row],[WaistNP Res]]^2</f>
        <v>4.7415743505989701E-3</v>
      </c>
      <c r="CY43">
        <f>Regression!$L$29+(Regression!$L$28*Table83[[#This Row],[Sleep]])</f>
        <v>44.504990820853756</v>
      </c>
      <c r="CZ43" s="2">
        <f>Table83[[#This Row],[Waist]]-Table7[[#This Row],[Waist v  Sleep]]</f>
        <v>-4.9908208537559062E-3</v>
      </c>
      <c r="DA43" s="2">
        <f>Table7[[#This Row],[WaistS Res]]^2</f>
        <v>2.4908292794284833E-5</v>
      </c>
      <c r="DB43">
        <f>Regression!$M$29+(Regression!$M$28*Table83[[#This Row],[BMI]])</f>
        <v>44.92840864302908</v>
      </c>
      <c r="DC43" s="2">
        <f>Table83[[#This Row],[Waist]]-Table7[[#This Row],[Waist v BMI]]</f>
        <v>-0.42840864302907988</v>
      </c>
      <c r="DD43" s="2">
        <f>Table7[[#This Row],[WaistBMI Res]]^2</f>
        <v>0.18353396542201761</v>
      </c>
      <c r="DE43">
        <f>Regression!$N$29+(Regression!$N$28*Table83[[#This Row],[CBF]])</f>
        <v>44.105031770433015</v>
      </c>
      <c r="DF43" s="2">
        <f>Table83[[#This Row],[Waist]]-Table7[[#This Row],[Waist v  CBF]]</f>
        <v>0.39496822956698452</v>
      </c>
      <c r="DG43" s="2">
        <f>Table7[[#This Row],[WaistCBF Res]]^2</f>
        <v>0.15599990236727818</v>
      </c>
      <c r="DH43">
        <f>Regression!$O$29+(Regression!$O$28*Table83[[#This Row],[Gym]])</f>
        <v>44.550847457627107</v>
      </c>
      <c r="DI43" s="2">
        <f>Table83[[#This Row],[Waist]]-Table7[[#This Row],[Waist v  Gym]]</f>
        <v>-5.0847457627106962E-2</v>
      </c>
      <c r="DJ43" s="2">
        <f>Table7[[#This Row],[WaistGYM Res]]^2</f>
        <v>2.5854639471404378E-3</v>
      </c>
      <c r="DK43">
        <f>Regression!$P$29+(Regression!$P$28*Table83[[#This Row],[Cardio]])</f>
        <v>44.291666666666664</v>
      </c>
      <c r="DL43" s="2">
        <f>Table83[[#This Row],[Waist]]-Table7[[#This Row],[Waist v Cardio]]</f>
        <v>0.2083333333333357</v>
      </c>
      <c r="DM43" s="2">
        <f>Table7[[#This Row],[WaistC Res]]^2</f>
        <v>4.3402777777778762E-2</v>
      </c>
      <c r="DN43">
        <f>Regression!$Q$29+(Regression!$Q$28*Table83[[#This Row],[Calories]])</f>
        <v>44.475795200496037</v>
      </c>
      <c r="DO43" s="2">
        <f>Table83[[#This Row],[Waist]]-Table7[[#This Row],[Waist v Calories]]</f>
        <v>2.4204799503962704E-2</v>
      </c>
      <c r="DP43" s="2">
        <f>Table7[[#This Row],[WaistCal Res]]^2</f>
        <v>5.8587231902703318E-4</v>
      </c>
      <c r="DQ43">
        <f>Regression!$R$29+(Regression!$R$28*Table83[[#This Row],[Carbs]])</f>
        <v>44.490908377425839</v>
      </c>
      <c r="DR43" s="2">
        <f>Table83[[#This Row],[Waist]]-Table7[[#This Row],[Waist v Carbs]]</f>
        <v>9.0916225741608514E-3</v>
      </c>
      <c r="DS43" s="2">
        <f>Table7[[#This Row],[WaistCarb Res]]^2</f>
        <v>8.265760103099119E-5</v>
      </c>
      <c r="DT43">
        <f>Regression!$S$29+(Regression!$S$28*Table83[[#This Row],[Fat ]])</f>
        <v>44.427504953577575</v>
      </c>
      <c r="DU43" s="2">
        <f>Table83[[#This Row],[Waist]]-Table7[[#This Row],[Waist v Fat]]</f>
        <v>7.2495046422424991E-2</v>
      </c>
      <c r="DV43" s="2">
        <f>Table7[[#This Row],[WaistF Res]]^2</f>
        <v>5.2555317557895541E-3</v>
      </c>
      <c r="DW43">
        <f>Regression!$T$29+(Regression!$T$28*Table83[[#This Row],[Protein]])</f>
        <v>44.479585053630686</v>
      </c>
      <c r="DX43" s="2">
        <f>Table83[[#This Row],[Waist]]-Table7[[#This Row],[Waist v Protein]]</f>
        <v>2.041494636931418E-2</v>
      </c>
      <c r="DY43" s="2">
        <f>Table7[[#This Row],[WaistP Res]]^2</f>
        <v>4.1677003526197423E-4</v>
      </c>
      <c r="DZ43">
        <f>Regression!$U$29+(Regression!$U$28*Table83[[#This Row],[Fiber]])</f>
        <v>44.40534067800823</v>
      </c>
      <c r="EA43" s="2">
        <f>Table83[[#This Row],[Waist]]-Table7[[#This Row],[Waist v Fiber]]</f>
        <v>9.4659321991770184E-2</v>
      </c>
      <c r="EB43" s="2">
        <f>Table7[[#This Row],[WaistFib Res]]^2</f>
        <v>8.9603872399416258E-3</v>
      </c>
      <c r="EC43">
        <f>Regression!$V$29+(Regression!$V$28*Table83[[#This Row],[Sugar]])</f>
        <v>44.411290889578929</v>
      </c>
      <c r="ED43" s="2">
        <f>Table83[[#This Row],[Waist]]-Table7[[#This Row],[Waist v Sugar]]</f>
        <v>8.8709110421071102E-2</v>
      </c>
      <c r="EE43" s="2">
        <f>Table7[[#This Row],[WaistSugar Res]]^2</f>
        <v>7.8693062716977853E-3</v>
      </c>
      <c r="EF43">
        <f>Regression!$W$29+(Regression!$W$28*Table83[[#This Row],[Servings]])</f>
        <v>44.316096042602716</v>
      </c>
      <c r="EG43" s="2">
        <f>Table83[[#This Row],[Waist]]-Table7[[#This Row],[Waist v Servings]]</f>
        <v>0.18390395739728405</v>
      </c>
      <c r="EH43" s="2">
        <f>Table7[[#This Row],[WaistServ Res]]^2</f>
        <v>3.3820665546382064E-2</v>
      </c>
      <c r="EI43">
        <f>Regression!$X$29+(Regression!$X$28*Table83[[#This Row],[Water]])</f>
        <v>44.33031459742935</v>
      </c>
      <c r="EJ43" s="2">
        <f>Table83[[#This Row],[Waist]]-Table7[[#This Row],[Waist v Water]]</f>
        <v>0.16968540257065001</v>
      </c>
      <c r="EK43" s="2">
        <f>Table7[[#This Row],[WaistWat Res]]^2</f>
        <v>2.8793135845563558E-2</v>
      </c>
      <c r="EL43">
        <f>Regression!$Y$29+(Regression!$Y$28*Table83[[#This Row],[Fat Calories]])</f>
        <v>44.424494121463376</v>
      </c>
      <c r="EM43" s="2">
        <f>Table83[[#This Row],[Waist]]-Table7[[#This Row],[Waist v Fat Calories]]</f>
        <v>7.5505878536624493E-2</v>
      </c>
      <c r="EN43" s="2">
        <f>Table7[[#This Row],[WaistFatCal Res]]^2</f>
        <v>5.7011376935874915E-3</v>
      </c>
    </row>
    <row r="44" spans="1:144" x14ac:dyDescent="0.25">
      <c r="A44">
        <f>Regression!$B$10+(Regression!$B$9*Table83[[#This Row],[Waist]])</f>
        <v>255.38023686459636</v>
      </c>
      <c r="B44" s="2">
        <f>Table83[[#This Row],[Weight]]-Table7[[#This Row],[Weight v Waist]]</f>
        <v>2.6197631354036446</v>
      </c>
      <c r="C44" s="2">
        <f>Table7[[#This Row],[Weight v Waist Res]]^2</f>
        <v>6.863158885619935</v>
      </c>
      <c r="D44">
        <f>Regression!$C$10+(Regression!$C$9*Table83[[#This Row],[Neck]])</f>
        <v>260.39308108104251</v>
      </c>
      <c r="E44" s="2">
        <f>Table83[[#This Row],[Weight]]-Table7[[#This Row],[Weight v Neck]]</f>
        <v>-2.39308108104251</v>
      </c>
      <c r="F44" s="2">
        <f>Table7[[#This Row],[WN Res]]^2</f>
        <v>5.7268370604435885</v>
      </c>
      <c r="G44">
        <f>Regression!$D$10+(Regression!$D$9*Table83[[#This Row],[Morning Body Temp]])</f>
        <v>255.83395054553034</v>
      </c>
      <c r="H44" s="2">
        <f>Table83[[#This Row],[Weight]]-Table7[[#This Row],[Weight v Morning Temp]]</f>
        <v>2.1660494544696576</v>
      </c>
      <c r="I44" s="2">
        <f>Table7[[#This Row],[WMT Res]]^2</f>
        <v>4.6917702392083012</v>
      </c>
      <c r="J44">
        <f>Regression!$E$10+(Regression!$E$9*Table83[[#This Row],[Morning Systolic Pressure]])</f>
        <v>254.6937917939849</v>
      </c>
      <c r="K44" s="2">
        <f>Table83[[#This Row],[Weight]]-Table7[[#This Row],[Weight v Morning Sys]]</f>
        <v>3.3062082060150999</v>
      </c>
      <c r="L44" s="2">
        <f>Table7[[#This Row],[WMS Res]]^2</f>
        <v>10.931012701521585</v>
      </c>
      <c r="M44">
        <f>Regression!$F$10+(Regression!$F$9*Table83[[#This Row],[Morning Diastolic Pressure]])</f>
        <v>255.71010539151592</v>
      </c>
      <c r="N44" s="2">
        <f>Table83[[#This Row],[Weight]]-Table7[[#This Row],[Weight v Morning Dia]]</f>
        <v>2.2898946084840759</v>
      </c>
      <c r="O44" s="2">
        <f>Table7[[#This Row],[WMD Res]]^2</f>
        <v>5.2436173179644392</v>
      </c>
      <c r="P44">
        <f>Regression!$G$10+(Regression!$G$9*Table83[[#This Row],[Morning Pulse]])</f>
        <v>255.11181729864128</v>
      </c>
      <c r="Q44" s="2">
        <f>Table83[[#This Row],[Weight]]-Table7[[#This Row],[Weight v Morning Pulse]]</f>
        <v>2.8881827013587156</v>
      </c>
      <c r="R44" s="2">
        <f>Table7[[#This Row],[WMP Res]]^2</f>
        <v>8.3415993164277271</v>
      </c>
      <c r="S44">
        <f>Regression!$H$10+(Regression!$H$9*Table83[[#This Row],[Night Body Temp]])</f>
        <v>255.15957638897012</v>
      </c>
      <c r="T44" s="2">
        <f>Table83[[#This Row],[Weight]]-Table7[[#This Row],[Weight v Night Temp]]</f>
        <v>2.8404236110298768</v>
      </c>
      <c r="U44" s="2">
        <f>Table7[[#This Row],[WNT Res]]^2</f>
        <v>8.0680062900960046</v>
      </c>
      <c r="V44">
        <f>Regression!$I$10+(Regression!$I$9*Table83[[#This Row],[Night Systolic Pressure]])</f>
        <v>254.72535722302487</v>
      </c>
      <c r="W44" s="2">
        <f>Table83[[#This Row],[Weight]]-Table7[[#This Row],[Weight v Night Sys]]</f>
        <v>3.2746427769751278</v>
      </c>
      <c r="X44" s="2">
        <f>Table7[[#This Row],[WNS Res]]^2</f>
        <v>10.723285316795376</v>
      </c>
      <c r="Y44">
        <f>Regression!$J$10+(Regression!$J$9*Table83[[#This Row],[Night Diastolic Pressure]])</f>
        <v>254.68465769008509</v>
      </c>
      <c r="Z44" s="2">
        <f>Table83[[#This Row],[Weight]]-Table7[[#This Row],[Weight v Night Dia]]</f>
        <v>3.3153423099149109</v>
      </c>
      <c r="AA44" s="2">
        <f>Table7[[#This Row],[WND Res]]^2</f>
        <v>10.991494631911937</v>
      </c>
      <c r="AB44">
        <f>Regression!$K$10+(Regression!$K$9*Table83[[#This Row],[Night Pulse]])</f>
        <v>255.14086518997797</v>
      </c>
      <c r="AC44" s="2">
        <f>Table83[[#This Row],[Weight]]-Table7[[#This Row],[Weight v Night Pulse]]</f>
        <v>2.8591348100220273</v>
      </c>
      <c r="AD44" s="2">
        <f>Table7[[#This Row],[WNP Res ]]^2</f>
        <v>8.1746518618796937</v>
      </c>
      <c r="AE44">
        <f>Regression!$L$10+(Regression!$L$9*Table83[[#This Row],[Sleep]])</f>
        <v>254.82155554400751</v>
      </c>
      <c r="AF44" s="2">
        <f>Table83[[#This Row],[Weight]]-Table7[[#This Row],[Weight v Sleep]]</f>
        <v>3.1784444559924907</v>
      </c>
      <c r="AG44" s="2">
        <f>Table7[[#This Row],[WS Res]]^2</f>
        <v>10.102509159829401</v>
      </c>
      <c r="AH44">
        <f>Regression!$M$10+(Regression!$M$9*Table83[[#This Row],[BMI]])</f>
        <v>257.99999999999352</v>
      </c>
      <c r="AI44" s="2">
        <f>Table83[[#This Row],[Weight]]-Table7[[#This Row],[Weight v BMI]]</f>
        <v>6.4801497501321137E-12</v>
      </c>
      <c r="AJ44" s="2">
        <f>Table7[[#This Row],[WBMI Res]]^2</f>
        <v>4.1992340784137296E-23</v>
      </c>
      <c r="AK44">
        <f>Regression!$N$10+(Regression!$N$9*Table83[[#This Row],[CBF]])</f>
        <v>253.17965033701802</v>
      </c>
      <c r="AL44" s="2">
        <f>Table83[[#This Row],[Weight]]-Table7[[#This Row],[Weight v CBF]]</f>
        <v>4.8203496629819824</v>
      </c>
      <c r="AM44" s="2">
        <f>Table7[[#This Row],[WCBF Res]]^2</f>
        <v>23.235770873410512</v>
      </c>
      <c r="AN44">
        <f>Regression!$O$10+(Regression!$O$9*Table83[[#This Row],[Gym]])</f>
        <v>254.72962962962998</v>
      </c>
      <c r="AO44" s="2">
        <f>Table83[[#This Row],[Weight]]-Table7[[#This Row],[Weight v Gym]]</f>
        <v>3.2703703703700171</v>
      </c>
      <c r="AP44" s="2">
        <f>Table7[[#This Row],[WG Res]]^2</f>
        <v>10.695322359394122</v>
      </c>
      <c r="AQ44">
        <f>Regression!$P$10+(Regression!$P$9*Table83[[#This Row],[Cardio]])</f>
        <v>254.19242424242461</v>
      </c>
      <c r="AR44" s="2">
        <f>Table83[[#This Row],[Weight]]-Table7[[#This Row],[Weight v Cardio]]</f>
        <v>3.8075757575753926</v>
      </c>
      <c r="AS44" s="2">
        <f>Table7[[#This Row],[WC Res]]^2</f>
        <v>14.497633149675824</v>
      </c>
      <c r="AT44">
        <f>Regression!$Q$10+(Regression!$Q$9*Table83[[#This Row],[Calories]])</f>
        <v>255.08412702694457</v>
      </c>
      <c r="AU44" s="2">
        <f>Table83[[#This Row],[Weight]]-Table7[[#This Row],[Weight v Calories]]</f>
        <v>2.9158729730554285</v>
      </c>
      <c r="AV44" s="2">
        <f>Table7[[#This Row],[WCAL Res]]^2</f>
        <v>8.5023151949951039</v>
      </c>
      <c r="AW44">
        <f>Regression!$R$10+(Regression!$R$9*Table83[[#This Row],[Carbs]])</f>
        <v>255.22153588024531</v>
      </c>
      <c r="AX44" s="2">
        <f>Table83[[#This Row],[Weight]]-Table7[[#This Row],[Weight v Carbs]]</f>
        <v>2.7784641197546875</v>
      </c>
      <c r="AY44" s="2">
        <f>Table7[[#This Row],[Wcarb Res]]^2</f>
        <v>7.7198628647641909</v>
      </c>
      <c r="AZ44">
        <f>Regression!$S$10+(Regression!$S$9*Table83[[#This Row],[Fat ]])</f>
        <v>254.93731939045321</v>
      </c>
      <c r="BA44" s="2">
        <f>Table83[[#This Row],[Weight]]-Table7[[#This Row],[Weight v Fat]]</f>
        <v>3.0626806095467884</v>
      </c>
      <c r="BB44" s="2">
        <f>Table7[[#This Row],[WF Res]]^2</f>
        <v>9.3800125160938883</v>
      </c>
      <c r="BC44">
        <f>Regression!$T$10+(Regression!$T$9*Table83[[#This Row],[Protein]])</f>
        <v>255.88981905462239</v>
      </c>
      <c r="BD44" s="2">
        <f>Table83[[#This Row],[Weight]]-Table7[[#This Row],[Weight v Protein]]</f>
        <v>2.110180945377607</v>
      </c>
      <c r="BE44" s="2">
        <f>Table7[[#This Row],[WP Res]]^2</f>
        <v>4.4528636222347311</v>
      </c>
      <c r="BF44">
        <f>Regression!$U$10+(Regression!$U$9*Table83[[#This Row],[Fiber]])</f>
        <v>255.10186840994464</v>
      </c>
      <c r="BG44" s="2">
        <f>Table83[[#This Row],[Weight]]-Table7[[#This Row],[Weight v Fiber]]</f>
        <v>2.8981315900553568</v>
      </c>
      <c r="BH44" s="2">
        <f>Table7[[#This Row],[Wfib Res]]^2</f>
        <v>8.3991667132767915</v>
      </c>
      <c r="BI44">
        <f>Regression!$V$10+(Regression!$V$9*Table83[[#This Row],[Sugar]])</f>
        <v>255.8720523088196</v>
      </c>
      <c r="BJ44" s="2">
        <f>Table83[[#This Row],[Weight]]-Table7[[#This Row],[Weight v Sugar]]</f>
        <v>2.1279476911803954</v>
      </c>
      <c r="BK44" s="2">
        <f>Table7[[#This Row],[Wsugar Res]]^2</f>
        <v>4.5281613763999751</v>
      </c>
      <c r="BL44">
        <f>Regression!$W$10+(Regression!$W$9*Table83[[#This Row],[Servings]])</f>
        <v>256.85178286055657</v>
      </c>
      <c r="BM44" s="2">
        <f>Table83[[#This Row],[Weight]]-Table7[[#This Row],[Weight v Servings]]</f>
        <v>1.1482171394434317</v>
      </c>
      <c r="BN44" s="2">
        <f>Table7[[#This Row],[Wserv Res]]^2</f>
        <v>1.3184025993116573</v>
      </c>
      <c r="BO44">
        <f>Regression!$X$10+(Regression!$X$9*Table83[[#This Row],[Water]])</f>
        <v>255.06345001025522</v>
      </c>
      <c r="BP44" s="2">
        <f>Table83[[#This Row],[Weight]]-Table7[[#This Row],[Weight v Water]]</f>
        <v>2.9365499897447762</v>
      </c>
      <c r="BQ44" s="2">
        <f>Table7[[#This Row],[Wwater Res]]^2</f>
        <v>8.6233258422700452</v>
      </c>
      <c r="BR44">
        <f>Regression!$Y$10+(Regression!$Y$9*Table83[[#This Row],[Fat Calories]])</f>
        <v>254.92103868471889</v>
      </c>
      <c r="BS44" s="2">
        <f>Table83[[#This Row],[Weight]]-Table7[[#This Row],[Weight v Fat Calories]]</f>
        <v>3.0789613152811057</v>
      </c>
      <c r="BT44" s="2">
        <f>Table7[[#This Row],[WFC Res]]^2</f>
        <v>9.4800027809975571</v>
      </c>
      <c r="BU44">
        <f>Regression!$B$29+(Regression!$B$28*Table83[[#This Row],[Weight]])</f>
        <v>44.846651136688592</v>
      </c>
      <c r="BV44" s="2">
        <f>Table83[[#This Row],[Waist]]-Table7[[#This Row],[Waist v Weight]]</f>
        <v>-0.34665113668859249</v>
      </c>
      <c r="BW44" s="2">
        <f>Table7[[#This Row],[WaistW Res]]^2</f>
        <v>0.12016701056749324</v>
      </c>
      <c r="BX44">
        <f>Regression!$C$29+(Regression!$C$28*Table83[[#This Row],[Neck]])</f>
        <v>45.258648648648581</v>
      </c>
      <c r="BY44" s="2">
        <f>Table83[[#This Row],[Waist]]-Table7[[#This Row],[Waist v Neck]]</f>
        <v>-0.75864864864858106</v>
      </c>
      <c r="BZ44" s="2">
        <f>Table7[[#This Row],[WaistN Res]]^2</f>
        <v>0.57554777209631824</v>
      </c>
      <c r="CA44">
        <f>Regression!$D$29+(Regression!$D$28*Table83[[#This Row],[Morning Body Temp]])</f>
        <v>44.649066062515985</v>
      </c>
      <c r="CB44" s="2">
        <f>Table83[[#This Row],[Waist]]-Table7[[#This Row],[Waist v Morning Temp]]</f>
        <v>-0.14906606251598475</v>
      </c>
      <c r="CC44" s="2">
        <f>Table7[[#This Row],[WaistMT Res]]^2</f>
        <v>2.2220690994019476E-2</v>
      </c>
      <c r="CD44">
        <f>Regression!$E$29+(Regression!$E$28*Table83[[#This Row],[Morning Systolic Pressure]])</f>
        <v>44.354571080212359</v>
      </c>
      <c r="CE44" s="2">
        <f>Table83[[#This Row],[Waist]]-Table7[[#This Row],[Waist v Morning Sys]]</f>
        <v>0.14542891978764061</v>
      </c>
      <c r="CF44" s="2">
        <f>Table7[[#This Row],[WaistMS Res]]^2</f>
        <v>2.1149570710600005E-2</v>
      </c>
      <c r="CG44">
        <f>Regression!$F$29+(Regression!$F$28*Table83[[#This Row],[Morning Diastolic Pressure]])</f>
        <v>44.486630392157387</v>
      </c>
      <c r="CH44" s="2">
        <f>Table83[[#This Row],[Waist]]-Table7[[#This Row],[Waist v Morning Dia]]</f>
        <v>1.3369607842612652E-2</v>
      </c>
      <c r="CI44" s="2">
        <f>Table7[[#This Row],[WaistMD Res]]^2</f>
        <v>1.7874641386524971E-4</v>
      </c>
      <c r="CJ44">
        <f>Regression!$G$29+(Regression!$G$28*Table83[[#This Row],[Morning Pulse]])</f>
        <v>44.45205769235897</v>
      </c>
      <c r="CK44" s="2">
        <f>Table83[[#This Row],[Waist]]-Table7[[#This Row],[Waist v Morning Pulse]]</f>
        <v>4.7942307641029913E-2</v>
      </c>
      <c r="CL44" s="2">
        <f>Table7[[#This Row],[WaistMP Res]]^2</f>
        <v>2.2984648619471552E-3</v>
      </c>
      <c r="CM44">
        <f>Regression!$H$29+(Regression!$H$28*Table83[[#This Row],[Night Body Temp]])</f>
        <v>44.457050878464067</v>
      </c>
      <c r="CN44" s="2">
        <f>Table83[[#This Row],[Waist]]-Table7[[#This Row],[Waist v Night Temp]]</f>
        <v>4.2949121535933443E-2</v>
      </c>
      <c r="CO44" s="2">
        <f>Table7[[#This Row],[WaistNT Res]]^2</f>
        <v>1.8446270407083819E-3</v>
      </c>
      <c r="CP44">
        <f>Regression!$I$29+(Regression!$I$28*Table83[[#This Row],[Night Systolic Pressure]])</f>
        <v>44.398338858002759</v>
      </c>
      <c r="CQ44" s="2">
        <f>Table83[[#This Row],[Waist]]-Table7[[#This Row],[Waist v  Night Sys]]</f>
        <v>0.10166114199724063</v>
      </c>
      <c r="CR44" s="2">
        <f>Table7[[#This Row],[WaistNS Res]]^2</f>
        <v>1.0334987792183123E-2</v>
      </c>
      <c r="CS44">
        <f>Regression!$J$29+(Regression!$J$28*Table83[[#This Row],[Night Diastolic Pressure]])</f>
        <v>44.27334461387187</v>
      </c>
      <c r="CT44" s="2">
        <f>Table83[[#This Row],[Waist]]-Table7[[#This Row],[Waist v Night Dia]]</f>
        <v>0.22665538612812952</v>
      </c>
      <c r="CU44" s="2">
        <f>Table7[[#This Row],[WaistND Res]]^2</f>
        <v>5.1372664060891485E-2</v>
      </c>
      <c r="CV44">
        <f>Regression!$K$29+(Regression!$K$28*Table83[[#This Row],[Night Pulse]])</f>
        <v>44.451138133632369</v>
      </c>
      <c r="CW44" s="2">
        <f>Table83[[#This Row],[Waist]]-Table7[[#This Row],[Waist v Night Pulse]]</f>
        <v>4.8861866367630569E-2</v>
      </c>
      <c r="CX44" s="2">
        <f>Table7[[#This Row],[WaistNP Res]]^2</f>
        <v>2.3874819849281875E-3</v>
      </c>
      <c r="CY44">
        <f>Regression!$L$29+(Regression!$L$28*Table83[[#This Row],[Sleep]])</f>
        <v>44.408792884862443</v>
      </c>
      <c r="CZ44" s="2">
        <f>Table83[[#This Row],[Waist]]-Table7[[#This Row],[Waist v  Sleep]]</f>
        <v>9.1207115137557082E-2</v>
      </c>
      <c r="DA44" s="2">
        <f>Table7[[#This Row],[WaistS Res]]^2</f>
        <v>8.3187378517155935E-3</v>
      </c>
      <c r="DB44">
        <f>Regression!$M$29+(Regression!$M$28*Table83[[#This Row],[BMI]])</f>
        <v>44.846651136687342</v>
      </c>
      <c r="DC44" s="2">
        <f>Table83[[#This Row],[Waist]]-Table7[[#This Row],[Waist v BMI]]</f>
        <v>-0.34665113668734193</v>
      </c>
      <c r="DD44" s="2">
        <f>Table7[[#This Row],[WaistBMI Res]]^2</f>
        <v>0.12016701056662622</v>
      </c>
      <c r="DE44">
        <f>Regression!$N$29+(Regression!$N$28*Table83[[#This Row],[CBF]])</f>
        <v>44.105031770433015</v>
      </c>
      <c r="DF44" s="2">
        <f>Table83[[#This Row],[Waist]]-Table7[[#This Row],[Waist v  CBF]]</f>
        <v>0.39496822956698452</v>
      </c>
      <c r="DG44" s="2">
        <f>Table7[[#This Row],[WaistCBF Res]]^2</f>
        <v>0.15599990236727818</v>
      </c>
      <c r="DH44">
        <f>Regression!$O$29+(Regression!$O$28*Table83[[#This Row],[Gym]])</f>
        <v>44.347222222222221</v>
      </c>
      <c r="DI44" s="2">
        <f>Table83[[#This Row],[Waist]]-Table7[[#This Row],[Waist v  Gym]]</f>
        <v>0.15277777777777857</v>
      </c>
      <c r="DJ44" s="2">
        <f>Table7[[#This Row],[WaistGYM Res]]^2</f>
        <v>2.3341049382716292E-2</v>
      </c>
      <c r="DK44">
        <f>Regression!$P$29+(Regression!$P$28*Table83[[#This Row],[Cardio]])</f>
        <v>44.291666666666664</v>
      </c>
      <c r="DL44" s="2">
        <f>Table83[[#This Row],[Waist]]-Table7[[#This Row],[Waist v Cardio]]</f>
        <v>0.2083333333333357</v>
      </c>
      <c r="DM44" s="2">
        <f>Table7[[#This Row],[WaistC Res]]^2</f>
        <v>4.3402777777778762E-2</v>
      </c>
      <c r="DN44">
        <f>Regression!$Q$29+(Regression!$Q$28*Table83[[#This Row],[Calories]])</f>
        <v>44.446593409218913</v>
      </c>
      <c r="DO44" s="2">
        <f>Table83[[#This Row],[Waist]]-Table7[[#This Row],[Waist v Calories]]</f>
        <v>5.3406590781087004E-2</v>
      </c>
      <c r="DP44" s="2">
        <f>Table7[[#This Row],[WaistCal Res]]^2</f>
        <v>2.8522639388584873E-3</v>
      </c>
      <c r="DQ44">
        <f>Regression!$R$29+(Regression!$R$28*Table83[[#This Row],[Carbs]])</f>
        <v>44.475710728757335</v>
      </c>
      <c r="DR44" s="2">
        <f>Table83[[#This Row],[Waist]]-Table7[[#This Row],[Waist v Carbs]]</f>
        <v>2.4289271242665222E-2</v>
      </c>
      <c r="DS44" s="2">
        <f>Table7[[#This Row],[WaistCarb Res]]^2</f>
        <v>5.8996869749976374E-4</v>
      </c>
      <c r="DT44">
        <f>Regression!$S$29+(Regression!$S$28*Table83[[#This Row],[Fat ]])</f>
        <v>44.399213095261317</v>
      </c>
      <c r="DU44" s="2">
        <f>Table83[[#This Row],[Waist]]-Table7[[#This Row],[Waist v Fat]]</f>
        <v>0.10078690473868335</v>
      </c>
      <c r="DV44" s="2">
        <f>Table7[[#This Row],[WaistF Res]]^2</f>
        <v>1.0158000166804432E-2</v>
      </c>
      <c r="DW44">
        <f>Regression!$T$29+(Regression!$T$28*Table83[[#This Row],[Protein]])</f>
        <v>44.595352392794517</v>
      </c>
      <c r="DX44" s="2">
        <f>Table83[[#This Row],[Waist]]-Table7[[#This Row],[Waist v Protein]]</f>
        <v>-9.5352392794517016E-2</v>
      </c>
      <c r="DY44" s="2">
        <f>Table7[[#This Row],[WaistP Res]]^2</f>
        <v>9.0920788116398612E-3</v>
      </c>
      <c r="DZ44">
        <f>Regression!$U$29+(Regression!$U$28*Table83[[#This Row],[Fiber]])</f>
        <v>44.448455794845877</v>
      </c>
      <c r="EA44" s="2">
        <f>Table83[[#This Row],[Waist]]-Table7[[#This Row],[Waist v Fiber]]</f>
        <v>5.1544205154122835E-2</v>
      </c>
      <c r="EB44" s="2">
        <f>Table7[[#This Row],[WaistFib Res]]^2</f>
        <v>2.6568050849703029E-3</v>
      </c>
      <c r="EC44">
        <f>Regression!$V$29+(Regression!$V$28*Table83[[#This Row],[Sugar]])</f>
        <v>44.589527878241924</v>
      </c>
      <c r="ED44" s="2">
        <f>Table83[[#This Row],[Waist]]-Table7[[#This Row],[Waist v Sugar]]</f>
        <v>-8.9527878241923986E-2</v>
      </c>
      <c r="EE44" s="2">
        <f>Table7[[#This Row],[WaistSugar Res]]^2</f>
        <v>8.0152409825007664E-3</v>
      </c>
      <c r="EF44">
        <f>Regression!$W$29+(Regression!$W$28*Table83[[#This Row],[Servings]])</f>
        <v>44.718537201260126</v>
      </c>
      <c r="EG44" s="2">
        <f>Table83[[#This Row],[Waist]]-Table7[[#This Row],[Waist v Servings]]</f>
        <v>-0.21853720126012632</v>
      </c>
      <c r="EH44" s="2">
        <f>Table7[[#This Row],[WaistServ Res]]^2</f>
        <v>4.7758508334608957E-2</v>
      </c>
      <c r="EI44">
        <f>Regression!$X$29+(Regression!$X$28*Table83[[#This Row],[Water]])</f>
        <v>44.386198474840633</v>
      </c>
      <c r="EJ44" s="2">
        <f>Table83[[#This Row],[Waist]]-Table7[[#This Row],[Waist v Water]]</f>
        <v>0.11380152515936715</v>
      </c>
      <c r="EK44" s="2">
        <f>Table7[[#This Row],[WaistWat Res]]^2</f>
        <v>1.2950787128598073E-2</v>
      </c>
      <c r="EL44">
        <f>Regression!$Y$29+(Regression!$Y$28*Table83[[#This Row],[Fat Calories]])</f>
        <v>44.394537150195653</v>
      </c>
      <c r="EM44" s="2">
        <f>Table83[[#This Row],[Waist]]-Table7[[#This Row],[Waist v Fat Calories]]</f>
        <v>0.10546284980434706</v>
      </c>
      <c r="EN44" s="2">
        <f>Table7[[#This Row],[WaistFatCal Res]]^2</f>
        <v>1.1122412688854267E-2</v>
      </c>
    </row>
    <row r="45" spans="1:144" x14ac:dyDescent="0.25">
      <c r="A45">
        <f>Regression!$B$10+(Regression!$B$9*Table83[[#This Row],[Waist]])</f>
        <v>255.38023686459636</v>
      </c>
      <c r="B45" s="2">
        <f>Table83[[#This Row],[Weight]]-Table7[[#This Row],[Weight v Waist]]</f>
        <v>4.6197631354036446</v>
      </c>
      <c r="C45" s="2">
        <f>Table7[[#This Row],[Weight v Waist Res]]^2</f>
        <v>21.342211427234513</v>
      </c>
      <c r="D45">
        <f>Regression!$C$10+(Regression!$C$9*Table83[[#This Row],[Neck]])</f>
        <v>260.39308108104251</v>
      </c>
      <c r="E45" s="2">
        <f>Table83[[#This Row],[Weight]]-Table7[[#This Row],[Weight v Neck]]</f>
        <v>-0.39308108104251005</v>
      </c>
      <c r="F45" s="2">
        <f>Table7[[#This Row],[WN Res]]^2</f>
        <v>0.15451273627354836</v>
      </c>
      <c r="G45">
        <f>Regression!$D$10+(Regression!$D$9*Table83[[#This Row],[Morning Body Temp]])</f>
        <v>254.7075736779725</v>
      </c>
      <c r="H45" s="2">
        <f>Table83[[#This Row],[Weight]]-Table7[[#This Row],[Weight v Morning Temp]]</f>
        <v>5.2924263220274952</v>
      </c>
      <c r="I45" s="2">
        <f>Table7[[#This Row],[WMT Res]]^2</f>
        <v>28.00977637408948</v>
      </c>
      <c r="J45">
        <f>Regression!$E$10+(Regression!$E$9*Table83[[#This Row],[Morning Systolic Pressure]])</f>
        <v>254.60363738625813</v>
      </c>
      <c r="K45" s="2">
        <f>Table83[[#This Row],[Weight]]-Table7[[#This Row],[Weight v Morning Sys]]</f>
        <v>5.3963626137418714</v>
      </c>
      <c r="L45" s="2">
        <f>Table7[[#This Row],[WMS Res]]^2</f>
        <v>29.120729458991001</v>
      </c>
      <c r="M45">
        <f>Regression!$F$10+(Regression!$F$9*Table83[[#This Row],[Morning Diastolic Pressure]])</f>
        <v>256.62220363291988</v>
      </c>
      <c r="N45" s="2">
        <f>Table83[[#This Row],[Weight]]-Table7[[#This Row],[Weight v Morning Dia]]</f>
        <v>3.3777963670801228</v>
      </c>
      <c r="O45" s="2">
        <f>Table7[[#This Row],[WMD Res]]^2</f>
        <v>11.409508297459675</v>
      </c>
      <c r="P45">
        <f>Regression!$G$10+(Regression!$G$9*Table83[[#This Row],[Morning Pulse]])</f>
        <v>255.11364509439846</v>
      </c>
      <c r="Q45" s="2">
        <f>Table83[[#This Row],[Weight]]-Table7[[#This Row],[Weight v Morning Pulse]]</f>
        <v>4.8863549056015358</v>
      </c>
      <c r="R45" s="2">
        <f>Table7[[#This Row],[WMP Res]]^2</f>
        <v>23.876464263496196</v>
      </c>
      <c r="S45">
        <f>Regression!$H$10+(Regression!$H$9*Table83[[#This Row],[Night Body Temp]])</f>
        <v>255.05687981848845</v>
      </c>
      <c r="T45" s="2">
        <f>Table83[[#This Row],[Weight]]-Table7[[#This Row],[Weight v Night Temp]]</f>
        <v>4.9431201815115458</v>
      </c>
      <c r="U45" s="2">
        <f>Table7[[#This Row],[WNT Res]]^2</f>
        <v>24.434437128866737</v>
      </c>
      <c r="V45">
        <f>Regression!$I$10+(Regression!$I$9*Table83[[#This Row],[Night Systolic Pressure]])</f>
        <v>253.2883295466263</v>
      </c>
      <c r="W45" s="2">
        <f>Table83[[#This Row],[Weight]]-Table7[[#This Row],[Weight v Night Sys]]</f>
        <v>6.7116704533736993</v>
      </c>
      <c r="X45" s="2">
        <f>Table7[[#This Row],[WNS Res]]^2</f>
        <v>45.04652027468952</v>
      </c>
      <c r="Y45">
        <f>Regression!$J$10+(Regression!$J$9*Table83[[#This Row],[Night Diastolic Pressure]])</f>
        <v>254.48082834800456</v>
      </c>
      <c r="Z45" s="2">
        <f>Table83[[#This Row],[Weight]]-Table7[[#This Row],[Weight v Night Dia]]</f>
        <v>5.5191716519954355</v>
      </c>
      <c r="AA45" s="2">
        <f>Table7[[#This Row],[WND Res]]^2</f>
        <v>30.461255724190025</v>
      </c>
      <c r="AB45">
        <f>Regression!$K$10+(Regression!$K$9*Table83[[#This Row],[Night Pulse]])</f>
        <v>255.38657183987178</v>
      </c>
      <c r="AC45" s="2">
        <f>Table83[[#This Row],[Weight]]-Table7[[#This Row],[Weight v Night Pulse]]</f>
        <v>4.6134281601282225</v>
      </c>
      <c r="AD45" s="2">
        <f>Table7[[#This Row],[WNP Res ]]^2</f>
        <v>21.283719388664078</v>
      </c>
      <c r="AE45">
        <f>Regression!$L$10+(Regression!$L$9*Table83[[#This Row],[Sleep]])</f>
        <v>255.13702972738133</v>
      </c>
      <c r="AF45" s="2">
        <f>Table83[[#This Row],[Weight]]-Table7[[#This Row],[Weight v Sleep]]</f>
        <v>4.8629702726186679</v>
      </c>
      <c r="AG45" s="2">
        <f>Table7[[#This Row],[WS Res]]^2</f>
        <v>23.648479872372882</v>
      </c>
      <c r="AH45">
        <f>Regression!$M$10+(Regression!$M$9*Table83[[#This Row],[BMI]])</f>
        <v>259.99999999998909</v>
      </c>
      <c r="AI45" s="2">
        <f>Table83[[#This Row],[Weight]]-Table7[[#This Row],[Weight v BMI]]</f>
        <v>1.0913936421275139E-11</v>
      </c>
      <c r="AJ45" s="2">
        <f>Table7[[#This Row],[WBMI Res]]^2</f>
        <v>1.1911400820763599E-22</v>
      </c>
      <c r="AK45">
        <f>Regression!$N$10+(Regression!$N$9*Table83[[#This Row],[CBF]])</f>
        <v>253.17965033701802</v>
      </c>
      <c r="AL45" s="2">
        <f>Table83[[#This Row],[Weight]]-Table7[[#This Row],[Weight v CBF]]</f>
        <v>6.8203496629819824</v>
      </c>
      <c r="AM45" s="2">
        <f>Table7[[#This Row],[WCBF Res]]^2</f>
        <v>46.517169525338439</v>
      </c>
      <c r="AN45">
        <f>Regression!$O$10+(Regression!$O$9*Table83[[#This Row],[Gym]])</f>
        <v>254.72962962962998</v>
      </c>
      <c r="AO45" s="2">
        <f>Table83[[#This Row],[Weight]]-Table7[[#This Row],[Weight v Gym]]</f>
        <v>5.2703703703700171</v>
      </c>
      <c r="AP45" s="2">
        <f>Table7[[#This Row],[WG Res]]^2</f>
        <v>27.776803840874191</v>
      </c>
      <c r="AQ45">
        <f>Regression!$P$10+(Regression!$P$9*Table83[[#This Row],[Cardio]])</f>
        <v>254.19242424242461</v>
      </c>
      <c r="AR45" s="2">
        <f>Table83[[#This Row],[Weight]]-Table7[[#This Row],[Weight v Cardio]]</f>
        <v>5.8075757575753926</v>
      </c>
      <c r="AS45" s="2">
        <f>Table7[[#This Row],[WC Res]]^2</f>
        <v>33.727936179977398</v>
      </c>
      <c r="AT45">
        <f>Regression!$Q$10+(Regression!$Q$9*Table83[[#This Row],[Calories]])</f>
        <v>254.47513944219534</v>
      </c>
      <c r="AU45" s="2">
        <f>Table83[[#This Row],[Weight]]-Table7[[#This Row],[Weight v Calories]]</f>
        <v>5.5248605578046579</v>
      </c>
      <c r="AV45" s="2">
        <f>Table7[[#This Row],[WCAL Res]]^2</f>
        <v>30.524084183185597</v>
      </c>
      <c r="AW45">
        <f>Regression!$R$10+(Regression!$R$9*Table83[[#This Row],[Carbs]])</f>
        <v>254.55763549637314</v>
      </c>
      <c r="AX45" s="2">
        <f>Table83[[#This Row],[Weight]]-Table7[[#This Row],[Weight v Carbs]]</f>
        <v>5.4423645036268624</v>
      </c>
      <c r="AY45" s="2">
        <f>Table7[[#This Row],[Wcarb Res]]^2</f>
        <v>29.619331390337663</v>
      </c>
      <c r="AZ45">
        <f>Regression!$S$10+(Regression!$S$9*Table83[[#This Row],[Fat ]])</f>
        <v>254.55868859804747</v>
      </c>
      <c r="BA45" s="2">
        <f>Table83[[#This Row],[Weight]]-Table7[[#This Row],[Weight v Fat]]</f>
        <v>5.4413114019525324</v>
      </c>
      <c r="BB45" s="2">
        <f>Table7[[#This Row],[WF Res]]^2</f>
        <v>29.607869773018635</v>
      </c>
      <c r="BC45">
        <f>Regression!$T$10+(Regression!$T$9*Table83[[#This Row],[Protein]])</f>
        <v>254.78909414733275</v>
      </c>
      <c r="BD45" s="2">
        <f>Table83[[#This Row],[Weight]]-Table7[[#This Row],[Weight v Protein]]</f>
        <v>5.2109058526672527</v>
      </c>
      <c r="BE45" s="2">
        <f>Table7[[#This Row],[WP Res]]^2</f>
        <v>27.153539805361827</v>
      </c>
      <c r="BF45">
        <f>Regression!$U$10+(Regression!$U$9*Table83[[#This Row],[Fiber]])</f>
        <v>255.15824983550823</v>
      </c>
      <c r="BG45" s="2">
        <f>Table83[[#This Row],[Weight]]-Table7[[#This Row],[Weight v Fiber]]</f>
        <v>4.8417501644917706</v>
      </c>
      <c r="BH45" s="2">
        <f>Table7[[#This Row],[Wfib Res]]^2</f>
        <v>23.442544655356087</v>
      </c>
      <c r="BI45">
        <f>Regression!$V$10+(Regression!$V$9*Table83[[#This Row],[Sugar]])</f>
        <v>254.75043916707929</v>
      </c>
      <c r="BJ45" s="2">
        <f>Table83[[#This Row],[Weight]]-Table7[[#This Row],[Weight v Sugar]]</f>
        <v>5.2495608329207073</v>
      </c>
      <c r="BK45" s="2">
        <f>Table7[[#This Row],[Wsugar Res]]^2</f>
        <v>27.55788893853515</v>
      </c>
      <c r="BL45">
        <f>Regression!$W$10+(Regression!$W$9*Table83[[#This Row],[Servings]])</f>
        <v>254.44361513212223</v>
      </c>
      <c r="BM45" s="2">
        <f>Table83[[#This Row],[Weight]]-Table7[[#This Row],[Weight v Servings]]</f>
        <v>5.5563848678777674</v>
      </c>
      <c r="BN45" s="2">
        <f>Table7[[#This Row],[Wserv Res]]^2</f>
        <v>30.873412799981036</v>
      </c>
      <c r="BO45">
        <f>Regression!$X$10+(Regression!$X$9*Table83[[#This Row],[Water]])</f>
        <v>255.06345001025522</v>
      </c>
      <c r="BP45" s="2">
        <f>Table83[[#This Row],[Weight]]-Table7[[#This Row],[Weight v Water]]</f>
        <v>4.9365499897447762</v>
      </c>
      <c r="BQ45" s="2">
        <f>Table7[[#This Row],[Wwater Res]]^2</f>
        <v>24.36952580124915</v>
      </c>
      <c r="BR45">
        <f>Regression!$Y$10+(Regression!$Y$9*Table83[[#This Row],[Fat Calories]])</f>
        <v>254.51808026995732</v>
      </c>
      <c r="BS45" s="2">
        <f>Table83[[#This Row],[Weight]]-Table7[[#This Row],[Weight v Fat Calories]]</f>
        <v>5.4819197300426765</v>
      </c>
      <c r="BT45" s="2">
        <f>Table7[[#This Row],[WFC Res]]^2</f>
        <v>30.051443926631173</v>
      </c>
      <c r="BU45">
        <f>Regression!$B$29+(Regression!$B$28*Table83[[#This Row],[Weight]])</f>
        <v>45.119176157828555</v>
      </c>
      <c r="BV45" s="2">
        <f>Table83[[#This Row],[Waist]]-Table7[[#This Row],[Waist v Weight]]</f>
        <v>-0.61917615782855506</v>
      </c>
      <c r="BW45" s="2">
        <f>Table7[[#This Row],[WaistW Res]]^2</f>
        <v>0.38337911442333172</v>
      </c>
      <c r="BX45">
        <f>Regression!$C$29+(Regression!$C$28*Table83[[#This Row],[Neck]])</f>
        <v>45.258648648648581</v>
      </c>
      <c r="BY45" s="2">
        <f>Table83[[#This Row],[Waist]]-Table7[[#This Row],[Waist v Neck]]</f>
        <v>-0.75864864864858106</v>
      </c>
      <c r="BZ45" s="2">
        <f>Table7[[#This Row],[WaistN Res]]^2</f>
        <v>0.57554777209631824</v>
      </c>
      <c r="CA45">
        <f>Regression!$D$29+(Regression!$D$28*Table83[[#This Row],[Morning Body Temp]])</f>
        <v>44.342717051701939</v>
      </c>
      <c r="CB45" s="2">
        <f>Table83[[#This Row],[Waist]]-Table7[[#This Row],[Waist v Morning Temp]]</f>
        <v>0.15728294829806089</v>
      </c>
      <c r="CC45" s="2">
        <f>Table7[[#This Row],[WaistMT Res]]^2</f>
        <v>2.4737925825330496E-2</v>
      </c>
      <c r="CD45">
        <f>Regression!$E$29+(Regression!$E$28*Table83[[#This Row],[Morning Systolic Pressure]])</f>
        <v>44.333390269727509</v>
      </c>
      <c r="CE45" s="2">
        <f>Table83[[#This Row],[Waist]]-Table7[[#This Row],[Waist v Morning Sys]]</f>
        <v>0.16660973027249071</v>
      </c>
      <c r="CF45" s="2">
        <f>Table7[[#This Row],[WaistMS Res]]^2</f>
        <v>2.7758802221472107E-2</v>
      </c>
      <c r="CG45">
        <f>Regression!$F$29+(Regression!$F$28*Table83[[#This Row],[Morning Diastolic Pressure]])</f>
        <v>44.537350978177074</v>
      </c>
      <c r="CH45" s="2">
        <f>Table83[[#This Row],[Waist]]-Table7[[#This Row],[Waist v Morning Dia]]</f>
        <v>-3.7350978177073557E-2</v>
      </c>
      <c r="CI45" s="2">
        <f>Table7[[#This Row],[WaistMD Res]]^2</f>
        <v>1.3950955707842251E-3</v>
      </c>
      <c r="CJ45">
        <f>Regression!$G$29+(Regression!$G$28*Table83[[#This Row],[Morning Pulse]])</f>
        <v>44.452897194932582</v>
      </c>
      <c r="CK45" s="2">
        <f>Table83[[#This Row],[Waist]]-Table7[[#This Row],[Waist v Morning Pulse]]</f>
        <v>4.7102805067417819E-2</v>
      </c>
      <c r="CL45" s="2">
        <f>Table7[[#This Row],[WaistMP Res]]^2</f>
        <v>2.2186742452191617E-3</v>
      </c>
      <c r="CM45">
        <f>Regression!$H$29+(Regression!$H$28*Table83[[#This Row],[Night Body Temp]])</f>
        <v>44.448953954659181</v>
      </c>
      <c r="CN45" s="2">
        <f>Table83[[#This Row],[Waist]]-Table7[[#This Row],[Waist v Night Temp]]</f>
        <v>5.104604534081858E-2</v>
      </c>
      <c r="CO45" s="2">
        <f>Table7[[#This Row],[WaistNT Res]]^2</f>
        <v>2.605698744936906E-3</v>
      </c>
      <c r="CP45">
        <f>Regression!$I$29+(Regression!$I$28*Table83[[#This Row],[Night Systolic Pressure]])</f>
        <v>44.194777257444173</v>
      </c>
      <c r="CQ45" s="2">
        <f>Table83[[#This Row],[Waist]]-Table7[[#This Row],[Waist v  Night Sys]]</f>
        <v>0.30522274255582715</v>
      </c>
      <c r="CR45" s="2">
        <f>Table7[[#This Row],[WaistNS Res]]^2</f>
        <v>9.3160922573300733E-2</v>
      </c>
      <c r="CS45">
        <f>Regression!$J$29+(Regression!$J$28*Table83[[#This Row],[Night Diastolic Pressure]])</f>
        <v>44.188004887834659</v>
      </c>
      <c r="CT45" s="2">
        <f>Table83[[#This Row],[Waist]]-Table7[[#This Row],[Waist v Night Dia]]</f>
        <v>0.31199511216534148</v>
      </c>
      <c r="CU45" s="2">
        <f>Table7[[#This Row],[WaistND Res]]^2</f>
        <v>9.7340950015064015E-2</v>
      </c>
      <c r="CV45">
        <f>Regression!$K$29+(Regression!$K$28*Table83[[#This Row],[Night Pulse]])</f>
        <v>44.428284163144653</v>
      </c>
      <c r="CW45" s="2">
        <f>Table83[[#This Row],[Waist]]-Table7[[#This Row],[Waist v Night Pulse]]</f>
        <v>7.1715836855346993E-2</v>
      </c>
      <c r="CX45" s="2">
        <f>Table7[[#This Row],[WaistNP Res]]^2</f>
        <v>5.1431612558627462E-3</v>
      </c>
      <c r="CY45">
        <f>Regression!$L$29+(Regression!$L$28*Table83[[#This Row],[Sleep]])</f>
        <v>44.456891852858099</v>
      </c>
      <c r="CZ45" s="2">
        <f>Table83[[#This Row],[Waist]]-Table7[[#This Row],[Waist v  Sleep]]</f>
        <v>4.3108147141900588E-2</v>
      </c>
      <c r="DA45" s="2">
        <f>Table7[[#This Row],[WaistS Res]]^2</f>
        <v>1.8583123500077519E-3</v>
      </c>
      <c r="DB45">
        <f>Regression!$M$29+(Regression!$M$28*Table83[[#This Row],[BMI]])</f>
        <v>45.119176157826445</v>
      </c>
      <c r="DC45" s="2">
        <f>Table83[[#This Row],[Waist]]-Table7[[#This Row],[Waist v BMI]]</f>
        <v>-0.61917615782644475</v>
      </c>
      <c r="DD45" s="2">
        <f>Table7[[#This Row],[WaistBMI Res]]^2</f>
        <v>0.38337911442071843</v>
      </c>
      <c r="DE45">
        <f>Regression!$N$29+(Regression!$N$28*Table83[[#This Row],[CBF]])</f>
        <v>44.105031770433015</v>
      </c>
      <c r="DF45" s="2">
        <f>Table83[[#This Row],[Waist]]-Table7[[#This Row],[Waist v  CBF]]</f>
        <v>0.39496822956698452</v>
      </c>
      <c r="DG45" s="2">
        <f>Table7[[#This Row],[WaistCBF Res]]^2</f>
        <v>0.15599990236727818</v>
      </c>
      <c r="DH45">
        <f>Regression!$O$29+(Regression!$O$28*Table83[[#This Row],[Gym]])</f>
        <v>44.347222222222221</v>
      </c>
      <c r="DI45" s="2">
        <f>Table83[[#This Row],[Waist]]-Table7[[#This Row],[Waist v  Gym]]</f>
        <v>0.15277777777777857</v>
      </c>
      <c r="DJ45" s="2">
        <f>Table7[[#This Row],[WaistGYM Res]]^2</f>
        <v>2.3341049382716292E-2</v>
      </c>
      <c r="DK45">
        <f>Regression!$P$29+(Regression!$P$28*Table83[[#This Row],[Cardio]])</f>
        <v>44.291666666666664</v>
      </c>
      <c r="DL45" s="2">
        <f>Table83[[#This Row],[Waist]]-Table7[[#This Row],[Waist v Cardio]]</f>
        <v>0.2083333333333357</v>
      </c>
      <c r="DM45" s="2">
        <f>Table7[[#This Row],[WaistC Res]]^2</f>
        <v>4.3402777777778762E-2</v>
      </c>
      <c r="DN45">
        <f>Regression!$Q$29+(Regression!$Q$28*Table83[[#This Row],[Calories]])</f>
        <v>44.309767406065092</v>
      </c>
      <c r="DO45" s="2">
        <f>Table83[[#This Row],[Waist]]-Table7[[#This Row],[Waist v Calories]]</f>
        <v>0.19023259393490832</v>
      </c>
      <c r="DP45" s="2">
        <f>Table7[[#This Row],[WaistCal Res]]^2</f>
        <v>3.6188439795203718E-2</v>
      </c>
      <c r="DQ45">
        <f>Regression!$R$29+(Regression!$R$28*Table83[[#This Row],[Carbs]])</f>
        <v>44.337490734401555</v>
      </c>
      <c r="DR45" s="2">
        <f>Table83[[#This Row],[Waist]]-Table7[[#This Row],[Waist v Carbs]]</f>
        <v>0.16250926559844459</v>
      </c>
      <c r="DS45" s="2">
        <f>Table7[[#This Row],[WaistCarb Res]]^2</f>
        <v>2.6409261405345805E-2</v>
      </c>
      <c r="DT45">
        <f>Regression!$S$29+(Regression!$S$28*Table83[[#This Row],[Fat ]])</f>
        <v>44.283473674876618</v>
      </c>
      <c r="DU45" s="2">
        <f>Table83[[#This Row],[Waist]]-Table7[[#This Row],[Waist v Fat]]</f>
        <v>0.21652632512338243</v>
      </c>
      <c r="DV45" s="2">
        <f>Table7[[#This Row],[WaistF Res]]^2</f>
        <v>4.6883649471436716E-2</v>
      </c>
      <c r="DW45">
        <f>Regression!$T$29+(Regression!$T$28*Table83[[#This Row],[Protein]])</f>
        <v>44.393878846735916</v>
      </c>
      <c r="DX45" s="2">
        <f>Table83[[#This Row],[Waist]]-Table7[[#This Row],[Waist v Protein]]</f>
        <v>0.106121153264084</v>
      </c>
      <c r="DY45" s="2">
        <f>Table7[[#This Row],[WaistP Res]]^2</f>
        <v>1.1261699170099206E-2</v>
      </c>
      <c r="DZ45">
        <f>Regression!$U$29+(Regression!$U$28*Table83[[#This Row],[Fiber]])</f>
        <v>44.470211129030005</v>
      </c>
      <c r="EA45" s="2">
        <f>Table83[[#This Row],[Waist]]-Table7[[#This Row],[Waist v Fiber]]</f>
        <v>2.9788870969994719E-2</v>
      </c>
      <c r="EB45" s="2">
        <f>Table7[[#This Row],[WaistFib Res]]^2</f>
        <v>8.873768336669941E-4</v>
      </c>
      <c r="EC45">
        <f>Regression!$V$29+(Regression!$V$28*Table83[[#This Row],[Sugar]])</f>
        <v>44.388042586709844</v>
      </c>
      <c r="ED45" s="2">
        <f>Table83[[#This Row],[Waist]]-Table7[[#This Row],[Waist v Sugar]]</f>
        <v>0.11195741329015618</v>
      </c>
      <c r="EE45" s="2">
        <f>Table7[[#This Row],[WaistSugar Res]]^2</f>
        <v>1.2534462390622841E-2</v>
      </c>
      <c r="EF45">
        <f>Regression!$W$29+(Regression!$W$28*Table83[[#This Row],[Servings]])</f>
        <v>44.351090925964229</v>
      </c>
      <c r="EG45" s="2">
        <f>Table83[[#This Row],[Waist]]-Table7[[#This Row],[Waist v Servings]]</f>
        <v>0.14890907403577103</v>
      </c>
      <c r="EH45" s="2">
        <f>Table7[[#This Row],[WaistServ Res]]^2</f>
        <v>2.2173912330190736E-2</v>
      </c>
      <c r="EI45">
        <f>Regression!$X$29+(Regression!$X$28*Table83[[#This Row],[Water]])</f>
        <v>44.386198474840633</v>
      </c>
      <c r="EJ45" s="2">
        <f>Table83[[#This Row],[Waist]]-Table7[[#This Row],[Waist v Water]]</f>
        <v>0.11380152515936715</v>
      </c>
      <c r="EK45" s="2">
        <f>Table7[[#This Row],[WaistWat Res]]^2</f>
        <v>1.2950787128598073E-2</v>
      </c>
      <c r="EL45">
        <f>Regression!$Y$29+(Regression!$Y$28*Table83[[#This Row],[Fat Calories]])</f>
        <v>44.271985904100433</v>
      </c>
      <c r="EM45" s="2">
        <f>Table83[[#This Row],[Waist]]-Table7[[#This Row],[Waist v Fat Calories]]</f>
        <v>0.22801409589956734</v>
      </c>
      <c r="EN45" s="2">
        <f>Table7[[#This Row],[WaistFatCal Res]]^2</f>
        <v>5.199042792889709E-2</v>
      </c>
    </row>
    <row r="46" spans="1:144" x14ac:dyDescent="0.25">
      <c r="A46">
        <f>Regression!$B$10+(Regression!$B$9*Table83[[#This Row],[Waist]])</f>
        <v>255.38023686459636</v>
      </c>
      <c r="B46" s="2">
        <f>Table83[[#This Row],[Weight]]-Table7[[#This Row],[Weight v Waist]]</f>
        <v>3.8197631354036332</v>
      </c>
      <c r="C46" s="2">
        <f>Table7[[#This Row],[Weight v Waist Res]]^2</f>
        <v>14.590590410588595</v>
      </c>
      <c r="D46">
        <f>Regression!$C$10+(Regression!$C$9*Table83[[#This Row],[Neck]])</f>
        <v>260.39308108104251</v>
      </c>
      <c r="E46" s="2">
        <f>Table83[[#This Row],[Weight]]-Table7[[#This Row],[Weight v Neck]]</f>
        <v>-1.1930810810425214</v>
      </c>
      <c r="F46" s="2">
        <f>Table7[[#This Row],[WN Res]]^2</f>
        <v>1.4234424659415916</v>
      </c>
      <c r="G46">
        <f>Regression!$D$10+(Regression!$D$9*Table83[[#This Row],[Morning Body Temp]])</f>
        <v>254.63717512375013</v>
      </c>
      <c r="H46" s="2">
        <f>Table83[[#This Row],[Weight]]-Table7[[#This Row],[Weight v Morning Temp]]</f>
        <v>4.5628248762498629</v>
      </c>
      <c r="I46" s="2">
        <f>Table7[[#This Row],[WMT Res]]^2</f>
        <v>20.819370851324578</v>
      </c>
      <c r="J46">
        <f>Regression!$E$10+(Regression!$E$9*Table83[[#This Row],[Morning Systolic Pressure]])</f>
        <v>254.6937917939849</v>
      </c>
      <c r="K46" s="2">
        <f>Table83[[#This Row],[Weight]]-Table7[[#This Row],[Weight v Morning Sys]]</f>
        <v>4.5062082060150885</v>
      </c>
      <c r="L46" s="2">
        <f>Table7[[#This Row],[WMS Res]]^2</f>
        <v>20.305912395957723</v>
      </c>
      <c r="M46">
        <f>Regression!$F$10+(Regression!$F$9*Table83[[#This Row],[Morning Diastolic Pressure]])</f>
        <v>256.11548238769547</v>
      </c>
      <c r="N46" s="2">
        <f>Table83[[#This Row],[Weight]]-Table7[[#This Row],[Weight v Morning Dia]]</f>
        <v>3.0845176123045235</v>
      </c>
      <c r="O46" s="2">
        <f>Table7[[#This Row],[WMD Res]]^2</f>
        <v>9.5142489006167992</v>
      </c>
      <c r="P46">
        <f>Regression!$G$10+(Regression!$G$9*Table83[[#This Row],[Morning Pulse]])</f>
        <v>255.10633391136972</v>
      </c>
      <c r="Q46" s="2">
        <f>Table83[[#This Row],[Weight]]-Table7[[#This Row],[Weight v Morning Pulse]]</f>
        <v>4.0936660886302718</v>
      </c>
      <c r="R46" s="2">
        <f>Table7[[#This Row],[WMP Res]]^2</f>
        <v>16.758102045201468</v>
      </c>
      <c r="S46">
        <f>Regression!$H$10+(Regression!$H$9*Table83[[#This Row],[Night Body Temp]])</f>
        <v>255.46766610041516</v>
      </c>
      <c r="T46" s="2">
        <f>Table83[[#This Row],[Weight]]-Table7[[#This Row],[Weight v Night Temp]]</f>
        <v>3.7323338995848303</v>
      </c>
      <c r="U46" s="2">
        <f>Table7[[#This Row],[WNT Res]]^2</f>
        <v>13.930316337990106</v>
      </c>
      <c r="V46">
        <f>Regression!$I$10+(Regression!$I$9*Table83[[#This Row],[Night Systolic Pressure]])</f>
        <v>252.9803950445409</v>
      </c>
      <c r="W46" s="2">
        <f>Table83[[#This Row],[Weight]]-Table7[[#This Row],[Weight v Night Sys]]</f>
        <v>6.21960495545909</v>
      </c>
      <c r="X46" s="2">
        <f>Table7[[#This Row],[WNS Res]]^2</f>
        <v>38.683485801971266</v>
      </c>
      <c r="Y46">
        <f>Regression!$J$10+(Regression!$J$9*Table83[[#This Row],[Night Diastolic Pressure]])</f>
        <v>254.68465769008509</v>
      </c>
      <c r="Z46" s="2">
        <f>Table83[[#This Row],[Weight]]-Table7[[#This Row],[Weight v Night Dia]]</f>
        <v>4.5153423099148995</v>
      </c>
      <c r="AA46" s="2">
        <f>Table7[[#This Row],[WND Res]]^2</f>
        <v>20.388316175707619</v>
      </c>
      <c r="AB46">
        <f>Regression!$K$10+(Regression!$K$9*Table83[[#This Row],[Night Pulse]])</f>
        <v>255.35585850863504</v>
      </c>
      <c r="AC46" s="2">
        <f>Table83[[#This Row],[Weight]]-Table7[[#This Row],[Weight v Night Pulse]]</f>
        <v>3.844141491364951</v>
      </c>
      <c r="AD46" s="2">
        <f>Table7[[#This Row],[WNP Res ]]^2</f>
        <v>14.77742380563355</v>
      </c>
      <c r="AE46">
        <f>Regression!$L$10+(Regression!$L$9*Table83[[#This Row],[Sleep]])</f>
        <v>255.76797809412898</v>
      </c>
      <c r="AF46" s="2">
        <f>Table83[[#This Row],[Weight]]-Table7[[#This Row],[Weight v Sleep]]</f>
        <v>3.4320219058710109</v>
      </c>
      <c r="AG46" s="2">
        <f>Table7[[#This Row],[WS Res]]^2</f>
        <v>11.778774362378485</v>
      </c>
      <c r="AH46">
        <f>Regression!$M$10+(Regression!$M$9*Table83[[#This Row],[BMI]])</f>
        <v>259.19999999999084</v>
      </c>
      <c r="AI46" s="2">
        <f>Table83[[#This Row],[Weight]]-Table7[[#This Row],[Weight v BMI]]</f>
        <v>9.1517904365900904E-12</v>
      </c>
      <c r="AJ46" s="2">
        <f>Table7[[#This Row],[WBMI Res]]^2</f>
        <v>8.3755268195261837E-23</v>
      </c>
      <c r="AK46">
        <f>Regression!$N$10+(Regression!$N$9*Table83[[#This Row],[CBF]])</f>
        <v>253.17965033701802</v>
      </c>
      <c r="AL46" s="2">
        <f>Table83[[#This Row],[Weight]]-Table7[[#This Row],[Weight v CBF]]</f>
        <v>6.0203496629819711</v>
      </c>
      <c r="AM46" s="2">
        <f>Table7[[#This Row],[WCBF Res]]^2</f>
        <v>36.244610064567134</v>
      </c>
      <c r="AN46">
        <f>Regression!$O$10+(Regression!$O$9*Table83[[#This Row],[Gym]])</f>
        <v>254.72962962962998</v>
      </c>
      <c r="AO46" s="2">
        <f>Table83[[#This Row],[Weight]]-Table7[[#This Row],[Weight v Gym]]</f>
        <v>4.4703703703700057</v>
      </c>
      <c r="AP46" s="2">
        <f>Table7[[#This Row],[WG Res]]^2</f>
        <v>19.984211248282062</v>
      </c>
      <c r="AQ46">
        <f>Regression!$P$10+(Regression!$P$9*Table83[[#This Row],[Cardio]])</f>
        <v>254.19242424242461</v>
      </c>
      <c r="AR46" s="2">
        <f>Table83[[#This Row],[Weight]]-Table7[[#This Row],[Weight v Cardio]]</f>
        <v>5.0075757575753812</v>
      </c>
      <c r="AS46" s="2">
        <f>Table7[[#This Row],[WC Res]]^2</f>
        <v>25.075814967856655</v>
      </c>
      <c r="AT46">
        <f>Regression!$Q$10+(Regression!$Q$9*Table83[[#This Row],[Calories]])</f>
        <v>254.63164066842938</v>
      </c>
      <c r="AU46" s="2">
        <f>Table83[[#This Row],[Weight]]-Table7[[#This Row],[Weight v Calories]]</f>
        <v>4.5683593315706048</v>
      </c>
      <c r="AV46" s="2">
        <f>Table7[[#This Row],[WCAL Res]]^2</f>
        <v>20.869906982348223</v>
      </c>
      <c r="AW46">
        <f>Regression!$R$10+(Regression!$R$9*Table83[[#This Row],[Carbs]])</f>
        <v>254.38835663072231</v>
      </c>
      <c r="AX46" s="2">
        <f>Table83[[#This Row],[Weight]]-Table7[[#This Row],[Weight v Carbs]]</f>
        <v>4.8116433692776752</v>
      </c>
      <c r="AY46" s="2">
        <f>Table7[[#This Row],[Wcarb Res]]^2</f>
        <v>23.151911913113818</v>
      </c>
      <c r="AZ46">
        <f>Regression!$S$10+(Regression!$S$9*Table83[[#This Row],[Fat ]])</f>
        <v>255.04975230175495</v>
      </c>
      <c r="BA46" s="2">
        <f>Table83[[#This Row],[Weight]]-Table7[[#This Row],[Weight v Fat]]</f>
        <v>4.1502476982450389</v>
      </c>
      <c r="BB46" s="2">
        <f>Table7[[#This Row],[WF Res]]^2</f>
        <v>17.224555956788244</v>
      </c>
      <c r="BC46">
        <f>Regression!$T$10+(Regression!$T$9*Table83[[#This Row],[Protein]])</f>
        <v>253.98300359562387</v>
      </c>
      <c r="BD46" s="2">
        <f>Table83[[#This Row],[Weight]]-Table7[[#This Row],[Weight v Protein]]</f>
        <v>5.2169964043761183</v>
      </c>
      <c r="BE46" s="2">
        <f>Table7[[#This Row],[WP Res]]^2</f>
        <v>27.217051483273348</v>
      </c>
      <c r="BF46">
        <f>Regression!$U$10+(Regression!$U$9*Table83[[#This Row],[Fiber]])</f>
        <v>255.13870905852471</v>
      </c>
      <c r="BG46" s="2">
        <f>Table83[[#This Row],[Weight]]-Table7[[#This Row],[Weight v Fiber]]</f>
        <v>4.0612909414752778</v>
      </c>
      <c r="BH46" s="2">
        <f>Table7[[#This Row],[Wfib Res]]^2</f>
        <v>16.494084111309149</v>
      </c>
      <c r="BI46">
        <f>Regression!$V$10+(Regression!$V$9*Table83[[#This Row],[Sugar]])</f>
        <v>254.51864630761412</v>
      </c>
      <c r="BJ46" s="2">
        <f>Table83[[#This Row],[Weight]]-Table7[[#This Row],[Weight v Sugar]]</f>
        <v>4.6813536923858692</v>
      </c>
      <c r="BK46" s="2">
        <f>Table7[[#This Row],[Wsugar Res]]^2</f>
        <v>21.91507239321481</v>
      </c>
      <c r="BL46">
        <f>Regression!$W$10+(Regression!$W$9*Table83[[#This Row],[Servings]])</f>
        <v>254.0709225074836</v>
      </c>
      <c r="BM46" s="2">
        <f>Table83[[#This Row],[Weight]]-Table7[[#This Row],[Weight v Servings]]</f>
        <v>5.1290774925163873</v>
      </c>
      <c r="BN46" s="2">
        <f>Table7[[#This Row],[Wserv Res]]^2</f>
        <v>26.307435924238192</v>
      </c>
      <c r="BO46">
        <f>Regression!$X$10+(Regression!$X$9*Table83[[#This Row],[Water]])</f>
        <v>255.06345001025522</v>
      </c>
      <c r="BP46" s="2">
        <f>Table83[[#This Row],[Weight]]-Table7[[#This Row],[Weight v Water]]</f>
        <v>4.1365499897447648</v>
      </c>
      <c r="BQ46" s="2">
        <f>Table7[[#This Row],[Wwater Res]]^2</f>
        <v>17.111045817657413</v>
      </c>
      <c r="BR46">
        <f>Regression!$Y$10+(Regression!$Y$9*Table83[[#This Row],[Fat Calories]])</f>
        <v>255.04069558694101</v>
      </c>
      <c r="BS46" s="2">
        <f>Table83[[#This Row],[Weight]]-Table7[[#This Row],[Weight v Fat Calories]]</f>
        <v>4.159304413058976</v>
      </c>
      <c r="BT46" s="2">
        <f>Table7[[#This Row],[WFC Res]]^2</f>
        <v>17.299813200491872</v>
      </c>
      <c r="BU46">
        <f>Regression!$B$29+(Regression!$B$28*Table83[[#This Row],[Weight]])</f>
        <v>45.010166149372573</v>
      </c>
      <c r="BV46" s="2">
        <f>Table83[[#This Row],[Waist]]-Table7[[#This Row],[Waist v Weight]]</f>
        <v>-0.51016614937257287</v>
      </c>
      <c r="BW46" s="2">
        <f>Table7[[#This Row],[WaistW Res]]^2</f>
        <v>0.26026949996563836</v>
      </c>
      <c r="BX46">
        <f>Regression!$C$29+(Regression!$C$28*Table83[[#This Row],[Neck]])</f>
        <v>45.258648648648581</v>
      </c>
      <c r="BY46" s="2">
        <f>Table83[[#This Row],[Waist]]-Table7[[#This Row],[Waist v Neck]]</f>
        <v>-0.75864864864858106</v>
      </c>
      <c r="BZ46" s="2">
        <f>Table7[[#This Row],[WaistN Res]]^2</f>
        <v>0.57554777209631824</v>
      </c>
      <c r="CA46">
        <f>Regression!$D$29+(Regression!$D$28*Table83[[#This Row],[Morning Body Temp]])</f>
        <v>44.323570238526059</v>
      </c>
      <c r="CB46" s="2">
        <f>Table83[[#This Row],[Waist]]-Table7[[#This Row],[Waist v Morning Temp]]</f>
        <v>0.17642976147394052</v>
      </c>
      <c r="CC46" s="2">
        <f>Table7[[#This Row],[WaistMT Res]]^2</f>
        <v>3.1127460733751545E-2</v>
      </c>
      <c r="CD46">
        <f>Regression!$E$29+(Regression!$E$28*Table83[[#This Row],[Morning Systolic Pressure]])</f>
        <v>44.354571080212359</v>
      </c>
      <c r="CE46" s="2">
        <f>Table83[[#This Row],[Waist]]-Table7[[#This Row],[Waist v Morning Sys]]</f>
        <v>0.14542891978764061</v>
      </c>
      <c r="CF46" s="2">
        <f>Table7[[#This Row],[WaistMS Res]]^2</f>
        <v>2.1149570710600005E-2</v>
      </c>
      <c r="CG46">
        <f>Regression!$F$29+(Regression!$F$28*Table83[[#This Row],[Morning Diastolic Pressure]])</f>
        <v>44.509172874832799</v>
      </c>
      <c r="CH46" s="2">
        <f>Table83[[#This Row],[Waist]]-Table7[[#This Row],[Waist v Morning Dia]]</f>
        <v>-9.1728748327994936E-3</v>
      </c>
      <c r="CI46" s="2">
        <f>Table7[[#This Row],[WaistMD Res]]^2</f>
        <v>8.4141632698206333E-5</v>
      </c>
      <c r="CJ46">
        <f>Regression!$G$29+(Regression!$G$28*Table83[[#This Row],[Morning Pulse]])</f>
        <v>44.449539184638127</v>
      </c>
      <c r="CK46" s="2">
        <f>Table83[[#This Row],[Waist]]-Table7[[#This Row],[Waist v Morning Pulse]]</f>
        <v>5.0460815361873301E-2</v>
      </c>
      <c r="CL46" s="2">
        <f>Table7[[#This Row],[WaistMP Res]]^2</f>
        <v>2.5462938869850685E-3</v>
      </c>
      <c r="CM46">
        <f>Regression!$H$29+(Regression!$H$28*Table83[[#This Row],[Night Body Temp]])</f>
        <v>44.481341649878722</v>
      </c>
      <c r="CN46" s="2">
        <f>Table83[[#This Row],[Waist]]-Table7[[#This Row],[Waist v Night Temp]]</f>
        <v>1.8658350121278033E-2</v>
      </c>
      <c r="CO46" s="2">
        <f>Table7[[#This Row],[WaistNT Res]]^2</f>
        <v>3.4813402924819599E-4</v>
      </c>
      <c r="CP46">
        <f>Regression!$I$29+(Regression!$I$28*Table83[[#This Row],[Night Systolic Pressure]])</f>
        <v>44.151156914467329</v>
      </c>
      <c r="CQ46" s="2">
        <f>Table83[[#This Row],[Waist]]-Table7[[#This Row],[Waist v  Night Sys]]</f>
        <v>0.34884308553267118</v>
      </c>
      <c r="CR46" s="2">
        <f>Table7[[#This Row],[WaistNS Res]]^2</f>
        <v>0.12169149832395454</v>
      </c>
      <c r="CS46">
        <f>Regression!$J$29+(Regression!$J$28*Table83[[#This Row],[Night Diastolic Pressure]])</f>
        <v>44.27334461387187</v>
      </c>
      <c r="CT46" s="2">
        <f>Table83[[#This Row],[Waist]]-Table7[[#This Row],[Waist v Night Dia]]</f>
        <v>0.22665538612812952</v>
      </c>
      <c r="CU46" s="2">
        <f>Table7[[#This Row],[WaistND Res]]^2</f>
        <v>5.1372664060891485E-2</v>
      </c>
      <c r="CV46">
        <f>Regression!$K$29+(Regression!$K$28*Table83[[#This Row],[Night Pulse]])</f>
        <v>44.431140909455621</v>
      </c>
      <c r="CW46" s="2">
        <f>Table83[[#This Row],[Waist]]-Table7[[#This Row],[Waist v Night Pulse]]</f>
        <v>6.8859090544378887E-2</v>
      </c>
      <c r="CX46" s="2">
        <f>Table7[[#This Row],[WaistNP Res]]^2</f>
        <v>4.7415743505989701E-3</v>
      </c>
      <c r="CY46">
        <f>Regression!$L$29+(Regression!$L$28*Table83[[#This Row],[Sleep]])</f>
        <v>44.553089788849412</v>
      </c>
      <c r="CZ46" s="2">
        <f>Table83[[#This Row],[Waist]]-Table7[[#This Row],[Waist v  Sleep]]</f>
        <v>-5.30897888494124E-2</v>
      </c>
      <c r="DA46" s="2">
        <f>Table7[[#This Row],[WaistS Res]]^2</f>
        <v>2.8185256800751933E-3</v>
      </c>
      <c r="DB46">
        <f>Regression!$M$29+(Regression!$M$28*Table83[[#This Row],[BMI]])</f>
        <v>45.010166149370804</v>
      </c>
      <c r="DC46" s="2">
        <f>Table83[[#This Row],[Waist]]-Table7[[#This Row],[Waist v BMI]]</f>
        <v>-0.51016614937080362</v>
      </c>
      <c r="DD46" s="2">
        <f>Table7[[#This Row],[WaistBMI Res]]^2</f>
        <v>0.26026949996383314</v>
      </c>
      <c r="DE46">
        <f>Regression!$N$29+(Regression!$N$28*Table83[[#This Row],[CBF]])</f>
        <v>44.105031770433015</v>
      </c>
      <c r="DF46" s="2">
        <f>Table83[[#This Row],[Waist]]-Table7[[#This Row],[Waist v  CBF]]</f>
        <v>0.39496822956698452</v>
      </c>
      <c r="DG46" s="2">
        <f>Table7[[#This Row],[WaistCBF Res]]^2</f>
        <v>0.15599990236727818</v>
      </c>
      <c r="DH46">
        <f>Regression!$O$29+(Regression!$O$28*Table83[[#This Row],[Gym]])</f>
        <v>44.347222222222221</v>
      </c>
      <c r="DI46" s="2">
        <f>Table83[[#This Row],[Waist]]-Table7[[#This Row],[Waist v  Gym]]</f>
        <v>0.15277777777777857</v>
      </c>
      <c r="DJ46" s="2">
        <f>Table7[[#This Row],[WaistGYM Res]]^2</f>
        <v>2.3341049382716292E-2</v>
      </c>
      <c r="DK46">
        <f>Regression!$P$29+(Regression!$P$28*Table83[[#This Row],[Cardio]])</f>
        <v>44.291666666666664</v>
      </c>
      <c r="DL46" s="2">
        <f>Table83[[#This Row],[Waist]]-Table7[[#This Row],[Waist v Cardio]]</f>
        <v>0.2083333333333357</v>
      </c>
      <c r="DM46" s="2">
        <f>Table7[[#This Row],[WaistC Res]]^2</f>
        <v>4.3402777777778762E-2</v>
      </c>
      <c r="DN46">
        <f>Regression!$Q$29+(Regression!$Q$28*Table83[[#This Row],[Calories]])</f>
        <v>44.344929760455443</v>
      </c>
      <c r="DO46" s="2">
        <f>Table83[[#This Row],[Waist]]-Table7[[#This Row],[Waist v Calories]]</f>
        <v>0.1550702395445569</v>
      </c>
      <c r="DP46" s="2">
        <f>Table7[[#This Row],[WaistCal Res]]^2</f>
        <v>2.4046779192406258E-2</v>
      </c>
      <c r="DQ46">
        <f>Regression!$R$29+(Regression!$R$28*Table83[[#This Row],[Carbs]])</f>
        <v>44.302247911196147</v>
      </c>
      <c r="DR46" s="2">
        <f>Table83[[#This Row],[Waist]]-Table7[[#This Row],[Waist v Carbs]]</f>
        <v>0.19775208880385264</v>
      </c>
      <c r="DS46" s="2">
        <f>Table7[[#This Row],[WaistCarb Res]]^2</f>
        <v>3.9105888626286819E-2</v>
      </c>
      <c r="DT46">
        <f>Regression!$S$29+(Regression!$S$28*Table83[[#This Row],[Fat ]])</f>
        <v>44.433581456861134</v>
      </c>
      <c r="DU46" s="2">
        <f>Table83[[#This Row],[Waist]]-Table7[[#This Row],[Waist v Fat]]</f>
        <v>6.6418543138865971E-2</v>
      </c>
      <c r="DV46" s="2">
        <f>Table7[[#This Row],[WaistF Res]]^2</f>
        <v>4.4114228726893998E-3</v>
      </c>
      <c r="DW46">
        <f>Regression!$T$29+(Regression!$T$28*Table83[[#This Row],[Protein]])</f>
        <v>44.24633433236945</v>
      </c>
      <c r="DX46" s="2">
        <f>Table83[[#This Row],[Waist]]-Table7[[#This Row],[Waist v Protein]]</f>
        <v>0.25366566763054976</v>
      </c>
      <c r="DY46" s="2">
        <f>Table7[[#This Row],[WaistP Res]]^2</f>
        <v>6.434627093445254E-2</v>
      </c>
      <c r="DZ46">
        <f>Regression!$U$29+(Regression!$U$28*Table83[[#This Row],[Fiber]])</f>
        <v>44.462671125753317</v>
      </c>
      <c r="EA46" s="2">
        <f>Table83[[#This Row],[Waist]]-Table7[[#This Row],[Waist v Fiber]]</f>
        <v>3.7328874246682631E-2</v>
      </c>
      <c r="EB46" s="2">
        <f>Table7[[#This Row],[WaistFib Res]]^2</f>
        <v>1.3934448525246457E-3</v>
      </c>
      <c r="EC46">
        <f>Regression!$V$29+(Regression!$V$28*Table83[[#This Row],[Sugar]])</f>
        <v>44.346403584698926</v>
      </c>
      <c r="ED46" s="2">
        <f>Table83[[#This Row],[Waist]]-Table7[[#This Row],[Waist v Sugar]]</f>
        <v>0.15359641530107382</v>
      </c>
      <c r="EE46" s="2">
        <f>Table7[[#This Row],[WaistSugar Res]]^2</f>
        <v>2.3591858793339943E-2</v>
      </c>
      <c r="EF46">
        <f>Regression!$W$29+(Regression!$W$28*Table83[[#This Row],[Servings]])</f>
        <v>44.294224240501769</v>
      </c>
      <c r="EG46" s="2">
        <f>Table83[[#This Row],[Waist]]-Table7[[#This Row],[Waist v Servings]]</f>
        <v>0.20577575949823057</v>
      </c>
      <c r="EH46" s="2">
        <f>Table7[[#This Row],[WaistServ Res]]^2</f>
        <v>4.2343663197073632E-2</v>
      </c>
      <c r="EI46">
        <f>Regression!$X$29+(Regression!$X$28*Table83[[#This Row],[Water]])</f>
        <v>44.386198474840633</v>
      </c>
      <c r="EJ46" s="2">
        <f>Table83[[#This Row],[Waist]]-Table7[[#This Row],[Waist v Water]]</f>
        <v>0.11380152515936715</v>
      </c>
      <c r="EK46" s="2">
        <f>Table7[[#This Row],[WaistWat Res]]^2</f>
        <v>1.2950787128598073E-2</v>
      </c>
      <c r="EL46">
        <f>Regression!$Y$29+(Regression!$Y$28*Table83[[#This Row],[Fat Calories]])</f>
        <v>44.43092825640916</v>
      </c>
      <c r="EM46" s="2">
        <f>Table83[[#This Row],[Waist]]-Table7[[#This Row],[Waist v Fat Calories]]</f>
        <v>6.9071743590839674E-2</v>
      </c>
      <c r="EN46" s="2">
        <f>Table7[[#This Row],[WaistFatCal Res]]^2</f>
        <v>4.7709057626787012E-3</v>
      </c>
    </row>
    <row r="47" spans="1:144" x14ac:dyDescent="0.25">
      <c r="A47">
        <f>Regression!$B$10+(Regression!$B$9*Table83[[#This Row],[Waist]])</f>
        <v>258.23421455025004</v>
      </c>
      <c r="B47" s="2">
        <f>Table83[[#This Row],[Weight]]-Table7[[#This Row],[Weight v Waist]]</f>
        <v>2.565785449749967</v>
      </c>
      <c r="C47" s="2">
        <f>Table7[[#This Row],[Weight v Waist Res]]^2</f>
        <v>6.5832549741486401</v>
      </c>
      <c r="D47">
        <f>Regression!$C$10+(Regression!$C$9*Table83[[#This Row],[Neck]])</f>
        <v>260.39308108104251</v>
      </c>
      <c r="E47" s="2">
        <f>Table83[[#This Row],[Weight]]-Table7[[#This Row],[Weight v Neck]]</f>
        <v>0.40691891895750132</v>
      </c>
      <c r="F47" s="2">
        <f>Table7[[#This Row],[WN Res]]^2</f>
        <v>0.16558300660554154</v>
      </c>
      <c r="G47">
        <f>Regression!$D$10+(Regression!$D$9*Table83[[#This Row],[Morning Body Temp]])</f>
        <v>255.20036355752904</v>
      </c>
      <c r="H47" s="2">
        <f>Table83[[#This Row],[Weight]]-Table7[[#This Row],[Weight v Morning Temp]]</f>
        <v>5.5996364424709668</v>
      </c>
      <c r="I47" s="2">
        <f>Table7[[#This Row],[WMT Res]]^2</f>
        <v>31.355928287848904</v>
      </c>
      <c r="J47">
        <f>Regression!$E$10+(Regression!$E$9*Table83[[#This Row],[Morning Systolic Pressure]])</f>
        <v>255.00933222102856</v>
      </c>
      <c r="K47" s="2">
        <f>Table83[[#This Row],[Weight]]-Table7[[#This Row],[Weight v Morning Sys]]</f>
        <v>5.7906677789714536</v>
      </c>
      <c r="L47" s="2">
        <f>Table7[[#This Row],[WMS Res]]^2</f>
        <v>33.531833326418187</v>
      </c>
      <c r="M47">
        <f>Regression!$F$10+(Regression!$F$9*Table83[[#This Row],[Morning Diastolic Pressure]])</f>
        <v>255.10203989724667</v>
      </c>
      <c r="N47" s="2">
        <f>Table83[[#This Row],[Weight]]-Table7[[#This Row],[Weight v Morning Dia]]</f>
        <v>5.697960102753342</v>
      </c>
      <c r="O47" s="2">
        <f>Table7[[#This Row],[WMD Res]]^2</f>
        <v>32.466749332568874</v>
      </c>
      <c r="P47">
        <f>Regression!$G$10+(Regression!$G$9*Table83[[#This Row],[Morning Pulse]])</f>
        <v>255.10998950288408</v>
      </c>
      <c r="Q47" s="2">
        <f>Table83[[#This Row],[Weight]]-Table7[[#This Row],[Weight v Morning Pulse]]</f>
        <v>5.6900104971159351</v>
      </c>
      <c r="R47" s="2">
        <f>Table7[[#This Row],[WMP Res]]^2</f>
        <v>32.37621945728953</v>
      </c>
      <c r="S47">
        <f>Regression!$H$10+(Regression!$H$9*Table83[[#This Row],[Night Body Temp]])</f>
        <v>255.15957638897012</v>
      </c>
      <c r="T47" s="2">
        <f>Table83[[#This Row],[Weight]]-Table7[[#This Row],[Weight v Night Temp]]</f>
        <v>5.6404236110298882</v>
      </c>
      <c r="U47" s="2">
        <f>Table7[[#This Row],[WNT Res]]^2</f>
        <v>31.814378511863442</v>
      </c>
      <c r="V47">
        <f>Regression!$I$10+(Regression!$I$9*Table83[[#This Row],[Night Systolic Pressure]])</f>
        <v>254.10948821885404</v>
      </c>
      <c r="W47" s="2">
        <f>Table83[[#This Row],[Weight]]-Table7[[#This Row],[Weight v Night Sys]]</f>
        <v>6.6905117811459718</v>
      </c>
      <c r="X47" s="2">
        <f>Table7[[#This Row],[WNS Res]]^2</f>
        <v>44.762947893653042</v>
      </c>
      <c r="Y47">
        <f>Regression!$J$10+(Regression!$J$9*Table83[[#This Row],[Night Diastolic Pressure]])</f>
        <v>255.1330822426622</v>
      </c>
      <c r="Z47" s="2">
        <f>Table83[[#This Row],[Weight]]-Table7[[#This Row],[Weight v Night Dia]]</f>
        <v>5.6669177573378136</v>
      </c>
      <c r="AA47" s="2">
        <f>Table7[[#This Row],[WND Res]]^2</f>
        <v>32.113956868430634</v>
      </c>
      <c r="AB47">
        <f>Regression!$K$10+(Regression!$K$9*Table83[[#This Row],[Night Pulse]])</f>
        <v>255.50942516481868</v>
      </c>
      <c r="AC47" s="2">
        <f>Table83[[#This Row],[Weight]]-Table7[[#This Row],[Weight v Night Pulse]]</f>
        <v>5.2905748351813315</v>
      </c>
      <c r="AD47" s="2">
        <f>Table7[[#This Row],[WNP Res ]]^2</f>
        <v>27.990182086653974</v>
      </c>
      <c r="AE47">
        <f>Regression!$L$10+(Regression!$L$9*Table83[[#This Row],[Sleep]])</f>
        <v>255.61024100244205</v>
      </c>
      <c r="AF47" s="2">
        <f>Table83[[#This Row],[Weight]]-Table7[[#This Row],[Weight v Sleep]]</f>
        <v>5.1897589975579592</v>
      </c>
      <c r="AG47" s="2">
        <f>Table7[[#This Row],[WS Res]]^2</f>
        <v>26.933598452733793</v>
      </c>
      <c r="AH47">
        <f>Regression!$M$10+(Regression!$M$9*Table83[[#This Row],[BMI]])</f>
        <v>260.79999999998734</v>
      </c>
      <c r="AI47" s="2">
        <f>Table83[[#This Row],[Weight]]-Table7[[#This Row],[Weight v BMI]]</f>
        <v>1.2676082405960187E-11</v>
      </c>
      <c r="AJ47" s="2">
        <f>Table7[[#This Row],[WBMI Res]]^2</f>
        <v>1.6068306516269341E-22</v>
      </c>
      <c r="AK47">
        <f>Regression!$N$10+(Regression!$N$9*Table83[[#This Row],[CBF]])</f>
        <v>256.25609762651322</v>
      </c>
      <c r="AL47" s="2">
        <f>Table83[[#This Row],[Weight]]-Table7[[#This Row],[Weight v CBF]]</f>
        <v>4.5439023734867874</v>
      </c>
      <c r="AM47" s="2">
        <f>Table7[[#This Row],[WCBF Res]]^2</f>
        <v>20.64704877977886</v>
      </c>
      <c r="AN47">
        <f>Regression!$O$10+(Regression!$O$9*Table83[[#This Row],[Gym]])</f>
        <v>254.72962962962998</v>
      </c>
      <c r="AO47" s="2">
        <f>Table83[[#This Row],[Weight]]-Table7[[#This Row],[Weight v Gym]]</f>
        <v>6.0703703703700285</v>
      </c>
      <c r="AP47" s="2">
        <f>Table7[[#This Row],[WG Res]]^2</f>
        <v>36.849396433466353</v>
      </c>
      <c r="AQ47">
        <f>Regression!$P$10+(Regression!$P$9*Table83[[#This Row],[Cardio]])</f>
        <v>254.19242424242461</v>
      </c>
      <c r="AR47" s="2">
        <f>Table83[[#This Row],[Weight]]-Table7[[#This Row],[Weight v Cardio]]</f>
        <v>6.6075757575754039</v>
      </c>
      <c r="AS47" s="2">
        <f>Table7[[#This Row],[WC Res]]^2</f>
        <v>43.660057392098174</v>
      </c>
      <c r="AT47">
        <f>Regression!$Q$10+(Regression!$Q$9*Table83[[#This Row],[Calories]])</f>
        <v>254.34112287837846</v>
      </c>
      <c r="AU47" s="2">
        <f>Table83[[#This Row],[Weight]]-Table7[[#This Row],[Weight v Calories]]</f>
        <v>6.4588771216215548</v>
      </c>
      <c r="AV47" s="2">
        <f>Table7[[#This Row],[WCAL Res]]^2</f>
        <v>41.717093672206339</v>
      </c>
      <c r="AW47">
        <f>Regression!$R$10+(Regression!$R$9*Table83[[#This Row],[Carbs]])</f>
        <v>254.37896223801891</v>
      </c>
      <c r="AX47" s="2">
        <f>Table83[[#This Row],[Weight]]-Table7[[#This Row],[Weight v Carbs]]</f>
        <v>6.421037761981097</v>
      </c>
      <c r="AY47" s="2">
        <f>Table7[[#This Row],[Wcarb Res]]^2</f>
        <v>41.229725940787212</v>
      </c>
      <c r="AZ47">
        <f>Regression!$S$10+(Regression!$S$9*Table83[[#This Row],[Fat ]])</f>
        <v>254.60768977602663</v>
      </c>
      <c r="BA47" s="2">
        <f>Table83[[#This Row],[Weight]]-Table7[[#This Row],[Weight v Fat]]</f>
        <v>6.1923102239733794</v>
      </c>
      <c r="BB47" s="2">
        <f>Table7[[#This Row],[WF Res]]^2</f>
        <v>38.344705909925246</v>
      </c>
      <c r="BC47">
        <f>Regression!$T$10+(Regression!$T$9*Table83[[#This Row],[Protein]])</f>
        <v>254.1120365096765</v>
      </c>
      <c r="BD47" s="2">
        <f>Table83[[#This Row],[Weight]]-Table7[[#This Row],[Weight v Protein]]</f>
        <v>6.6879634903235115</v>
      </c>
      <c r="BE47" s="2">
        <f>Table7[[#This Row],[WP Res]]^2</f>
        <v>44.728855647900247</v>
      </c>
      <c r="BF47">
        <f>Regression!$U$10+(Regression!$U$9*Table83[[#This Row],[Fiber]])</f>
        <v>255.03974838037553</v>
      </c>
      <c r="BG47" s="2">
        <f>Table83[[#This Row],[Weight]]-Table7[[#This Row],[Weight v Fiber]]</f>
        <v>5.7602516196244835</v>
      </c>
      <c r="BH47" s="2">
        <f>Table7[[#This Row],[Wfib Res]]^2</f>
        <v>33.180498721386485</v>
      </c>
      <c r="BI47">
        <f>Regression!$V$10+(Regression!$V$9*Table83[[#This Row],[Sugar]])</f>
        <v>254.38058209799911</v>
      </c>
      <c r="BJ47" s="2">
        <f>Table83[[#This Row],[Weight]]-Table7[[#This Row],[Weight v Sugar]]</f>
        <v>6.4194179020009017</v>
      </c>
      <c r="BK47" s="2">
        <f>Table7[[#This Row],[Wsugar Res]]^2</f>
        <v>41.20892620052966</v>
      </c>
      <c r="BL47">
        <f>Regression!$W$10+(Regression!$W$9*Table83[[#This Row],[Servings]])</f>
        <v>253.52621790224251</v>
      </c>
      <c r="BM47" s="2">
        <f>Table83[[#This Row],[Weight]]-Table7[[#This Row],[Weight v Servings]]</f>
        <v>7.2737820977575041</v>
      </c>
      <c r="BN47" s="2">
        <f>Table7[[#This Row],[Wserv Res]]^2</f>
        <v>52.907906005657559</v>
      </c>
      <c r="BO47">
        <f>Regression!$X$10+(Regression!$X$9*Table83[[#This Row],[Water]])</f>
        <v>255.06345001025522</v>
      </c>
      <c r="BP47" s="2">
        <f>Table83[[#This Row],[Weight]]-Table7[[#This Row],[Weight v Water]]</f>
        <v>5.7365499897447876</v>
      </c>
      <c r="BQ47" s="2">
        <f>Table7[[#This Row],[Wwater Res]]^2</f>
        <v>32.908005784840924</v>
      </c>
      <c r="BR47">
        <f>Regression!$Y$10+(Regression!$Y$9*Table83[[#This Row],[Fat Calories]])</f>
        <v>254.57022985048792</v>
      </c>
      <c r="BS47" s="2">
        <f>Table83[[#This Row],[Weight]]-Table7[[#This Row],[Weight v Fat Calories]]</f>
        <v>6.2297701495120918</v>
      </c>
      <c r="BT47" s="2">
        <f>Table7[[#This Row],[WFC Res]]^2</f>
        <v>38.810036115751913</v>
      </c>
      <c r="BU47">
        <f>Regression!$B$29+(Regression!$B$28*Table83[[#This Row],[Weight]])</f>
        <v>45.228186166284544</v>
      </c>
      <c r="BV47" s="2">
        <f>Table83[[#This Row],[Waist]]-Table7[[#This Row],[Waist v Weight]]</f>
        <v>-0.22818616628454436</v>
      </c>
      <c r="BW47" s="2">
        <f>Table7[[#This Row],[WaistW Res]]^2</f>
        <v>5.2068926483637729E-2</v>
      </c>
      <c r="BX47">
        <f>Regression!$C$29+(Regression!$C$28*Table83[[#This Row],[Neck]])</f>
        <v>45.258648648648581</v>
      </c>
      <c r="BY47" s="2">
        <f>Table83[[#This Row],[Waist]]-Table7[[#This Row],[Waist v Neck]]</f>
        <v>-0.25864864864858106</v>
      </c>
      <c r="BZ47" s="2">
        <f>Table7[[#This Row],[WaistN Res]]^2</f>
        <v>6.689912344773713E-2</v>
      </c>
      <c r="CA47">
        <f>Regression!$D$29+(Regression!$D$28*Table83[[#This Row],[Morning Body Temp]])</f>
        <v>44.476744743933082</v>
      </c>
      <c r="CB47" s="2">
        <f>Table83[[#This Row],[Waist]]-Table7[[#This Row],[Waist v Morning Temp]]</f>
        <v>0.5232552560669177</v>
      </c>
      <c r="CC47" s="2">
        <f>Table7[[#This Row],[WaistMT Res]]^2</f>
        <v>0.2737960630016556</v>
      </c>
      <c r="CD47">
        <f>Regression!$E$29+(Regression!$E$28*Table83[[#This Row],[Morning Systolic Pressure]])</f>
        <v>44.428703916909349</v>
      </c>
      <c r="CE47" s="2">
        <f>Table83[[#This Row],[Waist]]-Table7[[#This Row],[Waist v Morning Sys]]</f>
        <v>0.57129608309065105</v>
      </c>
      <c r="CF47" s="2">
        <f>Table7[[#This Row],[WaistMS Res]]^2</f>
        <v>0.32637921455472008</v>
      </c>
      <c r="CG47">
        <f>Regression!$F$29+(Regression!$F$28*Table83[[#This Row],[Morning Diastolic Pressure]])</f>
        <v>44.452816668144258</v>
      </c>
      <c r="CH47" s="2">
        <f>Table83[[#This Row],[Waist]]-Table7[[#This Row],[Waist v Morning Dia]]</f>
        <v>0.54718333185574153</v>
      </c>
      <c r="CI47" s="2">
        <f>Table7[[#This Row],[WaistMD Res]]^2</f>
        <v>0.29940959866075056</v>
      </c>
      <c r="CJ47">
        <f>Regression!$G$29+(Regression!$G$28*Table83[[#This Row],[Morning Pulse]])</f>
        <v>44.451218189785358</v>
      </c>
      <c r="CK47" s="2">
        <f>Table83[[#This Row],[Waist]]-Table7[[#This Row],[Waist v Morning Pulse]]</f>
        <v>0.54878181021464201</v>
      </c>
      <c r="CL47" s="2">
        <f>Table7[[#This Row],[WaistMP Res]]^2</f>
        <v>0.30116147522245934</v>
      </c>
      <c r="CM47">
        <f>Regression!$H$29+(Regression!$H$28*Table83[[#This Row],[Night Body Temp]])</f>
        <v>44.457050878464067</v>
      </c>
      <c r="CN47" s="2">
        <f>Table83[[#This Row],[Waist]]-Table7[[#This Row],[Waist v Night Temp]]</f>
        <v>0.54294912153593344</v>
      </c>
      <c r="CO47" s="2">
        <f>Table7[[#This Row],[WaistNT Res]]^2</f>
        <v>0.29479374857664181</v>
      </c>
      <c r="CP47">
        <f>Regression!$I$29+(Regression!$I$28*Table83[[#This Row],[Night Systolic Pressure]])</f>
        <v>44.311098172049078</v>
      </c>
      <c r="CQ47" s="2">
        <f>Table83[[#This Row],[Waist]]-Table7[[#This Row],[Waist v  Night Sys]]</f>
        <v>0.68890182795092159</v>
      </c>
      <c r="CR47" s="2">
        <f>Table7[[#This Row],[WaistNS Res]]^2</f>
        <v>0.47458572855412118</v>
      </c>
      <c r="CS47">
        <f>Regression!$J$29+(Regression!$J$28*Table83[[#This Row],[Night Diastolic Pressure]])</f>
        <v>44.461092011153731</v>
      </c>
      <c r="CT47" s="2">
        <f>Table83[[#This Row],[Waist]]-Table7[[#This Row],[Waist v Night Dia]]</f>
        <v>0.53890798884626889</v>
      </c>
      <c r="CU47" s="2">
        <f>Table7[[#This Row],[WaistND Res]]^2</f>
        <v>0.29042182044233028</v>
      </c>
      <c r="CV47">
        <f>Regression!$K$29+(Regression!$K$28*Table83[[#This Row],[Night Pulse]])</f>
        <v>44.416857177900795</v>
      </c>
      <c r="CW47" s="2">
        <f>Table83[[#This Row],[Waist]]-Table7[[#This Row],[Waist v Night Pulse]]</f>
        <v>0.5831428220992052</v>
      </c>
      <c r="CX47" s="2">
        <f>Table7[[#This Row],[WaistNP Res]]^2</f>
        <v>0.34005555096582529</v>
      </c>
      <c r="CY47">
        <f>Regression!$L$29+(Regression!$L$28*Table83[[#This Row],[Sleep]])</f>
        <v>44.529040304851584</v>
      </c>
      <c r="CZ47" s="2">
        <f>Table83[[#This Row],[Waist]]-Table7[[#This Row],[Waist v  Sleep]]</f>
        <v>0.47095969514841585</v>
      </c>
      <c r="DA47" s="2">
        <f>Table7[[#This Row],[WaistS Res]]^2</f>
        <v>0.22180303445428878</v>
      </c>
      <c r="DB47">
        <f>Regression!$M$29+(Regression!$M$28*Table83[[#This Row],[BMI]])</f>
        <v>45.228186166282086</v>
      </c>
      <c r="DC47" s="2">
        <f>Table83[[#This Row],[Waist]]-Table7[[#This Row],[Waist v BMI]]</f>
        <v>-0.22818616628208588</v>
      </c>
      <c r="DD47" s="2">
        <f>Table7[[#This Row],[WaistBMI Res]]^2</f>
        <v>5.2068926482515744E-2</v>
      </c>
      <c r="DE47">
        <f>Regression!$N$29+(Regression!$N$28*Table83[[#This Row],[CBF]])</f>
        <v>44.659010290127611</v>
      </c>
      <c r="DF47" s="2">
        <f>Table83[[#This Row],[Waist]]-Table7[[#This Row],[Waist v  CBF]]</f>
        <v>0.34098970987238886</v>
      </c>
      <c r="DG47" s="2">
        <f>Table7[[#This Row],[WaistCBF Res]]^2</f>
        <v>0.11627398223885593</v>
      </c>
      <c r="DH47">
        <f>Regression!$O$29+(Regression!$O$28*Table83[[#This Row],[Gym]])</f>
        <v>44.347222222222221</v>
      </c>
      <c r="DI47" s="2">
        <f>Table83[[#This Row],[Waist]]-Table7[[#This Row],[Waist v  Gym]]</f>
        <v>0.65277777777777857</v>
      </c>
      <c r="DJ47" s="2">
        <f>Table7[[#This Row],[WaistGYM Res]]^2</f>
        <v>0.42611882716049487</v>
      </c>
      <c r="DK47">
        <f>Regression!$P$29+(Regression!$P$28*Table83[[#This Row],[Cardio]])</f>
        <v>44.291666666666664</v>
      </c>
      <c r="DL47" s="2">
        <f>Table83[[#This Row],[Waist]]-Table7[[#This Row],[Waist v Cardio]]</f>
        <v>0.7083333333333357</v>
      </c>
      <c r="DM47" s="2">
        <f>Table7[[#This Row],[WaistC Res]]^2</f>
        <v>0.50173611111111449</v>
      </c>
      <c r="DN47">
        <f>Regression!$Q$29+(Regression!$Q$28*Table83[[#This Row],[Calories]])</f>
        <v>44.279656856617642</v>
      </c>
      <c r="DO47" s="2">
        <f>Table83[[#This Row],[Waist]]-Table7[[#This Row],[Waist v Calories]]</f>
        <v>0.72034314338235816</v>
      </c>
      <c r="DP47" s="2">
        <f>Table7[[#This Row],[WaistCal Res]]^2</f>
        <v>0.51889424421797659</v>
      </c>
      <c r="DQ47">
        <f>Regression!$R$29+(Regression!$R$28*Table83[[#This Row],[Carbs]])</f>
        <v>44.300292056164302</v>
      </c>
      <c r="DR47" s="2">
        <f>Table83[[#This Row],[Waist]]-Table7[[#This Row],[Waist v Carbs]]</f>
        <v>0.69970794383569768</v>
      </c>
      <c r="DS47" s="2">
        <f>Table7[[#This Row],[WaistCarb Res]]^2</f>
        <v>0.48959120666677985</v>
      </c>
      <c r="DT47">
        <f>Regression!$S$29+(Regression!$S$28*Table83[[#This Row],[Fat ]])</f>
        <v>44.298452297987119</v>
      </c>
      <c r="DU47" s="2">
        <f>Table83[[#This Row],[Waist]]-Table7[[#This Row],[Waist v Fat]]</f>
        <v>0.7015477020128813</v>
      </c>
      <c r="DV47" s="2">
        <f>Table7[[#This Row],[WaistF Res]]^2</f>
        <v>0.49216917819955452</v>
      </c>
      <c r="DW47">
        <f>Regression!$T$29+(Regression!$T$28*Table83[[#This Row],[Protein]])</f>
        <v>44.269952148755991</v>
      </c>
      <c r="DX47" s="2">
        <f>Table83[[#This Row],[Waist]]-Table7[[#This Row],[Waist v Protein]]</f>
        <v>0.73004785124400939</v>
      </c>
      <c r="DY47" s="2">
        <f>Table7[[#This Row],[WaistP Res]]^2</f>
        <v>0.53296986510599531</v>
      </c>
      <c r="DZ47">
        <f>Regression!$U$29+(Regression!$U$28*Table83[[#This Row],[Fiber]])</f>
        <v>44.424486163193329</v>
      </c>
      <c r="EA47" s="2">
        <f>Table83[[#This Row],[Waist]]-Table7[[#This Row],[Waist v Fiber]]</f>
        <v>0.57551383680667101</v>
      </c>
      <c r="EB47" s="2">
        <f>Table7[[#This Row],[WaistFib Res]]^2</f>
        <v>0.33121617635593553</v>
      </c>
      <c r="EC47">
        <f>Regression!$V$29+(Regression!$V$28*Table83[[#This Row],[Sugar]])</f>
        <v>44.321601889275435</v>
      </c>
      <c r="ED47" s="2">
        <f>Table83[[#This Row],[Waist]]-Table7[[#This Row],[Waist v Sugar]]</f>
        <v>0.67839811072456513</v>
      </c>
      <c r="EE47" s="2">
        <f>Table7[[#This Row],[WaistSugar Res]]^2</f>
        <v>0.46022399663465935</v>
      </c>
      <c r="EF47">
        <f>Regression!$W$29+(Regression!$W$28*Table83[[#This Row],[Servings]])</f>
        <v>44.211111392518177</v>
      </c>
      <c r="EG47" s="2">
        <f>Table83[[#This Row],[Waist]]-Table7[[#This Row],[Waist v Servings]]</f>
        <v>0.7888886074818231</v>
      </c>
      <c r="EH47" s="2">
        <f>Table7[[#This Row],[WaistServ Res]]^2</f>
        <v>0.62234523501460992</v>
      </c>
      <c r="EI47">
        <f>Regression!$X$29+(Regression!$X$28*Table83[[#This Row],[Water]])</f>
        <v>44.386198474840633</v>
      </c>
      <c r="EJ47" s="2">
        <f>Table83[[#This Row],[Waist]]-Table7[[#This Row],[Waist v Water]]</f>
        <v>0.61380152515936715</v>
      </c>
      <c r="EK47" s="2">
        <f>Table7[[#This Row],[WaistWat Res]]^2</f>
        <v>0.37675231228796524</v>
      </c>
      <c r="EL47">
        <f>Regression!$Y$29+(Regression!$Y$28*Table83[[#This Row],[Fat Calories]])</f>
        <v>44.287846091760628</v>
      </c>
      <c r="EM47" s="2">
        <f>Table83[[#This Row],[Waist]]-Table7[[#This Row],[Waist v Fat Calories]]</f>
        <v>0.71215390823937241</v>
      </c>
      <c r="EN47" s="2">
        <f>Table7[[#This Row],[WaistFatCal Res]]^2</f>
        <v>0.50716318902061241</v>
      </c>
    </row>
    <row r="48" spans="1:144" x14ac:dyDescent="0.25">
      <c r="A48">
        <f>Regression!$B$10+(Regression!$B$9*Table83[[#This Row],[Waist]])</f>
        <v>258.23421455025004</v>
      </c>
      <c r="B48" s="2">
        <f>Table83[[#This Row],[Weight]]-Table7[[#This Row],[Weight v Waist]]</f>
        <v>3.565785449749967</v>
      </c>
      <c r="C48" s="2">
        <f>Table7[[#This Row],[Weight v Waist Res]]^2</f>
        <v>12.714825873648575</v>
      </c>
      <c r="D48">
        <f>Regression!$C$10+(Regression!$C$9*Table83[[#This Row],[Neck]])</f>
        <v>260.39308108104251</v>
      </c>
      <c r="E48" s="2">
        <f>Table83[[#This Row],[Weight]]-Table7[[#This Row],[Weight v Neck]]</f>
        <v>1.4069189189575013</v>
      </c>
      <c r="F48" s="2">
        <f>Table7[[#This Row],[WN Res]]^2</f>
        <v>1.9794208445205441</v>
      </c>
      <c r="G48">
        <f>Regression!$D$10+(Regression!$D$9*Table83[[#This Row],[Morning Body Temp]])</f>
        <v>255.41155922019615</v>
      </c>
      <c r="H48" s="2">
        <f>Table83[[#This Row],[Weight]]-Table7[[#This Row],[Weight v Morning Temp]]</f>
        <v>6.388440779803858</v>
      </c>
      <c r="I48" s="2">
        <f>Table7[[#This Row],[WMT Res]]^2</f>
        <v>40.812175597060929</v>
      </c>
      <c r="J48">
        <f>Regression!$E$10+(Regression!$E$9*Table83[[#This Row],[Morning Systolic Pressure]])</f>
        <v>256.04610790988636</v>
      </c>
      <c r="K48" s="2">
        <f>Table83[[#This Row],[Weight]]-Table7[[#This Row],[Weight v Morning Sys]]</f>
        <v>5.7538920901136521</v>
      </c>
      <c r="L48" s="2">
        <f>Table7[[#This Row],[WMS Res]]^2</f>
        <v>33.107274184672455</v>
      </c>
      <c r="M48">
        <f>Regression!$F$10+(Regression!$F$9*Table83[[#This Row],[Morning Diastolic Pressure]])</f>
        <v>255.91279388960569</v>
      </c>
      <c r="N48" s="2">
        <f>Table83[[#This Row],[Weight]]-Table7[[#This Row],[Weight v Morning Dia]]</f>
        <v>5.8872061103943167</v>
      </c>
      <c r="O48" s="2">
        <f>Table7[[#This Row],[WMD Res]]^2</f>
        <v>34.659195786264178</v>
      </c>
      <c r="P48">
        <f>Regression!$G$10+(Regression!$G$9*Table83[[#This Row],[Morning Pulse]])</f>
        <v>255.08805595379781</v>
      </c>
      <c r="Q48" s="2">
        <f>Table83[[#This Row],[Weight]]-Table7[[#This Row],[Weight v Morning Pulse]]</f>
        <v>6.7119440462022055</v>
      </c>
      <c r="R48" s="2">
        <f>Table7[[#This Row],[WMP Res]]^2</f>
        <v>45.050192879349233</v>
      </c>
      <c r="S48">
        <f>Regression!$H$10+(Regression!$H$9*Table83[[#This Row],[Night Body Temp]])</f>
        <v>255.46766610041516</v>
      </c>
      <c r="T48" s="2">
        <f>Table83[[#This Row],[Weight]]-Table7[[#This Row],[Weight v Night Temp]]</f>
        <v>6.332333899584853</v>
      </c>
      <c r="U48" s="2">
        <f>Table7[[#This Row],[WNT Res]]^2</f>
        <v>40.098452615831512</v>
      </c>
      <c r="V48">
        <f>Regression!$I$10+(Regression!$I$9*Table83[[#This Row],[Night Systolic Pressure]])</f>
        <v>254.52006755496794</v>
      </c>
      <c r="W48" s="2">
        <f>Table83[[#This Row],[Weight]]-Table7[[#This Row],[Weight v Night Sys]]</f>
        <v>7.2799324450320739</v>
      </c>
      <c r="X48" s="2">
        <f>Table7[[#This Row],[WNS Res]]^2</f>
        <v>52.99741640423067</v>
      </c>
      <c r="Y48">
        <f>Regression!$J$10+(Regression!$J$9*Table83[[#This Row],[Night Diastolic Pressure]])</f>
        <v>255.17384811107831</v>
      </c>
      <c r="Z48" s="2">
        <f>Table83[[#This Row],[Weight]]-Table7[[#This Row],[Weight v Night Dia]]</f>
        <v>6.6261518889216973</v>
      </c>
      <c r="AA48" s="2">
        <f>Table7[[#This Row],[WND Res]]^2</f>
        <v>43.905888855060574</v>
      </c>
      <c r="AB48">
        <f>Regression!$K$10+(Regression!$K$9*Table83[[#This Row],[Night Pulse]])</f>
        <v>255.23300518368814</v>
      </c>
      <c r="AC48" s="2">
        <f>Table83[[#This Row],[Weight]]-Table7[[#This Row],[Weight v Night Pulse]]</f>
        <v>6.5669948163118761</v>
      </c>
      <c r="AD48" s="2">
        <f>Table7[[#This Row],[WNP Res ]]^2</f>
        <v>43.125420917467054</v>
      </c>
      <c r="AE48">
        <f>Regression!$L$10+(Regression!$L$9*Table83[[#This Row],[Sleep]])</f>
        <v>255.21589827322478</v>
      </c>
      <c r="AF48" s="2">
        <f>Table83[[#This Row],[Weight]]-Table7[[#This Row],[Weight v Sleep]]</f>
        <v>6.5841017267752306</v>
      </c>
      <c r="AG48" s="2">
        <f>Table7[[#This Row],[WS Res]]^2</f>
        <v>43.350395548524574</v>
      </c>
      <c r="AH48">
        <f>Regression!$M$10+(Regression!$M$9*Table83[[#This Row],[BMI]])</f>
        <v>261.79999999998506</v>
      </c>
      <c r="AI48" s="2">
        <f>Table83[[#This Row],[Weight]]-Table7[[#This Row],[Weight v BMI]]</f>
        <v>1.4949819160392508E-11</v>
      </c>
      <c r="AJ48" s="2">
        <f>Table7[[#This Row],[WBMI Res]]^2</f>
        <v>2.2349709292843895E-22</v>
      </c>
      <c r="AK48">
        <f>Regression!$N$10+(Regression!$N$9*Table83[[#This Row],[CBF]])</f>
        <v>256.25609762651322</v>
      </c>
      <c r="AL48" s="2">
        <f>Table83[[#This Row],[Weight]]-Table7[[#This Row],[Weight v CBF]]</f>
        <v>5.5439023734867874</v>
      </c>
      <c r="AM48" s="2">
        <f>Table7[[#This Row],[WCBF Res]]^2</f>
        <v>30.734853526752435</v>
      </c>
      <c r="AN48">
        <f>Regression!$O$10+(Regression!$O$9*Table83[[#This Row],[Gym]])</f>
        <v>255.46779661016953</v>
      </c>
      <c r="AO48" s="2">
        <f>Table83[[#This Row],[Weight]]-Table7[[#This Row],[Weight v Gym]]</f>
        <v>6.3322033898304824</v>
      </c>
      <c r="AP48" s="2">
        <f>Table7[[#This Row],[WG Res]]^2</f>
        <v>40.096799770180652</v>
      </c>
      <c r="AQ48">
        <f>Regression!$P$10+(Regression!$P$9*Table83[[#This Row],[Cardio]])</f>
        <v>256.41063829787231</v>
      </c>
      <c r="AR48" s="2">
        <f>Table83[[#This Row],[Weight]]-Table7[[#This Row],[Weight v Cardio]]</f>
        <v>5.3893617021277009</v>
      </c>
      <c r="AS48" s="2">
        <f>Table7[[#This Row],[WC Res]]^2</f>
        <v>29.045219556360792</v>
      </c>
      <c r="AT48">
        <f>Regression!$Q$10+(Regression!$Q$9*Table83[[#This Row],[Calories]])</f>
        <v>255.59835928673132</v>
      </c>
      <c r="AU48" s="2">
        <f>Table83[[#This Row],[Weight]]-Table7[[#This Row],[Weight v Calories]]</f>
        <v>6.2016407132686879</v>
      </c>
      <c r="AV48" s="2">
        <f>Table7[[#This Row],[WCAL Res]]^2</f>
        <v>38.460347536471758</v>
      </c>
      <c r="AW48">
        <f>Regression!$R$10+(Regression!$R$9*Table83[[#This Row],[Carbs]])</f>
        <v>255.41054512439138</v>
      </c>
      <c r="AX48" s="2">
        <f>Table83[[#This Row],[Weight]]-Table7[[#This Row],[Weight v Carbs]]</f>
        <v>6.3894548756086351</v>
      </c>
      <c r="AY48" s="2">
        <f>Table7[[#This Row],[Wcarb Res]]^2</f>
        <v>40.825133607438957</v>
      </c>
      <c r="AZ48">
        <f>Regression!$S$10+(Regression!$S$9*Table83[[#This Row],[Fat ]])</f>
        <v>255.451338237035</v>
      </c>
      <c r="BA48" s="2">
        <f>Table83[[#This Row],[Weight]]-Table7[[#This Row],[Weight v Fat]]</f>
        <v>6.3486617629650084</v>
      </c>
      <c r="BB48" s="2">
        <f>Table7[[#This Row],[WF Res]]^2</f>
        <v>40.305506180533968</v>
      </c>
      <c r="BC48">
        <f>Regression!$T$10+(Regression!$T$9*Table83[[#This Row],[Protein]])</f>
        <v>256.46687803922919</v>
      </c>
      <c r="BD48" s="2">
        <f>Table83[[#This Row],[Weight]]-Table7[[#This Row],[Weight v Protein]]</f>
        <v>5.3331219607708249</v>
      </c>
      <c r="BE48" s="2">
        <f>Table7[[#This Row],[WP Res]]^2</f>
        <v>28.442189848456049</v>
      </c>
      <c r="BF48">
        <f>Regression!$U$10+(Regression!$U$9*Table83[[#This Row],[Fiber]])</f>
        <v>254.91085497424743</v>
      </c>
      <c r="BG48" s="2">
        <f>Table83[[#This Row],[Weight]]-Table7[[#This Row],[Weight v Fiber]]</f>
        <v>6.8891450257525833</v>
      </c>
      <c r="BH48" s="2">
        <f>Table7[[#This Row],[Wfib Res]]^2</f>
        <v>47.46031918585156</v>
      </c>
      <c r="BI48">
        <f>Regression!$V$10+(Regression!$V$9*Table83[[#This Row],[Sugar]])</f>
        <v>255.30962481694274</v>
      </c>
      <c r="BJ48" s="2">
        <f>Table83[[#This Row],[Weight]]-Table7[[#This Row],[Weight v Sugar]]</f>
        <v>6.4903751830572673</v>
      </c>
      <c r="BK48" s="2">
        <f>Table7[[#This Row],[Wsugar Res]]^2</f>
        <v>42.124970016845658</v>
      </c>
      <c r="BL48">
        <f>Regression!$W$10+(Regression!$W$9*Table83[[#This Row],[Servings]])</f>
        <v>255.18900038139952</v>
      </c>
      <c r="BM48" s="2">
        <f>Table83[[#This Row],[Weight]]-Table7[[#This Row],[Weight v Servings]]</f>
        <v>6.6109996186004878</v>
      </c>
      <c r="BN48" s="2">
        <f>Table7[[#This Row],[Wserv Res]]^2</f>
        <v>43.705315957135795</v>
      </c>
      <c r="BO48">
        <f>Regression!$X$10+(Regression!$X$9*Table83[[#This Row],[Water]])</f>
        <v>255.10626599365665</v>
      </c>
      <c r="BP48" s="2">
        <f>Table83[[#This Row],[Weight]]-Table7[[#This Row],[Weight v Water]]</f>
        <v>6.6937340063433624</v>
      </c>
      <c r="BQ48" s="2">
        <f>Table7[[#This Row],[Wwater Res]]^2</f>
        <v>44.806074947677558</v>
      </c>
      <c r="BR48">
        <f>Regression!$Y$10+(Regression!$Y$9*Table83[[#This Row],[Fat Calories]])</f>
        <v>255.46808404851541</v>
      </c>
      <c r="BS48" s="2">
        <f>Table83[[#This Row],[Weight]]-Table7[[#This Row],[Weight v Fat Calories]]</f>
        <v>6.3319159514846035</v>
      </c>
      <c r="BT48" s="2">
        <f>Table7[[#This Row],[WFC Res]]^2</f>
        <v>40.093159616665169</v>
      </c>
      <c r="BU48">
        <f>Regression!$B$29+(Regression!$B$28*Table83[[#This Row],[Weight]])</f>
        <v>45.364448676854529</v>
      </c>
      <c r="BV48" s="2">
        <f>Table83[[#This Row],[Waist]]-Table7[[#This Row],[Waist v Weight]]</f>
        <v>-0.3644486768545292</v>
      </c>
      <c r="BW48" s="2">
        <f>Table7[[#This Row],[WaistW Res]]^2</f>
        <v>0.13282283806101705</v>
      </c>
      <c r="BX48">
        <f>Regression!$C$29+(Regression!$C$28*Table83[[#This Row],[Neck]])</f>
        <v>45.258648648648581</v>
      </c>
      <c r="BY48" s="2">
        <f>Table83[[#This Row],[Waist]]-Table7[[#This Row],[Waist v Neck]]</f>
        <v>-0.25864864864858106</v>
      </c>
      <c r="BZ48" s="2">
        <f>Table7[[#This Row],[WaistN Res]]^2</f>
        <v>6.689912344773713E-2</v>
      </c>
      <c r="CA48">
        <f>Regression!$D$29+(Regression!$D$28*Table83[[#This Row],[Morning Body Temp]])</f>
        <v>44.534185183460714</v>
      </c>
      <c r="CB48" s="2">
        <f>Table83[[#This Row],[Waist]]-Table7[[#This Row],[Waist v Morning Temp]]</f>
        <v>0.46581481653928591</v>
      </c>
      <c r="CC48" s="2">
        <f>Table7[[#This Row],[WaistMT Res]]^2</f>
        <v>0.21698344330752858</v>
      </c>
      <c r="CD48">
        <f>Regression!$E$29+(Regression!$E$28*Table83[[#This Row],[Morning Systolic Pressure]])</f>
        <v>44.672283237485168</v>
      </c>
      <c r="CE48" s="2">
        <f>Table83[[#This Row],[Waist]]-Table7[[#This Row],[Waist v Morning Sys]]</f>
        <v>0.32771676251483228</v>
      </c>
      <c r="CF48" s="2">
        <f>Table7[[#This Row],[WaistMS Res]]^2</f>
        <v>0.10739827643320299</v>
      </c>
      <c r="CG48">
        <f>Regression!$F$29+(Regression!$F$28*Table83[[#This Row],[Morning Diastolic Pressure]])</f>
        <v>44.497901633495097</v>
      </c>
      <c r="CH48" s="2">
        <f>Table83[[#This Row],[Waist]]-Table7[[#This Row],[Waist v Morning Dia]]</f>
        <v>0.50209836650490303</v>
      </c>
      <c r="CI48" s="2">
        <f>Table7[[#This Row],[WaistMD Res]]^2</f>
        <v>0.25210276964689193</v>
      </c>
      <c r="CJ48">
        <f>Regression!$G$29+(Regression!$G$28*Table83[[#This Row],[Morning Pulse]])</f>
        <v>44.441144158901992</v>
      </c>
      <c r="CK48" s="2">
        <f>Table83[[#This Row],[Waist]]-Table7[[#This Row],[Waist v Morning Pulse]]</f>
        <v>0.55885584109800845</v>
      </c>
      <c r="CL48" s="2">
        <f>Table7[[#This Row],[WaistMP Res]]^2</f>
        <v>0.3123198511293625</v>
      </c>
      <c r="CM48">
        <f>Regression!$H$29+(Regression!$H$28*Table83[[#This Row],[Night Body Temp]])</f>
        <v>44.481341649878722</v>
      </c>
      <c r="CN48" s="2">
        <f>Table83[[#This Row],[Waist]]-Table7[[#This Row],[Waist v Night Temp]]</f>
        <v>0.51865835012127803</v>
      </c>
      <c r="CO48" s="2">
        <f>Table7[[#This Row],[WaistNT Res]]^2</f>
        <v>0.26900648415052625</v>
      </c>
      <c r="CP48">
        <f>Regression!$I$29+(Regression!$I$28*Table83[[#This Row],[Night Systolic Pressure]])</f>
        <v>44.369258629351535</v>
      </c>
      <c r="CQ48" s="2">
        <f>Table83[[#This Row],[Waist]]-Table7[[#This Row],[Waist v  Night Sys]]</f>
        <v>0.63074137064846525</v>
      </c>
      <c r="CR48" s="2">
        <f>Table7[[#This Row],[WaistNS Res]]^2</f>
        <v>0.3978346766475046</v>
      </c>
      <c r="CS48">
        <f>Regression!$J$29+(Regression!$J$28*Table83[[#This Row],[Night Diastolic Pressure]])</f>
        <v>44.478159956361175</v>
      </c>
      <c r="CT48" s="2">
        <f>Table83[[#This Row],[Waist]]-Table7[[#This Row],[Waist v Night Dia]]</f>
        <v>0.52184004363882508</v>
      </c>
      <c r="CU48" s="2">
        <f>Table7[[#This Row],[WaistND Res]]^2</f>
        <v>0.27231703114497086</v>
      </c>
      <c r="CV48">
        <f>Regression!$K$29+(Regression!$K$28*Table83[[#This Row],[Night Pulse]])</f>
        <v>44.442567894699479</v>
      </c>
      <c r="CW48" s="2">
        <f>Table83[[#This Row],[Waist]]-Table7[[#This Row],[Waist v Night Pulse]]</f>
        <v>0.55743210530052067</v>
      </c>
      <c r="CX48" s="2">
        <f>Table7[[#This Row],[WaistNP Res]]^2</f>
        <v>0.31073055201977079</v>
      </c>
      <c r="CY48">
        <f>Regression!$L$29+(Regression!$L$28*Table83[[#This Row],[Sleep]])</f>
        <v>44.468916594857014</v>
      </c>
      <c r="CZ48" s="2">
        <f>Table83[[#This Row],[Waist]]-Table7[[#This Row],[Waist v  Sleep]]</f>
        <v>0.53108340514298646</v>
      </c>
      <c r="DA48" s="2">
        <f>Table7[[#This Row],[WaistS Res]]^2</f>
        <v>0.28204958321826951</v>
      </c>
      <c r="DB48">
        <f>Regression!$M$29+(Regression!$M$28*Table83[[#This Row],[BMI]])</f>
        <v>45.36444867685163</v>
      </c>
      <c r="DC48" s="2">
        <f>Table83[[#This Row],[Waist]]-Table7[[#This Row],[Waist v BMI]]</f>
        <v>-0.36444867685163018</v>
      </c>
      <c r="DD48" s="2">
        <f>Table7[[#This Row],[WaistBMI Res]]^2</f>
        <v>0.13282283805890396</v>
      </c>
      <c r="DE48">
        <f>Regression!$N$29+(Regression!$N$28*Table83[[#This Row],[CBF]])</f>
        <v>44.659010290127611</v>
      </c>
      <c r="DF48" s="2">
        <f>Table83[[#This Row],[Waist]]-Table7[[#This Row],[Waist v  CBF]]</f>
        <v>0.34098970987238886</v>
      </c>
      <c r="DG48" s="2">
        <f>Table7[[#This Row],[WaistCBF Res]]^2</f>
        <v>0.11627398223885593</v>
      </c>
      <c r="DH48">
        <f>Regression!$O$29+(Regression!$O$28*Table83[[#This Row],[Gym]])</f>
        <v>44.550847457627107</v>
      </c>
      <c r="DI48" s="2">
        <f>Table83[[#This Row],[Waist]]-Table7[[#This Row],[Waist v  Gym]]</f>
        <v>0.44915254237289304</v>
      </c>
      <c r="DJ48" s="2">
        <f>Table7[[#This Row],[WaistGYM Res]]^2</f>
        <v>0.20173800632003347</v>
      </c>
      <c r="DK48">
        <f>Regression!$P$29+(Regression!$P$28*Table83[[#This Row],[Cardio]])</f>
        <v>44.680851063829778</v>
      </c>
      <c r="DL48" s="2">
        <f>Table83[[#This Row],[Waist]]-Table7[[#This Row],[Waist v Cardio]]</f>
        <v>0.31914893617022244</v>
      </c>
      <c r="DM48" s="2">
        <f>Table7[[#This Row],[WaistC Res]]^2</f>
        <v>0.10185604345858472</v>
      </c>
      <c r="DN48">
        <f>Regression!$Q$29+(Regression!$Q$28*Table83[[#This Row],[Calories]])</f>
        <v>44.562129992494832</v>
      </c>
      <c r="DO48" s="2">
        <f>Table83[[#This Row],[Waist]]-Table7[[#This Row],[Waist v Calories]]</f>
        <v>0.43787000750516825</v>
      </c>
      <c r="DP48" s="2">
        <f>Table7[[#This Row],[WaistCal Res]]^2</f>
        <v>0.19173014347257611</v>
      </c>
      <c r="DQ48">
        <f>Regression!$R$29+(Regression!$R$28*Table83[[#This Row],[Carbs]])</f>
        <v>44.515061295941358</v>
      </c>
      <c r="DR48" s="2">
        <f>Table83[[#This Row],[Waist]]-Table7[[#This Row],[Waist v Carbs]]</f>
        <v>0.48493870405864214</v>
      </c>
      <c r="DS48" s="2">
        <f>Table7[[#This Row],[WaistCarb Res]]^2</f>
        <v>0.2351655466940753</v>
      </c>
      <c r="DT48">
        <f>Regression!$S$29+(Regression!$S$28*Table83[[#This Row],[Fat ]])</f>
        <v>44.556337778629469</v>
      </c>
      <c r="DU48" s="2">
        <f>Table83[[#This Row],[Waist]]-Table7[[#This Row],[Waist v Fat]]</f>
        <v>0.44366222137053057</v>
      </c>
      <c r="DV48" s="2">
        <f>Table7[[#This Row],[WaistF Res]]^2</f>
        <v>0.19683616667143367</v>
      </c>
      <c r="DW48">
        <f>Regression!$T$29+(Regression!$T$28*Table83[[#This Row],[Protein]])</f>
        <v>44.700975622671251</v>
      </c>
      <c r="DX48" s="2">
        <f>Table83[[#This Row],[Waist]]-Table7[[#This Row],[Waist v Protein]]</f>
        <v>0.29902437732874887</v>
      </c>
      <c r="DY48" s="2">
        <f>Table7[[#This Row],[WaistP Res]]^2</f>
        <v>8.9415578236845983E-2</v>
      </c>
      <c r="DZ48">
        <f>Regression!$U$29+(Regression!$U$28*Table83[[#This Row],[Fiber]])</f>
        <v>44.374751359640243</v>
      </c>
      <c r="EA48" s="2">
        <f>Table83[[#This Row],[Waist]]-Table7[[#This Row],[Waist v Fiber]]</f>
        <v>0.62524864035975725</v>
      </c>
      <c r="EB48" s="2">
        <f>Table7[[#This Row],[WaistFib Res]]^2</f>
        <v>0.39093586227172505</v>
      </c>
      <c r="EC48">
        <f>Regression!$V$29+(Regression!$V$28*Table83[[#This Row],[Sugar]])</f>
        <v>44.488494052095206</v>
      </c>
      <c r="ED48" s="2">
        <f>Table83[[#This Row],[Waist]]-Table7[[#This Row],[Waist v Sugar]]</f>
        <v>0.51150594790479431</v>
      </c>
      <c r="EE48" s="2">
        <f>Table7[[#This Row],[WaistSugar Res]]^2</f>
        <v>0.26163833474198217</v>
      </c>
      <c r="EF48">
        <f>Regression!$W$29+(Regression!$W$28*Table83[[#This Row],[Servings]])</f>
        <v>44.464824296889148</v>
      </c>
      <c r="EG48" s="2">
        <f>Table83[[#This Row],[Waist]]-Table7[[#This Row],[Waist v Servings]]</f>
        <v>0.53517570311085194</v>
      </c>
      <c r="EH48" s="2">
        <f>Table7[[#This Row],[WaistServ Res]]^2</f>
        <v>0.28641303320019473</v>
      </c>
      <c r="EI48">
        <f>Regression!$X$29+(Regression!$X$28*Table83[[#This Row],[Water]])</f>
        <v>44.442082352251923</v>
      </c>
      <c r="EJ48" s="2">
        <f>Table83[[#This Row],[Waist]]-Table7[[#This Row],[Waist v Water]]</f>
        <v>0.55791764774807717</v>
      </c>
      <c r="EK48" s="2">
        <f>Table7[[#This Row],[WaistWat Res]]^2</f>
        <v>0.31127210166874753</v>
      </c>
      <c r="EL48">
        <f>Regression!$Y$29+(Regression!$Y$28*Table83[[#This Row],[Fat Calories]])</f>
        <v>44.560909382535172</v>
      </c>
      <c r="EM48" s="2">
        <f>Table83[[#This Row],[Waist]]-Table7[[#This Row],[Waist v Fat Calories]]</f>
        <v>0.43909061746482791</v>
      </c>
      <c r="EN48" s="2">
        <f>Table7[[#This Row],[WaistFatCal Res]]^2</f>
        <v>0.19280057034564385</v>
      </c>
    </row>
    <row r="49" spans="1:144" x14ac:dyDescent="0.25">
      <c r="A49">
        <f>Regression!$B$10+(Regression!$B$9*Table83[[#This Row],[Waist]])</f>
        <v>255.38023686459636</v>
      </c>
      <c r="B49" s="2">
        <f>Table83[[#This Row],[Weight]]-Table7[[#This Row],[Weight v Waist]]</f>
        <v>2.419763135403656</v>
      </c>
      <c r="C49" s="2">
        <f>Table7[[#This Row],[Weight v Waist Res]]^2</f>
        <v>5.8552536314585319</v>
      </c>
      <c r="D49">
        <f>Regression!$C$10+(Regression!$C$9*Table83[[#This Row],[Neck]])</f>
        <v>260.39308108104251</v>
      </c>
      <c r="E49" s="2">
        <f>Table83[[#This Row],[Weight]]-Table7[[#This Row],[Weight v Neck]]</f>
        <v>-2.5930810810424987</v>
      </c>
      <c r="F49" s="2">
        <f>Table7[[#This Row],[WN Res]]^2</f>
        <v>6.7240694928605338</v>
      </c>
      <c r="G49">
        <f>Regression!$D$10+(Regression!$D$9*Table83[[#This Row],[Morning Body Temp]])</f>
        <v>255.05956644908434</v>
      </c>
      <c r="H49" s="2">
        <f>Table83[[#This Row],[Weight]]-Table7[[#This Row],[Weight v Morning Temp]]</f>
        <v>2.7404335509156681</v>
      </c>
      <c r="I49" s="2">
        <f>Table7[[#This Row],[WMT Res]]^2</f>
        <v>7.5099760469842574</v>
      </c>
      <c r="J49">
        <f>Regression!$E$10+(Regression!$E$9*Table83[[#This Row],[Morning Systolic Pressure]])</f>
        <v>255.09948662875533</v>
      </c>
      <c r="K49" s="2">
        <f>Table83[[#This Row],[Weight]]-Table7[[#This Row],[Weight v Morning Sys]]</f>
        <v>2.700513371244682</v>
      </c>
      <c r="L49" s="2">
        <f>Table7[[#This Row],[WMS Res]]^2</f>
        <v>7.292772468271318</v>
      </c>
      <c r="M49">
        <f>Regression!$F$10+(Regression!$F$9*Table83[[#This Row],[Morning Diastolic Pressure]])</f>
        <v>255.81144964056082</v>
      </c>
      <c r="N49" s="2">
        <f>Table83[[#This Row],[Weight]]-Table7[[#This Row],[Weight v Morning Dia]]</f>
        <v>1.9885503594391878</v>
      </c>
      <c r="O49" s="2">
        <f>Table7[[#This Row],[WMD Res]]^2</f>
        <v>3.954332532025723</v>
      </c>
      <c r="P49">
        <f>Regression!$G$10+(Regression!$G$9*Table83[[#This Row],[Morning Pulse]])</f>
        <v>255.11730068591285</v>
      </c>
      <c r="Q49" s="2">
        <f>Table83[[#This Row],[Weight]]-Table7[[#This Row],[Weight v Morning Pulse]]</f>
        <v>2.6826993140871593</v>
      </c>
      <c r="R49" s="2">
        <f>Table7[[#This Row],[WMP Res]]^2</f>
        <v>7.1968756098037154</v>
      </c>
      <c r="S49">
        <f>Regression!$H$10+(Regression!$H$9*Table83[[#This Row],[Night Body Temp]])</f>
        <v>255.05687981848845</v>
      </c>
      <c r="T49" s="2">
        <f>Table83[[#This Row],[Weight]]-Table7[[#This Row],[Weight v Night Temp]]</f>
        <v>2.7431201815115571</v>
      </c>
      <c r="U49" s="2">
        <f>Table7[[#This Row],[WNT Res]]^2</f>
        <v>7.5247083302159981</v>
      </c>
      <c r="V49">
        <f>Regression!$I$10+(Regression!$I$9*Table83[[#This Row],[Night Systolic Pressure]])</f>
        <v>252.56981570842703</v>
      </c>
      <c r="W49" s="2">
        <f>Table83[[#This Row],[Weight]]-Table7[[#This Row],[Weight v Night Sys]]</f>
        <v>5.2301842915729821</v>
      </c>
      <c r="X49" s="2">
        <f>Table7[[#This Row],[WNS Res]]^2</f>
        <v>27.354827723816776</v>
      </c>
      <c r="Y49">
        <f>Regression!$J$10+(Regression!$J$9*Table83[[#This Row],[Night Diastolic Pressure]])</f>
        <v>254.60312595325288</v>
      </c>
      <c r="Z49" s="2">
        <f>Table83[[#This Row],[Weight]]-Table7[[#This Row],[Weight v Night Dia]]</f>
        <v>3.1968740467471264</v>
      </c>
      <c r="AA49" s="2">
        <f>Table7[[#This Row],[WND Res]]^2</f>
        <v>10.220003670765347</v>
      </c>
      <c r="AB49">
        <f>Regression!$K$10+(Regression!$K$9*Table83[[#This Row],[Night Pulse]])</f>
        <v>254.92587187132088</v>
      </c>
      <c r="AC49" s="2">
        <f>Table83[[#This Row],[Weight]]-Table7[[#This Row],[Weight v Night Pulse]]</f>
        <v>2.874128128679132</v>
      </c>
      <c r="AD49" s="2">
        <f>Table7[[#This Row],[WNP Res ]]^2</f>
        <v>8.2606125000646085</v>
      </c>
      <c r="AE49">
        <f>Regression!$L$10+(Regression!$L$9*Table83[[#This Row],[Sleep]])</f>
        <v>254.66381845232058</v>
      </c>
      <c r="AF49" s="2">
        <f>Table83[[#This Row],[Weight]]-Table7[[#This Row],[Weight v Sleep]]</f>
        <v>3.1361815476794277</v>
      </c>
      <c r="AG49" s="2">
        <f>Table7[[#This Row],[WS Res]]^2</f>
        <v>9.8356347000049311</v>
      </c>
      <c r="AH49">
        <f>Regression!$M$10+(Regression!$M$9*Table83[[#This Row],[BMI]])</f>
        <v>257.79999999999404</v>
      </c>
      <c r="AI49" s="2">
        <f>Table83[[#This Row],[Weight]]-Table7[[#This Row],[Weight v BMI]]</f>
        <v>5.9685589803848416E-12</v>
      </c>
      <c r="AJ49" s="2">
        <f>Table7[[#This Row],[WBMI Res]]^2</f>
        <v>3.562369630233254E-23</v>
      </c>
      <c r="AK49">
        <f>Regression!$N$10+(Regression!$N$9*Table83[[#This Row],[CBF]])</f>
        <v>253.17965033701802</v>
      </c>
      <c r="AL49" s="2">
        <f>Table83[[#This Row],[Weight]]-Table7[[#This Row],[Weight v CBF]]</f>
        <v>4.6203496629819938</v>
      </c>
      <c r="AM49" s="2">
        <f>Table7[[#This Row],[WCBF Res]]^2</f>
        <v>21.347631008217824</v>
      </c>
      <c r="AN49">
        <f>Regression!$O$10+(Regression!$O$9*Table83[[#This Row],[Gym]])</f>
        <v>255.46779661016953</v>
      </c>
      <c r="AO49" s="2">
        <f>Table83[[#This Row],[Weight]]-Table7[[#This Row],[Weight v Gym]]</f>
        <v>2.3322033898304824</v>
      </c>
      <c r="AP49" s="2">
        <f>Table7[[#This Row],[WG Res]]^2</f>
        <v>5.4391726515367926</v>
      </c>
      <c r="AQ49">
        <f>Regression!$P$10+(Regression!$P$9*Table83[[#This Row],[Cardio]])</f>
        <v>256.41063829787231</v>
      </c>
      <c r="AR49" s="2">
        <f>Table83[[#This Row],[Weight]]-Table7[[#This Row],[Weight v Cardio]]</f>
        <v>1.3893617021277009</v>
      </c>
      <c r="AS49" s="2">
        <f>Table7[[#This Row],[WC Res]]^2</f>
        <v>1.9303259393391823</v>
      </c>
      <c r="AT49">
        <f>Regression!$Q$10+(Regression!$Q$9*Table83[[#This Row],[Calories]])</f>
        <v>255.72311947024116</v>
      </c>
      <c r="AU49" s="2">
        <f>Table83[[#This Row],[Weight]]-Table7[[#This Row],[Weight v Calories]]</f>
        <v>2.0768805297588528</v>
      </c>
      <c r="AV49" s="2">
        <f>Table7[[#This Row],[WCAL Res]]^2</f>
        <v>4.3134327348914132</v>
      </c>
      <c r="AW49">
        <f>Regression!$R$10+(Regression!$R$9*Table83[[#This Row],[Carbs]])</f>
        <v>256.15652620027493</v>
      </c>
      <c r="AX49" s="2">
        <f>Table83[[#This Row],[Weight]]-Table7[[#This Row],[Weight v Carbs]]</f>
        <v>1.6434737997250863</v>
      </c>
      <c r="AY49" s="2">
        <f>Table7[[#This Row],[Wcarb Res]]^2</f>
        <v>2.701006130382813</v>
      </c>
      <c r="AZ49">
        <f>Regression!$S$10+(Regression!$S$9*Table83[[#This Row],[Fat ]])</f>
        <v>255.29379136028612</v>
      </c>
      <c r="BA49" s="2">
        <f>Table83[[#This Row],[Weight]]-Table7[[#This Row],[Weight v Fat]]</f>
        <v>2.5062086397138899</v>
      </c>
      <c r="BB49" s="2">
        <f>Table7[[#This Row],[WF Res]]^2</f>
        <v>6.2810817457765458</v>
      </c>
      <c r="BC49">
        <f>Regression!$T$10+(Regression!$T$9*Table83[[#This Row],[Protein]])</f>
        <v>254.75573981679906</v>
      </c>
      <c r="BD49" s="2">
        <f>Table83[[#This Row],[Weight]]-Table7[[#This Row],[Weight v Protein]]</f>
        <v>3.0442601832009473</v>
      </c>
      <c r="BE49" s="2">
        <f>Table7[[#This Row],[WP Res]]^2</f>
        <v>9.2675200630226655</v>
      </c>
      <c r="BF49">
        <f>Regression!$U$10+(Regression!$U$9*Table83[[#This Row],[Fiber]])</f>
        <v>254.93980300113361</v>
      </c>
      <c r="BG49" s="2">
        <f>Table83[[#This Row],[Weight]]-Table7[[#This Row],[Weight v Fiber]]</f>
        <v>2.8601969988663996</v>
      </c>
      <c r="BH49" s="2">
        <f>Table7[[#This Row],[Wfib Res]]^2</f>
        <v>8.1807268723243585</v>
      </c>
      <c r="BI49">
        <f>Regression!$V$10+(Regression!$V$9*Table83[[#This Row],[Sugar]])</f>
        <v>256.72820609173618</v>
      </c>
      <c r="BJ49" s="2">
        <f>Table83[[#This Row],[Weight]]-Table7[[#This Row],[Weight v Sugar]]</f>
        <v>1.0717939082638281</v>
      </c>
      <c r="BK49" s="2">
        <f>Table7[[#This Row],[Wsugar Res]]^2</f>
        <v>1.1487421817914512</v>
      </c>
      <c r="BL49">
        <f>Regression!$W$10+(Regression!$W$9*Table83[[#This Row],[Servings]])</f>
        <v>256.85178286055657</v>
      </c>
      <c r="BM49" s="2">
        <f>Table83[[#This Row],[Weight]]-Table7[[#This Row],[Weight v Servings]]</f>
        <v>0.9482171394434431</v>
      </c>
      <c r="BN49" s="2">
        <f>Table7[[#This Row],[Wserv Res]]^2</f>
        <v>0.89911574353430601</v>
      </c>
      <c r="BO49">
        <f>Regression!$X$10+(Regression!$X$9*Table83[[#This Row],[Water]])</f>
        <v>255.19189796045953</v>
      </c>
      <c r="BP49" s="2">
        <f>Table83[[#This Row],[Weight]]-Table7[[#This Row],[Weight v Water]]</f>
        <v>2.6081020395404835</v>
      </c>
      <c r="BQ49" s="2">
        <f>Table7[[#This Row],[Wwater Res]]^2</f>
        <v>6.8021962486552292</v>
      </c>
      <c r="BR49">
        <f>Regression!$Y$10+(Regression!$Y$9*Table83[[#This Row],[Fat Calories]])</f>
        <v>255.30041453779759</v>
      </c>
      <c r="BS49" s="2">
        <f>Table83[[#This Row],[Weight]]-Table7[[#This Row],[Weight v Fat Calories]]</f>
        <v>2.4995854622024183</v>
      </c>
      <c r="BT49" s="2">
        <f>Table7[[#This Row],[WFC Res]]^2</f>
        <v>6.2479274828536768</v>
      </c>
      <c r="BU49">
        <f>Regression!$B$29+(Regression!$B$28*Table83[[#This Row],[Weight]])</f>
        <v>44.819398634574597</v>
      </c>
      <c r="BV49" s="2">
        <f>Table83[[#This Row],[Waist]]-Table7[[#This Row],[Waist v Weight]]</f>
        <v>-0.31939863457459694</v>
      </c>
      <c r="BW49" s="2">
        <f>Table7[[#This Row],[WaistW Res]]^2</f>
        <v>0.10201548776811691</v>
      </c>
      <c r="BX49">
        <f>Regression!$C$29+(Regression!$C$28*Table83[[#This Row],[Neck]])</f>
        <v>45.258648648648581</v>
      </c>
      <c r="BY49" s="2">
        <f>Table83[[#This Row],[Waist]]-Table7[[#This Row],[Waist v Neck]]</f>
        <v>-0.75864864864858106</v>
      </c>
      <c r="BZ49" s="2">
        <f>Table7[[#This Row],[WaistN Res]]^2</f>
        <v>0.57554777209631824</v>
      </c>
      <c r="CA49">
        <f>Regression!$D$29+(Regression!$D$28*Table83[[#This Row],[Morning Body Temp]])</f>
        <v>44.438451117581323</v>
      </c>
      <c r="CB49" s="2">
        <f>Table83[[#This Row],[Waist]]-Table7[[#This Row],[Waist v Morning Temp]]</f>
        <v>6.1548882418676953E-2</v>
      </c>
      <c r="CC49" s="2">
        <f>Table7[[#This Row],[WaistMT Res]]^2</f>
        <v>3.7882649269881208E-3</v>
      </c>
      <c r="CD49">
        <f>Regression!$E$29+(Regression!$E$28*Table83[[#This Row],[Morning Systolic Pressure]])</f>
        <v>44.449884727394206</v>
      </c>
      <c r="CE49" s="2">
        <f>Table83[[#This Row],[Waist]]-Table7[[#This Row],[Waist v Morning Sys]]</f>
        <v>5.0115272605793848E-2</v>
      </c>
      <c r="CF49" s="2">
        <f>Table7[[#This Row],[WaistMS Res]]^2</f>
        <v>2.5115405483530314E-3</v>
      </c>
      <c r="CG49">
        <f>Regression!$F$29+(Regression!$F$28*Table83[[#This Row],[Morning Diastolic Pressure]])</f>
        <v>44.492266012826242</v>
      </c>
      <c r="CH49" s="2">
        <f>Table83[[#This Row],[Waist]]-Table7[[#This Row],[Waist v Morning Dia]]</f>
        <v>7.7339871737578392E-3</v>
      </c>
      <c r="CI49" s="2">
        <f>Table7[[#This Row],[WaistMD Res]]^2</f>
        <v>5.9814557603850768E-5</v>
      </c>
      <c r="CJ49">
        <f>Regression!$G$29+(Regression!$G$28*Table83[[#This Row],[Morning Pulse]])</f>
        <v>44.454576200079806</v>
      </c>
      <c r="CK49" s="2">
        <f>Table83[[#This Row],[Waist]]-Table7[[#This Row],[Waist v Morning Pulse]]</f>
        <v>4.542379992019363E-2</v>
      </c>
      <c r="CL49" s="2">
        <f>Table7[[#This Row],[WaistMP Res]]^2</f>
        <v>2.0633215991897828E-3</v>
      </c>
      <c r="CM49">
        <f>Regression!$H$29+(Regression!$H$28*Table83[[#This Row],[Night Body Temp]])</f>
        <v>44.448953954659181</v>
      </c>
      <c r="CN49" s="2">
        <f>Table83[[#This Row],[Waist]]-Table7[[#This Row],[Waist v Night Temp]]</f>
        <v>5.104604534081858E-2</v>
      </c>
      <c r="CO49" s="2">
        <f>Table7[[#This Row],[WaistNT Res]]^2</f>
        <v>2.605698744936906E-3</v>
      </c>
      <c r="CP49">
        <f>Regression!$I$29+(Regression!$I$28*Table83[[#This Row],[Night Systolic Pressure]])</f>
        <v>44.092996457164872</v>
      </c>
      <c r="CQ49" s="2">
        <f>Table83[[#This Row],[Waist]]-Table7[[#This Row],[Waist v  Night Sys]]</f>
        <v>0.40700354283512752</v>
      </c>
      <c r="CR49" s="2">
        <f>Table7[[#This Row],[WaistNS Res]]^2</f>
        <v>0.16565188388034549</v>
      </c>
      <c r="CS49">
        <f>Regression!$J$29+(Regression!$J$28*Table83[[#This Row],[Night Diastolic Pressure]])</f>
        <v>44.239208723456983</v>
      </c>
      <c r="CT49" s="2">
        <f>Table83[[#This Row],[Waist]]-Table7[[#This Row],[Waist v Night Dia]]</f>
        <v>0.26079127654301715</v>
      </c>
      <c r="CU49" s="2">
        <f>Table7[[#This Row],[WaistND Res]]^2</f>
        <v>6.801208992093645E-2</v>
      </c>
      <c r="CV49">
        <f>Regression!$K$29+(Regression!$K$28*Table83[[#This Row],[Night Pulse]])</f>
        <v>44.471135357809125</v>
      </c>
      <c r="CW49" s="2">
        <f>Table83[[#This Row],[Waist]]-Table7[[#This Row],[Waist v Night Pulse]]</f>
        <v>2.8864642190875145E-2</v>
      </c>
      <c r="CX49" s="2">
        <f>Table7[[#This Row],[WaistNP Res]]^2</f>
        <v>8.3316756880724946E-4</v>
      </c>
      <c r="CY49">
        <f>Regression!$L$29+(Regression!$L$28*Table83[[#This Row],[Sleep]])</f>
        <v>44.384743400864622</v>
      </c>
      <c r="CZ49" s="2">
        <f>Table83[[#This Row],[Waist]]-Table7[[#This Row],[Waist v  Sleep]]</f>
        <v>0.11525659913537822</v>
      </c>
      <c r="DA49" s="2">
        <f>Table7[[#This Row],[WaistS Res]]^2</f>
        <v>1.3284083644253269E-2</v>
      </c>
      <c r="DB49">
        <f>Regression!$M$29+(Regression!$M$28*Table83[[#This Row],[BMI]])</f>
        <v>44.819398634573439</v>
      </c>
      <c r="DC49" s="2">
        <f>Table83[[#This Row],[Waist]]-Table7[[#This Row],[Waist v BMI]]</f>
        <v>-0.31939863457343876</v>
      </c>
      <c r="DD49" s="2">
        <f>Table7[[#This Row],[WaistBMI Res]]^2</f>
        <v>0.10201548776737707</v>
      </c>
      <c r="DE49">
        <f>Regression!$N$29+(Regression!$N$28*Table83[[#This Row],[CBF]])</f>
        <v>44.105031770433015</v>
      </c>
      <c r="DF49" s="2">
        <f>Table83[[#This Row],[Waist]]-Table7[[#This Row],[Waist v  CBF]]</f>
        <v>0.39496822956698452</v>
      </c>
      <c r="DG49" s="2">
        <f>Table7[[#This Row],[WaistCBF Res]]^2</f>
        <v>0.15599990236727818</v>
      </c>
      <c r="DH49">
        <f>Regression!$O$29+(Regression!$O$28*Table83[[#This Row],[Gym]])</f>
        <v>44.550847457627107</v>
      </c>
      <c r="DI49" s="2">
        <f>Table83[[#This Row],[Waist]]-Table7[[#This Row],[Waist v  Gym]]</f>
        <v>-5.0847457627106962E-2</v>
      </c>
      <c r="DJ49" s="2">
        <f>Table7[[#This Row],[WaistGYM Res]]^2</f>
        <v>2.5854639471404378E-3</v>
      </c>
      <c r="DK49">
        <f>Regression!$P$29+(Regression!$P$28*Table83[[#This Row],[Cardio]])</f>
        <v>44.680851063829778</v>
      </c>
      <c r="DL49" s="2">
        <f>Table83[[#This Row],[Waist]]-Table7[[#This Row],[Waist v Cardio]]</f>
        <v>-0.18085106382977756</v>
      </c>
      <c r="DM49" s="2">
        <f>Table7[[#This Row],[WaistC Res]]^2</f>
        <v>3.2707107288362278E-2</v>
      </c>
      <c r="DN49">
        <f>Regression!$Q$29+(Regression!$Q$28*Table83[[#This Row],[Calories]])</f>
        <v>44.590160838590677</v>
      </c>
      <c r="DO49" s="2">
        <f>Table83[[#This Row],[Waist]]-Table7[[#This Row],[Waist v Calories]]</f>
        <v>-9.0160838590676917E-2</v>
      </c>
      <c r="DP49" s="2">
        <f>Table7[[#This Row],[WaistCal Res]]^2</f>
        <v>8.1289768153740959E-3</v>
      </c>
      <c r="DQ49">
        <f>Regression!$R$29+(Regression!$R$28*Table83[[#This Row],[Carbs]])</f>
        <v>44.670369987731476</v>
      </c>
      <c r="DR49" s="2">
        <f>Table83[[#This Row],[Waist]]-Table7[[#This Row],[Waist v Carbs]]</f>
        <v>-0.17036998773147616</v>
      </c>
      <c r="DS49" s="2">
        <f>Table7[[#This Row],[WaistCarb Res]]^2</f>
        <v>2.9025932719623337E-2</v>
      </c>
      <c r="DT49">
        <f>Regression!$S$29+(Regression!$S$28*Table83[[#This Row],[Fat ]])</f>
        <v>44.508179032526229</v>
      </c>
      <c r="DU49" s="2">
        <f>Table83[[#This Row],[Waist]]-Table7[[#This Row],[Waist v Fat]]</f>
        <v>-8.1790325262289798E-3</v>
      </c>
      <c r="DV49" s="2">
        <f>Table7[[#This Row],[WaistF Res]]^2</f>
        <v>6.6896573065111604E-5</v>
      </c>
      <c r="DW49">
        <f>Regression!$T$29+(Regression!$T$28*Table83[[#This Row],[Protein]])</f>
        <v>44.387773765253215</v>
      </c>
      <c r="DX49" s="2">
        <f>Table83[[#This Row],[Waist]]-Table7[[#This Row],[Waist v Protein]]</f>
        <v>0.11222623474678528</v>
      </c>
      <c r="DY49" s="2">
        <f>Table7[[#This Row],[WaistP Res]]^2</f>
        <v>1.2594727765440556E-2</v>
      </c>
      <c r="DZ49">
        <f>Regression!$U$29+(Regression!$U$28*Table83[[#This Row],[Fiber]])</f>
        <v>44.385921243916577</v>
      </c>
      <c r="EA49" s="2">
        <f>Table83[[#This Row],[Waist]]-Table7[[#This Row],[Waist v Fiber]]</f>
        <v>0.11407875608342266</v>
      </c>
      <c r="EB49" s="2">
        <f>Table7[[#This Row],[WaistFib Res]]^2</f>
        <v>1.3013962589541043E-2</v>
      </c>
      <c r="EC49">
        <f>Regression!$V$29+(Regression!$V$28*Table83[[#This Row],[Sugar]])</f>
        <v>44.743326356636707</v>
      </c>
      <c r="ED49" s="2">
        <f>Table83[[#This Row],[Waist]]-Table7[[#This Row],[Waist v Sugar]]</f>
        <v>-0.24332635663670743</v>
      </c>
      <c r="EE49" s="2">
        <f>Table7[[#This Row],[WaistSugar Res]]^2</f>
        <v>5.9207715834094135E-2</v>
      </c>
      <c r="EF49">
        <f>Regression!$W$29+(Regression!$W$28*Table83[[#This Row],[Servings]])</f>
        <v>44.718537201260126</v>
      </c>
      <c r="EG49" s="2">
        <f>Table83[[#This Row],[Waist]]-Table7[[#This Row],[Waist v Servings]]</f>
        <v>-0.21853720126012632</v>
      </c>
      <c r="EH49" s="2">
        <f>Table7[[#This Row],[WaistServ Res]]^2</f>
        <v>4.7758508334608957E-2</v>
      </c>
      <c r="EI49">
        <f>Regression!$X$29+(Regression!$X$28*Table83[[#This Row],[Water]])</f>
        <v>44.553850107074496</v>
      </c>
      <c r="EJ49" s="2">
        <f>Table83[[#This Row],[Waist]]-Table7[[#This Row],[Waist v Water]]</f>
        <v>-5.3850107074495668E-2</v>
      </c>
      <c r="EK49" s="2">
        <f>Table7[[#This Row],[WaistWat Res]]^2</f>
        <v>2.8998340319346485E-3</v>
      </c>
      <c r="EL49">
        <f>Regression!$Y$29+(Regression!$Y$28*Table83[[#This Row],[Fat Calories]])</f>
        <v>44.509916260868259</v>
      </c>
      <c r="EM49" s="2">
        <f>Table83[[#This Row],[Waist]]-Table7[[#This Row],[Waist v Fat Calories]]</f>
        <v>-9.9162608682590303E-3</v>
      </c>
      <c r="EN49" s="2">
        <f>Table7[[#This Row],[WaistFatCal Res]]^2</f>
        <v>9.833222960736534E-5</v>
      </c>
    </row>
    <row r="50" spans="1:144" x14ac:dyDescent="0.25">
      <c r="A50">
        <f>Regression!$B$10+(Regression!$B$9*Table83[[#This Row],[Waist]])</f>
        <v>255.38023686459636</v>
      </c>
      <c r="B50" s="2">
        <f>Table83[[#This Row],[Weight]]-Table7[[#This Row],[Weight v Waist]]</f>
        <v>0.41976313540365595</v>
      </c>
      <c r="C50" s="2">
        <f>Table7[[#This Row],[Weight v Waist Res]]^2</f>
        <v>0.176201089843908</v>
      </c>
      <c r="D50">
        <f>Regression!$C$10+(Regression!$C$9*Table83[[#This Row],[Neck]])</f>
        <v>260.39308108104251</v>
      </c>
      <c r="E50" s="2">
        <f>Table83[[#This Row],[Weight]]-Table7[[#This Row],[Weight v Neck]]</f>
        <v>-4.5930810810424987</v>
      </c>
      <c r="F50" s="2">
        <f>Table7[[#This Row],[WN Res]]^2</f>
        <v>21.096393817030528</v>
      </c>
      <c r="G50">
        <f>Regression!$D$10+(Regression!$D$9*Table83[[#This Row],[Morning Body Temp]])</f>
        <v>254.98916789486196</v>
      </c>
      <c r="H50" s="2">
        <f>Table83[[#This Row],[Weight]]-Table7[[#This Row],[Weight v Morning Temp]]</f>
        <v>0.81083210513804715</v>
      </c>
      <c r="I50" s="2">
        <f>Table7[[#This Row],[WMT Res]]^2</f>
        <v>0.65744870272259714</v>
      </c>
      <c r="J50">
        <f>Regression!$E$10+(Regression!$E$9*Table83[[#This Row],[Morning Systolic Pressure]])</f>
        <v>255.05440942489196</v>
      </c>
      <c r="K50" s="2">
        <f>Table83[[#This Row],[Weight]]-Table7[[#This Row],[Weight v Morning Sys]]</f>
        <v>0.7455905751080536</v>
      </c>
      <c r="L50" s="2">
        <f>Table7[[#This Row],[WMS Res]]^2</f>
        <v>0.55590530568995811</v>
      </c>
      <c r="M50">
        <f>Regression!$F$10+(Regression!$F$9*Table83[[#This Row],[Morning Diastolic Pressure]])</f>
        <v>255.00069564820177</v>
      </c>
      <c r="N50" s="2">
        <f>Table83[[#This Row],[Weight]]-Table7[[#This Row],[Weight v Morning Dia]]</f>
        <v>0.79930435179824144</v>
      </c>
      <c r="O50" s="2">
        <f>Table7[[#This Row],[WMD Res]]^2</f>
        <v>0.63888744680360687</v>
      </c>
      <c r="P50">
        <f>Regression!$G$10+(Regression!$G$9*Table83[[#This Row],[Morning Pulse]])</f>
        <v>255.12095627742721</v>
      </c>
      <c r="Q50" s="2">
        <f>Table83[[#This Row],[Weight]]-Table7[[#This Row],[Weight v Morning Pulse]]</f>
        <v>0.67904372257279988</v>
      </c>
      <c r="R50" s="2">
        <f>Table7[[#This Row],[WMP Res]]^2</f>
        <v>0.4611003771655256</v>
      </c>
      <c r="S50">
        <f>Regression!$H$10+(Regression!$H$9*Table83[[#This Row],[Night Body Temp]])</f>
        <v>254.85148667752509</v>
      </c>
      <c r="T50" s="2">
        <f>Table83[[#This Row],[Weight]]-Table7[[#This Row],[Weight v Night Temp]]</f>
        <v>0.94851332247492337</v>
      </c>
      <c r="U50" s="2">
        <f>Table7[[#This Row],[WNT Res]]^2</f>
        <v>0.89967752291241798</v>
      </c>
      <c r="V50">
        <f>Regression!$I$10+(Regression!$I$9*Table83[[#This Row],[Night Systolic Pressure]])</f>
        <v>253.18568471259783</v>
      </c>
      <c r="W50" s="2">
        <f>Table83[[#This Row],[Weight]]-Table7[[#This Row],[Weight v Night Sys]]</f>
        <v>2.614315287402178</v>
      </c>
      <c r="X50" s="2">
        <f>Table7[[#This Row],[WNS Res]]^2</f>
        <v>6.8346444219447324</v>
      </c>
      <c r="Y50">
        <f>Regression!$J$10+(Regression!$J$9*Table83[[#This Row],[Night Diastolic Pressure]])</f>
        <v>254.52159421642068</v>
      </c>
      <c r="Z50" s="2">
        <f>Table83[[#This Row],[Weight]]-Table7[[#This Row],[Weight v Night Dia]]</f>
        <v>1.2784057835793305</v>
      </c>
      <c r="AA50" s="2">
        <f>Table7[[#This Row],[WND Res]]^2</f>
        <v>1.6343213474890821</v>
      </c>
      <c r="AB50">
        <f>Regression!$K$10+(Regression!$K$9*Table83[[#This Row],[Night Pulse]])</f>
        <v>255.20229185245142</v>
      </c>
      <c r="AC50" s="2">
        <f>Table83[[#This Row],[Weight]]-Table7[[#This Row],[Weight v Night Pulse]]</f>
        <v>0.59770814754858748</v>
      </c>
      <c r="AD50" s="2">
        <f>Table7[[#This Row],[WNP Res ]]^2</f>
        <v>0.35725502964596401</v>
      </c>
      <c r="AE50">
        <f>Regression!$L$10+(Regression!$L$9*Table83[[#This Row],[Sleep]])</f>
        <v>255.45250391075515</v>
      </c>
      <c r="AF50" s="2">
        <f>Table83[[#This Row],[Weight]]-Table7[[#This Row],[Weight v Sleep]]</f>
        <v>0.34749608924485642</v>
      </c>
      <c r="AG50" s="2">
        <f>Table7[[#This Row],[WS Res]]^2</f>
        <v>0.12075353204046922</v>
      </c>
      <c r="AH50">
        <f>Regression!$M$10+(Regression!$M$9*Table83[[#This Row],[BMI]])</f>
        <v>255.79999999999848</v>
      </c>
      <c r="AI50" s="2">
        <f>Table83[[#This Row],[Weight]]-Table7[[#This Row],[Weight v BMI]]</f>
        <v>1.5347723092418164E-12</v>
      </c>
      <c r="AJ50" s="2">
        <f>Table7[[#This Row],[WBMI Res]]^2</f>
        <v>2.3555260412154577E-24</v>
      </c>
      <c r="AK50">
        <f>Regression!$N$10+(Regression!$N$9*Table83[[#This Row],[CBF]])</f>
        <v>253.17965033701802</v>
      </c>
      <c r="AL50" s="2">
        <f>Table83[[#This Row],[Weight]]-Table7[[#This Row],[Weight v CBF]]</f>
        <v>2.6203496629819938</v>
      </c>
      <c r="AM50" s="2">
        <f>Table7[[#This Row],[WCBF Res]]^2</f>
        <v>6.8662323562898484</v>
      </c>
      <c r="AN50">
        <f>Regression!$O$10+(Regression!$O$9*Table83[[#This Row],[Gym]])</f>
        <v>255.46779661016953</v>
      </c>
      <c r="AO50" s="2">
        <f>Table83[[#This Row],[Weight]]-Table7[[#This Row],[Weight v Gym]]</f>
        <v>0.33220338983048237</v>
      </c>
      <c r="AP50" s="2">
        <f>Table7[[#This Row],[WG Res]]^2</f>
        <v>0.11035909221486344</v>
      </c>
      <c r="AQ50">
        <f>Regression!$P$10+(Regression!$P$9*Table83[[#This Row],[Cardio]])</f>
        <v>254.19242424242461</v>
      </c>
      <c r="AR50" s="2">
        <f>Table83[[#This Row],[Weight]]-Table7[[#This Row],[Weight v Cardio]]</f>
        <v>1.6075757575754039</v>
      </c>
      <c r="AS50" s="2">
        <f>Table7[[#This Row],[WC Res]]^2</f>
        <v>2.5842998163441337</v>
      </c>
      <c r="AT50">
        <f>Regression!$Q$10+(Regression!$Q$9*Table83[[#This Row],[Calories]])</f>
        <v>255.7407388421349</v>
      </c>
      <c r="AU50" s="2">
        <f>Table83[[#This Row],[Weight]]-Table7[[#This Row],[Weight v Calories]]</f>
        <v>5.9261157865108771E-2</v>
      </c>
      <c r="AV50" s="2">
        <f>Table7[[#This Row],[WCAL Res]]^2</f>
        <v>3.5118848315133433E-3</v>
      </c>
      <c r="AW50">
        <f>Regression!$R$10+(Regression!$R$9*Table83[[#This Row],[Carbs]])</f>
        <v>256.16604505111371</v>
      </c>
      <c r="AX50" s="2">
        <f>Table83[[#This Row],[Weight]]-Table7[[#This Row],[Weight v Carbs]]</f>
        <v>-0.36604505111370145</v>
      </c>
      <c r="AY50" s="2">
        <f>Table7[[#This Row],[Wcarb Res]]^2</f>
        <v>0.13398897944483232</v>
      </c>
      <c r="AZ50">
        <f>Regression!$S$10+(Regression!$S$9*Table83[[#This Row],[Fat ]])</f>
        <v>255.2861705705356</v>
      </c>
      <c r="BA50" s="2">
        <f>Table83[[#This Row],[Weight]]-Table7[[#This Row],[Weight v Fat]]</f>
        <v>0.51382942946440835</v>
      </c>
      <c r="BB50" s="2">
        <f>Table7[[#This Row],[WF Res]]^2</f>
        <v>0.26402068258371941</v>
      </c>
      <c r="BC50">
        <f>Regression!$T$10+(Regression!$T$9*Table83[[#This Row],[Protein]])</f>
        <v>254.98824798033195</v>
      </c>
      <c r="BD50" s="2">
        <f>Table83[[#This Row],[Weight]]-Table7[[#This Row],[Weight v Protein]]</f>
        <v>0.81175201966806299</v>
      </c>
      <c r="BE50" s="2">
        <f>Table7[[#This Row],[WP Res]]^2</f>
        <v>0.65894134143517935</v>
      </c>
      <c r="BF50">
        <f>Regression!$U$10+(Regression!$U$9*Table83[[#This Row],[Fiber]])</f>
        <v>254.90856554666394</v>
      </c>
      <c r="BG50" s="2">
        <f>Table83[[#This Row],[Weight]]-Table7[[#This Row],[Weight v Fiber]]</f>
        <v>0.89143445333607474</v>
      </c>
      <c r="BH50" s="2">
        <f>Table7[[#This Row],[Wfib Res]]^2</f>
        <v>0.7946553845945864</v>
      </c>
      <c r="BI50">
        <f>Regression!$V$10+(Regression!$V$9*Table83[[#This Row],[Sugar]])</f>
        <v>256.63917013338761</v>
      </c>
      <c r="BJ50" s="2">
        <f>Table83[[#This Row],[Weight]]-Table7[[#This Row],[Weight v Sugar]]</f>
        <v>-0.83917013338759716</v>
      </c>
      <c r="BK50" s="2">
        <f>Table7[[#This Row],[Wsugar Res]]^2</f>
        <v>0.70420651276975765</v>
      </c>
      <c r="BL50">
        <f>Regression!$W$10+(Regression!$W$9*Table83[[#This Row],[Servings]])</f>
        <v>256.62243355308664</v>
      </c>
      <c r="BM50" s="2">
        <f>Table83[[#This Row],[Weight]]-Table7[[#This Row],[Weight v Servings]]</f>
        <v>-0.82243355308662558</v>
      </c>
      <c r="BN50" s="2">
        <f>Table7[[#This Row],[Wserv Res]]^2</f>
        <v>0.67639694924269134</v>
      </c>
      <c r="BO50">
        <f>Regression!$X$10+(Regression!$X$9*Table83[[#This Row],[Water]])</f>
        <v>255.19189796045953</v>
      </c>
      <c r="BP50" s="2">
        <f>Table83[[#This Row],[Weight]]-Table7[[#This Row],[Weight v Water]]</f>
        <v>0.60810203954048347</v>
      </c>
      <c r="BQ50" s="2">
        <f>Table7[[#This Row],[Wwater Res]]^2</f>
        <v>0.36978809049329575</v>
      </c>
      <c r="BR50">
        <f>Regression!$Y$10+(Regression!$Y$9*Table83[[#This Row],[Fat Calories]])</f>
        <v>255.2923041003512</v>
      </c>
      <c r="BS50" s="2">
        <f>Table83[[#This Row],[Weight]]-Table7[[#This Row],[Weight v Fat Calories]]</f>
        <v>0.50769589964880879</v>
      </c>
      <c r="BT50" s="2">
        <f>Table7[[#This Row],[WFC Res]]^2</f>
        <v>0.25775512652021332</v>
      </c>
      <c r="BU50">
        <f>Regression!$B$29+(Regression!$B$28*Table83[[#This Row],[Weight]])</f>
        <v>44.546873613434634</v>
      </c>
      <c r="BV50" s="2">
        <f>Table83[[#This Row],[Waist]]-Table7[[#This Row],[Waist v Weight]]</f>
        <v>-4.6873613434634365E-2</v>
      </c>
      <c r="BW50" s="2">
        <f>Table7[[#This Row],[WaistW Res]]^2</f>
        <v>2.1971356364195354E-3</v>
      </c>
      <c r="BX50">
        <f>Regression!$C$29+(Regression!$C$28*Table83[[#This Row],[Neck]])</f>
        <v>45.258648648648581</v>
      </c>
      <c r="BY50" s="2">
        <f>Table83[[#This Row],[Waist]]-Table7[[#This Row],[Waist v Neck]]</f>
        <v>-0.75864864864858106</v>
      </c>
      <c r="BZ50" s="2">
        <f>Table7[[#This Row],[WaistN Res]]^2</f>
        <v>0.57554777209631824</v>
      </c>
      <c r="CA50">
        <f>Regression!$D$29+(Regression!$D$28*Table83[[#This Row],[Morning Body Temp]])</f>
        <v>44.419304304405451</v>
      </c>
      <c r="CB50" s="2">
        <f>Table83[[#This Row],[Waist]]-Table7[[#This Row],[Waist v Morning Temp]]</f>
        <v>8.0695695594549477E-2</v>
      </c>
      <c r="CC50" s="2">
        <f>Table7[[#This Row],[WaistMT Res]]^2</f>
        <v>6.511795287488192E-3</v>
      </c>
      <c r="CD50">
        <f>Regression!$E$29+(Regression!$E$28*Table83[[#This Row],[Morning Systolic Pressure]])</f>
        <v>44.439294322151774</v>
      </c>
      <c r="CE50" s="2">
        <f>Table83[[#This Row],[Waist]]-Table7[[#This Row],[Waist v Morning Sys]]</f>
        <v>6.0705677848226003E-2</v>
      </c>
      <c r="CF50" s="2">
        <f>Table7[[#This Row],[WaistMS Res]]^2</f>
        <v>3.6851793230125974E-3</v>
      </c>
      <c r="CG50">
        <f>Regression!$F$29+(Regression!$F$28*Table83[[#This Row],[Morning Diastolic Pressure]])</f>
        <v>44.447181047475404</v>
      </c>
      <c r="CH50" s="2">
        <f>Table83[[#This Row],[Waist]]-Table7[[#This Row],[Waist v Morning Dia]]</f>
        <v>5.2818952524596341E-2</v>
      </c>
      <c r="CI50" s="2">
        <f>Table7[[#This Row],[WaistMD Res]]^2</f>
        <v>2.789841745795562E-3</v>
      </c>
      <c r="CJ50">
        <f>Regression!$G$29+(Regression!$G$28*Table83[[#This Row],[Morning Pulse]])</f>
        <v>44.456255205227038</v>
      </c>
      <c r="CK50" s="2">
        <f>Table83[[#This Row],[Waist]]-Table7[[#This Row],[Waist v Morning Pulse]]</f>
        <v>4.3744794772962337E-2</v>
      </c>
      <c r="CL50" s="2">
        <f>Table7[[#This Row],[WaistMP Res]]^2</f>
        <v>1.913607069728593E-3</v>
      </c>
      <c r="CM50">
        <f>Regression!$H$29+(Regression!$H$28*Table83[[#This Row],[Night Body Temp]])</f>
        <v>44.432760107049404</v>
      </c>
      <c r="CN50" s="2">
        <f>Table83[[#This Row],[Waist]]-Table7[[#This Row],[Waist v Night Temp]]</f>
        <v>6.7239892950595959E-2</v>
      </c>
      <c r="CO50" s="2">
        <f>Table7[[#This Row],[WaistNT Res]]^2</f>
        <v>4.5212032040076039E-3</v>
      </c>
      <c r="CP50">
        <f>Regression!$I$29+(Regression!$I$28*Table83[[#This Row],[Night Systolic Pressure]])</f>
        <v>44.180237143118553</v>
      </c>
      <c r="CQ50" s="2">
        <f>Table83[[#This Row],[Waist]]-Table7[[#This Row],[Waist v  Night Sys]]</f>
        <v>0.31976285688144657</v>
      </c>
      <c r="CR50" s="2">
        <f>Table7[[#This Row],[WaistNS Res]]^2</f>
        <v>0.10224828464098448</v>
      </c>
      <c r="CS50">
        <f>Regression!$J$29+(Regression!$J$28*Table83[[#This Row],[Night Diastolic Pressure]])</f>
        <v>44.205072833042102</v>
      </c>
      <c r="CT50" s="2">
        <f>Table83[[#This Row],[Waist]]-Table7[[#This Row],[Waist v Night Dia]]</f>
        <v>0.29492716695789767</v>
      </c>
      <c r="CU50" s="2">
        <f>Table7[[#This Row],[WaistND Res]]^2</f>
        <v>8.6982033809811649E-2</v>
      </c>
      <c r="CV50">
        <f>Regression!$K$29+(Regression!$K$28*Table83[[#This Row],[Night Pulse]])</f>
        <v>44.44542464101044</v>
      </c>
      <c r="CW50" s="2">
        <f>Table83[[#This Row],[Waist]]-Table7[[#This Row],[Waist v Night Pulse]]</f>
        <v>5.4575358989559675E-2</v>
      </c>
      <c r="CX50" s="2">
        <f>Table7[[#This Row],[WaistNP Res]]^2</f>
        <v>2.978469808839312E-3</v>
      </c>
      <c r="CY50">
        <f>Regression!$L$29+(Regression!$L$28*Table83[[#This Row],[Sleep]])</f>
        <v>44.504990820853756</v>
      </c>
      <c r="CZ50" s="2">
        <f>Table83[[#This Row],[Waist]]-Table7[[#This Row],[Waist v  Sleep]]</f>
        <v>-4.9908208537559062E-3</v>
      </c>
      <c r="DA50" s="2">
        <f>Table7[[#This Row],[WaistS Res]]^2</f>
        <v>2.4908292794284833E-5</v>
      </c>
      <c r="DB50">
        <f>Regression!$M$29+(Regression!$M$28*Table83[[#This Row],[BMI]])</f>
        <v>44.546873613434336</v>
      </c>
      <c r="DC50" s="2">
        <f>Table83[[#This Row],[Waist]]-Table7[[#This Row],[Waist v BMI]]</f>
        <v>-4.6873613434335937E-2</v>
      </c>
      <c r="DD50" s="2">
        <f>Table7[[#This Row],[WaistBMI Res]]^2</f>
        <v>2.1971356363915586E-3</v>
      </c>
      <c r="DE50">
        <f>Regression!$N$29+(Regression!$N$28*Table83[[#This Row],[CBF]])</f>
        <v>44.105031770433015</v>
      </c>
      <c r="DF50" s="2">
        <f>Table83[[#This Row],[Waist]]-Table7[[#This Row],[Waist v  CBF]]</f>
        <v>0.39496822956698452</v>
      </c>
      <c r="DG50" s="2">
        <f>Table7[[#This Row],[WaistCBF Res]]^2</f>
        <v>0.15599990236727818</v>
      </c>
      <c r="DH50">
        <f>Regression!$O$29+(Regression!$O$28*Table83[[#This Row],[Gym]])</f>
        <v>44.550847457627107</v>
      </c>
      <c r="DI50" s="2">
        <f>Table83[[#This Row],[Waist]]-Table7[[#This Row],[Waist v  Gym]]</f>
        <v>-5.0847457627106962E-2</v>
      </c>
      <c r="DJ50" s="2">
        <f>Table7[[#This Row],[WaistGYM Res]]^2</f>
        <v>2.5854639471404378E-3</v>
      </c>
      <c r="DK50">
        <f>Regression!$P$29+(Regression!$P$28*Table83[[#This Row],[Cardio]])</f>
        <v>44.291666666666664</v>
      </c>
      <c r="DL50" s="2">
        <f>Table83[[#This Row],[Waist]]-Table7[[#This Row],[Waist v Cardio]]</f>
        <v>0.2083333333333357</v>
      </c>
      <c r="DM50" s="2">
        <f>Table7[[#This Row],[WaistC Res]]^2</f>
        <v>4.3402777777778762E-2</v>
      </c>
      <c r="DN50">
        <f>Regression!$Q$29+(Regression!$Q$28*Table83[[#This Row],[Calories]])</f>
        <v>44.594119520663476</v>
      </c>
      <c r="DO50" s="2">
        <f>Table83[[#This Row],[Waist]]-Table7[[#This Row],[Waist v Calories]]</f>
        <v>-9.4119520663475953E-2</v>
      </c>
      <c r="DP50" s="2">
        <f>Table7[[#This Row],[WaistCal Res]]^2</f>
        <v>8.8584841699224769E-3</v>
      </c>
      <c r="DQ50">
        <f>Regression!$R$29+(Regression!$R$28*Table83[[#This Row],[Carbs]])</f>
        <v>44.672351754184952</v>
      </c>
      <c r="DR50" s="2">
        <f>Table83[[#This Row],[Waist]]-Table7[[#This Row],[Waist v Carbs]]</f>
        <v>-0.17235175418495174</v>
      </c>
      <c r="DS50" s="2">
        <f>Table7[[#This Row],[WaistCarb Res]]^2</f>
        <v>2.9705127170630032E-2</v>
      </c>
      <c r="DT50">
        <f>Regression!$S$29+(Regression!$S$28*Table83[[#This Row],[Fat ]])</f>
        <v>44.505849518376074</v>
      </c>
      <c r="DU50" s="2">
        <f>Table83[[#This Row],[Waist]]-Table7[[#This Row],[Waist v Fat]]</f>
        <v>-5.8495183760740588E-3</v>
      </c>
      <c r="DV50" s="2">
        <f>Table7[[#This Row],[WaistF Res]]^2</f>
        <v>3.4216865232028093E-5</v>
      </c>
      <c r="DW50">
        <f>Regression!$T$29+(Regression!$T$28*Table83[[#This Row],[Protein]])</f>
        <v>44.430331396033004</v>
      </c>
      <c r="DX50" s="2">
        <f>Table83[[#This Row],[Waist]]-Table7[[#This Row],[Waist v Protein]]</f>
        <v>6.966860396699559E-2</v>
      </c>
      <c r="DY50" s="2">
        <f>Table7[[#This Row],[WaistP Res]]^2</f>
        <v>4.853714378710074E-3</v>
      </c>
      <c r="DZ50">
        <f>Regression!$U$29+(Regression!$U$28*Table83[[#This Row],[Fiber]])</f>
        <v>44.373867961221855</v>
      </c>
      <c r="EA50" s="2">
        <f>Table83[[#This Row],[Waist]]-Table7[[#This Row],[Waist v Fiber]]</f>
        <v>0.12613203877814527</v>
      </c>
      <c r="EB50" s="2">
        <f>Table7[[#This Row],[WaistFib Res]]^2</f>
        <v>1.5909291206331541E-2</v>
      </c>
      <c r="EC50">
        <f>Regression!$V$29+(Regression!$V$28*Table83[[#This Row],[Sugar]])</f>
        <v>44.727332039739821</v>
      </c>
      <c r="ED50" s="2">
        <f>Table83[[#This Row],[Waist]]-Table7[[#This Row],[Waist v Sugar]]</f>
        <v>-0.22733203973982086</v>
      </c>
      <c r="EE50" s="2">
        <f>Table7[[#This Row],[WaistSugar Res]]^2</f>
        <v>5.1679856292267491E-2</v>
      </c>
      <c r="EF50">
        <f>Regression!$W$29+(Regression!$W$28*Table83[[#This Row],[Servings]])</f>
        <v>44.683542317898613</v>
      </c>
      <c r="EG50" s="2">
        <f>Table83[[#This Row],[Waist]]-Table7[[#This Row],[Waist v Servings]]</f>
        <v>-0.18354231789861331</v>
      </c>
      <c r="EH50" s="2">
        <f>Table7[[#This Row],[WaistServ Res]]^2</f>
        <v>3.3687782459595625E-2</v>
      </c>
      <c r="EI50">
        <f>Regression!$X$29+(Regression!$X$28*Table83[[#This Row],[Water]])</f>
        <v>44.553850107074496</v>
      </c>
      <c r="EJ50" s="2">
        <f>Table83[[#This Row],[Waist]]-Table7[[#This Row],[Waist v Water]]</f>
        <v>-5.3850107074495668E-2</v>
      </c>
      <c r="EK50" s="2">
        <f>Table7[[#This Row],[WaistWat Res]]^2</f>
        <v>2.8998340319346485E-3</v>
      </c>
      <c r="EL50">
        <f>Regression!$Y$29+(Regression!$Y$28*Table83[[#This Row],[Fat Calories]])</f>
        <v>44.507449643522591</v>
      </c>
      <c r="EM50" s="2">
        <f>Table83[[#This Row],[Waist]]-Table7[[#This Row],[Waist v Fat Calories]]</f>
        <v>-7.4496435225910318E-3</v>
      </c>
      <c r="EN50" s="2">
        <f>Table7[[#This Row],[WaistFatCal Res]]^2</f>
        <v>5.5497188613682514E-5</v>
      </c>
    </row>
    <row r="51" spans="1:144" x14ac:dyDescent="0.25">
      <c r="A51">
        <f>Regression!$B$10+(Regression!$B$9*Table83[[#This Row],[Waist]])</f>
        <v>255.38023686459636</v>
      </c>
      <c r="B51" s="2">
        <f>Table83[[#This Row],[Weight]]-Table7[[#This Row],[Weight v Waist]]</f>
        <v>-1.3802368645963554</v>
      </c>
      <c r="C51" s="2">
        <f>Table7[[#This Row],[Weight v Waist Res]]^2</f>
        <v>1.9050538023907779</v>
      </c>
      <c r="D51">
        <f>Regression!$C$10+(Regression!$C$9*Table83[[#This Row],[Neck]])</f>
        <v>260.39308108104251</v>
      </c>
      <c r="E51" s="2">
        <f>Table83[[#This Row],[Weight]]-Table7[[#This Row],[Weight v Neck]]</f>
        <v>-6.39308108104251</v>
      </c>
      <c r="F51" s="2">
        <f>Table7[[#This Row],[WN Res]]^2</f>
        <v>40.871485708783666</v>
      </c>
      <c r="G51">
        <f>Regression!$D$10+(Regression!$D$9*Table83[[#This Row],[Morning Body Temp]])</f>
        <v>254.77797223219488</v>
      </c>
      <c r="H51" s="2">
        <f>Table83[[#This Row],[Weight]]-Table7[[#This Row],[Weight v Morning Temp]]</f>
        <v>-0.77797223219488387</v>
      </c>
      <c r="I51" s="2">
        <f>Table7[[#This Row],[WMT Res]]^2</f>
        <v>0.60524079406629028</v>
      </c>
      <c r="J51">
        <f>Regression!$E$10+(Regression!$E$9*Table83[[#This Row],[Morning Systolic Pressure]])</f>
        <v>254.82902340557504</v>
      </c>
      <c r="K51" s="2">
        <f>Table83[[#This Row],[Weight]]-Table7[[#This Row],[Weight v Morning Sys]]</f>
        <v>-0.82902340557504317</v>
      </c>
      <c r="L51" s="2">
        <f>Table7[[#This Row],[WMS Res]]^2</f>
        <v>0.68727980699124247</v>
      </c>
      <c r="M51">
        <f>Regression!$F$10+(Regression!$F$9*Table83[[#This Row],[Morning Diastolic Pressure]])</f>
        <v>255.60876114247105</v>
      </c>
      <c r="N51" s="2">
        <f>Table83[[#This Row],[Weight]]-Table7[[#This Row],[Weight v Morning Dia]]</f>
        <v>-1.6087611424710531</v>
      </c>
      <c r="O51" s="2">
        <f>Table7[[#This Row],[WMD Res]]^2</f>
        <v>2.588112413524768</v>
      </c>
      <c r="P51">
        <f>Regression!$G$10+(Regression!$G$9*Table83[[#This Row],[Morning Pulse]])</f>
        <v>255.12278407318442</v>
      </c>
      <c r="Q51" s="2">
        <f>Table83[[#This Row],[Weight]]-Table7[[#This Row],[Weight v Morning Pulse]]</f>
        <v>-1.1227840731844196</v>
      </c>
      <c r="R51" s="2">
        <f>Table7[[#This Row],[WMP Res]]^2</f>
        <v>1.2606440749965961</v>
      </c>
      <c r="S51">
        <f>Regression!$H$10+(Regression!$H$9*Table83[[#This Row],[Night Body Temp]])</f>
        <v>255.36496952993349</v>
      </c>
      <c r="T51" s="2">
        <f>Table83[[#This Row],[Weight]]-Table7[[#This Row],[Weight v Night Temp]]</f>
        <v>-1.3649695299334894</v>
      </c>
      <c r="U51" s="2">
        <f>Table7[[#This Row],[WNT Res]]^2</f>
        <v>1.8631418176468511</v>
      </c>
      <c r="V51">
        <f>Regression!$I$10+(Regression!$I$9*Table83[[#This Row],[Night Systolic Pressure]])</f>
        <v>252.56981570842703</v>
      </c>
      <c r="W51" s="2">
        <f>Table83[[#This Row],[Weight]]-Table7[[#This Row],[Weight v Night Sys]]</f>
        <v>1.4301842915729708</v>
      </c>
      <c r="X51" s="2">
        <f>Table7[[#This Row],[WNS Res]]^2</f>
        <v>2.0454271078620803</v>
      </c>
      <c r="Y51">
        <f>Regression!$J$10+(Regression!$J$9*Table83[[#This Row],[Night Diastolic Pressure]])</f>
        <v>254.72542355850118</v>
      </c>
      <c r="Z51" s="2">
        <f>Table83[[#This Row],[Weight]]-Table7[[#This Row],[Weight v Night Dia]]</f>
        <v>-0.72542355850117701</v>
      </c>
      <c r="AA51" s="2">
        <f>Table7[[#This Row],[WND Res]]^2</f>
        <v>0.52623933922851063</v>
      </c>
      <c r="AB51">
        <f>Regression!$K$10+(Regression!$K$9*Table83[[#This Row],[Night Pulse]])</f>
        <v>255.01801186503107</v>
      </c>
      <c r="AC51" s="2">
        <f>Table83[[#This Row],[Weight]]-Table7[[#This Row],[Weight v Night Pulse]]</f>
        <v>-1.0180118650310703</v>
      </c>
      <c r="AD51" s="2">
        <f>Table7[[#This Row],[WNP Res ]]^2</f>
        <v>1.0363481573440381</v>
      </c>
      <c r="AE51">
        <f>Regression!$L$10+(Regression!$L$9*Table83[[#This Row],[Sleep]])</f>
        <v>255.61024100244205</v>
      </c>
      <c r="AF51" s="2">
        <f>Table83[[#This Row],[Weight]]-Table7[[#This Row],[Weight v Sleep]]</f>
        <v>-1.6102410024420521</v>
      </c>
      <c r="AG51" s="2">
        <f>Table7[[#This Row],[WS Res]]^2</f>
        <v>2.5928760859455848</v>
      </c>
      <c r="AH51">
        <f>Regression!$M$10+(Regression!$M$9*Table83[[#This Row],[BMI]])</f>
        <v>254.0000000000025</v>
      </c>
      <c r="AI51" s="2">
        <f>Table83[[#This Row],[Weight]]-Table7[[#This Row],[Weight v BMI]]</f>
        <v>-2.5011104298755527E-12</v>
      </c>
      <c r="AJ51" s="2">
        <f>Table7[[#This Row],[WBMI Res]]^2</f>
        <v>6.2555533824322718E-24</v>
      </c>
      <c r="AK51">
        <f>Regression!$N$10+(Regression!$N$9*Table83[[#This Row],[CBF]])</f>
        <v>253.17965033701802</v>
      </c>
      <c r="AL51" s="2">
        <f>Table83[[#This Row],[Weight]]-Table7[[#This Row],[Weight v CBF]]</f>
        <v>0.82034966298198242</v>
      </c>
      <c r="AM51" s="2">
        <f>Table7[[#This Row],[WCBF Res]]^2</f>
        <v>0.67297356955465215</v>
      </c>
      <c r="AN51">
        <f>Regression!$O$10+(Regression!$O$9*Table83[[#This Row],[Gym]])</f>
        <v>255.46779661016953</v>
      </c>
      <c r="AO51" s="2">
        <f>Table83[[#This Row],[Weight]]-Table7[[#This Row],[Weight v Gym]]</f>
        <v>-1.467796610169529</v>
      </c>
      <c r="AP51" s="2">
        <f>Table7[[#This Row],[WG Res]]^2</f>
        <v>2.1544268888251601</v>
      </c>
      <c r="AQ51">
        <f>Regression!$P$10+(Regression!$P$9*Table83[[#This Row],[Cardio]])</f>
        <v>254.19242424242461</v>
      </c>
      <c r="AR51" s="2">
        <f>Table83[[#This Row],[Weight]]-Table7[[#This Row],[Weight v Cardio]]</f>
        <v>-0.19242424242460743</v>
      </c>
      <c r="AS51" s="2">
        <f>Table7[[#This Row],[WC Res]]^2</f>
        <v>3.7027089072684087E-2</v>
      </c>
      <c r="AT51">
        <f>Regression!$Q$10+(Regression!$Q$9*Table83[[#This Row],[Calories]])</f>
        <v>255.76644341922332</v>
      </c>
      <c r="AU51" s="2">
        <f>Table83[[#This Row],[Weight]]-Table7[[#This Row],[Weight v Calories]]</f>
        <v>-1.7664434192233216</v>
      </c>
      <c r="AV51" s="2">
        <f>Table7[[#This Row],[WCAL Res]]^2</f>
        <v>3.1203223533173796</v>
      </c>
      <c r="AW51">
        <f>Regression!$R$10+(Regression!$R$9*Table83[[#This Row],[Carbs]])</f>
        <v>256.14362576627553</v>
      </c>
      <c r="AX51" s="2">
        <f>Table83[[#This Row],[Weight]]-Table7[[#This Row],[Weight v Carbs]]</f>
        <v>-2.1436257662755338</v>
      </c>
      <c r="AY51" s="2">
        <f>Table7[[#This Row],[Wcarb Res]]^2</f>
        <v>4.5951314258403695</v>
      </c>
      <c r="AZ51">
        <f>Regression!$S$10+(Regression!$S$9*Table83[[#This Row],[Fat ]])</f>
        <v>255.35208848229144</v>
      </c>
      <c r="BA51" s="2">
        <f>Table83[[#This Row],[Weight]]-Table7[[#This Row],[Weight v Fat]]</f>
        <v>-1.3520884822914354</v>
      </c>
      <c r="BB51" s="2">
        <f>Table7[[#This Row],[WF Res]]^2</f>
        <v>1.8281432639451574</v>
      </c>
      <c r="BC51">
        <f>Regression!$T$10+(Regression!$T$9*Table83[[#This Row],[Protein]])</f>
        <v>254.8937672258084</v>
      </c>
      <c r="BD51" s="2">
        <f>Table83[[#This Row],[Weight]]-Table7[[#This Row],[Weight v Protein]]</f>
        <v>-0.89376722580840351</v>
      </c>
      <c r="BE51" s="2">
        <f>Table7[[#This Row],[WP Res]]^2</f>
        <v>0.7988198539292497</v>
      </c>
      <c r="BF51">
        <f>Regression!$U$10+(Regression!$U$9*Table83[[#This Row],[Fiber]])</f>
        <v>254.92750159919248</v>
      </c>
      <c r="BG51" s="2">
        <f>Table83[[#This Row],[Weight]]-Table7[[#This Row],[Weight v Fiber]]</f>
        <v>-0.92750159919248176</v>
      </c>
      <c r="BH51" s="2">
        <f>Table7[[#This Row],[Wfib Res]]^2</f>
        <v>0.86025921650461112</v>
      </c>
      <c r="BI51">
        <f>Regression!$V$10+(Regression!$V$9*Table83[[#This Row],[Sugar]])</f>
        <v>256.68650509031255</v>
      </c>
      <c r="BJ51" s="2">
        <f>Table83[[#This Row],[Weight]]-Table7[[#This Row],[Weight v Sugar]]</f>
        <v>-2.6865050903125507</v>
      </c>
      <c r="BK51" s="2">
        <f>Table7[[#This Row],[Wsugar Res]]^2</f>
        <v>7.2173096002752457</v>
      </c>
      <c r="BL51">
        <f>Regression!$W$10+(Regression!$W$9*Table83[[#This Row],[Servings]])</f>
        <v>256.89000774513488</v>
      </c>
      <c r="BM51" s="2">
        <f>Table83[[#This Row],[Weight]]-Table7[[#This Row],[Weight v Servings]]</f>
        <v>-2.8900077451348807</v>
      </c>
      <c r="BN51" s="2">
        <f>Table7[[#This Row],[Wserv Res]]^2</f>
        <v>8.3521447669395972</v>
      </c>
      <c r="BO51">
        <f>Regression!$X$10+(Regression!$X$9*Table83[[#This Row],[Water]])</f>
        <v>255.1490819770581</v>
      </c>
      <c r="BP51" s="2">
        <f>Table83[[#This Row],[Weight]]-Table7[[#This Row],[Weight v Water]]</f>
        <v>-1.1490819770581027</v>
      </c>
      <c r="BQ51" s="2">
        <f>Table7[[#This Row],[Wwater Res]]^2</f>
        <v>1.3203893899997581</v>
      </c>
      <c r="BR51">
        <f>Regression!$Y$10+(Regression!$Y$9*Table83[[#This Row],[Fat Calories]])</f>
        <v>255.36245734134025</v>
      </c>
      <c r="BS51" s="2">
        <f>Table83[[#This Row],[Weight]]-Table7[[#This Row],[Weight v Fat Calories]]</f>
        <v>-1.3624573413402459</v>
      </c>
      <c r="BT51" s="2">
        <f>Table7[[#This Row],[WFC Res]]^2</f>
        <v>1.8562900069719313</v>
      </c>
      <c r="BU51">
        <f>Regression!$B$29+(Regression!$B$28*Table83[[#This Row],[Weight]])</f>
        <v>44.301601094408667</v>
      </c>
      <c r="BV51" s="2">
        <f>Table83[[#This Row],[Waist]]-Table7[[#This Row],[Waist v Weight]]</f>
        <v>0.19839890559133266</v>
      </c>
      <c r="BW51" s="2">
        <f>Table7[[#This Row],[WaistW Res]]^2</f>
        <v>3.9362125739838529E-2</v>
      </c>
      <c r="BX51">
        <f>Regression!$C$29+(Regression!$C$28*Table83[[#This Row],[Neck]])</f>
        <v>45.258648648648581</v>
      </c>
      <c r="BY51" s="2">
        <f>Table83[[#This Row],[Waist]]-Table7[[#This Row],[Waist v Neck]]</f>
        <v>-0.75864864864858106</v>
      </c>
      <c r="BZ51" s="2">
        <f>Table7[[#This Row],[WaistN Res]]^2</f>
        <v>0.57554777209631824</v>
      </c>
      <c r="CA51">
        <f>Regression!$D$29+(Regression!$D$28*Table83[[#This Row],[Morning Body Temp]])</f>
        <v>44.361863864877819</v>
      </c>
      <c r="CB51" s="2">
        <f>Table83[[#This Row],[Waist]]-Table7[[#This Row],[Waist v Morning Temp]]</f>
        <v>0.13813613512218126</v>
      </c>
      <c r="CC51" s="2">
        <f>Table7[[#This Row],[WaistMT Res]]^2</f>
        <v>1.9081591826493518E-2</v>
      </c>
      <c r="CD51">
        <f>Regression!$E$29+(Regression!$E$28*Table83[[#This Row],[Morning Systolic Pressure]])</f>
        <v>44.386342295939642</v>
      </c>
      <c r="CE51" s="2">
        <f>Table83[[#This Row],[Waist]]-Table7[[#This Row],[Waist v Morning Sys]]</f>
        <v>0.11365770406035836</v>
      </c>
      <c r="CF51" s="2">
        <f>Table7[[#This Row],[WaistMS Res]]^2</f>
        <v>1.2918073692272001E-2</v>
      </c>
      <c r="CG51">
        <f>Regression!$F$29+(Regression!$F$28*Table83[[#This Row],[Morning Diastolic Pressure]])</f>
        <v>44.480994771488533</v>
      </c>
      <c r="CH51" s="2">
        <f>Table83[[#This Row],[Waist]]-Table7[[#This Row],[Waist v Morning Dia]]</f>
        <v>1.9005228511467465E-2</v>
      </c>
      <c r="CI51" s="2">
        <f>Table7[[#This Row],[WaistMD Res]]^2</f>
        <v>3.6119871077309584E-4</v>
      </c>
      <c r="CJ51">
        <f>Regression!$G$29+(Regression!$G$28*Table83[[#This Row],[Morning Pulse]])</f>
        <v>44.45709470780065</v>
      </c>
      <c r="CK51" s="2">
        <f>Table83[[#This Row],[Waist]]-Table7[[#This Row],[Waist v Morning Pulse]]</f>
        <v>4.2905292199350242E-2</v>
      </c>
      <c r="CL51" s="2">
        <f>Table7[[#This Row],[WaistMP Res]]^2</f>
        <v>1.8408640987116248E-3</v>
      </c>
      <c r="CM51">
        <f>Regression!$H$29+(Regression!$H$28*Table83[[#This Row],[Night Body Temp]])</f>
        <v>44.473244726073837</v>
      </c>
      <c r="CN51" s="2">
        <f>Table83[[#This Row],[Waist]]-Table7[[#This Row],[Waist v Night Temp]]</f>
        <v>2.675527392616317E-2</v>
      </c>
      <c r="CO51" s="2">
        <f>Table7[[#This Row],[WaistNT Res]]^2</f>
        <v>7.1584468286402681E-4</v>
      </c>
      <c r="CP51">
        <f>Regression!$I$29+(Regression!$I$28*Table83[[#This Row],[Night Systolic Pressure]])</f>
        <v>44.092996457164872</v>
      </c>
      <c r="CQ51" s="2">
        <f>Table83[[#This Row],[Waist]]-Table7[[#This Row],[Waist v  Night Sys]]</f>
        <v>0.40700354283512752</v>
      </c>
      <c r="CR51" s="2">
        <f>Table7[[#This Row],[WaistNS Res]]^2</f>
        <v>0.16565188388034549</v>
      </c>
      <c r="CS51">
        <f>Regression!$J$29+(Regression!$J$28*Table83[[#This Row],[Night Diastolic Pressure]])</f>
        <v>44.290412559079314</v>
      </c>
      <c r="CT51" s="2">
        <f>Table83[[#This Row],[Waist]]-Table7[[#This Row],[Waist v Night Dia]]</f>
        <v>0.20958744092068571</v>
      </c>
      <c r="CU51" s="2">
        <f>Table7[[#This Row],[WaistND Res]]^2</f>
        <v>4.3926895391681924E-2</v>
      </c>
      <c r="CV51">
        <f>Regression!$K$29+(Regression!$K$28*Table83[[#This Row],[Night Pulse]])</f>
        <v>44.462565118876235</v>
      </c>
      <c r="CW51" s="2">
        <f>Table83[[#This Row],[Waist]]-Table7[[#This Row],[Waist v Night Pulse]]</f>
        <v>3.7434881123765251E-2</v>
      </c>
      <c r="CX51" s="2">
        <f>Table7[[#This Row],[WaistNP Res]]^2</f>
        <v>1.4013703247504358E-3</v>
      </c>
      <c r="CY51">
        <f>Regression!$L$29+(Regression!$L$28*Table83[[#This Row],[Sleep]])</f>
        <v>44.529040304851584</v>
      </c>
      <c r="CZ51" s="2">
        <f>Table83[[#This Row],[Waist]]-Table7[[#This Row],[Waist v  Sleep]]</f>
        <v>-2.9040304851584153E-2</v>
      </c>
      <c r="DA51" s="2">
        <f>Table7[[#This Row],[WaistS Res]]^2</f>
        <v>8.4333930587294212E-4</v>
      </c>
      <c r="DB51">
        <f>Regression!$M$29+(Regression!$M$28*Table83[[#This Row],[BMI]])</f>
        <v>44.301601094409143</v>
      </c>
      <c r="DC51" s="2">
        <f>Table83[[#This Row],[Waist]]-Table7[[#This Row],[Waist v BMI]]</f>
        <v>0.1983989055908566</v>
      </c>
      <c r="DD51" s="2">
        <f>Table7[[#This Row],[WaistBMI Res]]^2</f>
        <v>3.9362125739649631E-2</v>
      </c>
      <c r="DE51">
        <f>Regression!$N$29+(Regression!$N$28*Table83[[#This Row],[CBF]])</f>
        <v>44.105031770433015</v>
      </c>
      <c r="DF51" s="2">
        <f>Table83[[#This Row],[Waist]]-Table7[[#This Row],[Waist v  CBF]]</f>
        <v>0.39496822956698452</v>
      </c>
      <c r="DG51" s="2">
        <f>Table7[[#This Row],[WaistCBF Res]]^2</f>
        <v>0.15599990236727818</v>
      </c>
      <c r="DH51">
        <f>Regression!$O$29+(Regression!$O$28*Table83[[#This Row],[Gym]])</f>
        <v>44.550847457627107</v>
      </c>
      <c r="DI51" s="2">
        <f>Table83[[#This Row],[Waist]]-Table7[[#This Row],[Waist v  Gym]]</f>
        <v>-5.0847457627106962E-2</v>
      </c>
      <c r="DJ51" s="2">
        <f>Table7[[#This Row],[WaistGYM Res]]^2</f>
        <v>2.5854639471404378E-3</v>
      </c>
      <c r="DK51">
        <f>Regression!$P$29+(Regression!$P$28*Table83[[#This Row],[Cardio]])</f>
        <v>44.291666666666664</v>
      </c>
      <c r="DL51" s="2">
        <f>Table83[[#This Row],[Waist]]-Table7[[#This Row],[Waist v Cardio]]</f>
        <v>0.2083333333333357</v>
      </c>
      <c r="DM51" s="2">
        <f>Table7[[#This Row],[WaistC Res]]^2</f>
        <v>4.3402777777778762E-2</v>
      </c>
      <c r="DN51">
        <f>Regression!$Q$29+(Regression!$Q$28*Table83[[#This Row],[Calories]])</f>
        <v>44.599894769016387</v>
      </c>
      <c r="DO51" s="2">
        <f>Table83[[#This Row],[Waist]]-Table7[[#This Row],[Waist v Calories]]</f>
        <v>-9.9894769016387386E-2</v>
      </c>
      <c r="DP51" s="2">
        <f>Table7[[#This Row],[WaistCal Res]]^2</f>
        <v>9.978964876837389E-3</v>
      </c>
      <c r="DQ51">
        <f>Regression!$R$29+(Regression!$R$28*Table83[[#This Row],[Carbs]])</f>
        <v>44.667684196371951</v>
      </c>
      <c r="DR51" s="2">
        <f>Table83[[#This Row],[Waist]]-Table7[[#This Row],[Waist v Carbs]]</f>
        <v>-0.16768419637195109</v>
      </c>
      <c r="DS51" s="2">
        <f>Table7[[#This Row],[WaistCarb Res]]^2</f>
        <v>2.8117989712907056E-2</v>
      </c>
      <c r="DT51">
        <f>Regression!$S$29+(Regression!$S$28*Table83[[#This Row],[Fat ]])</f>
        <v>44.52599922899816</v>
      </c>
      <c r="DU51" s="2">
        <f>Table83[[#This Row],[Waist]]-Table7[[#This Row],[Waist v Fat]]</f>
        <v>-2.5999228998159651E-2</v>
      </c>
      <c r="DV51" s="2">
        <f>Table7[[#This Row],[WaistF Res]]^2</f>
        <v>6.759599084987457E-4</v>
      </c>
      <c r="DW51">
        <f>Regression!$T$29+(Regression!$T$28*Table83[[#This Row],[Protein]])</f>
        <v>44.413037908330409</v>
      </c>
      <c r="DX51" s="2">
        <f>Table83[[#This Row],[Waist]]-Table7[[#This Row],[Waist v Protein]]</f>
        <v>8.6962091669590791E-2</v>
      </c>
      <c r="DY51" s="2">
        <f>Table7[[#This Row],[WaistP Res]]^2</f>
        <v>7.5624053875503116E-3</v>
      </c>
      <c r="DZ51">
        <f>Regression!$U$29+(Regression!$U$28*Table83[[#This Row],[Fiber]])</f>
        <v>44.381174625549136</v>
      </c>
      <c r="EA51" s="2">
        <f>Table83[[#This Row],[Waist]]-Table7[[#This Row],[Waist v Fiber]]</f>
        <v>0.11882537445086427</v>
      </c>
      <c r="EB51" s="2">
        <f>Table7[[#This Row],[WaistFib Res]]^2</f>
        <v>1.4119469613388108E-2</v>
      </c>
      <c r="EC51">
        <f>Regression!$V$29+(Regression!$V$28*Table83[[#This Row],[Sugar]])</f>
        <v>44.735835236823334</v>
      </c>
      <c r="ED51" s="2">
        <f>Table83[[#This Row],[Waist]]-Table7[[#This Row],[Waist v Sugar]]</f>
        <v>-0.23583523682333407</v>
      </c>
      <c r="EE51" s="2">
        <f>Table7[[#This Row],[WaistSugar Res]]^2</f>
        <v>5.5618258927518066E-2</v>
      </c>
      <c r="EF51">
        <f>Regression!$W$29+(Regression!$W$28*Table83[[#This Row],[Servings]])</f>
        <v>44.724369681820377</v>
      </c>
      <c r="EG51" s="2">
        <f>Table83[[#This Row],[Waist]]-Table7[[#This Row],[Waist v Servings]]</f>
        <v>-0.22436968182037731</v>
      </c>
      <c r="EH51" s="2">
        <f>Table7[[#This Row],[WaistServ Res]]^2</f>
        <v>5.034175412017735E-2</v>
      </c>
      <c r="EI51">
        <f>Regression!$X$29+(Regression!$X$28*Table83[[#This Row],[Water]])</f>
        <v>44.497966229663206</v>
      </c>
      <c r="EJ51" s="2">
        <f>Table83[[#This Row],[Waist]]-Table7[[#This Row],[Waist v Water]]</f>
        <v>2.033770336794305E-3</v>
      </c>
      <c r="EK51" s="2">
        <f>Table7[[#This Row],[WaistWat Res]]^2</f>
        <v>4.1362217828244205E-6</v>
      </c>
      <c r="EL51">
        <f>Regression!$Y$29+(Regression!$Y$28*Table83[[#This Row],[Fat Calories]])</f>
        <v>44.528785262251176</v>
      </c>
      <c r="EM51" s="2">
        <f>Table83[[#This Row],[Waist]]-Table7[[#This Row],[Waist v Fat Calories]]</f>
        <v>-2.8785262251176391E-2</v>
      </c>
      <c r="EN51" s="2">
        <f>Table7[[#This Row],[WaistFatCal Res]]^2</f>
        <v>8.2859132286900047E-4</v>
      </c>
    </row>
    <row r="52" spans="1:144" x14ac:dyDescent="0.25">
      <c r="A52">
        <f>Regression!$B$10+(Regression!$B$9*Table83[[#This Row],[Waist]])</f>
        <v>255.38023686459636</v>
      </c>
      <c r="B52" s="2">
        <f>Table83[[#This Row],[Weight]]-Table7[[#This Row],[Weight v Waist]]</f>
        <v>-2.3802368645963554</v>
      </c>
      <c r="C52" s="2">
        <f>Table7[[#This Row],[Weight v Waist Res]]^2</f>
        <v>5.6655275315834892</v>
      </c>
      <c r="D52">
        <f>Regression!$C$10+(Regression!$C$9*Table83[[#This Row],[Neck]])</f>
        <v>260.39308108104251</v>
      </c>
      <c r="E52" s="2">
        <f>Table83[[#This Row],[Weight]]-Table7[[#This Row],[Weight v Neck]]</f>
        <v>-7.39308108104251</v>
      </c>
      <c r="F52" s="2">
        <f>Table7[[#This Row],[WN Res]]^2</f>
        <v>54.657647870868686</v>
      </c>
      <c r="G52">
        <f>Regression!$D$10+(Regression!$D$9*Table83[[#This Row],[Morning Body Temp]])</f>
        <v>254.7075736779725</v>
      </c>
      <c r="H52" s="2">
        <f>Table83[[#This Row],[Weight]]-Table7[[#This Row],[Weight v Morning Temp]]</f>
        <v>-1.7075736779725048</v>
      </c>
      <c r="I52" s="2">
        <f>Table7[[#This Row],[WMT Res]]^2</f>
        <v>2.9158078657045476</v>
      </c>
      <c r="J52">
        <f>Regression!$E$10+(Regression!$E$9*Table83[[#This Row],[Morning Systolic Pressure]])</f>
        <v>254.82902340557504</v>
      </c>
      <c r="K52" s="2">
        <f>Table83[[#This Row],[Weight]]-Table7[[#This Row],[Weight v Morning Sys]]</f>
        <v>-1.8290234055750432</v>
      </c>
      <c r="L52" s="2">
        <f>Table7[[#This Row],[WMS Res]]^2</f>
        <v>3.3453266181413288</v>
      </c>
      <c r="M52">
        <f>Regression!$F$10+(Regression!$F$9*Table83[[#This Row],[Morning Diastolic Pressure]])</f>
        <v>254.69666290106716</v>
      </c>
      <c r="N52" s="2">
        <f>Table83[[#This Row],[Weight]]-Table7[[#This Row],[Weight v Morning Dia]]</f>
        <v>-1.6966629010671568</v>
      </c>
      <c r="O52" s="2">
        <f>Table7[[#This Row],[WMD Res]]^2</f>
        <v>2.8786649998576208</v>
      </c>
      <c r="P52">
        <f>Regression!$G$10+(Regression!$G$9*Table83[[#This Row],[Morning Pulse]])</f>
        <v>255.12643966469878</v>
      </c>
      <c r="Q52" s="2">
        <f>Table83[[#This Row],[Weight]]-Table7[[#This Row],[Weight v Morning Pulse]]</f>
        <v>-2.1264396646987791</v>
      </c>
      <c r="R52" s="2">
        <f>Table7[[#This Row],[WMP Res]]^2</f>
        <v>4.5217456476042557</v>
      </c>
      <c r="S52">
        <f>Regression!$H$10+(Regression!$H$9*Table83[[#This Row],[Night Body Temp]])</f>
        <v>256.28923866426868</v>
      </c>
      <c r="T52" s="2">
        <f>Table83[[#This Row],[Weight]]-Table7[[#This Row],[Weight v Night Temp]]</f>
        <v>-3.2892386642686802</v>
      </c>
      <c r="U52" s="2">
        <f>Table7[[#This Row],[WNT Res]]^2</f>
        <v>10.819090990520012</v>
      </c>
      <c r="V52">
        <f>Regression!$I$10+(Regression!$I$9*Table83[[#This Row],[Night Systolic Pressure]])</f>
        <v>253.5962640487117</v>
      </c>
      <c r="W52" s="2">
        <f>Table83[[#This Row],[Weight]]-Table7[[#This Row],[Weight v Night Sys]]</f>
        <v>-0.5962640487117028</v>
      </c>
      <c r="X52" s="2">
        <f>Table7[[#This Row],[WNS Res]]^2</f>
        <v>0.35553081578607187</v>
      </c>
      <c r="Y52">
        <f>Regression!$J$10+(Regression!$J$9*Table83[[#This Row],[Night Diastolic Pressure]])</f>
        <v>255.05155050582999</v>
      </c>
      <c r="Z52" s="2">
        <f>Table83[[#This Row],[Weight]]-Table7[[#This Row],[Weight v Night Dia]]</f>
        <v>-2.0515505058299937</v>
      </c>
      <c r="AA52" s="2">
        <f>Table7[[#This Row],[WND Res]]^2</f>
        <v>4.2088594779713029</v>
      </c>
      <c r="AB52">
        <f>Regression!$K$10+(Regression!$K$9*Table83[[#This Row],[Night Pulse]])</f>
        <v>255.23300518368814</v>
      </c>
      <c r="AC52" s="2">
        <f>Table83[[#This Row],[Weight]]-Table7[[#This Row],[Weight v Night Pulse]]</f>
        <v>-2.2330051836881353</v>
      </c>
      <c r="AD52" s="2">
        <f>Table7[[#This Row],[WNP Res ]]^2</f>
        <v>4.9863121503780832</v>
      </c>
      <c r="AE52">
        <f>Regression!$L$10+(Regression!$L$9*Table83[[#This Row],[Sleep]])</f>
        <v>254.97929263569441</v>
      </c>
      <c r="AF52" s="2">
        <f>Table83[[#This Row],[Weight]]-Table7[[#This Row],[Weight v Sleep]]</f>
        <v>-1.9792926356944065</v>
      </c>
      <c r="AG52" s="2">
        <f>Table7[[#This Row],[WS Res]]^2</f>
        <v>3.9175993377141105</v>
      </c>
      <c r="AH52">
        <f>Regression!$M$10+(Regression!$M$9*Table83[[#This Row],[BMI]])</f>
        <v>253.00000000000475</v>
      </c>
      <c r="AI52" s="2">
        <f>Table83[[#This Row],[Weight]]-Table7[[#This Row],[Weight v BMI]]</f>
        <v>-4.7464254748774692E-12</v>
      </c>
      <c r="AJ52" s="2">
        <f>Table7[[#This Row],[WBMI Res]]^2</f>
        <v>2.2528554788565809E-23</v>
      </c>
      <c r="AK52">
        <f>Regression!$N$10+(Regression!$N$9*Table83[[#This Row],[CBF]])</f>
        <v>253.17965033701802</v>
      </c>
      <c r="AL52" s="2">
        <f>Table83[[#This Row],[Weight]]-Table7[[#This Row],[Weight v CBF]]</f>
        <v>-0.17965033701801758</v>
      </c>
      <c r="AM52" s="2">
        <f>Table7[[#This Row],[WCBF Res]]^2</f>
        <v>3.2274243590687299E-2</v>
      </c>
      <c r="AN52">
        <f>Regression!$O$10+(Regression!$O$9*Table83[[#This Row],[Gym]])</f>
        <v>255.46779661016953</v>
      </c>
      <c r="AO52" s="2">
        <f>Table83[[#This Row],[Weight]]-Table7[[#This Row],[Weight v Gym]]</f>
        <v>-2.467796610169529</v>
      </c>
      <c r="AP52" s="2">
        <f>Table7[[#This Row],[WG Res]]^2</f>
        <v>6.0900201091642181</v>
      </c>
      <c r="AQ52">
        <f>Regression!$P$10+(Regression!$P$9*Table83[[#This Row],[Cardio]])</f>
        <v>254.19242424242461</v>
      </c>
      <c r="AR52" s="2">
        <f>Table83[[#This Row],[Weight]]-Table7[[#This Row],[Weight v Cardio]]</f>
        <v>-1.1924242424246074</v>
      </c>
      <c r="AS52" s="2">
        <f>Table7[[#This Row],[WC Res]]^2</f>
        <v>1.4218755739218989</v>
      </c>
      <c r="AT52">
        <f>Regression!$Q$10+(Regression!$Q$9*Table83[[#This Row],[Calories]])</f>
        <v>255.72557176924013</v>
      </c>
      <c r="AU52" s="2">
        <f>Table83[[#This Row],[Weight]]-Table7[[#This Row],[Weight v Calories]]</f>
        <v>-2.7255717692401333</v>
      </c>
      <c r="AV52" s="2">
        <f>Table7[[#This Row],[WCAL Res]]^2</f>
        <v>7.4287414692787905</v>
      </c>
      <c r="AW52">
        <f>Regression!$R$10+(Regression!$R$9*Table83[[#This Row],[Carbs]])</f>
        <v>256.14205254261708</v>
      </c>
      <c r="AX52" s="2">
        <f>Table83[[#This Row],[Weight]]-Table7[[#This Row],[Weight v Carbs]]</f>
        <v>-3.1420525426170798</v>
      </c>
      <c r="AY52" s="2">
        <f>Table7[[#This Row],[Wcarb Res]]^2</f>
        <v>9.8724941805664557</v>
      </c>
      <c r="AZ52">
        <f>Regression!$S$10+(Regression!$S$9*Table83[[#This Row],[Fat ]])</f>
        <v>255.30100337537957</v>
      </c>
      <c r="BA52" s="2">
        <f>Table83[[#This Row],[Weight]]-Table7[[#This Row],[Weight v Fat]]</f>
        <v>-2.3010033753795653</v>
      </c>
      <c r="BB52" s="2">
        <f>Table7[[#This Row],[WF Res]]^2</f>
        <v>5.2946165335081528</v>
      </c>
      <c r="BC52">
        <f>Regression!$T$10+(Regression!$T$9*Table83[[#This Row],[Protein]])</f>
        <v>254.77146445833176</v>
      </c>
      <c r="BD52" s="2">
        <f>Table83[[#This Row],[Weight]]-Table7[[#This Row],[Weight v Protein]]</f>
        <v>-1.7714644583317636</v>
      </c>
      <c r="BE52" s="2">
        <f>Table7[[#This Row],[WP Res]]^2</f>
        <v>3.1380863271326485</v>
      </c>
      <c r="BF52">
        <f>Regression!$U$10+(Regression!$U$9*Table83[[#This Row],[Fiber]])</f>
        <v>254.92750159919248</v>
      </c>
      <c r="BG52" s="2">
        <f>Table83[[#This Row],[Weight]]-Table7[[#This Row],[Weight v Fiber]]</f>
        <v>-1.9275015991924818</v>
      </c>
      <c r="BH52" s="2">
        <f>Table7[[#This Row],[Wfib Res]]^2</f>
        <v>3.7152624148895748</v>
      </c>
      <c r="BI52">
        <f>Regression!$V$10+(Regression!$V$9*Table83[[#This Row],[Sugar]])</f>
        <v>256.68650509031255</v>
      </c>
      <c r="BJ52" s="2">
        <f>Table83[[#This Row],[Weight]]-Table7[[#This Row],[Weight v Sugar]]</f>
        <v>-3.6865050903125507</v>
      </c>
      <c r="BK52" s="2">
        <f>Table7[[#This Row],[Wsugar Res]]^2</f>
        <v>13.590319780900348</v>
      </c>
      <c r="BL52">
        <f>Regression!$W$10+(Regression!$W$9*Table83[[#This Row],[Servings]])</f>
        <v>256.81355797597826</v>
      </c>
      <c r="BM52" s="2">
        <f>Table83[[#This Row],[Weight]]-Table7[[#This Row],[Weight v Servings]]</f>
        <v>-3.8135579759782559</v>
      </c>
      <c r="BN52" s="2">
        <f>Table7[[#This Row],[Wserv Res]]^2</f>
        <v>14.543224436147371</v>
      </c>
      <c r="BO52">
        <f>Regression!$X$10+(Regression!$X$9*Table83[[#This Row],[Water]])</f>
        <v>255.10626599365665</v>
      </c>
      <c r="BP52" s="2">
        <f>Table83[[#This Row],[Weight]]-Table7[[#This Row],[Weight v Water]]</f>
        <v>-2.106265993656649</v>
      </c>
      <c r="BQ52" s="2">
        <f>Table7[[#This Row],[Wwater Res]]^2</f>
        <v>4.4363564360344308</v>
      </c>
      <c r="BR52">
        <f>Regression!$Y$10+(Regression!$Y$9*Table83[[#This Row],[Fat Calories]])</f>
        <v>255.30808993617401</v>
      </c>
      <c r="BS52" s="2">
        <f>Table83[[#This Row],[Weight]]-Table7[[#This Row],[Weight v Fat Calories]]</f>
        <v>-2.3080899361740137</v>
      </c>
      <c r="BT52" s="2">
        <f>Table7[[#This Row],[WFC Res]]^2</f>
        <v>5.3272791534677628</v>
      </c>
      <c r="BU52">
        <f>Regression!$B$29+(Regression!$B$28*Table83[[#This Row],[Weight]])</f>
        <v>44.165338583838682</v>
      </c>
      <c r="BV52" s="2">
        <f>Table83[[#This Row],[Waist]]-Table7[[#This Row],[Waist v Weight]]</f>
        <v>0.3346614161613175</v>
      </c>
      <c r="BW52" s="2">
        <f>Table7[[#This Row],[WaistW Res]]^2</f>
        <v>0.11199826346709854</v>
      </c>
      <c r="BX52">
        <f>Regression!$C$29+(Regression!$C$28*Table83[[#This Row],[Neck]])</f>
        <v>45.258648648648581</v>
      </c>
      <c r="BY52" s="2">
        <f>Table83[[#This Row],[Waist]]-Table7[[#This Row],[Waist v Neck]]</f>
        <v>-0.75864864864858106</v>
      </c>
      <c r="BZ52" s="2">
        <f>Table7[[#This Row],[WaistN Res]]^2</f>
        <v>0.57554777209631824</v>
      </c>
      <c r="CA52">
        <f>Regression!$D$29+(Regression!$D$28*Table83[[#This Row],[Morning Body Temp]])</f>
        <v>44.342717051701939</v>
      </c>
      <c r="CB52" s="2">
        <f>Table83[[#This Row],[Waist]]-Table7[[#This Row],[Waist v Morning Temp]]</f>
        <v>0.15728294829806089</v>
      </c>
      <c r="CC52" s="2">
        <f>Table7[[#This Row],[WaistMT Res]]^2</f>
        <v>2.4737925825330496E-2</v>
      </c>
      <c r="CD52">
        <f>Regression!$E$29+(Regression!$E$28*Table83[[#This Row],[Morning Systolic Pressure]])</f>
        <v>44.386342295939642</v>
      </c>
      <c r="CE52" s="2">
        <f>Table83[[#This Row],[Waist]]-Table7[[#This Row],[Waist v Morning Sys]]</f>
        <v>0.11365770406035836</v>
      </c>
      <c r="CF52" s="2">
        <f>Table7[[#This Row],[WaistMS Res]]^2</f>
        <v>1.2918073692272001E-2</v>
      </c>
      <c r="CG52">
        <f>Regression!$F$29+(Regression!$F$28*Table83[[#This Row],[Morning Diastolic Pressure]])</f>
        <v>44.430274185468846</v>
      </c>
      <c r="CH52" s="2">
        <f>Table83[[#This Row],[Waist]]-Table7[[#This Row],[Waist v Morning Dia]]</f>
        <v>6.9725814531153674E-2</v>
      </c>
      <c r="CI52" s="2">
        <f>Table7[[#This Row],[WaistMD Res]]^2</f>
        <v>4.8616892120328407E-3</v>
      </c>
      <c r="CJ52">
        <f>Regression!$G$29+(Regression!$G$28*Table83[[#This Row],[Morning Pulse]])</f>
        <v>44.458773712947881</v>
      </c>
      <c r="CK52" s="2">
        <f>Table83[[#This Row],[Waist]]-Table7[[#This Row],[Waist v Morning Pulse]]</f>
        <v>4.1226287052118948E-2</v>
      </c>
      <c r="CL52" s="2">
        <f>Table7[[#This Row],[WaistMP Res]]^2</f>
        <v>1.6996067441037105E-3</v>
      </c>
      <c r="CM52">
        <f>Regression!$H$29+(Regression!$H$28*Table83[[#This Row],[Night Body Temp]])</f>
        <v>44.54611704031781</v>
      </c>
      <c r="CN52" s="2">
        <f>Table83[[#This Row],[Waist]]-Table7[[#This Row],[Waist v Night Temp]]</f>
        <v>-4.6117040317810165E-2</v>
      </c>
      <c r="CO52" s="2">
        <f>Table7[[#This Row],[WaistNT Res]]^2</f>
        <v>2.1267814076745281E-3</v>
      </c>
      <c r="CP52">
        <f>Regression!$I$29+(Regression!$I$28*Table83[[#This Row],[Night Systolic Pressure]])</f>
        <v>44.23839760042101</v>
      </c>
      <c r="CQ52" s="2">
        <f>Table83[[#This Row],[Waist]]-Table7[[#This Row],[Waist v  Night Sys]]</f>
        <v>0.26160239957899023</v>
      </c>
      <c r="CR52" s="2">
        <f>Table7[[#This Row],[WaistNS Res]]^2</f>
        <v>6.8435815465485661E-2</v>
      </c>
      <c r="CS52">
        <f>Regression!$J$29+(Regression!$J$28*Table83[[#This Row],[Night Diastolic Pressure]])</f>
        <v>44.426956120738851</v>
      </c>
      <c r="CT52" s="2">
        <f>Table83[[#This Row],[Waist]]-Table7[[#This Row],[Waist v Night Dia]]</f>
        <v>7.3043879261149414E-2</v>
      </c>
      <c r="CU52" s="2">
        <f>Table7[[#This Row],[WaistND Res]]^2</f>
        <v>5.3354082975173734E-3</v>
      </c>
      <c r="CV52">
        <f>Regression!$K$29+(Regression!$K$28*Table83[[#This Row],[Night Pulse]])</f>
        <v>44.442567894699479</v>
      </c>
      <c r="CW52" s="2">
        <f>Table83[[#This Row],[Waist]]-Table7[[#This Row],[Waist v Night Pulse]]</f>
        <v>5.7432105300520675E-2</v>
      </c>
      <c r="CX52" s="2">
        <f>Table7[[#This Row],[WaistNP Res]]^2</f>
        <v>3.2984467192500948E-3</v>
      </c>
      <c r="CY52">
        <f>Regression!$L$29+(Regression!$L$28*Table83[[#This Row],[Sleep]])</f>
        <v>44.432842368860271</v>
      </c>
      <c r="CZ52" s="2">
        <f>Table83[[#This Row],[Waist]]-Table7[[#This Row],[Waist v  Sleep]]</f>
        <v>6.7157631139728835E-2</v>
      </c>
      <c r="DA52" s="2">
        <f>Table7[[#This Row],[WaistS Res]]^2</f>
        <v>4.5101474202998764E-3</v>
      </c>
      <c r="DB52">
        <f>Regression!$M$29+(Regression!$M$28*Table83[[#This Row],[BMI]])</f>
        <v>44.165338583839599</v>
      </c>
      <c r="DC52" s="2">
        <f>Table83[[#This Row],[Waist]]-Table7[[#This Row],[Waist v BMI]]</f>
        <v>0.3346614161604009</v>
      </c>
      <c r="DD52" s="2">
        <f>Table7[[#This Row],[WaistBMI Res]]^2</f>
        <v>0.11199826346648505</v>
      </c>
      <c r="DE52">
        <f>Regression!$N$29+(Regression!$N$28*Table83[[#This Row],[CBF]])</f>
        <v>44.105031770433015</v>
      </c>
      <c r="DF52" s="2">
        <f>Table83[[#This Row],[Waist]]-Table7[[#This Row],[Waist v  CBF]]</f>
        <v>0.39496822956698452</v>
      </c>
      <c r="DG52" s="2">
        <f>Table7[[#This Row],[WaistCBF Res]]^2</f>
        <v>0.15599990236727818</v>
      </c>
      <c r="DH52">
        <f>Regression!$O$29+(Regression!$O$28*Table83[[#This Row],[Gym]])</f>
        <v>44.550847457627107</v>
      </c>
      <c r="DI52" s="2">
        <f>Table83[[#This Row],[Waist]]-Table7[[#This Row],[Waist v  Gym]]</f>
        <v>-5.0847457627106962E-2</v>
      </c>
      <c r="DJ52" s="2">
        <f>Table7[[#This Row],[WaistGYM Res]]^2</f>
        <v>2.5854639471404378E-3</v>
      </c>
      <c r="DK52">
        <f>Regression!$P$29+(Regression!$P$28*Table83[[#This Row],[Cardio]])</f>
        <v>44.291666666666664</v>
      </c>
      <c r="DL52" s="2">
        <f>Table83[[#This Row],[Waist]]-Table7[[#This Row],[Waist v Cardio]]</f>
        <v>0.2083333333333357</v>
      </c>
      <c r="DM52" s="2">
        <f>Table7[[#This Row],[WaistC Res]]^2</f>
        <v>4.3402777777778762E-2</v>
      </c>
      <c r="DN52">
        <f>Regression!$Q$29+(Regression!$Q$28*Table83[[#This Row],[Calories]])</f>
        <v>44.590711815784587</v>
      </c>
      <c r="DO52" s="2">
        <f>Table83[[#This Row],[Waist]]-Table7[[#This Row],[Waist v Calories]]</f>
        <v>-9.0711815784587202E-2</v>
      </c>
      <c r="DP52" s="2">
        <f>Table7[[#This Row],[WaistCal Res]]^2</f>
        <v>8.2286335229368839E-3</v>
      </c>
      <c r="DQ52">
        <f>Regression!$R$29+(Regression!$R$28*Table83[[#This Row],[Carbs]])</f>
        <v>44.667356660840305</v>
      </c>
      <c r="DR52" s="2">
        <f>Table83[[#This Row],[Waist]]-Table7[[#This Row],[Waist v Carbs]]</f>
        <v>-0.16735666084030498</v>
      </c>
      <c r="DS52" s="2">
        <f>Table7[[#This Row],[WaistCarb Res]]^2</f>
        <v>2.800825192761687E-2</v>
      </c>
      <c r="DT52">
        <f>Regression!$S$29+(Regression!$S$28*Table83[[#This Row],[Fat ]])</f>
        <v>44.510383592914515</v>
      </c>
      <c r="DU52" s="2">
        <f>Table83[[#This Row],[Waist]]-Table7[[#This Row],[Waist v Fat]]</f>
        <v>-1.038359291451485E-2</v>
      </c>
      <c r="DV52" s="2">
        <f>Table7[[#This Row],[WaistF Res]]^2</f>
        <v>1.07819001814363E-4</v>
      </c>
      <c r="DW52">
        <f>Regression!$T$29+(Regression!$T$28*Table83[[#This Row],[Protein]])</f>
        <v>44.390651958768338</v>
      </c>
      <c r="DX52" s="2">
        <f>Table83[[#This Row],[Waist]]-Table7[[#This Row],[Waist v Protein]]</f>
        <v>0.10934804123166231</v>
      </c>
      <c r="DY52" s="2">
        <f>Table7[[#This Row],[WaistP Res]]^2</f>
        <v>1.195699412120132E-2</v>
      </c>
      <c r="DZ52">
        <f>Regression!$U$29+(Regression!$U$28*Table83[[#This Row],[Fiber]])</f>
        <v>44.381174625549136</v>
      </c>
      <c r="EA52" s="2">
        <f>Table83[[#This Row],[Waist]]-Table7[[#This Row],[Waist v Fiber]]</f>
        <v>0.11882537445086427</v>
      </c>
      <c r="EB52" s="2">
        <f>Table7[[#This Row],[WaistFib Res]]^2</f>
        <v>1.4119469613388108E-2</v>
      </c>
      <c r="EC52">
        <f>Regression!$V$29+(Regression!$V$28*Table83[[#This Row],[Sugar]])</f>
        <v>44.735835236823334</v>
      </c>
      <c r="ED52" s="2">
        <f>Table83[[#This Row],[Waist]]-Table7[[#This Row],[Waist v Sugar]]</f>
        <v>-0.23583523682333407</v>
      </c>
      <c r="EE52" s="2">
        <f>Table7[[#This Row],[WaistSugar Res]]^2</f>
        <v>5.5618258927518066E-2</v>
      </c>
      <c r="EF52">
        <f>Regression!$W$29+(Regression!$W$28*Table83[[#This Row],[Servings]])</f>
        <v>44.712704720699875</v>
      </c>
      <c r="EG52" s="2">
        <f>Table83[[#This Row],[Waist]]-Table7[[#This Row],[Waist v Servings]]</f>
        <v>-0.21270472069987534</v>
      </c>
      <c r="EH52" s="2">
        <f>Table7[[#This Row],[WaistServ Res]]^2</f>
        <v>4.5243298208011977E-2</v>
      </c>
      <c r="EI52">
        <f>Regression!$X$29+(Regression!$X$28*Table83[[#This Row],[Water]])</f>
        <v>44.442082352251923</v>
      </c>
      <c r="EJ52" s="2">
        <f>Table83[[#This Row],[Waist]]-Table7[[#This Row],[Waist v Water]]</f>
        <v>5.7917647748077172E-2</v>
      </c>
      <c r="EK52" s="2">
        <f>Table7[[#This Row],[WaistWat Res]]^2</f>
        <v>3.3544539206703488E-3</v>
      </c>
      <c r="EL52">
        <f>Regression!$Y$29+(Regression!$Y$28*Table83[[#This Row],[Fat Calories]])</f>
        <v>44.51225057031769</v>
      </c>
      <c r="EM52" s="2">
        <f>Table83[[#This Row],[Waist]]-Table7[[#This Row],[Waist v Fat Calories]]</f>
        <v>-1.2250570317689835E-2</v>
      </c>
      <c r="EN52" s="2">
        <f>Table7[[#This Row],[WaistFatCal Res]]^2</f>
        <v>1.5007647310866324E-4</v>
      </c>
    </row>
    <row r="53" spans="1:144" x14ac:dyDescent="0.25">
      <c r="A53">
        <f>Regression!$B$10+(Regression!$B$9*Table83[[#This Row],[Waist]])</f>
        <v>255.38023686459636</v>
      </c>
      <c r="B53" s="2">
        <f>Table83[[#This Row],[Weight]]-Table7[[#This Row],[Weight v Waist]]</f>
        <v>-2.7802368645963611</v>
      </c>
      <c r="C53" s="2">
        <f>Table7[[#This Row],[Weight v Waist Res]]^2</f>
        <v>7.7297170232606049</v>
      </c>
      <c r="D53">
        <f>Regression!$C$10+(Regression!$C$9*Table83[[#This Row],[Neck]])</f>
        <v>260.39308108104251</v>
      </c>
      <c r="E53" s="2">
        <f>Table83[[#This Row],[Weight]]-Table7[[#This Row],[Weight v Neck]]</f>
        <v>-7.7930810810425157</v>
      </c>
      <c r="F53" s="2">
        <f>Table7[[#This Row],[WN Res]]^2</f>
        <v>60.732112735702785</v>
      </c>
      <c r="G53">
        <f>Regression!$D$10+(Regression!$D$9*Table83[[#This Row],[Morning Body Temp]])</f>
        <v>254.63717512375013</v>
      </c>
      <c r="H53" s="2">
        <f>Table83[[#This Row],[Weight]]-Table7[[#This Row],[Weight v Morning Temp]]</f>
        <v>-2.0371751237501314</v>
      </c>
      <c r="I53" s="2">
        <f>Table7[[#This Row],[WMT Res]]^2</f>
        <v>4.1500824848263633</v>
      </c>
      <c r="J53">
        <f>Regression!$E$10+(Regression!$E$9*Table83[[#This Row],[Morning Systolic Pressure]])</f>
        <v>254.91917781330181</v>
      </c>
      <c r="K53" s="2">
        <f>Table83[[#This Row],[Weight]]-Table7[[#This Row],[Weight v Morning Sys]]</f>
        <v>-2.3191778133018204</v>
      </c>
      <c r="L53" s="2">
        <f>Table7[[#This Row],[WMS Res]]^2</f>
        <v>5.3785857297114132</v>
      </c>
      <c r="M53">
        <f>Regression!$F$10+(Regression!$F$9*Table83[[#This Row],[Morning Diastolic Pressure]])</f>
        <v>254.8993513991569</v>
      </c>
      <c r="N53" s="2">
        <f>Table83[[#This Row],[Weight]]-Table7[[#This Row],[Weight v Morning Dia]]</f>
        <v>-2.2993513991569046</v>
      </c>
      <c r="O53" s="2">
        <f>Table7[[#This Row],[WMD Res]]^2</f>
        <v>5.287016856804815</v>
      </c>
      <c r="P53">
        <f>Regression!$G$10+(Regression!$G$9*Table83[[#This Row],[Morning Pulse]])</f>
        <v>255.11547289015564</v>
      </c>
      <c r="Q53" s="2">
        <f>Table83[[#This Row],[Weight]]-Table7[[#This Row],[Weight v Morning Pulse]]</f>
        <v>-2.5154728901556496</v>
      </c>
      <c r="R53" s="2">
        <f>Table7[[#This Row],[WMP Res]]^2</f>
        <v>6.3276038611080168</v>
      </c>
      <c r="S53">
        <f>Regression!$H$10+(Regression!$H$9*Table83[[#This Row],[Night Body Temp]])</f>
        <v>253.9272175431899</v>
      </c>
      <c r="T53" s="2">
        <f>Table83[[#This Row],[Weight]]-Table7[[#This Row],[Weight v Night Temp]]</f>
        <v>-1.3272175431899029</v>
      </c>
      <c r="U53" s="2">
        <f>Table7[[#This Row],[WNT Res]]^2</f>
        <v>1.7615064069510418</v>
      </c>
      <c r="V53">
        <f>Regression!$I$10+(Regression!$I$9*Table83[[#This Row],[Night Systolic Pressure]])</f>
        <v>254.93064689108181</v>
      </c>
      <c r="W53" s="2">
        <f>Table83[[#This Row],[Weight]]-Table7[[#This Row],[Weight v Night Sys]]</f>
        <v>-2.3306468910818126</v>
      </c>
      <c r="X53" s="2">
        <f>Table7[[#This Row],[WNS Res]]^2</f>
        <v>5.4319149309093184</v>
      </c>
      <c r="Y53">
        <f>Regression!$J$10+(Regression!$J$9*Table83[[#This Row],[Night Diastolic Pressure]])</f>
        <v>254.9292529005817</v>
      </c>
      <c r="Z53" s="2">
        <f>Table83[[#This Row],[Weight]]-Table7[[#This Row],[Weight v Night Dia]]</f>
        <v>-2.3292529005817073</v>
      </c>
      <c r="AA53" s="2">
        <f>Table7[[#This Row],[WND Res]]^2</f>
        <v>5.4254190748682971</v>
      </c>
      <c r="AB53">
        <f>Regression!$K$10+(Regression!$K$9*Table83[[#This Row],[Night Pulse]])</f>
        <v>254.80301854637398</v>
      </c>
      <c r="AC53" s="2">
        <f>Table83[[#This Row],[Weight]]-Table7[[#This Row],[Weight v Night Pulse]]</f>
        <v>-2.2030185463739826</v>
      </c>
      <c r="AD53" s="2">
        <f>Table7[[#This Row],[WNP Res ]]^2</f>
        <v>4.8532907156677352</v>
      </c>
      <c r="AE53">
        <f>Regression!$L$10+(Regression!$L$9*Table83[[#This Row],[Sleep]])</f>
        <v>254.97929263569441</v>
      </c>
      <c r="AF53" s="2">
        <f>Table83[[#This Row],[Weight]]-Table7[[#This Row],[Weight v Sleep]]</f>
        <v>-2.3792926356944122</v>
      </c>
      <c r="AG53" s="2">
        <f>Table7[[#This Row],[WS Res]]^2</f>
        <v>5.6610334462696628</v>
      </c>
      <c r="AH53">
        <f>Regression!$M$10+(Regression!$M$9*Table83[[#This Row],[BMI]])</f>
        <v>252.60000000000565</v>
      </c>
      <c r="AI53" s="2">
        <f>Table83[[#This Row],[Weight]]-Table7[[#This Row],[Weight v BMI]]</f>
        <v>-5.6559201766503975E-12</v>
      </c>
      <c r="AJ53" s="2">
        <f>Table7[[#This Row],[WBMI Res]]^2</f>
        <v>3.1989433044641063E-23</v>
      </c>
      <c r="AK53">
        <f>Regression!$N$10+(Regression!$N$9*Table83[[#This Row],[CBF]])</f>
        <v>253.17965033701802</v>
      </c>
      <c r="AL53" s="2">
        <f>Table83[[#This Row],[Weight]]-Table7[[#This Row],[Weight v CBF]]</f>
        <v>-0.57965033701802327</v>
      </c>
      <c r="AM53" s="2">
        <f>Table7[[#This Row],[WCBF Res]]^2</f>
        <v>0.33599451320510793</v>
      </c>
      <c r="AN53">
        <f>Regression!$O$10+(Regression!$O$9*Table83[[#This Row],[Gym]])</f>
        <v>255.46779661016953</v>
      </c>
      <c r="AO53" s="2">
        <f>Table83[[#This Row],[Weight]]-Table7[[#This Row],[Weight v Gym]]</f>
        <v>-2.8677966101695347</v>
      </c>
      <c r="AP53" s="2">
        <f>Table7[[#This Row],[WG Res]]^2</f>
        <v>8.2242573972998745</v>
      </c>
      <c r="AQ53">
        <f>Regression!$P$10+(Regression!$P$9*Table83[[#This Row],[Cardio]])</f>
        <v>254.19242424242461</v>
      </c>
      <c r="AR53" s="2">
        <f>Table83[[#This Row],[Weight]]-Table7[[#This Row],[Weight v Cardio]]</f>
        <v>-1.5924242424246131</v>
      </c>
      <c r="AS53" s="2">
        <f>Table7[[#This Row],[WC Res]]^2</f>
        <v>2.5358149678616031</v>
      </c>
      <c r="AT53">
        <f>Regression!$Q$10+(Regression!$Q$9*Table83[[#This Row],[Calories]])</f>
        <v>255.1963088070417</v>
      </c>
      <c r="AU53" s="2">
        <f>Table83[[#This Row],[Weight]]-Table7[[#This Row],[Weight v Calories]]</f>
        <v>-2.5963088070417086</v>
      </c>
      <c r="AV53" s="2">
        <f>Table7[[#This Row],[WCAL Res]]^2</f>
        <v>6.7408194215223398</v>
      </c>
      <c r="AW53">
        <f>Regression!$R$10+(Regression!$R$9*Table83[[#This Row],[Carbs]])</f>
        <v>255.27601661553794</v>
      </c>
      <c r="AX53" s="2">
        <f>Table83[[#This Row],[Weight]]-Table7[[#This Row],[Weight v Carbs]]</f>
        <v>-2.6760166155379466</v>
      </c>
      <c r="AY53" s="2">
        <f>Table7[[#This Row],[Wcarb Res]]^2</f>
        <v>7.1610649266351665</v>
      </c>
      <c r="AZ53">
        <f>Regression!$S$10+(Regression!$S$9*Table83[[#This Row],[Fat ]])</f>
        <v>255.06034034124713</v>
      </c>
      <c r="BA53" s="2">
        <f>Table83[[#This Row],[Weight]]-Table7[[#This Row],[Weight v Fat]]</f>
        <v>-2.4603403412471323</v>
      </c>
      <c r="BB53" s="2">
        <f>Table7[[#This Row],[WF Res]]^2</f>
        <v>6.0532745947680553</v>
      </c>
      <c r="BC53">
        <f>Regression!$T$10+(Regression!$T$9*Table83[[#This Row],[Protein]])</f>
        <v>254.58614726455858</v>
      </c>
      <c r="BD53" s="2">
        <f>Table83[[#This Row],[Weight]]-Table7[[#This Row],[Weight v Protein]]</f>
        <v>-1.986147264558582</v>
      </c>
      <c r="BE53" s="2">
        <f>Table7[[#This Row],[WP Res]]^2</f>
        <v>3.9447809565135379</v>
      </c>
      <c r="BF53">
        <f>Regression!$U$10+(Regression!$U$9*Table83[[#This Row],[Fiber]])</f>
        <v>255.53277968583075</v>
      </c>
      <c r="BG53" s="2">
        <f>Table83[[#This Row],[Weight]]-Table7[[#This Row],[Weight v Fiber]]</f>
        <v>-2.9327796858307522</v>
      </c>
      <c r="BH53" s="2">
        <f>Table7[[#This Row],[Wfib Res]]^2</f>
        <v>8.6011966856215256</v>
      </c>
      <c r="BI53">
        <f>Regression!$V$10+(Regression!$V$9*Table83[[#This Row],[Sugar]])</f>
        <v>255.34693125008729</v>
      </c>
      <c r="BJ53" s="2">
        <f>Table83[[#This Row],[Weight]]-Table7[[#This Row],[Weight v Sugar]]</f>
        <v>-2.7469312500873002</v>
      </c>
      <c r="BK53" s="2">
        <f>Table7[[#This Row],[Wsugar Res]]^2</f>
        <v>7.5456312927061777</v>
      </c>
      <c r="BL53">
        <f>Regression!$W$10+(Regression!$W$9*Table83[[#This Row],[Servings]])</f>
        <v>254.03881360443779</v>
      </c>
      <c r="BM53" s="2">
        <f>Table83[[#This Row],[Weight]]-Table7[[#This Row],[Weight v Servings]]</f>
        <v>-1.4388136044377973</v>
      </c>
      <c r="BN53" s="2">
        <f>Table7[[#This Row],[Wserv Res]]^2</f>
        <v>2.0701845883152861</v>
      </c>
      <c r="BO53">
        <f>Regression!$X$10+(Regression!$X$9*Table83[[#This Row],[Water]])</f>
        <v>255.10626599365665</v>
      </c>
      <c r="BP53" s="2">
        <f>Table83[[#This Row],[Weight]]-Table7[[#This Row],[Weight v Water]]</f>
        <v>-2.5062659936566547</v>
      </c>
      <c r="BQ53" s="2">
        <f>Table7[[#This Row],[Wwater Res]]^2</f>
        <v>6.2813692309597791</v>
      </c>
      <c r="BR53">
        <f>Regression!$Y$10+(Regression!$Y$9*Table83[[#This Row],[Fat Calories]])</f>
        <v>255.05196392457961</v>
      </c>
      <c r="BS53" s="2">
        <f>Table83[[#This Row],[Weight]]-Table7[[#This Row],[Weight v Fat Calories]]</f>
        <v>-2.4519639245796157</v>
      </c>
      <c r="BT53" s="2">
        <f>Table7[[#This Row],[WFC Res]]^2</f>
        <v>6.0121270874398709</v>
      </c>
      <c r="BU53">
        <f>Regression!$B$29+(Regression!$B$28*Table83[[#This Row],[Weight]])</f>
        <v>44.110833579610691</v>
      </c>
      <c r="BV53" s="2">
        <f>Table83[[#This Row],[Waist]]-Table7[[#This Row],[Waist v Weight]]</f>
        <v>0.3891664203893086</v>
      </c>
      <c r="BW53" s="2">
        <f>Table7[[#This Row],[WaistW Res]]^2</f>
        <v>0.15145050275862806</v>
      </c>
      <c r="BX53">
        <f>Regression!$C$29+(Regression!$C$28*Table83[[#This Row],[Neck]])</f>
        <v>45.258648648648581</v>
      </c>
      <c r="BY53" s="2">
        <f>Table83[[#This Row],[Waist]]-Table7[[#This Row],[Waist v Neck]]</f>
        <v>-0.75864864864858106</v>
      </c>
      <c r="BZ53" s="2">
        <f>Table7[[#This Row],[WaistN Res]]^2</f>
        <v>0.57554777209631824</v>
      </c>
      <c r="CA53">
        <f>Regression!$D$29+(Regression!$D$28*Table83[[#This Row],[Morning Body Temp]])</f>
        <v>44.323570238526059</v>
      </c>
      <c r="CB53" s="2">
        <f>Table83[[#This Row],[Waist]]-Table7[[#This Row],[Waist v Morning Temp]]</f>
        <v>0.17642976147394052</v>
      </c>
      <c r="CC53" s="2">
        <f>Table7[[#This Row],[WaistMT Res]]^2</f>
        <v>3.1127460733751545E-2</v>
      </c>
      <c r="CD53">
        <f>Regression!$E$29+(Regression!$E$28*Table83[[#This Row],[Morning Systolic Pressure]])</f>
        <v>44.407523106424492</v>
      </c>
      <c r="CE53" s="2">
        <f>Table83[[#This Row],[Waist]]-Table7[[#This Row],[Waist v Morning Sys]]</f>
        <v>9.2476893575508257E-2</v>
      </c>
      <c r="CF53" s="2">
        <f>Table7[[#This Row],[WaistMS Res]]^2</f>
        <v>8.5519758453758803E-3</v>
      </c>
      <c r="CG53">
        <f>Regression!$F$29+(Regression!$F$28*Table83[[#This Row],[Morning Diastolic Pressure]])</f>
        <v>44.441545426806556</v>
      </c>
      <c r="CH53" s="2">
        <f>Table83[[#This Row],[Waist]]-Table7[[#This Row],[Waist v Morning Dia]]</f>
        <v>5.8454573193444048E-2</v>
      </c>
      <c r="CI53" s="2">
        <f>Table7[[#This Row],[WaistMD Res]]^2</f>
        <v>3.4169371272277076E-3</v>
      </c>
      <c r="CJ53">
        <f>Regression!$G$29+(Regression!$G$28*Table83[[#This Row],[Morning Pulse]])</f>
        <v>44.453736697506194</v>
      </c>
      <c r="CK53" s="2">
        <f>Table83[[#This Row],[Waist]]-Table7[[#This Row],[Waist v Morning Pulse]]</f>
        <v>4.6263302493805725E-2</v>
      </c>
      <c r="CL53" s="2">
        <f>Table7[[#This Row],[WaistMP Res]]^2</f>
        <v>2.1402931576333709E-3</v>
      </c>
      <c r="CM53">
        <f>Regression!$H$29+(Regression!$H$28*Table83[[#This Row],[Night Body Temp]])</f>
        <v>44.359887792805431</v>
      </c>
      <c r="CN53" s="2">
        <f>Table83[[#This Row],[Waist]]-Table7[[#This Row],[Waist v Night Temp]]</f>
        <v>0.14011220719456929</v>
      </c>
      <c r="CO53" s="2">
        <f>Table7[[#This Row],[WaistNT Res]]^2</f>
        <v>1.9631430604933914E-2</v>
      </c>
      <c r="CP53">
        <f>Regression!$I$29+(Regression!$I$28*Table83[[#This Row],[Night Systolic Pressure]])</f>
        <v>44.427419086653984</v>
      </c>
      <c r="CQ53" s="2">
        <f>Table83[[#This Row],[Waist]]-Table7[[#This Row],[Waist v  Night Sys]]</f>
        <v>7.2580913346016018E-2</v>
      </c>
      <c r="CR53" s="2">
        <f>Table7[[#This Row],[WaistNS Res]]^2</f>
        <v>5.2679889821418864E-3</v>
      </c>
      <c r="CS53">
        <f>Regression!$J$29+(Regression!$J$28*Table83[[#This Row],[Night Diastolic Pressure]])</f>
        <v>44.375752285116519</v>
      </c>
      <c r="CT53" s="2">
        <f>Table83[[#This Row],[Waist]]-Table7[[#This Row],[Waist v Night Dia]]</f>
        <v>0.12424771488348085</v>
      </c>
      <c r="CU53" s="2">
        <f>Table7[[#This Row],[WaistND Res]]^2</f>
        <v>1.543749465376675E-2</v>
      </c>
      <c r="CV53">
        <f>Regression!$K$29+(Regression!$K$28*Table83[[#This Row],[Night Pulse]])</f>
        <v>44.482562343052983</v>
      </c>
      <c r="CW53" s="2">
        <f>Table83[[#This Row],[Waist]]-Table7[[#This Row],[Waist v Night Pulse]]</f>
        <v>1.7437656947016933E-2</v>
      </c>
      <c r="CX53" s="2">
        <f>Table7[[#This Row],[WaistNP Res]]^2</f>
        <v>3.0407187980184791E-4</v>
      </c>
      <c r="CY53">
        <f>Regression!$L$29+(Regression!$L$28*Table83[[#This Row],[Sleep]])</f>
        <v>44.432842368860271</v>
      </c>
      <c r="CZ53" s="2">
        <f>Table83[[#This Row],[Waist]]-Table7[[#This Row],[Waist v  Sleep]]</f>
        <v>6.7157631139728835E-2</v>
      </c>
      <c r="DA53" s="2">
        <f>Table7[[#This Row],[WaistS Res]]^2</f>
        <v>4.5101474202998764E-3</v>
      </c>
      <c r="DB53">
        <f>Regression!$M$29+(Regression!$M$28*Table83[[#This Row],[BMI]])</f>
        <v>44.110833579611779</v>
      </c>
      <c r="DC53" s="2">
        <f>Table83[[#This Row],[Waist]]-Table7[[#This Row],[Waist v BMI]]</f>
        <v>0.38916642038822147</v>
      </c>
      <c r="DD53" s="2">
        <f>Table7[[#This Row],[WaistBMI Res]]^2</f>
        <v>0.15145050275778191</v>
      </c>
      <c r="DE53">
        <f>Regression!$N$29+(Regression!$N$28*Table83[[#This Row],[CBF]])</f>
        <v>44.105031770433015</v>
      </c>
      <c r="DF53" s="2">
        <f>Table83[[#This Row],[Waist]]-Table7[[#This Row],[Waist v  CBF]]</f>
        <v>0.39496822956698452</v>
      </c>
      <c r="DG53" s="2">
        <f>Table7[[#This Row],[WaistCBF Res]]^2</f>
        <v>0.15599990236727818</v>
      </c>
      <c r="DH53">
        <f>Regression!$O$29+(Regression!$O$28*Table83[[#This Row],[Gym]])</f>
        <v>44.550847457627107</v>
      </c>
      <c r="DI53" s="2">
        <f>Table83[[#This Row],[Waist]]-Table7[[#This Row],[Waist v  Gym]]</f>
        <v>-5.0847457627106962E-2</v>
      </c>
      <c r="DJ53" s="2">
        <f>Table7[[#This Row],[WaistGYM Res]]^2</f>
        <v>2.5854639471404378E-3</v>
      </c>
      <c r="DK53">
        <f>Regression!$P$29+(Regression!$P$28*Table83[[#This Row],[Cardio]])</f>
        <v>44.291666666666664</v>
      </c>
      <c r="DL53" s="2">
        <f>Table83[[#This Row],[Waist]]-Table7[[#This Row],[Waist v Cardio]]</f>
        <v>0.2083333333333357</v>
      </c>
      <c r="DM53" s="2">
        <f>Table7[[#This Row],[WaistC Res]]^2</f>
        <v>4.3402777777778762E-2</v>
      </c>
      <c r="DN53">
        <f>Regression!$Q$29+(Regression!$Q$28*Table83[[#This Row],[Calories]])</f>
        <v>44.471798167052675</v>
      </c>
      <c r="DO53" s="2">
        <f>Table83[[#This Row],[Waist]]-Table7[[#This Row],[Waist v Calories]]</f>
        <v>2.820183294732459E-2</v>
      </c>
      <c r="DP53" s="2">
        <f>Table7[[#This Row],[WaistCal Res]]^2</f>
        <v>7.9534338158880277E-4</v>
      </c>
      <c r="DQ53">
        <f>Regression!$R$29+(Regression!$R$28*Table83[[#This Row],[Carbs]])</f>
        <v>44.487053284218334</v>
      </c>
      <c r="DR53" s="2">
        <f>Table83[[#This Row],[Waist]]-Table7[[#This Row],[Waist v Carbs]]</f>
        <v>1.2946715781666285E-2</v>
      </c>
      <c r="DS53" s="2">
        <f>Table7[[#This Row],[WaistCarb Res]]^2</f>
        <v>1.6761744953124684E-4</v>
      </c>
      <c r="DT53">
        <f>Regression!$S$29+(Regression!$S$28*Table83[[#This Row],[Fat ]])</f>
        <v>44.436817996462288</v>
      </c>
      <c r="DU53" s="2">
        <f>Table83[[#This Row],[Waist]]-Table7[[#This Row],[Waist v Fat]]</f>
        <v>6.3182003537711751E-2</v>
      </c>
      <c r="DV53" s="2">
        <f>Table7[[#This Row],[WaistF Res]]^2</f>
        <v>3.9919655710394198E-3</v>
      </c>
      <c r="DW53">
        <f>Regression!$T$29+(Regression!$T$28*Table83[[#This Row],[Protein]])</f>
        <v>44.356732028431658</v>
      </c>
      <c r="DX53" s="2">
        <f>Table83[[#This Row],[Waist]]-Table7[[#This Row],[Waist v Protein]]</f>
        <v>0.14326797156834203</v>
      </c>
      <c r="DY53" s="2">
        <f>Table7[[#This Row],[WaistP Res]]^2</f>
        <v>2.0525711677307261E-2</v>
      </c>
      <c r="DZ53">
        <f>Regression!$U$29+(Regression!$U$28*Table83[[#This Row],[Fiber]])</f>
        <v>44.614727199247334</v>
      </c>
      <c r="EA53" s="2">
        <f>Table83[[#This Row],[Waist]]-Table7[[#This Row],[Waist v Fiber]]</f>
        <v>-0.11472719924733354</v>
      </c>
      <c r="EB53" s="2">
        <f>Table7[[#This Row],[WaistFib Res]]^2</f>
        <v>1.3162330247137371E-2</v>
      </c>
      <c r="EC53">
        <f>Regression!$V$29+(Regression!$V$28*Table83[[#This Row],[Sugar]])</f>
        <v>44.495195736729968</v>
      </c>
      <c r="ED53" s="2">
        <f>Table83[[#This Row],[Waist]]-Table7[[#This Row],[Waist v Sugar]]</f>
        <v>4.8042632700315835E-3</v>
      </c>
      <c r="EE53" s="2">
        <f>Table7[[#This Row],[WaistSugar Res]]^2</f>
        <v>2.3080945567774564E-5</v>
      </c>
      <c r="EF53">
        <f>Regression!$W$29+(Regression!$W$28*Table83[[#This Row],[Servings]])</f>
        <v>44.289324956831159</v>
      </c>
      <c r="EG53" s="2">
        <f>Table83[[#This Row],[Waist]]-Table7[[#This Row],[Waist v Servings]]</f>
        <v>0.21067504316884111</v>
      </c>
      <c r="EH53" s="2">
        <f>Table7[[#This Row],[WaistServ Res]]^2</f>
        <v>4.4383973814193067E-2</v>
      </c>
      <c r="EI53">
        <f>Regression!$X$29+(Regression!$X$28*Table83[[#This Row],[Water]])</f>
        <v>44.442082352251923</v>
      </c>
      <c r="EJ53" s="2">
        <f>Table83[[#This Row],[Waist]]-Table7[[#This Row],[Waist v Water]]</f>
        <v>5.7917647748077172E-2</v>
      </c>
      <c r="EK53" s="2">
        <f>Table7[[#This Row],[WaistWat Res]]^2</f>
        <v>3.3544539206703488E-3</v>
      </c>
      <c r="EL53">
        <f>Regression!$Y$29+(Regression!$Y$28*Table83[[#This Row],[Fat Calories]])</f>
        <v>44.434355282048642</v>
      </c>
      <c r="EM53" s="2">
        <f>Table83[[#This Row],[Waist]]-Table7[[#This Row],[Waist v Fat Calories]]</f>
        <v>6.5644717951357734E-2</v>
      </c>
      <c r="EN53" s="2">
        <f>Table7[[#This Row],[WaistFatCal Res]]^2</f>
        <v>4.309228994913308E-3</v>
      </c>
    </row>
    <row r="54" spans="1:144" x14ac:dyDescent="0.25">
      <c r="A54">
        <f>Regression!$B$10+(Regression!$B$9*Table83[[#This Row],[Waist]])</f>
        <v>255.38023686459636</v>
      </c>
      <c r="B54" s="2">
        <f>Table83[[#This Row],[Weight]]-Table7[[#This Row],[Weight v Waist]]</f>
        <v>-0.98023686459634973</v>
      </c>
      <c r="C54" s="2">
        <f>Table7[[#This Row],[Weight v Waist Res]]^2</f>
        <v>0.9608643107136825</v>
      </c>
      <c r="D54">
        <f>Regression!$C$10+(Regression!$C$9*Table83[[#This Row],[Neck]])</f>
        <v>260.39308108104251</v>
      </c>
      <c r="E54" s="2">
        <f>Table83[[#This Row],[Weight]]-Table7[[#This Row],[Weight v Neck]]</f>
        <v>-5.9930810810425044</v>
      </c>
      <c r="F54" s="2">
        <f>Table7[[#This Row],[WN Res]]^2</f>
        <v>35.917020843949594</v>
      </c>
      <c r="G54">
        <f>Regression!$D$10+(Regression!$D$9*Table83[[#This Row],[Morning Body Temp]])</f>
        <v>255.3411606659738</v>
      </c>
      <c r="H54" s="2">
        <f>Table83[[#This Row],[Weight]]-Table7[[#This Row],[Weight v Morning Temp]]</f>
        <v>-0.94116066597379699</v>
      </c>
      <c r="I54" s="2">
        <f>Table7[[#This Row],[WMT Res]]^2</f>
        <v>0.88578339917624105</v>
      </c>
      <c r="J54">
        <f>Regression!$E$10+(Regression!$E$9*Table83[[#This Row],[Morning Systolic Pressure]])</f>
        <v>256.18133952147656</v>
      </c>
      <c r="K54" s="2">
        <f>Table83[[#This Row],[Weight]]-Table7[[#This Row],[Weight v Morning Sys]]</f>
        <v>-1.7813395214765535</v>
      </c>
      <c r="L54" s="2">
        <f>Table7[[#This Row],[WMS Res]]^2</f>
        <v>3.1731704907743166</v>
      </c>
      <c r="M54">
        <f>Regression!$F$10+(Regression!$F$9*Table83[[#This Row],[Morning Diastolic Pressure]])</f>
        <v>255.50741689342618</v>
      </c>
      <c r="N54" s="2">
        <f>Table83[[#This Row],[Weight]]-Table7[[#This Row],[Weight v Morning Dia]]</f>
        <v>-1.1074168934261763</v>
      </c>
      <c r="O54" s="2">
        <f>Table7[[#This Row],[WMD Res]]^2</f>
        <v>1.2263721758456831</v>
      </c>
      <c r="P54">
        <f>Regression!$G$10+(Regression!$G$9*Table83[[#This Row],[Morning Pulse]])</f>
        <v>255.11912848167003</v>
      </c>
      <c r="Q54" s="2">
        <f>Table83[[#This Row],[Weight]]-Table7[[#This Row],[Weight v Morning Pulse]]</f>
        <v>-0.71912848167002608</v>
      </c>
      <c r="R54" s="2">
        <f>Table7[[#This Row],[WMP Res]]^2</f>
        <v>0.51714577314903698</v>
      </c>
      <c r="S54">
        <f>Regression!$H$10+(Regression!$H$9*Table83[[#This Row],[Night Body Temp]])</f>
        <v>254.74879010704339</v>
      </c>
      <c r="T54" s="2">
        <f>Table83[[#This Row],[Weight]]-Table7[[#This Row],[Weight v Night Temp]]</f>
        <v>-0.34879010704338498</v>
      </c>
      <c r="U54" s="2">
        <f>Table7[[#This Row],[WNT Res]]^2</f>
        <v>0.12165453877133595</v>
      </c>
      <c r="V54">
        <f>Regression!$I$10+(Regression!$I$9*Table83[[#This Row],[Night Systolic Pressure]])</f>
        <v>254.52006755496794</v>
      </c>
      <c r="W54" s="2">
        <f>Table83[[#This Row],[Weight]]-Table7[[#This Row],[Weight v Night Sys]]</f>
        <v>-0.12006755496793176</v>
      </c>
      <c r="X54" s="2">
        <f>Table7[[#This Row],[WNS Res]]^2</f>
        <v>1.4416217755977314E-2</v>
      </c>
      <c r="Y54">
        <f>Regression!$J$10+(Regression!$J$9*Table83[[#This Row],[Night Diastolic Pressure]])</f>
        <v>254.8477211637495</v>
      </c>
      <c r="Z54" s="2">
        <f>Table83[[#This Row],[Weight]]-Table7[[#This Row],[Weight v Night Dia]]</f>
        <v>-0.44772116374949178</v>
      </c>
      <c r="AA54" s="2">
        <f>Table7[[#This Row],[WND Res]]^2</f>
        <v>0.20045424046919924</v>
      </c>
      <c r="AB54">
        <f>Regression!$K$10+(Regression!$K$9*Table83[[#This Row],[Night Pulse]])</f>
        <v>254.86444520884743</v>
      </c>
      <c r="AC54" s="2">
        <f>Table83[[#This Row],[Weight]]-Table7[[#This Row],[Weight v Night Pulse]]</f>
        <v>-0.46444520884742246</v>
      </c>
      <c r="AD54" s="2">
        <f>Table7[[#This Row],[WNP Res ]]^2</f>
        <v>0.21570935202132588</v>
      </c>
      <c r="AE54">
        <f>Regression!$L$10+(Regression!$L$9*Table83[[#This Row],[Sleep]])</f>
        <v>255.92571518581587</v>
      </c>
      <c r="AF54" s="2">
        <f>Table83[[#This Row],[Weight]]-Table7[[#This Row],[Weight v Sleep]]</f>
        <v>-1.5257151858158693</v>
      </c>
      <c r="AG54" s="2">
        <f>Table7[[#This Row],[WS Res]]^2</f>
        <v>2.3278068282291526</v>
      </c>
      <c r="AH54">
        <f>Regression!$M$10+(Regression!$M$9*Table83[[#This Row],[BMI]])</f>
        <v>254.40000000000165</v>
      </c>
      <c r="AI54" s="2">
        <f>Table83[[#This Row],[Weight]]-Table7[[#This Row],[Weight v BMI]]</f>
        <v>-1.6484591469634324E-12</v>
      </c>
      <c r="AJ54" s="2">
        <f>Table7[[#This Row],[WBMI Res]]^2</f>
        <v>2.7174175592074073E-24</v>
      </c>
      <c r="AK54">
        <f>Regression!$N$10+(Regression!$N$9*Table83[[#This Row],[CBF]])</f>
        <v>253.17965033701802</v>
      </c>
      <c r="AL54" s="2">
        <f>Table83[[#This Row],[Weight]]-Table7[[#This Row],[Weight v CBF]]</f>
        <v>1.2203496629819881</v>
      </c>
      <c r="AM54" s="2">
        <f>Table7[[#This Row],[WCBF Res]]^2</f>
        <v>1.4892532999402519</v>
      </c>
      <c r="AN54">
        <f>Regression!$O$10+(Regression!$O$9*Table83[[#This Row],[Gym]])</f>
        <v>255.46779661016953</v>
      </c>
      <c r="AO54" s="2">
        <f>Table83[[#This Row],[Weight]]-Table7[[#This Row],[Weight v Gym]]</f>
        <v>-1.0677966101695233</v>
      </c>
      <c r="AP54" s="2">
        <f>Table7[[#This Row],[WG Res]]^2</f>
        <v>1.1401896006895249</v>
      </c>
      <c r="AQ54">
        <f>Regression!$P$10+(Regression!$P$9*Table83[[#This Row],[Cardio]])</f>
        <v>254.19242424242461</v>
      </c>
      <c r="AR54" s="2">
        <f>Table83[[#This Row],[Weight]]-Table7[[#This Row],[Weight v Cardio]]</f>
        <v>0.20757575757539826</v>
      </c>
      <c r="AS54" s="2">
        <f>Table7[[#This Row],[WC Res]]^2</f>
        <v>4.3087695133000509E-2</v>
      </c>
      <c r="AT54">
        <f>Regression!$Q$10+(Regression!$Q$9*Table83[[#This Row],[Calories]])</f>
        <v>255.75009475923005</v>
      </c>
      <c r="AU54" s="2">
        <f>Table83[[#This Row],[Weight]]-Table7[[#This Row],[Weight v Calories]]</f>
        <v>-1.3500947592300463</v>
      </c>
      <c r="AV54" s="2">
        <f>Table7[[#This Row],[WCAL Res]]^2</f>
        <v>1.8227558589004367</v>
      </c>
      <c r="AW54">
        <f>Regression!$R$10+(Regression!$R$9*Table83[[#This Row],[Carbs]])</f>
        <v>256.14205254261708</v>
      </c>
      <c r="AX54" s="2">
        <f>Table83[[#This Row],[Weight]]-Table7[[#This Row],[Weight v Carbs]]</f>
        <v>-1.7420525426170741</v>
      </c>
      <c r="AY54" s="2">
        <f>Table7[[#This Row],[Wcarb Res]]^2</f>
        <v>3.0347470612386127</v>
      </c>
      <c r="AZ54">
        <f>Regression!$S$10+(Regression!$S$9*Table83[[#This Row],[Fat ]])</f>
        <v>255.33405844455783</v>
      </c>
      <c r="BA54" s="2">
        <f>Table83[[#This Row],[Weight]]-Table7[[#This Row],[Weight v Fat]]</f>
        <v>-0.93405844455782017</v>
      </c>
      <c r="BB54" s="2">
        <f>Table7[[#This Row],[WF Res]]^2</f>
        <v>0.8724651778497744</v>
      </c>
      <c r="BC54">
        <f>Regression!$T$10+(Regression!$T$9*Table83[[#This Row],[Protein]])</f>
        <v>254.82387993010747</v>
      </c>
      <c r="BD54" s="2">
        <f>Table83[[#This Row],[Weight]]-Table7[[#This Row],[Weight v Protein]]</f>
        <v>-0.42387993010746072</v>
      </c>
      <c r="BE54" s="2">
        <f>Table7[[#This Row],[WP Res]]^2</f>
        <v>0.17967419514790578</v>
      </c>
      <c r="BF54">
        <f>Regression!$U$10+(Regression!$U$9*Table83[[#This Row],[Fiber]])</f>
        <v>254.92750159919248</v>
      </c>
      <c r="BG54" s="2">
        <f>Table83[[#This Row],[Weight]]-Table7[[#This Row],[Weight v Fiber]]</f>
        <v>-0.52750159919247608</v>
      </c>
      <c r="BH54" s="2">
        <f>Table7[[#This Row],[Wfib Res]]^2</f>
        <v>0.27825793715061969</v>
      </c>
      <c r="BI54">
        <f>Regression!$V$10+(Regression!$V$9*Table83[[#This Row],[Sugar]])</f>
        <v>256.68650509031255</v>
      </c>
      <c r="BJ54" s="2">
        <f>Table83[[#This Row],[Weight]]-Table7[[#This Row],[Weight v Sugar]]</f>
        <v>-2.286505090312545</v>
      </c>
      <c r="BK54" s="2">
        <f>Table7[[#This Row],[Wsugar Res]]^2</f>
        <v>5.2281055280251794</v>
      </c>
      <c r="BL54">
        <f>Regression!$W$10+(Regression!$W$9*Table83[[#This Row],[Servings]])</f>
        <v>256.81355797597826</v>
      </c>
      <c r="BM54" s="2">
        <f>Table83[[#This Row],[Weight]]-Table7[[#This Row],[Weight v Servings]]</f>
        <v>-2.4135579759782502</v>
      </c>
      <c r="BN54" s="2">
        <f>Table7[[#This Row],[Wserv Res]]^2</f>
        <v>5.8252621034082273</v>
      </c>
      <c r="BO54">
        <f>Regression!$X$10+(Regression!$X$9*Table83[[#This Row],[Water]])</f>
        <v>255.19189796045953</v>
      </c>
      <c r="BP54" s="2">
        <f>Table83[[#This Row],[Weight]]-Table7[[#This Row],[Weight v Water]]</f>
        <v>-0.79189796045952221</v>
      </c>
      <c r="BQ54" s="2">
        <f>Table7[[#This Row],[Wwater Res]]^2</f>
        <v>0.62710237977995098</v>
      </c>
      <c r="BR54">
        <f>Regression!$Y$10+(Regression!$Y$9*Table83[[#This Row],[Fat Calories]])</f>
        <v>255.34326884539922</v>
      </c>
      <c r="BS54" s="2">
        <f>Table83[[#This Row],[Weight]]-Table7[[#This Row],[Weight v Fat Calories]]</f>
        <v>-0.94326884539921707</v>
      </c>
      <c r="BT54" s="2">
        <f>Table7[[#This Row],[WFC Res]]^2</f>
        <v>0.88975611470077209</v>
      </c>
      <c r="BU54">
        <f>Regression!$B$29+(Regression!$B$28*Table83[[#This Row],[Weight]])</f>
        <v>44.356106098636658</v>
      </c>
      <c r="BV54" s="2">
        <f>Table83[[#This Row],[Waist]]-Table7[[#This Row],[Waist v Weight]]</f>
        <v>0.14389390136334157</v>
      </c>
      <c r="BW54" s="2">
        <f>Table7[[#This Row],[WaistW Res]]^2</f>
        <v>2.0705454849563074E-2</v>
      </c>
      <c r="BX54">
        <f>Regression!$C$29+(Regression!$C$28*Table83[[#This Row],[Neck]])</f>
        <v>45.258648648648581</v>
      </c>
      <c r="BY54" s="2">
        <f>Table83[[#This Row],[Waist]]-Table7[[#This Row],[Waist v Neck]]</f>
        <v>-0.75864864864858106</v>
      </c>
      <c r="BZ54" s="2">
        <f>Table7[[#This Row],[WaistN Res]]^2</f>
        <v>0.57554777209631824</v>
      </c>
      <c r="CA54">
        <f>Regression!$D$29+(Regression!$D$28*Table83[[#This Row],[Morning Body Temp]])</f>
        <v>44.515038370284842</v>
      </c>
      <c r="CB54" s="2">
        <f>Table83[[#This Row],[Waist]]-Table7[[#This Row],[Waist v Morning Temp]]</f>
        <v>-1.5038370284841562E-2</v>
      </c>
      <c r="CC54" s="2">
        <f>Table7[[#This Row],[WaistMT Res]]^2</f>
        <v>2.261525808240057E-4</v>
      </c>
      <c r="CD54">
        <f>Regression!$E$29+(Regression!$E$28*Table83[[#This Row],[Morning Systolic Pressure]])</f>
        <v>44.70405445321245</v>
      </c>
      <c r="CE54" s="2">
        <f>Table83[[#This Row],[Waist]]-Table7[[#This Row],[Waist v Morning Sys]]</f>
        <v>-0.20405445321244997</v>
      </c>
      <c r="CF54" s="2">
        <f>Table7[[#This Row],[WaistMS Res]]^2</f>
        <v>4.1638219875831932E-2</v>
      </c>
      <c r="CG54">
        <f>Regression!$F$29+(Regression!$F$28*Table83[[#This Row],[Morning Diastolic Pressure]])</f>
        <v>44.475359150819678</v>
      </c>
      <c r="CH54" s="2">
        <f>Table83[[#This Row],[Waist]]-Table7[[#This Row],[Waist v Morning Dia]]</f>
        <v>2.4640849180322277E-2</v>
      </c>
      <c r="CI54" s="2">
        <f>Table7[[#This Row],[WaistMD Res]]^2</f>
        <v>6.0717144832738909E-4</v>
      </c>
      <c r="CJ54">
        <f>Regression!$G$29+(Regression!$G$28*Table83[[#This Row],[Morning Pulse]])</f>
        <v>44.455415702653426</v>
      </c>
      <c r="CK54" s="2">
        <f>Table83[[#This Row],[Waist]]-Table7[[#This Row],[Waist v Morning Pulse]]</f>
        <v>4.4584297346574431E-2</v>
      </c>
      <c r="CL54" s="2">
        <f>Table7[[#This Row],[WaistMP Res]]^2</f>
        <v>1.9877595698877637E-3</v>
      </c>
      <c r="CM54">
        <f>Regression!$H$29+(Regression!$H$28*Table83[[#This Row],[Night Body Temp]])</f>
        <v>44.424663183244519</v>
      </c>
      <c r="CN54" s="2">
        <f>Table83[[#This Row],[Waist]]-Table7[[#This Row],[Waist v Night Temp]]</f>
        <v>7.5336816755481095E-2</v>
      </c>
      <c r="CO54" s="2">
        <f>Table7[[#This Row],[WaistNT Res]]^2</f>
        <v>5.6756359588489369E-3</v>
      </c>
      <c r="CP54">
        <f>Regression!$I$29+(Regression!$I$28*Table83[[#This Row],[Night Systolic Pressure]])</f>
        <v>44.369258629351535</v>
      </c>
      <c r="CQ54" s="2">
        <f>Table83[[#This Row],[Waist]]-Table7[[#This Row],[Waist v  Night Sys]]</f>
        <v>0.13074137064846525</v>
      </c>
      <c r="CR54" s="2">
        <f>Table7[[#This Row],[WaistNS Res]]^2</f>
        <v>1.7093305999039372E-2</v>
      </c>
      <c r="CS54">
        <f>Regression!$J$29+(Regression!$J$28*Table83[[#This Row],[Night Diastolic Pressure]])</f>
        <v>44.341616394701639</v>
      </c>
      <c r="CT54" s="2">
        <f>Table83[[#This Row],[Waist]]-Table7[[#This Row],[Waist v Night Dia]]</f>
        <v>0.15838360529836137</v>
      </c>
      <c r="CU54" s="2">
        <f>Table7[[#This Row],[WaistND Res]]^2</f>
        <v>2.5085366427307125E-2</v>
      </c>
      <c r="CV54">
        <f>Regression!$K$29+(Regression!$K$28*Table83[[#This Row],[Night Pulse]])</f>
        <v>44.476848850431054</v>
      </c>
      <c r="CW54" s="2">
        <f>Table83[[#This Row],[Waist]]-Table7[[#This Row],[Waist v Night Pulse]]</f>
        <v>2.3151149568946039E-2</v>
      </c>
      <c r="CX54" s="2">
        <f>Table7[[#This Row],[WaistNP Res]]^2</f>
        <v>5.3597572636371034E-4</v>
      </c>
      <c r="CY54">
        <f>Regression!$L$29+(Regression!$L$28*Table83[[#This Row],[Sleep]])</f>
        <v>44.577139272847241</v>
      </c>
      <c r="CZ54" s="2">
        <f>Table83[[#This Row],[Waist]]-Table7[[#This Row],[Waist v  Sleep]]</f>
        <v>-7.7139272847240647E-2</v>
      </c>
      <c r="DA54" s="2">
        <f>Table7[[#This Row],[WaistS Res]]^2</f>
        <v>5.9504674154010383E-3</v>
      </c>
      <c r="DB54">
        <f>Regression!$M$29+(Regression!$M$28*Table83[[#This Row],[BMI]])</f>
        <v>44.356106098636971</v>
      </c>
      <c r="DC54" s="2">
        <f>Table83[[#This Row],[Waist]]-Table7[[#This Row],[Waist v BMI]]</f>
        <v>0.14389390136302893</v>
      </c>
      <c r="DD54" s="2">
        <f>Table7[[#This Row],[WaistBMI Res]]^2</f>
        <v>2.0705454849473098E-2</v>
      </c>
      <c r="DE54">
        <f>Regression!$N$29+(Regression!$N$28*Table83[[#This Row],[CBF]])</f>
        <v>44.105031770433015</v>
      </c>
      <c r="DF54" s="2">
        <f>Table83[[#This Row],[Waist]]-Table7[[#This Row],[Waist v  CBF]]</f>
        <v>0.39496822956698452</v>
      </c>
      <c r="DG54" s="2">
        <f>Table7[[#This Row],[WaistCBF Res]]^2</f>
        <v>0.15599990236727818</v>
      </c>
      <c r="DH54">
        <f>Regression!$O$29+(Regression!$O$28*Table83[[#This Row],[Gym]])</f>
        <v>44.550847457627107</v>
      </c>
      <c r="DI54" s="2">
        <f>Table83[[#This Row],[Waist]]-Table7[[#This Row],[Waist v  Gym]]</f>
        <v>-5.0847457627106962E-2</v>
      </c>
      <c r="DJ54" s="2">
        <f>Table7[[#This Row],[WaistGYM Res]]^2</f>
        <v>2.5854639471404378E-3</v>
      </c>
      <c r="DK54">
        <f>Regression!$P$29+(Regression!$P$28*Table83[[#This Row],[Cardio]])</f>
        <v>44.291666666666664</v>
      </c>
      <c r="DL54" s="2">
        <f>Table83[[#This Row],[Waist]]-Table7[[#This Row],[Waist v Cardio]]</f>
        <v>0.2083333333333357</v>
      </c>
      <c r="DM54" s="2">
        <f>Table7[[#This Row],[WaistC Res]]^2</f>
        <v>4.3402777777778762E-2</v>
      </c>
      <c r="DN54">
        <f>Regression!$Q$29+(Regression!$Q$28*Table83[[#This Row],[Calories]])</f>
        <v>44.596221587723669</v>
      </c>
      <c r="DO54" s="2">
        <f>Table83[[#This Row],[Waist]]-Table7[[#This Row],[Waist v Calories]]</f>
        <v>-9.6221587723668733E-2</v>
      </c>
      <c r="DP54" s="2">
        <f>Table7[[#This Row],[WaistCal Res]]^2</f>
        <v>9.2585939440636769E-3</v>
      </c>
      <c r="DQ54">
        <f>Regression!$R$29+(Regression!$R$28*Table83[[#This Row],[Carbs]])</f>
        <v>44.667356660840305</v>
      </c>
      <c r="DR54" s="2">
        <f>Table83[[#This Row],[Waist]]-Table7[[#This Row],[Waist v Carbs]]</f>
        <v>-0.16735666084030498</v>
      </c>
      <c r="DS54" s="2">
        <f>Table7[[#This Row],[WaistCarb Res]]^2</f>
        <v>2.800825192761687E-2</v>
      </c>
      <c r="DT54">
        <f>Regression!$S$29+(Regression!$S$28*Table83[[#This Row],[Fat ]])</f>
        <v>44.520487828027463</v>
      </c>
      <c r="DU54" s="2">
        <f>Table83[[#This Row],[Waist]]-Table7[[#This Row],[Waist v Fat]]</f>
        <v>-2.048782802746274E-2</v>
      </c>
      <c r="DV54" s="2">
        <f>Table7[[#This Row],[WaistF Res]]^2</f>
        <v>4.197510972828878E-4</v>
      </c>
      <c r="DW54">
        <f>Regression!$T$29+(Regression!$T$28*Table83[[#This Row],[Protein]])</f>
        <v>44.400245937152086</v>
      </c>
      <c r="DX54" s="2">
        <f>Table83[[#This Row],[Waist]]-Table7[[#This Row],[Waist v Protein]]</f>
        <v>9.9754062847914327E-2</v>
      </c>
      <c r="DY54" s="2">
        <f>Table7[[#This Row],[WaistP Res]]^2</f>
        <v>9.9508730546656408E-3</v>
      </c>
      <c r="DZ54">
        <f>Regression!$U$29+(Regression!$U$28*Table83[[#This Row],[Fiber]])</f>
        <v>44.381174625549136</v>
      </c>
      <c r="EA54" s="2">
        <f>Table83[[#This Row],[Waist]]-Table7[[#This Row],[Waist v Fiber]]</f>
        <v>0.11882537445086427</v>
      </c>
      <c r="EB54" s="2">
        <f>Table7[[#This Row],[WaistFib Res]]^2</f>
        <v>1.4119469613388108E-2</v>
      </c>
      <c r="EC54">
        <f>Regression!$V$29+(Regression!$V$28*Table83[[#This Row],[Sugar]])</f>
        <v>44.735835236823334</v>
      </c>
      <c r="ED54" s="2">
        <f>Table83[[#This Row],[Waist]]-Table7[[#This Row],[Waist v Sugar]]</f>
        <v>-0.23583523682333407</v>
      </c>
      <c r="EE54" s="2">
        <f>Table7[[#This Row],[WaistSugar Res]]^2</f>
        <v>5.5618258927518066E-2</v>
      </c>
      <c r="EF54">
        <f>Regression!$W$29+(Regression!$W$28*Table83[[#This Row],[Servings]])</f>
        <v>44.712704720699875</v>
      </c>
      <c r="EG54" s="2">
        <f>Table83[[#This Row],[Waist]]-Table7[[#This Row],[Waist v Servings]]</f>
        <v>-0.21270472069987534</v>
      </c>
      <c r="EH54" s="2">
        <f>Table7[[#This Row],[WaistServ Res]]^2</f>
        <v>4.5243298208011977E-2</v>
      </c>
      <c r="EI54">
        <f>Regression!$X$29+(Regression!$X$28*Table83[[#This Row],[Water]])</f>
        <v>44.553850107074496</v>
      </c>
      <c r="EJ54" s="2">
        <f>Table83[[#This Row],[Waist]]-Table7[[#This Row],[Waist v Water]]</f>
        <v>-5.3850107074495668E-2</v>
      </c>
      <c r="EK54" s="2">
        <f>Table7[[#This Row],[WaistWat Res]]^2</f>
        <v>2.8998340319346485E-3</v>
      </c>
      <c r="EL54">
        <f>Regression!$Y$29+(Regression!$Y$28*Table83[[#This Row],[Fat Calories]])</f>
        <v>44.522949488627589</v>
      </c>
      <c r="EM54" s="2">
        <f>Table83[[#This Row],[Waist]]-Table7[[#This Row],[Waist v Fat Calories]]</f>
        <v>-2.2949488627588721E-2</v>
      </c>
      <c r="EN54" s="2">
        <f>Table7[[#This Row],[WaistFatCal Res]]^2</f>
        <v>5.2667902826782401E-4</v>
      </c>
    </row>
    <row r="55" spans="1:144" x14ac:dyDescent="0.25">
      <c r="A55">
        <f>Regression!$B$10+(Regression!$B$9*Table83[[#This Row],[Waist]])</f>
        <v>255.38023686459636</v>
      </c>
      <c r="B55" s="2">
        <f>Table83[[#This Row],[Weight]]-Table7[[#This Row],[Weight v Waist]]</f>
        <v>-2.580236864596344</v>
      </c>
      <c r="C55" s="2">
        <f>Table7[[#This Row],[Weight v Waist Res]]^2</f>
        <v>6.6576222774219724</v>
      </c>
      <c r="D55">
        <f>Regression!$C$10+(Regression!$C$9*Table83[[#This Row],[Neck]])</f>
        <v>260.39308108104251</v>
      </c>
      <c r="E55" s="2">
        <f>Table83[[#This Row],[Weight]]-Table7[[#This Row],[Weight v Neck]]</f>
        <v>-7.5930810810424987</v>
      </c>
      <c r="F55" s="2">
        <f>Table7[[#This Row],[WN Res]]^2</f>
        <v>57.654880303285523</v>
      </c>
      <c r="G55">
        <f>Regression!$D$10+(Regression!$D$9*Table83[[#This Row],[Morning Body Temp]])</f>
        <v>254.7075736779725</v>
      </c>
      <c r="H55" s="2">
        <f>Table83[[#This Row],[Weight]]-Table7[[#This Row],[Weight v Morning Temp]]</f>
        <v>-1.9075736779724934</v>
      </c>
      <c r="I55" s="2">
        <f>Table7[[#This Row],[WMT Res]]^2</f>
        <v>3.6388373368935061</v>
      </c>
      <c r="J55">
        <f>Regression!$E$10+(Regression!$E$9*Table83[[#This Row],[Morning Systolic Pressure]])</f>
        <v>254.6487145901215</v>
      </c>
      <c r="K55" s="2">
        <f>Table83[[#This Row],[Weight]]-Table7[[#This Row],[Weight v Morning Sys]]</f>
        <v>-1.8487145901214888</v>
      </c>
      <c r="L55" s="2">
        <f>Table7[[#This Row],[WMS Res]]^2</f>
        <v>3.417745635728064</v>
      </c>
      <c r="M55">
        <f>Regression!$F$10+(Regression!$F$9*Table83[[#This Row],[Morning Diastolic Pressure]])</f>
        <v>255.00069564820177</v>
      </c>
      <c r="N55" s="2">
        <f>Table83[[#This Row],[Weight]]-Table7[[#This Row],[Weight v Morning Dia]]</f>
        <v>-2.2006956482017586</v>
      </c>
      <c r="O55" s="2">
        <f>Table7[[#This Row],[WMD Res]]^2</f>
        <v>4.8430613360141583</v>
      </c>
      <c r="P55">
        <f>Regression!$G$10+(Regression!$G$9*Table83[[#This Row],[Morning Pulse]])</f>
        <v>255.12826746045599</v>
      </c>
      <c r="Q55" s="2">
        <f>Table83[[#This Row],[Weight]]-Table7[[#This Row],[Weight v Morning Pulse]]</f>
        <v>-2.3282674604559759</v>
      </c>
      <c r="R55" s="2">
        <f>Table7[[#This Row],[WMP Res]]^2</f>
        <v>5.4208293674181194</v>
      </c>
      <c r="S55">
        <f>Regression!$H$10+(Regression!$H$9*Table83[[#This Row],[Night Body Temp]])</f>
        <v>253.61912783174486</v>
      </c>
      <c r="T55" s="2">
        <f>Table83[[#This Row],[Weight]]-Table7[[#This Row],[Weight v Night Temp]]</f>
        <v>-0.81912783174485071</v>
      </c>
      <c r="U55" s="2">
        <f>Table7[[#This Row],[WNT Res]]^2</f>
        <v>0.67097040473902048</v>
      </c>
      <c r="V55">
        <f>Regression!$I$10+(Regression!$I$9*Table83[[#This Row],[Night Systolic Pressure]])</f>
        <v>255.23858139316721</v>
      </c>
      <c r="W55" s="2">
        <f>Table83[[#This Row],[Weight]]-Table7[[#This Row],[Weight v Night Sys]]</f>
        <v>-2.4385813931671976</v>
      </c>
      <c r="X55" s="2">
        <f>Table7[[#This Row],[WNS Res]]^2</f>
        <v>5.9466792111012703</v>
      </c>
      <c r="Y55">
        <f>Regression!$J$10+(Regression!$J$9*Table83[[#This Row],[Night Diastolic Pressure]])</f>
        <v>254.9292529005817</v>
      </c>
      <c r="Z55" s="2">
        <f>Table83[[#This Row],[Weight]]-Table7[[#This Row],[Weight v Night Dia]]</f>
        <v>-2.1292529005816903</v>
      </c>
      <c r="AA55" s="2">
        <f>Table7[[#This Row],[WND Res]]^2</f>
        <v>4.5337179146355417</v>
      </c>
      <c r="AB55">
        <f>Regression!$K$10+(Regression!$K$9*Table83[[#This Row],[Night Pulse]])</f>
        <v>254.80301854637398</v>
      </c>
      <c r="AC55" s="2">
        <f>Table83[[#This Row],[Weight]]-Table7[[#This Row],[Weight v Night Pulse]]</f>
        <v>-2.0030185463739656</v>
      </c>
      <c r="AD55" s="2">
        <f>Table7[[#This Row],[WNP Res ]]^2</f>
        <v>4.0120832971180738</v>
      </c>
      <c r="AE55">
        <f>Regression!$L$10+(Regression!$L$9*Table83[[#This Row],[Sleep]])</f>
        <v>254.42721281479024</v>
      </c>
      <c r="AF55" s="2">
        <f>Table83[[#This Row],[Weight]]-Table7[[#This Row],[Weight v Sleep]]</f>
        <v>-1.6272128147902265</v>
      </c>
      <c r="AG55" s="2">
        <f>Table7[[#This Row],[WS Res]]^2</f>
        <v>2.6478215446175319</v>
      </c>
      <c r="AH55">
        <f>Regression!$M$10+(Regression!$M$9*Table83[[#This Row],[BMI]])</f>
        <v>252.80000000000521</v>
      </c>
      <c r="AI55" s="2">
        <f>Table83[[#This Row],[Weight]]-Table7[[#This Row],[Weight v BMI]]</f>
        <v>-5.2011728257639334E-12</v>
      </c>
      <c r="AJ55" s="2">
        <f>Table7[[#This Row],[WBMI Res]]^2</f>
        <v>2.7052198763465179E-23</v>
      </c>
      <c r="AK55">
        <f>Regression!$N$10+(Regression!$N$9*Table83[[#This Row],[CBF]])</f>
        <v>253.17965033701802</v>
      </c>
      <c r="AL55" s="2">
        <f>Table83[[#This Row],[Weight]]-Table7[[#This Row],[Weight v CBF]]</f>
        <v>-0.37965033701800621</v>
      </c>
      <c r="AM55" s="2">
        <f>Table7[[#This Row],[WCBF Res]]^2</f>
        <v>0.1441343783978857</v>
      </c>
      <c r="AN55">
        <f>Regression!$O$10+(Regression!$O$9*Table83[[#This Row],[Gym]])</f>
        <v>255.46779661016953</v>
      </c>
      <c r="AO55" s="2">
        <f>Table83[[#This Row],[Weight]]-Table7[[#This Row],[Weight v Gym]]</f>
        <v>-2.6677966101695176</v>
      </c>
      <c r="AP55" s="2">
        <f>Table7[[#This Row],[WG Res]]^2</f>
        <v>7.117138753231969</v>
      </c>
      <c r="AQ55">
        <f>Regression!$P$10+(Regression!$P$9*Table83[[#This Row],[Cardio]])</f>
        <v>254.19242424242461</v>
      </c>
      <c r="AR55" s="2">
        <f>Table83[[#This Row],[Weight]]-Table7[[#This Row],[Weight v Cardio]]</f>
        <v>-1.3924242424245961</v>
      </c>
      <c r="AS55" s="2">
        <f>Table7[[#This Row],[WC Res]]^2</f>
        <v>1.9388452708917103</v>
      </c>
      <c r="AT55">
        <f>Regression!$Q$10+(Regression!$Q$9*Table83[[#This Row],[Calories]])</f>
        <v>255.56773401342875</v>
      </c>
      <c r="AU55" s="2">
        <f>Table83[[#This Row],[Weight]]-Table7[[#This Row],[Weight v Calories]]</f>
        <v>-2.7677340134287363</v>
      </c>
      <c r="AV55" s="2">
        <f>Table7[[#This Row],[WCAL Res]]^2</f>
        <v>7.6603515690903397</v>
      </c>
      <c r="AW55">
        <f>Regression!$R$10+(Regression!$R$9*Table83[[#This Row],[Carbs]])</f>
        <v>255.89122572718065</v>
      </c>
      <c r="AX55" s="2">
        <f>Table83[[#This Row],[Weight]]-Table7[[#This Row],[Weight v Carbs]]</f>
        <v>-3.0912257271806425</v>
      </c>
      <c r="AY55" s="2">
        <f>Table7[[#This Row],[Wcarb Res]]^2</f>
        <v>9.5556764963834926</v>
      </c>
      <c r="AZ55">
        <f>Regression!$S$10+(Regression!$S$9*Table83[[#This Row],[Fat ]])</f>
        <v>255.17455462027695</v>
      </c>
      <c r="BA55" s="2">
        <f>Table83[[#This Row],[Weight]]-Table7[[#This Row],[Weight v Fat]]</f>
        <v>-2.374554620276939</v>
      </c>
      <c r="BB55" s="2">
        <f>Table7[[#This Row],[WF Res]]^2</f>
        <v>5.6385096446785576</v>
      </c>
      <c r="BC55">
        <f>Regression!$T$10+(Regression!$T$9*Table83[[#This Row],[Protein]])</f>
        <v>254.69987136648791</v>
      </c>
      <c r="BD55" s="2">
        <f>Table83[[#This Row],[Weight]]-Table7[[#This Row],[Weight v Protein]]</f>
        <v>-1.8998713664879006</v>
      </c>
      <c r="BE55" s="2">
        <f>Table7[[#This Row],[WP Res]]^2</f>
        <v>3.6095112092006025</v>
      </c>
      <c r="BF55">
        <f>Regression!$U$10+(Regression!$U$9*Table83[[#This Row],[Fiber]])</f>
        <v>255.41446070149351</v>
      </c>
      <c r="BG55" s="2">
        <f>Table83[[#This Row],[Weight]]-Table7[[#This Row],[Weight v Fiber]]</f>
        <v>-2.6144607014934991</v>
      </c>
      <c r="BH55" s="2">
        <f>Table7[[#This Row],[Wfib Res]]^2</f>
        <v>6.8354047596538789</v>
      </c>
      <c r="BI55">
        <f>Regression!$V$10+(Regression!$V$9*Table83[[#This Row],[Sugar]])</f>
        <v>256.574881945458</v>
      </c>
      <c r="BJ55" s="2">
        <f>Table83[[#This Row],[Weight]]-Table7[[#This Row],[Weight v Sugar]]</f>
        <v>-3.7748819454579916</v>
      </c>
      <c r="BK55" s="2">
        <f>Table7[[#This Row],[Wsugar Res]]^2</f>
        <v>14.249733702144711</v>
      </c>
      <c r="BL55">
        <f>Regression!$W$10+(Regression!$W$9*Table83[[#This Row],[Servings]])</f>
        <v>256.12168756511062</v>
      </c>
      <c r="BM55" s="2">
        <f>Table83[[#This Row],[Weight]]-Table7[[#This Row],[Weight v Servings]]</f>
        <v>-3.3216875651106079</v>
      </c>
      <c r="BN55" s="2">
        <f>Table7[[#This Row],[Wserv Res]]^2</f>
        <v>11.033608280210439</v>
      </c>
      <c r="BO55">
        <f>Regression!$X$10+(Regression!$X$9*Table83[[#This Row],[Water]])</f>
        <v>255.19189796045953</v>
      </c>
      <c r="BP55" s="2">
        <f>Table83[[#This Row],[Weight]]-Table7[[#This Row],[Weight v Water]]</f>
        <v>-2.3918979604595165</v>
      </c>
      <c r="BQ55" s="2">
        <f>Table7[[#This Row],[Wwater Res]]^2</f>
        <v>5.7211758532503945</v>
      </c>
      <c r="BR55">
        <f>Regression!$Y$10+(Regression!$Y$9*Table83[[#This Row],[Fat Calories]])</f>
        <v>255.1735166502007</v>
      </c>
      <c r="BS55" s="2">
        <f>Table83[[#This Row],[Weight]]-Table7[[#This Row],[Weight v Fat Calories]]</f>
        <v>-2.3735166502006848</v>
      </c>
      <c r="BT55" s="2">
        <f>Table7[[#This Row],[WFC Res]]^2</f>
        <v>5.6335812887798804</v>
      </c>
      <c r="BU55">
        <f>Regression!$B$29+(Regression!$B$28*Table83[[#This Row],[Weight]])</f>
        <v>44.138086081724687</v>
      </c>
      <c r="BV55" s="2">
        <f>Table83[[#This Row],[Waist]]-Table7[[#This Row],[Waist v Weight]]</f>
        <v>0.36191391827531305</v>
      </c>
      <c r="BW55" s="2">
        <f>Table7[[#This Row],[WaistW Res]]^2</f>
        <v>0.13098168424138998</v>
      </c>
      <c r="BX55">
        <f>Regression!$C$29+(Regression!$C$28*Table83[[#This Row],[Neck]])</f>
        <v>45.258648648648581</v>
      </c>
      <c r="BY55" s="2">
        <f>Table83[[#This Row],[Waist]]-Table7[[#This Row],[Waist v Neck]]</f>
        <v>-0.75864864864858106</v>
      </c>
      <c r="BZ55" s="2">
        <f>Table7[[#This Row],[WaistN Res]]^2</f>
        <v>0.57554777209631824</v>
      </c>
      <c r="CA55">
        <f>Regression!$D$29+(Regression!$D$28*Table83[[#This Row],[Morning Body Temp]])</f>
        <v>44.342717051701939</v>
      </c>
      <c r="CB55" s="2">
        <f>Table83[[#This Row],[Waist]]-Table7[[#This Row],[Waist v Morning Temp]]</f>
        <v>0.15728294829806089</v>
      </c>
      <c r="CC55" s="2">
        <f>Table7[[#This Row],[WaistMT Res]]^2</f>
        <v>2.4737925825330496E-2</v>
      </c>
      <c r="CD55">
        <f>Regression!$E$29+(Regression!$E$28*Table83[[#This Row],[Morning Systolic Pressure]])</f>
        <v>44.343980674969934</v>
      </c>
      <c r="CE55" s="2">
        <f>Table83[[#This Row],[Waist]]-Table7[[#This Row],[Waist v Morning Sys]]</f>
        <v>0.15601932503006566</v>
      </c>
      <c r="CF55" s="2">
        <f>Table7[[#This Row],[WaistMS Res]]^2</f>
        <v>2.4342029782837272E-2</v>
      </c>
      <c r="CG55">
        <f>Regression!$F$29+(Regression!$F$28*Table83[[#This Row],[Morning Diastolic Pressure]])</f>
        <v>44.447181047475404</v>
      </c>
      <c r="CH55" s="2">
        <f>Table83[[#This Row],[Waist]]-Table7[[#This Row],[Waist v Morning Dia]]</f>
        <v>5.2818952524596341E-2</v>
      </c>
      <c r="CI55" s="2">
        <f>Table7[[#This Row],[WaistMD Res]]^2</f>
        <v>2.789841745795562E-3</v>
      </c>
      <c r="CJ55">
        <f>Regression!$G$29+(Regression!$G$28*Table83[[#This Row],[Morning Pulse]])</f>
        <v>44.459613215521493</v>
      </c>
      <c r="CK55" s="2">
        <f>Table83[[#This Row],[Waist]]-Table7[[#This Row],[Waist v Morning Pulse]]</f>
        <v>4.0386784478506854E-2</v>
      </c>
      <c r="CL55" s="2">
        <f>Table7[[#This Row],[WaistMP Res]]^2</f>
        <v>1.6310923605133622E-3</v>
      </c>
      <c r="CM55">
        <f>Regression!$H$29+(Regression!$H$28*Table83[[#This Row],[Night Body Temp]])</f>
        <v>44.335597021390775</v>
      </c>
      <c r="CN55" s="2">
        <f>Table83[[#This Row],[Waist]]-Table7[[#This Row],[Waist v Night Temp]]</f>
        <v>0.1644029786092247</v>
      </c>
      <c r="CO55" s="2">
        <f>Table7[[#This Row],[WaistNT Res]]^2</f>
        <v>2.7028339375585197E-2</v>
      </c>
      <c r="CP55">
        <f>Regression!$I$29+(Regression!$I$28*Table83[[#This Row],[Night Systolic Pressure]])</f>
        <v>44.471039429630828</v>
      </c>
      <c r="CQ55" s="2">
        <f>Table83[[#This Row],[Waist]]-Table7[[#This Row],[Waist v  Night Sys]]</f>
        <v>2.896057036917199E-2</v>
      </c>
      <c r="CR55" s="2">
        <f>Table7[[#This Row],[WaistNS Res]]^2</f>
        <v>8.3871463610776266E-4</v>
      </c>
      <c r="CS55">
        <f>Regression!$J$29+(Regression!$J$28*Table83[[#This Row],[Night Diastolic Pressure]])</f>
        <v>44.375752285116519</v>
      </c>
      <c r="CT55" s="2">
        <f>Table83[[#This Row],[Waist]]-Table7[[#This Row],[Waist v Night Dia]]</f>
        <v>0.12424771488348085</v>
      </c>
      <c r="CU55" s="2">
        <f>Table7[[#This Row],[WaistND Res]]^2</f>
        <v>1.543749465376675E-2</v>
      </c>
      <c r="CV55">
        <f>Regression!$K$29+(Regression!$K$28*Table83[[#This Row],[Night Pulse]])</f>
        <v>44.482562343052983</v>
      </c>
      <c r="CW55" s="2">
        <f>Table83[[#This Row],[Waist]]-Table7[[#This Row],[Waist v Night Pulse]]</f>
        <v>1.7437656947016933E-2</v>
      </c>
      <c r="CX55" s="2">
        <f>Table7[[#This Row],[WaistNP Res]]^2</f>
        <v>3.0407187980184791E-4</v>
      </c>
      <c r="CY55">
        <f>Regression!$L$29+(Regression!$L$28*Table83[[#This Row],[Sleep]])</f>
        <v>44.348669174867879</v>
      </c>
      <c r="CZ55" s="2">
        <f>Table83[[#This Row],[Waist]]-Table7[[#This Row],[Waist v  Sleep]]</f>
        <v>0.15133082513212059</v>
      </c>
      <c r="DA55" s="2">
        <f>Table7[[#This Row],[WaistS Res]]^2</f>
        <v>2.2901018635168462E-2</v>
      </c>
      <c r="DB55">
        <f>Regression!$M$29+(Regression!$M$28*Table83[[#This Row],[BMI]])</f>
        <v>44.138086081725689</v>
      </c>
      <c r="DC55" s="2">
        <f>Table83[[#This Row],[Waist]]-Table7[[#This Row],[Waist v BMI]]</f>
        <v>0.36191391827431119</v>
      </c>
      <c r="DD55" s="2">
        <f>Table7[[#This Row],[WaistBMI Res]]^2</f>
        <v>0.13098168424066481</v>
      </c>
      <c r="DE55">
        <f>Regression!$N$29+(Regression!$N$28*Table83[[#This Row],[CBF]])</f>
        <v>44.105031770433015</v>
      </c>
      <c r="DF55" s="2">
        <f>Table83[[#This Row],[Waist]]-Table7[[#This Row],[Waist v  CBF]]</f>
        <v>0.39496822956698452</v>
      </c>
      <c r="DG55" s="2">
        <f>Table7[[#This Row],[WaistCBF Res]]^2</f>
        <v>0.15599990236727818</v>
      </c>
      <c r="DH55">
        <f>Regression!$O$29+(Regression!$O$28*Table83[[#This Row],[Gym]])</f>
        <v>44.550847457627107</v>
      </c>
      <c r="DI55" s="2">
        <f>Table83[[#This Row],[Waist]]-Table7[[#This Row],[Waist v  Gym]]</f>
        <v>-5.0847457627106962E-2</v>
      </c>
      <c r="DJ55" s="2">
        <f>Table7[[#This Row],[WaistGYM Res]]^2</f>
        <v>2.5854639471404378E-3</v>
      </c>
      <c r="DK55">
        <f>Regression!$P$29+(Regression!$P$28*Table83[[#This Row],[Cardio]])</f>
        <v>44.291666666666664</v>
      </c>
      <c r="DL55" s="2">
        <f>Table83[[#This Row],[Waist]]-Table7[[#This Row],[Waist v Cardio]]</f>
        <v>0.2083333333333357</v>
      </c>
      <c r="DM55" s="2">
        <f>Table7[[#This Row],[WaistC Res]]^2</f>
        <v>4.3402777777778762E-2</v>
      </c>
      <c r="DN55">
        <f>Regression!$Q$29+(Regression!$Q$28*Table83[[#This Row],[Calories]])</f>
        <v>44.555249172841982</v>
      </c>
      <c r="DO55" s="2">
        <f>Table83[[#This Row],[Waist]]-Table7[[#This Row],[Waist v Calories]]</f>
        <v>-5.5249172841982386E-2</v>
      </c>
      <c r="DP55" s="2">
        <f>Table7[[#This Row],[WaistCal Res]]^2</f>
        <v>3.0524710997232442E-3</v>
      </c>
      <c r="DQ55">
        <f>Regression!$R$29+(Regression!$R$28*Table83[[#This Row],[Carbs]])</f>
        <v>44.615136053869584</v>
      </c>
      <c r="DR55" s="2">
        <f>Table83[[#This Row],[Waist]]-Table7[[#This Row],[Waist v Carbs]]</f>
        <v>-0.11513605386958403</v>
      </c>
      <c r="DS55" s="2">
        <f>Table7[[#This Row],[WaistCarb Res]]^2</f>
        <v>1.3256310900659755E-2</v>
      </c>
      <c r="DT55">
        <f>Regression!$S$29+(Regression!$S$28*Table83[[#This Row],[Fat ]])</f>
        <v>44.471730884478013</v>
      </c>
      <c r="DU55" s="2">
        <f>Table83[[#This Row],[Waist]]-Table7[[#This Row],[Waist v Fat]]</f>
        <v>2.8269115521986521E-2</v>
      </c>
      <c r="DV55" s="2">
        <f>Table7[[#This Row],[WaistF Res]]^2</f>
        <v>7.9914289239541925E-4</v>
      </c>
      <c r="DW55">
        <f>Regression!$T$29+(Regression!$T$28*Table83[[#This Row],[Protein]])</f>
        <v>44.377547763531588</v>
      </c>
      <c r="DX55" s="2">
        <f>Table83[[#This Row],[Waist]]-Table7[[#This Row],[Waist v Protein]]</f>
        <v>0.12245223646841197</v>
      </c>
      <c r="DY55" s="2">
        <f>Table7[[#This Row],[WaistP Res]]^2</f>
        <v>1.4994550216115883E-2</v>
      </c>
      <c r="DZ55">
        <f>Regression!$U$29+(Regression!$U$28*Table83[[#This Row],[Fiber]])</f>
        <v>44.569072641583105</v>
      </c>
      <c r="EA55" s="2">
        <f>Table83[[#This Row],[Waist]]-Table7[[#This Row],[Waist v Fiber]]</f>
        <v>-6.907264158310511E-2</v>
      </c>
      <c r="EB55" s="2">
        <f>Table7[[#This Row],[WaistFib Res]]^2</f>
        <v>4.7710298152681008E-3</v>
      </c>
      <c r="EC55">
        <f>Regression!$V$29+(Regression!$V$28*Table83[[#This Row],[Sugar]])</f>
        <v>44.715783383786153</v>
      </c>
      <c r="ED55" s="2">
        <f>Table83[[#This Row],[Waist]]-Table7[[#This Row],[Waist v Sugar]]</f>
        <v>-0.21578338378615314</v>
      </c>
      <c r="EE55" s="2">
        <f>Table7[[#This Row],[WaistSugar Res]]^2</f>
        <v>4.6562468718202257E-2</v>
      </c>
      <c r="EF55">
        <f>Regression!$W$29+(Regression!$W$28*Table83[[#This Row],[Servings]])</f>
        <v>44.607136822559305</v>
      </c>
      <c r="EG55" s="2">
        <f>Table83[[#This Row],[Waist]]-Table7[[#This Row],[Waist v Servings]]</f>
        <v>-0.10713682255930479</v>
      </c>
      <c r="EH55" s="2">
        <f>Table7[[#This Row],[WaistServ Res]]^2</f>
        <v>1.147829874810396E-2</v>
      </c>
      <c r="EI55">
        <f>Regression!$X$29+(Regression!$X$28*Table83[[#This Row],[Water]])</f>
        <v>44.553850107074496</v>
      </c>
      <c r="EJ55" s="2">
        <f>Table83[[#This Row],[Waist]]-Table7[[#This Row],[Waist v Water]]</f>
        <v>-5.3850107074495668E-2</v>
      </c>
      <c r="EK55" s="2">
        <f>Table7[[#This Row],[WaistWat Res]]^2</f>
        <v>2.8998340319346485E-3</v>
      </c>
      <c r="EL55">
        <f>Regression!$Y$29+(Regression!$Y$28*Table83[[#This Row],[Fat Calories]])</f>
        <v>44.471322962696163</v>
      </c>
      <c r="EM55" s="2">
        <f>Table83[[#This Row],[Waist]]-Table7[[#This Row],[Waist v Fat Calories]]</f>
        <v>2.8677037303836528E-2</v>
      </c>
      <c r="EN55" s="2">
        <f>Table7[[#This Row],[WaistFatCal Res]]^2</f>
        <v>8.2237246852563185E-4</v>
      </c>
    </row>
    <row r="56" spans="1:144" x14ac:dyDescent="0.25">
      <c r="A56">
        <f>Regression!$B$10+(Regression!$B$9*Table83[[#This Row],[Waist]])</f>
        <v>252.52625917894264</v>
      </c>
      <c r="B56" s="2">
        <f>Table83[[#This Row],[Weight]]-Table7[[#This Row],[Weight v Waist]]</f>
        <v>0.67374082105735056</v>
      </c>
      <c r="C56" s="2">
        <f>Table7[[#This Row],[Weight v Waist Res]]^2</f>
        <v>0.45392669395903285</v>
      </c>
      <c r="D56">
        <f>Regression!$C$10+(Regression!$C$9*Table83[[#This Row],[Neck]])</f>
        <v>260.39308108104251</v>
      </c>
      <c r="E56" s="2">
        <f>Table83[[#This Row],[Weight]]-Table7[[#This Row],[Weight v Neck]]</f>
        <v>-7.1930810810425214</v>
      </c>
      <c r="F56" s="2">
        <f>Table7[[#This Row],[WN Res]]^2</f>
        <v>51.740415438451848</v>
      </c>
      <c r="G56">
        <f>Regression!$D$10+(Regression!$D$9*Table83[[#This Row],[Morning Body Temp]])</f>
        <v>255.83395054553034</v>
      </c>
      <c r="H56" s="2">
        <f>Table83[[#This Row],[Weight]]-Table7[[#This Row],[Weight v Morning Temp]]</f>
        <v>-2.6339505455303538</v>
      </c>
      <c r="I56" s="2">
        <f>Table7[[#This Row],[WMT Res]]^2</f>
        <v>6.9376954762996483</v>
      </c>
      <c r="J56">
        <f>Regression!$E$10+(Regression!$E$9*Table83[[#This Row],[Morning Systolic Pressure]])</f>
        <v>255.27979544420887</v>
      </c>
      <c r="K56" s="2">
        <f>Table83[[#This Row],[Weight]]-Table7[[#This Row],[Weight v Morning Sys]]</f>
        <v>-2.0797954442088837</v>
      </c>
      <c r="L56" s="2">
        <f>Table7[[#This Row],[WMS Res]]^2</f>
        <v>4.3255490897520277</v>
      </c>
      <c r="M56">
        <f>Regression!$F$10+(Regression!$F$9*Table83[[#This Row],[Morning Diastolic Pressure]])</f>
        <v>254.59531865202226</v>
      </c>
      <c r="N56" s="2">
        <f>Table83[[#This Row],[Weight]]-Table7[[#This Row],[Weight v Morning Dia]]</f>
        <v>-1.3953186520222687</v>
      </c>
      <c r="O56" s="2">
        <f>Table7[[#This Row],[WMD Res]]^2</f>
        <v>1.9469141406812409</v>
      </c>
      <c r="P56">
        <f>Regression!$G$10+(Regression!$G$9*Table83[[#This Row],[Morning Pulse]])</f>
        <v>255.10267831985533</v>
      </c>
      <c r="Q56" s="2">
        <f>Table83[[#This Row],[Weight]]-Table7[[#This Row],[Weight v Morning Pulse]]</f>
        <v>-1.9026783198553403</v>
      </c>
      <c r="R56" s="2">
        <f>Table7[[#This Row],[WMP Res]]^2</f>
        <v>3.6201847888475407</v>
      </c>
      <c r="S56">
        <f>Regression!$H$10+(Regression!$H$9*Table83[[#This Row],[Night Body Temp]])</f>
        <v>254.33800382511666</v>
      </c>
      <c r="T56" s="2">
        <f>Table83[[#This Row],[Weight]]-Table7[[#This Row],[Weight v Night Temp]]</f>
        <v>-1.1380038251166695</v>
      </c>
      <c r="U56" s="2">
        <f>Table7[[#This Row],[WNT Res]]^2</f>
        <v>1.2950527059801713</v>
      </c>
      <c r="V56">
        <f>Regression!$I$10+(Regression!$I$9*Table83[[#This Row],[Night Systolic Pressure]])</f>
        <v>254.314777886911</v>
      </c>
      <c r="W56" s="2">
        <f>Table83[[#This Row],[Weight]]-Table7[[#This Row],[Weight v Night Sys]]</f>
        <v>-1.1147778869110141</v>
      </c>
      <c r="X56" s="2">
        <f>Table7[[#This Row],[WNS Res]]^2</f>
        <v>1.2427297371457857</v>
      </c>
      <c r="Y56">
        <f>Regression!$J$10+(Regression!$J$9*Table83[[#This Row],[Night Diastolic Pressure]])</f>
        <v>254.88848703216559</v>
      </c>
      <c r="Z56" s="2">
        <f>Table83[[#This Row],[Weight]]-Table7[[#This Row],[Weight v Night Dia]]</f>
        <v>-1.6884870321655967</v>
      </c>
      <c r="AA56" s="2">
        <f>Table7[[#This Row],[WND Res]]^2</f>
        <v>2.8509884577913849</v>
      </c>
      <c r="AB56">
        <f>Regression!$K$10+(Regression!$K$9*Table83[[#This Row],[Night Pulse]])</f>
        <v>254.52659856524343</v>
      </c>
      <c r="AC56" s="2">
        <f>Table83[[#This Row],[Weight]]-Table7[[#This Row],[Weight v Night Pulse]]</f>
        <v>-1.3265985652434438</v>
      </c>
      <c r="AD56" s="2">
        <f>Table7[[#This Row],[WNP Res ]]^2</f>
        <v>1.7598637533059636</v>
      </c>
      <c r="AE56">
        <f>Regression!$L$10+(Regression!$L$9*Table83[[#This Row],[Sleep]])</f>
        <v>255.76797809412898</v>
      </c>
      <c r="AF56" s="2">
        <f>Table83[[#This Row],[Weight]]-Table7[[#This Row],[Weight v Sleep]]</f>
        <v>-2.5679780941289891</v>
      </c>
      <c r="AG56" s="2">
        <f>Table7[[#This Row],[WS Res]]^2</f>
        <v>6.5945114919263554</v>
      </c>
      <c r="AH56">
        <f>Regression!$M$10+(Regression!$M$9*Table83[[#This Row],[BMI]])</f>
        <v>253.20000000000425</v>
      </c>
      <c r="AI56" s="2">
        <f>Table83[[#This Row],[Weight]]-Table7[[#This Row],[Weight v BMI]]</f>
        <v>-4.2632564145606011E-12</v>
      </c>
      <c r="AJ56" s="2">
        <f>Table7[[#This Row],[WBMI Res]]^2</f>
        <v>1.8175355256292112E-23</v>
      </c>
      <c r="AK56">
        <f>Regression!$N$10+(Regression!$N$9*Table83[[#This Row],[CBF]])</f>
        <v>250.04675133427031</v>
      </c>
      <c r="AL56" s="2">
        <f>Table83[[#This Row],[Weight]]-Table7[[#This Row],[Weight v CBF]]</f>
        <v>3.1532486657296772</v>
      </c>
      <c r="AM56" s="2">
        <f>Table7[[#This Row],[WCBF Res]]^2</f>
        <v>9.9429771479259887</v>
      </c>
      <c r="AN56">
        <f>Regression!$O$10+(Regression!$O$9*Table83[[#This Row],[Gym]])</f>
        <v>255.46779661016953</v>
      </c>
      <c r="AO56" s="2">
        <f>Table83[[#This Row],[Weight]]-Table7[[#This Row],[Weight v Gym]]</f>
        <v>-2.2677966101695404</v>
      </c>
      <c r="AP56" s="2">
        <f>Table7[[#This Row],[WG Res]]^2</f>
        <v>5.1429014650964584</v>
      </c>
      <c r="AQ56">
        <f>Regression!$P$10+(Regression!$P$9*Table83[[#This Row],[Cardio]])</f>
        <v>254.19242424242461</v>
      </c>
      <c r="AR56" s="2">
        <f>Table83[[#This Row],[Weight]]-Table7[[#This Row],[Weight v Cardio]]</f>
        <v>-0.9924242424246188</v>
      </c>
      <c r="AS56" s="2">
        <f>Table7[[#This Row],[WC Res]]^2</f>
        <v>0.98490587695207854</v>
      </c>
      <c r="AT56">
        <f>Regression!$Q$10+(Regression!$Q$9*Table83[[#This Row],[Calories]])</f>
        <v>255.72557176924013</v>
      </c>
      <c r="AU56" s="2">
        <f>Table83[[#This Row],[Weight]]-Table7[[#This Row],[Weight v Calories]]</f>
        <v>-2.5255717692401447</v>
      </c>
      <c r="AV56" s="2">
        <f>Table7[[#This Row],[WCAL Res]]^2</f>
        <v>6.3785127615827948</v>
      </c>
      <c r="AW56">
        <f>Regression!$R$10+(Regression!$R$9*Table83[[#This Row],[Carbs]])</f>
        <v>256.13890609530011</v>
      </c>
      <c r="AX56" s="2">
        <f>Table83[[#This Row],[Weight]]-Table7[[#This Row],[Weight v Carbs]]</f>
        <v>-2.9389060953001263</v>
      </c>
      <c r="AY56" s="2">
        <f>Table7[[#This Row],[Wcarb Res]]^2</f>
        <v>8.6371690369922351</v>
      </c>
      <c r="AZ56">
        <f>Regression!$S$10+(Regression!$S$9*Table83[[#This Row],[Fat ]])</f>
        <v>255.31302340053529</v>
      </c>
      <c r="BA56" s="2">
        <f>Table83[[#This Row],[Weight]]-Table7[[#This Row],[Weight v Fat]]</f>
        <v>-2.1130234005352975</v>
      </c>
      <c r="BB56" s="2">
        <f>Table7[[#This Row],[WF Res]]^2</f>
        <v>4.4648678912097521</v>
      </c>
      <c r="BC56">
        <f>Regression!$T$10+(Regression!$T$9*Table83[[#This Row],[Protein]])</f>
        <v>254.81514401814485</v>
      </c>
      <c r="BD56" s="2">
        <f>Table83[[#This Row],[Weight]]-Table7[[#This Row],[Weight v Protein]]</f>
        <v>-1.6151440181448606</v>
      </c>
      <c r="BE56" s="2">
        <f>Table7[[#This Row],[WP Res]]^2</f>
        <v>2.6086901993491258</v>
      </c>
      <c r="BF56">
        <f>Regression!$U$10+(Regression!$U$9*Table83[[#This Row],[Fiber]])</f>
        <v>254.92750159919248</v>
      </c>
      <c r="BG56" s="2">
        <f>Table83[[#This Row],[Weight]]-Table7[[#This Row],[Weight v Fiber]]</f>
        <v>-1.7275015991924931</v>
      </c>
      <c r="BH56" s="2">
        <f>Table7[[#This Row],[Wfib Res]]^2</f>
        <v>2.9842617752126213</v>
      </c>
      <c r="BI56">
        <f>Regression!$V$10+(Regression!$V$9*Table83[[#This Row],[Sugar]])</f>
        <v>256.67931526248088</v>
      </c>
      <c r="BJ56" s="2">
        <f>Table83[[#This Row],[Weight]]-Table7[[#This Row],[Weight v Sugar]]</f>
        <v>-3.4793152624808954</v>
      </c>
      <c r="BK56" s="2">
        <f>Table7[[#This Row],[Wsugar Res]]^2</f>
        <v>12.105634695732501</v>
      </c>
      <c r="BL56">
        <f>Regression!$W$10+(Regression!$W$9*Table83[[#This Row],[Servings]])</f>
        <v>256.77533309139994</v>
      </c>
      <c r="BM56" s="2">
        <f>Table83[[#This Row],[Weight]]-Table7[[#This Row],[Weight v Servings]]</f>
        <v>-3.5753330913999548</v>
      </c>
      <c r="BN56" s="2">
        <f>Table7[[#This Row],[Wserv Res]]^2</f>
        <v>12.783006714459558</v>
      </c>
      <c r="BO56">
        <f>Regression!$X$10+(Regression!$X$9*Table83[[#This Row],[Water]])</f>
        <v>255.21330595216023</v>
      </c>
      <c r="BP56" s="2">
        <f>Table83[[#This Row],[Weight]]-Table7[[#This Row],[Weight v Water]]</f>
        <v>-2.0133059521602377</v>
      </c>
      <c r="BQ56" s="2">
        <f>Table7[[#This Row],[Wwater Res]]^2</f>
        <v>4.0534008570038411</v>
      </c>
      <c r="BR56">
        <f>Regression!$Y$10+(Regression!$Y$9*Table83[[#This Row],[Fat Calories]])</f>
        <v>255.32088226680136</v>
      </c>
      <c r="BS56" s="2">
        <f>Table83[[#This Row],[Weight]]-Table7[[#This Row],[Weight v Fat Calories]]</f>
        <v>-2.1208822668013738</v>
      </c>
      <c r="BT56" s="2">
        <f>Table7[[#This Row],[WFC Res]]^2</f>
        <v>4.4981415896325334</v>
      </c>
      <c r="BU56">
        <f>Regression!$B$29+(Regression!$B$28*Table83[[#This Row],[Weight]])</f>
        <v>44.192591085952678</v>
      </c>
      <c r="BV56" s="2">
        <f>Table83[[#This Row],[Waist]]-Table7[[#This Row],[Waist v Weight]]</f>
        <v>-0.19259108595267804</v>
      </c>
      <c r="BW56" s="2">
        <f>Table7[[#This Row],[WaistW Res]]^2</f>
        <v>3.7091326388431822E-2</v>
      </c>
      <c r="BX56">
        <f>Regression!$C$29+(Regression!$C$28*Table83[[#This Row],[Neck]])</f>
        <v>45.258648648648581</v>
      </c>
      <c r="BY56" s="2">
        <f>Table83[[#This Row],[Waist]]-Table7[[#This Row],[Waist v Neck]]</f>
        <v>-1.2586486486485811</v>
      </c>
      <c r="BZ56" s="2">
        <f>Table7[[#This Row],[WaistN Res]]^2</f>
        <v>1.5841964207448993</v>
      </c>
      <c r="CA56">
        <f>Regression!$D$29+(Regression!$D$28*Table83[[#This Row],[Morning Body Temp]])</f>
        <v>44.649066062515985</v>
      </c>
      <c r="CB56" s="2">
        <f>Table83[[#This Row],[Waist]]-Table7[[#This Row],[Waist v Morning Temp]]</f>
        <v>-0.64906606251598475</v>
      </c>
      <c r="CC56" s="2">
        <f>Table7[[#This Row],[WaistMT Res]]^2</f>
        <v>0.42128675351000422</v>
      </c>
      <c r="CD56">
        <f>Regression!$E$29+(Regression!$E$28*Table83[[#This Row],[Morning Systolic Pressure]])</f>
        <v>44.492246348363913</v>
      </c>
      <c r="CE56" s="2">
        <f>Table83[[#This Row],[Waist]]-Table7[[#This Row],[Waist v Morning Sys]]</f>
        <v>-0.49224634836391346</v>
      </c>
      <c r="CF56" s="2">
        <f>Table7[[#This Row],[WaistMS Res]]^2</f>
        <v>0.24230646747760723</v>
      </c>
      <c r="CG56">
        <f>Regression!$F$29+(Regression!$F$28*Table83[[#This Row],[Morning Diastolic Pressure]])</f>
        <v>44.424638564799992</v>
      </c>
      <c r="CH56" s="2">
        <f>Table83[[#This Row],[Waist]]-Table7[[#This Row],[Waist v Morning Dia]]</f>
        <v>-0.42463856479999151</v>
      </c>
      <c r="CI56" s="2">
        <f>Table7[[#This Row],[WaistMD Res]]^2</f>
        <v>0.1803179107153966</v>
      </c>
      <c r="CJ56">
        <f>Regression!$G$29+(Regression!$G$28*Table83[[#This Row],[Morning Pulse]])</f>
        <v>44.447860179490903</v>
      </c>
      <c r="CK56" s="2">
        <f>Table83[[#This Row],[Waist]]-Table7[[#This Row],[Waist v Morning Pulse]]</f>
        <v>-0.44786017949090251</v>
      </c>
      <c r="CL56" s="2">
        <f>Table7[[#This Row],[WaistMP Res]]^2</f>
        <v>0.20057874037362342</v>
      </c>
      <c r="CM56">
        <f>Regression!$H$29+(Regression!$H$28*Table83[[#This Row],[Night Body Temp]])</f>
        <v>44.392275488024978</v>
      </c>
      <c r="CN56" s="2">
        <f>Table83[[#This Row],[Waist]]-Table7[[#This Row],[Waist v Night Temp]]</f>
        <v>-0.39227548802497836</v>
      </c>
      <c r="CO56" s="2">
        <f>Table7[[#This Row],[WaistNT Res]]^2</f>
        <v>0.15388005850523495</v>
      </c>
      <c r="CP56">
        <f>Regression!$I$29+(Regression!$I$28*Table83[[#This Row],[Night Systolic Pressure]])</f>
        <v>44.340178400700303</v>
      </c>
      <c r="CQ56" s="2">
        <f>Table83[[#This Row],[Waist]]-Table7[[#This Row],[Waist v  Night Sys]]</f>
        <v>-0.34017840070030303</v>
      </c>
      <c r="CR56" s="2">
        <f>Table7[[#This Row],[WaistNS Res]]^2</f>
        <v>0.11572134430301594</v>
      </c>
      <c r="CS56">
        <f>Regression!$J$29+(Regression!$J$28*Table83[[#This Row],[Night Diastolic Pressure]])</f>
        <v>44.358684339909082</v>
      </c>
      <c r="CT56" s="2">
        <f>Table83[[#This Row],[Waist]]-Table7[[#This Row],[Waist v Night Dia]]</f>
        <v>-0.35868433990908244</v>
      </c>
      <c r="CU56" s="2">
        <f>Table7[[#This Row],[WaistND Res]]^2</f>
        <v>0.12865445569601419</v>
      </c>
      <c r="CV56">
        <f>Regression!$K$29+(Regression!$K$28*Table83[[#This Row],[Night Pulse]])</f>
        <v>44.508273059851668</v>
      </c>
      <c r="CW56" s="2">
        <f>Table83[[#This Row],[Waist]]-Table7[[#This Row],[Waist v Night Pulse]]</f>
        <v>-0.5082730598516676</v>
      </c>
      <c r="CX56" s="2">
        <f>Table7[[#This Row],[WaistNP Res]]^2</f>
        <v>0.25834150337097689</v>
      </c>
      <c r="CY56">
        <f>Regression!$L$29+(Regression!$L$28*Table83[[#This Row],[Sleep]])</f>
        <v>44.553089788849412</v>
      </c>
      <c r="CZ56" s="2">
        <f>Table83[[#This Row],[Waist]]-Table7[[#This Row],[Waist v  Sleep]]</f>
        <v>-0.5530897888494124</v>
      </c>
      <c r="DA56" s="2">
        <f>Table7[[#This Row],[WaistS Res]]^2</f>
        <v>0.30590831452948758</v>
      </c>
      <c r="DB56">
        <f>Regression!$M$29+(Regression!$M$28*Table83[[#This Row],[BMI]])</f>
        <v>44.192591085953502</v>
      </c>
      <c r="DC56" s="2">
        <f>Table83[[#This Row],[Waist]]-Table7[[#This Row],[Waist v BMI]]</f>
        <v>-0.19259108595350227</v>
      </c>
      <c r="DD56" s="2">
        <f>Table7[[#This Row],[WaistBMI Res]]^2</f>
        <v>3.7091326388749297E-2</v>
      </c>
      <c r="DE56">
        <f>Regression!$N$29+(Regression!$N$28*Table83[[#This Row],[CBF]])</f>
        <v>43.540887941991329</v>
      </c>
      <c r="DF56" s="2">
        <f>Table83[[#This Row],[Waist]]-Table7[[#This Row],[Waist v  CBF]]</f>
        <v>0.45911205800867094</v>
      </c>
      <c r="DG56" s="2">
        <f>Table7[[#This Row],[WaistCBF Res]]^2</f>
        <v>0.21078388180895724</v>
      </c>
      <c r="DH56">
        <f>Regression!$O$29+(Regression!$O$28*Table83[[#This Row],[Gym]])</f>
        <v>44.550847457627107</v>
      </c>
      <c r="DI56" s="2">
        <f>Table83[[#This Row],[Waist]]-Table7[[#This Row],[Waist v  Gym]]</f>
        <v>-0.55084745762710696</v>
      </c>
      <c r="DJ56" s="2">
        <f>Table7[[#This Row],[WaistGYM Res]]^2</f>
        <v>0.30343292157424739</v>
      </c>
      <c r="DK56">
        <f>Regression!$P$29+(Regression!$P$28*Table83[[#This Row],[Cardio]])</f>
        <v>44.291666666666664</v>
      </c>
      <c r="DL56" s="2">
        <f>Table83[[#This Row],[Waist]]-Table7[[#This Row],[Waist v Cardio]]</f>
        <v>-0.2916666666666643</v>
      </c>
      <c r="DM56" s="2">
        <f>Table7[[#This Row],[WaistC Res]]^2</f>
        <v>8.506944444444306E-2</v>
      </c>
      <c r="DN56">
        <f>Regression!$Q$29+(Regression!$Q$28*Table83[[#This Row],[Calories]])</f>
        <v>44.590711815784587</v>
      </c>
      <c r="DO56" s="2">
        <f>Table83[[#This Row],[Waist]]-Table7[[#This Row],[Waist v Calories]]</f>
        <v>-0.5907118157845872</v>
      </c>
      <c r="DP56" s="2">
        <f>Table7[[#This Row],[WaistCal Res]]^2</f>
        <v>0.3489404493075241</v>
      </c>
      <c r="DQ56">
        <f>Regression!$R$29+(Regression!$R$28*Table83[[#This Row],[Carbs]])</f>
        <v>44.666701589777006</v>
      </c>
      <c r="DR56" s="2">
        <f>Table83[[#This Row],[Waist]]-Table7[[#This Row],[Waist v Carbs]]</f>
        <v>-0.66670158977700567</v>
      </c>
      <c r="DS56" s="2">
        <f>Table7[[#This Row],[WaistCarb Res]]^2</f>
        <v>0.44449100981118672</v>
      </c>
      <c r="DT56">
        <f>Regression!$S$29+(Regression!$S$28*Table83[[#This Row],[Fat ]])</f>
        <v>44.514057860228313</v>
      </c>
      <c r="DU56" s="2">
        <f>Table83[[#This Row],[Waist]]-Table7[[#This Row],[Waist v Fat]]</f>
        <v>-0.51405786022831279</v>
      </c>
      <c r="DV56" s="2">
        <f>Table7[[#This Row],[WaistF Res]]^2</f>
        <v>0.26425548366251156</v>
      </c>
      <c r="DW56">
        <f>Regression!$T$29+(Regression!$T$28*Table83[[#This Row],[Protein]])</f>
        <v>44.398646940754794</v>
      </c>
      <c r="DX56" s="2">
        <f>Table83[[#This Row],[Waist]]-Table7[[#This Row],[Waist v Protein]]</f>
        <v>-0.39864694075479434</v>
      </c>
      <c r="DY56" s="2">
        <f>Table7[[#This Row],[WaistP Res]]^2</f>
        <v>0.1589193833731565</v>
      </c>
      <c r="DZ56">
        <f>Regression!$U$29+(Regression!$U$28*Table83[[#This Row],[Fiber]])</f>
        <v>44.381174625549136</v>
      </c>
      <c r="EA56" s="2">
        <f>Table83[[#This Row],[Waist]]-Table7[[#This Row],[Waist v Fiber]]</f>
        <v>-0.38117462554913573</v>
      </c>
      <c r="EB56" s="2">
        <f>Table7[[#This Row],[WaistFib Res]]^2</f>
        <v>0.14529409516252384</v>
      </c>
      <c r="EC56">
        <f>Regression!$V$29+(Regression!$V$28*Table83[[#This Row],[Sugar]])</f>
        <v>44.734543664441716</v>
      </c>
      <c r="ED56" s="2">
        <f>Table83[[#This Row],[Waist]]-Table7[[#This Row],[Waist v Sugar]]</f>
        <v>-0.73454366444171626</v>
      </c>
      <c r="EE56" s="2">
        <f>Table7[[#This Row],[WaistSugar Res]]^2</f>
        <v>0.53955439497146462</v>
      </c>
      <c r="EF56">
        <f>Regression!$W$29+(Regression!$W$28*Table83[[#This Row],[Servings]])</f>
        <v>44.706872240139624</v>
      </c>
      <c r="EG56" s="2">
        <f>Table83[[#This Row],[Waist]]-Table7[[#This Row],[Waist v Servings]]</f>
        <v>-0.70687224013962435</v>
      </c>
      <c r="EH56" s="2">
        <f>Table7[[#This Row],[WaistServ Res]]^2</f>
        <v>0.49966836388001074</v>
      </c>
      <c r="EI56">
        <f>Regression!$X$29+(Regression!$X$28*Table83[[#This Row],[Water]])</f>
        <v>44.581792045780141</v>
      </c>
      <c r="EJ56" s="2">
        <f>Table83[[#This Row],[Waist]]-Table7[[#This Row],[Waist v Water]]</f>
        <v>-0.58179204578014065</v>
      </c>
      <c r="EK56" s="2">
        <f>Table7[[#This Row],[WaistWat Res]]^2</f>
        <v>0.33848198453304129</v>
      </c>
      <c r="EL56">
        <f>Regression!$Y$29+(Regression!$Y$28*Table83[[#This Row],[Fat Calories]])</f>
        <v>44.516141086066746</v>
      </c>
      <c r="EM56" s="2">
        <f>Table83[[#This Row],[Waist]]-Table7[[#This Row],[Waist v Fat Calories]]</f>
        <v>-0.51614108606674591</v>
      </c>
      <c r="EN56" s="2">
        <f>Table7[[#This Row],[WaistFatCal Res]]^2</f>
        <v>0.26640162072616003</v>
      </c>
    </row>
    <row r="57" spans="1:144" x14ac:dyDescent="0.25">
      <c r="A57">
        <f>Regression!$B$10+(Regression!$B$9*Table83[[#This Row],[Waist]])</f>
        <v>252.52625917894264</v>
      </c>
      <c r="B57" s="2">
        <f>Table83[[#This Row],[Weight]]-Table7[[#This Row],[Weight v Waist]]</f>
        <v>-0.92625917894264376</v>
      </c>
      <c r="C57" s="2">
        <f>Table7[[#This Row],[Weight v Waist Res]]^2</f>
        <v>0.8579560665755005</v>
      </c>
      <c r="D57">
        <f>Regression!$C$10+(Regression!$C$9*Table83[[#This Row],[Neck]])</f>
        <v>260.39308108104251</v>
      </c>
      <c r="E57" s="2">
        <f>Table83[[#This Row],[Weight]]-Table7[[#This Row],[Weight v Neck]]</f>
        <v>-8.7930810810425157</v>
      </c>
      <c r="F57" s="2">
        <f>Table7[[#This Row],[WN Res]]^2</f>
        <v>77.318274897787816</v>
      </c>
      <c r="G57">
        <f>Regression!$D$10+(Regression!$D$9*Table83[[#This Row],[Morning Body Temp]])</f>
        <v>255.20036355752904</v>
      </c>
      <c r="H57" s="2">
        <f>Table83[[#This Row],[Weight]]-Table7[[#This Row],[Weight v Morning Temp]]</f>
        <v>-3.6003635575290502</v>
      </c>
      <c r="I57" s="2">
        <f>Table7[[#This Row],[WMT Res]]^2</f>
        <v>12.962617746383239</v>
      </c>
      <c r="J57">
        <f>Regression!$E$10+(Regression!$E$9*Table83[[#This Row],[Morning Systolic Pressure]])</f>
        <v>255.00933222102856</v>
      </c>
      <c r="K57" s="2">
        <f>Table83[[#This Row],[Weight]]-Table7[[#This Row],[Weight v Morning Sys]]</f>
        <v>-3.4093322210285635</v>
      </c>
      <c r="L57" s="2">
        <f>Table7[[#This Row],[WMS Res]]^2</f>
        <v>11.623546193343557</v>
      </c>
      <c r="M57">
        <f>Regression!$F$10+(Regression!$F$9*Table83[[#This Row],[Morning Diastolic Pressure]])</f>
        <v>255.20338414629154</v>
      </c>
      <c r="N57" s="2">
        <f>Table83[[#This Row],[Weight]]-Table7[[#This Row],[Weight v Morning Dia]]</f>
        <v>-3.6033841462915461</v>
      </c>
      <c r="O57" s="2">
        <f>Table7[[#This Row],[WMD Res]]^2</f>
        <v>12.984377305745255</v>
      </c>
      <c r="P57">
        <f>Regression!$G$10+(Regression!$G$9*Table83[[#This Row],[Morning Pulse]])</f>
        <v>255.12826746045599</v>
      </c>
      <c r="Q57" s="2">
        <f>Table83[[#This Row],[Weight]]-Table7[[#This Row],[Weight v Morning Pulse]]</f>
        <v>-3.5282674604559929</v>
      </c>
      <c r="R57" s="2">
        <f>Table7[[#This Row],[WMP Res]]^2</f>
        <v>12.448671272512582</v>
      </c>
      <c r="S57">
        <f>Regression!$H$10+(Regression!$H$9*Table83[[#This Row],[Night Body Temp]])</f>
        <v>255.36496952993349</v>
      </c>
      <c r="T57" s="2">
        <f>Table83[[#This Row],[Weight]]-Table7[[#This Row],[Weight v Night Temp]]</f>
        <v>-3.7649695299334951</v>
      </c>
      <c r="U57" s="2">
        <f>Table7[[#This Row],[WNT Res]]^2</f>
        <v>14.174995561327643</v>
      </c>
      <c r="V57">
        <f>Regression!$I$10+(Regression!$I$9*Table83[[#This Row],[Night Systolic Pressure]])</f>
        <v>255.13593655913874</v>
      </c>
      <c r="W57" s="2">
        <f>Table83[[#This Row],[Weight]]-Table7[[#This Row],[Weight v Night Sys]]</f>
        <v>-3.5359365591387473</v>
      </c>
      <c r="X57" s="2">
        <f>Table7[[#This Row],[WNS Res]]^2</f>
        <v>12.502847350253964</v>
      </c>
      <c r="Y57">
        <f>Regression!$J$10+(Regression!$J$9*Table83[[#This Row],[Night Diastolic Pressure]])</f>
        <v>255.2146139794944</v>
      </c>
      <c r="Z57" s="2">
        <f>Table83[[#This Row],[Weight]]-Table7[[#This Row],[Weight v Night Dia]]</f>
        <v>-3.6146139794944077</v>
      </c>
      <c r="AA57" s="2">
        <f>Table7[[#This Row],[WND Res]]^2</f>
        <v>13.065434220756398</v>
      </c>
      <c r="AB57">
        <f>Regression!$K$10+(Regression!$K$9*Table83[[#This Row],[Night Pulse]])</f>
        <v>255.32514517739833</v>
      </c>
      <c r="AC57" s="2">
        <f>Table83[[#This Row],[Weight]]-Table7[[#This Row],[Weight v Night Pulse]]</f>
        <v>-3.725145177398332</v>
      </c>
      <c r="AD57" s="2">
        <f>Table7[[#This Row],[WNP Res ]]^2</f>
        <v>13.876706592694051</v>
      </c>
      <c r="AE57">
        <f>Regression!$L$10+(Regression!$L$9*Table83[[#This Row],[Sleep]])</f>
        <v>254.97929263569441</v>
      </c>
      <c r="AF57" s="2">
        <f>Table83[[#This Row],[Weight]]-Table7[[#This Row],[Weight v Sleep]]</f>
        <v>-3.3792926356944122</v>
      </c>
      <c r="AG57" s="2">
        <f>Table7[[#This Row],[WS Res]]^2</f>
        <v>11.419618717658487</v>
      </c>
      <c r="AH57">
        <f>Regression!$M$10+(Regression!$M$9*Table83[[#This Row],[BMI]])</f>
        <v>251.60000000000792</v>
      </c>
      <c r="AI57" s="2">
        <f>Table83[[#This Row],[Weight]]-Table7[[#This Row],[Weight v BMI]]</f>
        <v>-7.9296569310827181E-12</v>
      </c>
      <c r="AJ57" s="2">
        <f>Table7[[#This Row],[WBMI Res]]^2</f>
        <v>6.2879459044668191E-23</v>
      </c>
      <c r="AK57">
        <f>Regression!$N$10+(Regression!$N$9*Table83[[#This Row],[CBF]])</f>
        <v>250.04675133427031</v>
      </c>
      <c r="AL57" s="2">
        <f>Table83[[#This Row],[Weight]]-Table7[[#This Row],[Weight v CBF]]</f>
        <v>1.5532486657296829</v>
      </c>
      <c r="AM57" s="2">
        <f>Table7[[#This Row],[WCBF Res]]^2</f>
        <v>2.4125814175910403</v>
      </c>
      <c r="AN57">
        <f>Regression!$O$10+(Regression!$O$9*Table83[[#This Row],[Gym]])</f>
        <v>255.46779661016953</v>
      </c>
      <c r="AO57" s="2">
        <f>Table83[[#This Row],[Weight]]-Table7[[#This Row],[Weight v Gym]]</f>
        <v>-3.8677966101695347</v>
      </c>
      <c r="AP57" s="2">
        <f>Table7[[#This Row],[WG Res]]^2</f>
        <v>14.959850617638944</v>
      </c>
      <c r="AQ57">
        <f>Regression!$P$10+(Regression!$P$9*Table83[[#This Row],[Cardio]])</f>
        <v>254.19242424242461</v>
      </c>
      <c r="AR57" s="2">
        <f>Table83[[#This Row],[Weight]]-Table7[[#This Row],[Weight v Cardio]]</f>
        <v>-2.5924242424246131</v>
      </c>
      <c r="AS57" s="2">
        <f>Table7[[#This Row],[WC Res]]^2</f>
        <v>6.7206634527108289</v>
      </c>
      <c r="AT57">
        <f>Regression!$Q$10+(Regression!$Q$9*Table83[[#This Row],[Calories]])</f>
        <v>255.43166859988378</v>
      </c>
      <c r="AU57" s="2">
        <f>Table83[[#This Row],[Weight]]-Table7[[#This Row],[Weight v Calories]]</f>
        <v>-3.8316685998837841</v>
      </c>
      <c r="AV57" s="2">
        <f>Table7[[#This Row],[WCAL Res]]^2</f>
        <v>14.681684259335357</v>
      </c>
      <c r="AW57">
        <f>Regression!$R$10+(Regression!$R$9*Table83[[#This Row],[Carbs]])</f>
        <v>255.6881059729312</v>
      </c>
      <c r="AX57" s="2">
        <f>Table83[[#This Row],[Weight]]-Table7[[#This Row],[Weight v Carbs]]</f>
        <v>-4.0881059729312028</v>
      </c>
      <c r="AY57" s="2">
        <f>Table7[[#This Row],[Wcarb Res]]^2</f>
        <v>16.712610445915775</v>
      </c>
      <c r="AZ57">
        <f>Regression!$S$10+(Regression!$S$9*Table83[[#This Row],[Fat ]])</f>
        <v>255.23043581102775</v>
      </c>
      <c r="BA57" s="2">
        <f>Table83[[#This Row],[Weight]]-Table7[[#This Row],[Weight v Fat]]</f>
        <v>-3.6304358110277519</v>
      </c>
      <c r="BB57" s="2">
        <f>Table7[[#This Row],[WF Res]]^2</f>
        <v>13.180064177992731</v>
      </c>
      <c r="BC57">
        <f>Regression!$T$10+(Regression!$T$9*Table83[[#This Row],[Protein]])</f>
        <v>254.71266761086528</v>
      </c>
      <c r="BD57" s="2">
        <f>Table83[[#This Row],[Weight]]-Table7[[#This Row],[Weight v Protein]]</f>
        <v>-3.1126676108652873</v>
      </c>
      <c r="BE57" s="2">
        <f>Table7[[#This Row],[WP Res]]^2</f>
        <v>9.6886996557298151</v>
      </c>
      <c r="BF57">
        <f>Regression!$U$10+(Regression!$U$9*Table83[[#This Row],[Fiber]])</f>
        <v>255.18665113341925</v>
      </c>
      <c r="BG57" s="2">
        <f>Table83[[#This Row],[Weight]]-Table7[[#This Row],[Weight v Fiber]]</f>
        <v>-3.5866511334192523</v>
      </c>
      <c r="BH57" s="2">
        <f>Table7[[#This Row],[Wfib Res]]^2</f>
        <v>12.864066352857607</v>
      </c>
      <c r="BI57">
        <f>Regression!$V$10+(Regression!$V$9*Table83[[#This Row],[Sugar]])</f>
        <v>256.06917534557095</v>
      </c>
      <c r="BJ57" s="2">
        <f>Table83[[#This Row],[Weight]]-Table7[[#This Row],[Weight v Sugar]]</f>
        <v>-4.4691753455709602</v>
      </c>
      <c r="BK57" s="2">
        <f>Table7[[#This Row],[Wsugar Res]]^2</f>
        <v>19.973528269459312</v>
      </c>
      <c r="BL57">
        <f>Regression!$W$10+(Regression!$W$9*Table83[[#This Row],[Servings]])</f>
        <v>256.35103687258055</v>
      </c>
      <c r="BM57" s="2">
        <f>Table83[[#This Row],[Weight]]-Table7[[#This Row],[Weight v Servings]]</f>
        <v>-4.7510368725805563</v>
      </c>
      <c r="BN57" s="2">
        <f>Table7[[#This Row],[Wserv Res]]^2</f>
        <v>22.572351364620033</v>
      </c>
      <c r="BO57">
        <f>Regression!$X$10+(Regression!$X$9*Table83[[#This Row],[Water]])</f>
        <v>255.19189796045953</v>
      </c>
      <c r="BP57" s="2">
        <f>Table83[[#This Row],[Weight]]-Table7[[#This Row],[Weight v Water]]</f>
        <v>-3.5918979604595336</v>
      </c>
      <c r="BQ57" s="2">
        <f>Table7[[#This Row],[Wwater Res]]^2</f>
        <v>12.901730958353356</v>
      </c>
      <c r="BR57">
        <f>Regression!$Y$10+(Regression!$Y$9*Table83[[#This Row],[Fat Calories]])</f>
        <v>255.23298829511594</v>
      </c>
      <c r="BS57" s="2">
        <f>Table83[[#This Row],[Weight]]-Table7[[#This Row],[Weight v Fat Calories]]</f>
        <v>-3.6329882951159505</v>
      </c>
      <c r="BT57" s="2">
        <f>Table7[[#This Row],[WFC Res]]^2</f>
        <v>13.198603952449501</v>
      </c>
      <c r="BU57">
        <f>Regression!$B$29+(Regression!$B$28*Table83[[#This Row],[Weight]])</f>
        <v>43.974571069040707</v>
      </c>
      <c r="BV57" s="2">
        <f>Table83[[#This Row],[Waist]]-Table7[[#This Row],[Waist v Weight]]</f>
        <v>2.5428930959293439E-2</v>
      </c>
      <c r="BW57" s="2">
        <f>Table7[[#This Row],[WaistW Res]]^2</f>
        <v>6.4663052973251234E-4</v>
      </c>
      <c r="BX57">
        <f>Regression!$C$29+(Regression!$C$28*Table83[[#This Row],[Neck]])</f>
        <v>45.258648648648581</v>
      </c>
      <c r="BY57" s="2">
        <f>Table83[[#This Row],[Waist]]-Table7[[#This Row],[Waist v Neck]]</f>
        <v>-1.2586486486485811</v>
      </c>
      <c r="BZ57" s="2">
        <f>Table7[[#This Row],[WaistN Res]]^2</f>
        <v>1.5841964207448993</v>
      </c>
      <c r="CA57">
        <f>Regression!$D$29+(Regression!$D$28*Table83[[#This Row],[Morning Body Temp]])</f>
        <v>44.476744743933082</v>
      </c>
      <c r="CB57" s="2">
        <f>Table83[[#This Row],[Waist]]-Table7[[#This Row],[Waist v Morning Temp]]</f>
        <v>-0.4767447439330823</v>
      </c>
      <c r="CC57" s="2">
        <f>Table7[[#This Row],[WaistMT Res]]^2</f>
        <v>0.22728555086782021</v>
      </c>
      <c r="CD57">
        <f>Regression!$E$29+(Regression!$E$28*Table83[[#This Row],[Morning Systolic Pressure]])</f>
        <v>44.428703916909349</v>
      </c>
      <c r="CE57" s="2">
        <f>Table83[[#This Row],[Waist]]-Table7[[#This Row],[Waist v Morning Sys]]</f>
        <v>-0.42870391690934895</v>
      </c>
      <c r="CF57" s="2">
        <f>Table7[[#This Row],[WaistMS Res]]^2</f>
        <v>0.18378704837341797</v>
      </c>
      <c r="CG57">
        <f>Regression!$F$29+(Regression!$F$28*Table83[[#This Row],[Morning Diastolic Pressure]])</f>
        <v>44.458452288813113</v>
      </c>
      <c r="CH57" s="2">
        <f>Table83[[#This Row],[Waist]]-Table7[[#This Row],[Waist v Morning Dia]]</f>
        <v>-0.45845228881311328</v>
      </c>
      <c r="CI57" s="2">
        <f>Table7[[#This Row],[WaistMD Res]]^2</f>
        <v>0.21017850111798222</v>
      </c>
      <c r="CJ57">
        <f>Regression!$G$29+(Regression!$G$28*Table83[[#This Row],[Morning Pulse]])</f>
        <v>44.459613215521493</v>
      </c>
      <c r="CK57" s="2">
        <f>Table83[[#This Row],[Waist]]-Table7[[#This Row],[Waist v Morning Pulse]]</f>
        <v>-0.45961321552149315</v>
      </c>
      <c r="CL57" s="2">
        <f>Table7[[#This Row],[WaistMP Res]]^2</f>
        <v>0.21124430788200652</v>
      </c>
      <c r="CM57">
        <f>Regression!$H$29+(Regression!$H$28*Table83[[#This Row],[Night Body Temp]])</f>
        <v>44.473244726073837</v>
      </c>
      <c r="CN57" s="2">
        <f>Table83[[#This Row],[Waist]]-Table7[[#This Row],[Waist v Night Temp]]</f>
        <v>-0.47324472607383683</v>
      </c>
      <c r="CO57" s="2">
        <f>Table7[[#This Row],[WaistNT Res]]^2</f>
        <v>0.22396057075670087</v>
      </c>
      <c r="CP57">
        <f>Regression!$I$29+(Regression!$I$28*Table83[[#This Row],[Night Systolic Pressure]])</f>
        <v>44.456499315305209</v>
      </c>
      <c r="CQ57" s="2">
        <f>Table83[[#This Row],[Waist]]-Table7[[#This Row],[Waist v  Night Sys]]</f>
        <v>-0.4564993153052086</v>
      </c>
      <c r="CR57" s="2">
        <f>Table7[[#This Row],[WaistNS Res]]^2</f>
        <v>0.20839162487412424</v>
      </c>
      <c r="CS57">
        <f>Regression!$J$29+(Regression!$J$28*Table83[[#This Row],[Night Diastolic Pressure]])</f>
        <v>44.495227901568619</v>
      </c>
      <c r="CT57" s="2">
        <f>Table83[[#This Row],[Waist]]-Table7[[#This Row],[Waist v Night Dia]]</f>
        <v>-0.49522790156861873</v>
      </c>
      <c r="CU57" s="2">
        <f>Table7[[#This Row],[WaistND Res]]^2</f>
        <v>0.24525067449205754</v>
      </c>
      <c r="CV57">
        <f>Regression!$K$29+(Regression!$K$28*Table83[[#This Row],[Night Pulse]])</f>
        <v>44.433997655766582</v>
      </c>
      <c r="CW57" s="2">
        <f>Table83[[#This Row],[Waist]]-Table7[[#This Row],[Waist v Night Pulse]]</f>
        <v>-0.43399765576658211</v>
      </c>
      <c r="CX57" s="2">
        <f>Table7[[#This Row],[WaistNP Res]]^2</f>
        <v>0.18835396521088871</v>
      </c>
      <c r="CY57">
        <f>Regression!$L$29+(Regression!$L$28*Table83[[#This Row],[Sleep]])</f>
        <v>44.432842368860271</v>
      </c>
      <c r="CZ57" s="2">
        <f>Table83[[#This Row],[Waist]]-Table7[[#This Row],[Waist v  Sleep]]</f>
        <v>-0.43284236886027116</v>
      </c>
      <c r="DA57" s="2">
        <f>Table7[[#This Row],[WaistS Res]]^2</f>
        <v>0.18735251628057104</v>
      </c>
      <c r="DB57">
        <f>Regression!$M$29+(Regression!$M$28*Table83[[#This Row],[BMI]])</f>
        <v>43.974571069042234</v>
      </c>
      <c r="DC57" s="2">
        <f>Table83[[#This Row],[Waist]]-Table7[[#This Row],[Waist v BMI]]</f>
        <v>2.5428930957765772E-2</v>
      </c>
      <c r="DD57" s="2">
        <f>Table7[[#This Row],[WaistBMI Res]]^2</f>
        <v>6.4663052965481841E-4</v>
      </c>
      <c r="DE57">
        <f>Regression!$N$29+(Regression!$N$28*Table83[[#This Row],[CBF]])</f>
        <v>43.540887941991329</v>
      </c>
      <c r="DF57" s="2">
        <f>Table83[[#This Row],[Waist]]-Table7[[#This Row],[Waist v  CBF]]</f>
        <v>0.45911205800867094</v>
      </c>
      <c r="DG57" s="2">
        <f>Table7[[#This Row],[WaistCBF Res]]^2</f>
        <v>0.21078388180895724</v>
      </c>
      <c r="DH57">
        <f>Regression!$O$29+(Regression!$O$28*Table83[[#This Row],[Gym]])</f>
        <v>44.550847457627107</v>
      </c>
      <c r="DI57" s="2">
        <f>Table83[[#This Row],[Waist]]-Table7[[#This Row],[Waist v  Gym]]</f>
        <v>-0.55084745762710696</v>
      </c>
      <c r="DJ57" s="2">
        <f>Table7[[#This Row],[WaistGYM Res]]^2</f>
        <v>0.30343292157424739</v>
      </c>
      <c r="DK57">
        <f>Regression!$P$29+(Regression!$P$28*Table83[[#This Row],[Cardio]])</f>
        <v>44.291666666666664</v>
      </c>
      <c r="DL57" s="2">
        <f>Table83[[#This Row],[Waist]]-Table7[[#This Row],[Waist v Cardio]]</f>
        <v>-0.2916666666666643</v>
      </c>
      <c r="DM57" s="2">
        <f>Table7[[#This Row],[WaistC Res]]^2</f>
        <v>8.506944444444306E-2</v>
      </c>
      <c r="DN57">
        <f>Regression!$Q$29+(Regression!$Q$28*Table83[[#This Row],[Calories]])</f>
        <v>44.524678292303427</v>
      </c>
      <c r="DO57" s="2">
        <f>Table83[[#This Row],[Waist]]-Table7[[#This Row],[Waist v Calories]]</f>
        <v>-0.52467829230342744</v>
      </c>
      <c r="DP57" s="2">
        <f>Table7[[#This Row],[WaistCal Res]]^2</f>
        <v>0.27528731041444082</v>
      </c>
      <c r="DQ57">
        <f>Regression!$R$29+(Regression!$R$28*Table83[[#This Row],[Carbs]])</f>
        <v>44.572847764891414</v>
      </c>
      <c r="DR57" s="2">
        <f>Table83[[#This Row],[Waist]]-Table7[[#This Row],[Waist v Carbs]]</f>
        <v>-0.57284776489141365</v>
      </c>
      <c r="DS57" s="2">
        <f>Table7[[#This Row],[WaistCarb Res]]^2</f>
        <v>0.32815456174108831</v>
      </c>
      <c r="DT57">
        <f>Regression!$S$29+(Regression!$S$28*Table83[[#This Row],[Fat ]])</f>
        <v>44.488812581893079</v>
      </c>
      <c r="DU57" s="2">
        <f>Table83[[#This Row],[Waist]]-Table7[[#This Row],[Waist v Fat]]</f>
        <v>-0.48881258189307886</v>
      </c>
      <c r="DV57" s="2">
        <f>Table7[[#This Row],[WaistF Res]]^2</f>
        <v>0.23893774021697792</v>
      </c>
      <c r="DW57">
        <f>Regression!$T$29+(Regression!$T$28*Table83[[#This Row],[Protein]])</f>
        <v>44.379889951587721</v>
      </c>
      <c r="DX57" s="2">
        <f>Table83[[#This Row],[Waist]]-Table7[[#This Row],[Waist v Protein]]</f>
        <v>-0.37988995158772099</v>
      </c>
      <c r="DY57" s="2">
        <f>Table7[[#This Row],[WaistP Res]]^2</f>
        <v>0.144316375317321</v>
      </c>
      <c r="DZ57">
        <f>Regression!$U$29+(Regression!$U$28*Table83[[#This Row],[Fiber]])</f>
        <v>44.481170052490015</v>
      </c>
      <c r="EA57" s="2">
        <f>Table83[[#This Row],[Waist]]-Table7[[#This Row],[Waist v Fiber]]</f>
        <v>-0.48117005249001465</v>
      </c>
      <c r="EB57" s="2">
        <f>Table7[[#This Row],[WaistFib Res]]^2</f>
        <v>0.23152461941324345</v>
      </c>
      <c r="EC57">
        <f>Regression!$V$29+(Regression!$V$28*Table83[[#This Row],[Sugar]])</f>
        <v>44.62493883327577</v>
      </c>
      <c r="ED57" s="2">
        <f>Table83[[#This Row],[Waist]]-Table7[[#This Row],[Waist v Sugar]]</f>
        <v>-0.62493883327577038</v>
      </c>
      <c r="EE57" s="2">
        <f>Table7[[#This Row],[WaistSugar Res]]^2</f>
        <v>0.39054854533608113</v>
      </c>
      <c r="EF57">
        <f>Regression!$W$29+(Regression!$W$28*Table83[[#This Row],[Servings]])</f>
        <v>44.642131705920818</v>
      </c>
      <c r="EG57" s="2">
        <f>Table83[[#This Row],[Waist]]-Table7[[#This Row],[Waist v Servings]]</f>
        <v>-0.64213170592081781</v>
      </c>
      <c r="EH57" s="2">
        <f>Table7[[#This Row],[WaistServ Res]]^2</f>
        <v>0.41233312774877967</v>
      </c>
      <c r="EI57">
        <f>Regression!$X$29+(Regression!$X$28*Table83[[#This Row],[Water]])</f>
        <v>44.553850107074496</v>
      </c>
      <c r="EJ57" s="2">
        <f>Table83[[#This Row],[Waist]]-Table7[[#This Row],[Waist v Water]]</f>
        <v>-0.55385010707449567</v>
      </c>
      <c r="EK57" s="2">
        <f>Table7[[#This Row],[WaistWat Res]]^2</f>
        <v>0.30674994110643033</v>
      </c>
      <c r="EL57">
        <f>Regression!$Y$29+(Regression!$Y$28*Table83[[#This Row],[Fat Calories]])</f>
        <v>44.489410000774285</v>
      </c>
      <c r="EM57" s="2">
        <f>Table83[[#This Row],[Waist]]-Table7[[#This Row],[Waist v Fat Calories]]</f>
        <v>-0.48941000077428498</v>
      </c>
      <c r="EN57" s="2">
        <f>Table7[[#This Row],[WaistFatCal Res]]^2</f>
        <v>0.23952214885788561</v>
      </c>
    </row>
    <row r="58" spans="1:144" x14ac:dyDescent="0.25">
      <c r="A58">
        <f>Regression!$B$10+(Regression!$B$9*Table83[[#This Row],[Waist]])</f>
        <v>252.52625917894264</v>
      </c>
      <c r="B58" s="2">
        <f>Table83[[#This Row],[Weight]]-Table7[[#This Row],[Weight v Waist]]</f>
        <v>-1.1262591789426324</v>
      </c>
      <c r="C58" s="2">
        <f>Table7[[#This Row],[Weight v Waist Res]]^2</f>
        <v>1.2684597381525324</v>
      </c>
      <c r="D58">
        <f>Regression!$C$10+(Regression!$C$9*Table83[[#This Row],[Neck]])</f>
        <v>260.39308108104251</v>
      </c>
      <c r="E58" s="2">
        <f>Table83[[#This Row],[Weight]]-Table7[[#This Row],[Weight v Neck]]</f>
        <v>-8.9930810810425044</v>
      </c>
      <c r="F58" s="2">
        <f>Table7[[#This Row],[WN Res]]^2</f>
        <v>80.875507330204613</v>
      </c>
      <c r="G58">
        <f>Regression!$D$10+(Regression!$D$9*Table83[[#This Row],[Morning Body Temp]])</f>
        <v>255.41155922019615</v>
      </c>
      <c r="H58" s="2">
        <f>Table83[[#This Row],[Weight]]-Table7[[#This Row],[Weight v Morning Temp]]</f>
        <v>-4.0115592201961476</v>
      </c>
      <c r="I58" s="2">
        <f>Table7[[#This Row],[WMT Res]]^2</f>
        <v>16.092607377140723</v>
      </c>
      <c r="J58">
        <f>Regression!$E$10+(Regression!$E$9*Table83[[#This Row],[Morning Systolic Pressure]])</f>
        <v>255.00933222102856</v>
      </c>
      <c r="K58" s="2">
        <f>Table83[[#This Row],[Weight]]-Table7[[#This Row],[Weight v Morning Sys]]</f>
        <v>-3.6093322210285521</v>
      </c>
      <c r="L58" s="2">
        <f>Table7[[#This Row],[WMS Res]]^2</f>
        <v>13.027279081754902</v>
      </c>
      <c r="M58">
        <f>Regression!$F$10+(Regression!$F$9*Table83[[#This Row],[Morning Diastolic Pressure]])</f>
        <v>255.81144964056082</v>
      </c>
      <c r="N58" s="2">
        <f>Table83[[#This Row],[Weight]]-Table7[[#This Row],[Weight v Morning Dia]]</f>
        <v>-4.4114496405608179</v>
      </c>
      <c r="O58" s="2">
        <f>Table7[[#This Row],[WMD Res]]^2</f>
        <v>19.460887931204169</v>
      </c>
      <c r="P58">
        <f>Regression!$G$10+(Regression!$G$9*Table83[[#This Row],[Morning Pulse]])</f>
        <v>255.10267831985533</v>
      </c>
      <c r="Q58" s="2">
        <f>Table83[[#This Row],[Weight]]-Table7[[#This Row],[Weight v Morning Pulse]]</f>
        <v>-3.7026783198553233</v>
      </c>
      <c r="R58" s="2">
        <f>Table7[[#This Row],[WMP Res]]^2</f>
        <v>13.709826740326639</v>
      </c>
      <c r="S58">
        <f>Regression!$H$10+(Regression!$H$9*Table83[[#This Row],[Night Body Temp]])</f>
        <v>255.05687981848845</v>
      </c>
      <c r="T58" s="2">
        <f>Table83[[#This Row],[Weight]]-Table7[[#This Row],[Weight v Night Temp]]</f>
        <v>-3.6568798184884486</v>
      </c>
      <c r="U58" s="2">
        <f>Table7[[#This Row],[WNT Res]]^2</f>
        <v>13.372770006868109</v>
      </c>
      <c r="V58">
        <f>Regression!$I$10+(Regression!$I$9*Table83[[#This Row],[Night Systolic Pressure]])</f>
        <v>255.95709523136651</v>
      </c>
      <c r="W58" s="2">
        <f>Table83[[#This Row],[Weight]]-Table7[[#This Row],[Weight v Night Sys]]</f>
        <v>-4.5570952313665032</v>
      </c>
      <c r="X58" s="2">
        <f>Table7[[#This Row],[WNS Res]]^2</f>
        <v>20.767116947743322</v>
      </c>
      <c r="Y58">
        <f>Regression!$J$10+(Regression!$J$9*Table83[[#This Row],[Night Diastolic Pressure]])</f>
        <v>255.33691158474272</v>
      </c>
      <c r="Z58" s="2">
        <f>Table83[[#This Row],[Weight]]-Table7[[#This Row],[Weight v Night Dia]]</f>
        <v>-3.9369115847427167</v>
      </c>
      <c r="AA58" s="2">
        <f>Table7[[#This Row],[WND Res]]^2</f>
        <v>15.499272826081409</v>
      </c>
      <c r="AB58">
        <f>Regression!$K$10+(Regression!$K$9*Table83[[#This Row],[Night Pulse]])</f>
        <v>255.01801186503107</v>
      </c>
      <c r="AC58" s="2">
        <f>Table83[[#This Row],[Weight]]-Table7[[#This Row],[Weight v Night Pulse]]</f>
        <v>-3.6180118650310646</v>
      </c>
      <c r="AD58" s="2">
        <f>Table7[[#This Row],[WNP Res ]]^2</f>
        <v>13.090009855505564</v>
      </c>
      <c r="AE58">
        <f>Regression!$L$10+(Regression!$L$9*Table83[[#This Row],[Sleep]])</f>
        <v>255.37363536491171</v>
      </c>
      <c r="AF58" s="2">
        <f>Table83[[#This Row],[Weight]]-Table7[[#This Row],[Weight v Sleep]]</f>
        <v>-3.9736353649117007</v>
      </c>
      <c r="AG58" s="2">
        <f>Table7[[#This Row],[WS Res]]^2</f>
        <v>15.789778013276944</v>
      </c>
      <c r="AH58">
        <f>Regression!$M$10+(Regression!$M$9*Table83[[#This Row],[BMI]])</f>
        <v>251.4000000000083</v>
      </c>
      <c r="AI58" s="2">
        <f>Table83[[#This Row],[Weight]]-Table7[[#This Row],[Weight v BMI]]</f>
        <v>-8.2991391536779702E-12</v>
      </c>
      <c r="AJ58" s="2">
        <f>Table7[[#This Row],[WBMI Res]]^2</f>
        <v>6.8875710692110695E-23</v>
      </c>
      <c r="AK58">
        <f>Regression!$N$10+(Regression!$N$9*Table83[[#This Row],[CBF]])</f>
        <v>250.04675133427031</v>
      </c>
      <c r="AL58" s="2">
        <f>Table83[[#This Row],[Weight]]-Table7[[#This Row],[Weight v CBF]]</f>
        <v>1.3532486657296943</v>
      </c>
      <c r="AM58" s="2">
        <f>Table7[[#This Row],[WCBF Res]]^2</f>
        <v>1.8312819512991978</v>
      </c>
      <c r="AN58">
        <f>Regression!$O$10+(Regression!$O$9*Table83[[#This Row],[Gym]])</f>
        <v>255.46779661016953</v>
      </c>
      <c r="AO58" s="2">
        <f>Table83[[#This Row],[Weight]]-Table7[[#This Row],[Weight v Gym]]</f>
        <v>-4.0677966101695233</v>
      </c>
      <c r="AP58" s="2">
        <f>Table7[[#This Row],[WG Res]]^2</f>
        <v>16.546969261706664</v>
      </c>
      <c r="AQ58">
        <f>Regression!$P$10+(Regression!$P$9*Table83[[#This Row],[Cardio]])</f>
        <v>256.41063829787231</v>
      </c>
      <c r="AR58" s="2">
        <f>Table83[[#This Row],[Weight]]-Table7[[#This Row],[Weight v Cardio]]</f>
        <v>-5.0106382978723047</v>
      </c>
      <c r="AS58" s="2">
        <f>Table7[[#This Row],[WC Res]]^2</f>
        <v>25.106496152104668</v>
      </c>
      <c r="AT58">
        <f>Regression!$Q$10+(Regression!$Q$9*Table83[[#This Row],[Calories]])</f>
        <v>255.54354675484942</v>
      </c>
      <c r="AU58" s="2">
        <f>Table83[[#This Row],[Weight]]-Table7[[#This Row],[Weight v Calories]]</f>
        <v>-4.1435467548494103</v>
      </c>
      <c r="AV58" s="2">
        <f>Table7[[#This Row],[WCAL Res]]^2</f>
        <v>17.168979709623081</v>
      </c>
      <c r="AW58">
        <f>Regression!$R$10+(Regression!$R$9*Table83[[#This Row],[Carbs]])</f>
        <v>255.80387398185263</v>
      </c>
      <c r="AX58" s="2">
        <f>Table83[[#This Row],[Weight]]-Table7[[#This Row],[Weight v Carbs]]</f>
        <v>-4.4038739818526267</v>
      </c>
      <c r="AY58" s="2">
        <f>Table7[[#This Row],[Wcarb Res]]^2</f>
        <v>19.394106048038509</v>
      </c>
      <c r="AZ58">
        <f>Regression!$S$10+(Regression!$S$9*Table83[[#This Row],[Fat ]])</f>
        <v>255.27101102928563</v>
      </c>
      <c r="BA58" s="2">
        <f>Table83[[#This Row],[Weight]]-Table7[[#This Row],[Weight v Fat]]</f>
        <v>-3.8710110292856257</v>
      </c>
      <c r="BB58" s="2">
        <f>Table7[[#This Row],[WF Res]]^2</f>
        <v>14.984726388850959</v>
      </c>
      <c r="BC58">
        <f>Regression!$T$10+(Regression!$T$9*Table83[[#This Row],[Protein]])</f>
        <v>254.82204101530604</v>
      </c>
      <c r="BD58" s="2">
        <f>Table83[[#This Row],[Weight]]-Table7[[#This Row],[Weight v Protein]]</f>
        <v>-3.4220410153060357</v>
      </c>
      <c r="BE58" s="2">
        <f>Table7[[#This Row],[WP Res]]^2</f>
        <v>11.710364710436764</v>
      </c>
      <c r="BF58">
        <f>Regression!$U$10+(Regression!$U$9*Table83[[#This Row],[Fiber]])</f>
        <v>254.90265403961999</v>
      </c>
      <c r="BG58" s="2">
        <f>Table83[[#This Row],[Weight]]-Table7[[#This Row],[Weight v Fiber]]</f>
        <v>-3.5026540396199835</v>
      </c>
      <c r="BH58" s="2">
        <f>Table7[[#This Row],[Wfib Res]]^2</f>
        <v>12.268585321266189</v>
      </c>
      <c r="BI58">
        <f>Regression!$V$10+(Regression!$V$9*Table83[[#This Row],[Sugar]])</f>
        <v>255.75808069870939</v>
      </c>
      <c r="BJ58" s="2">
        <f>Table83[[#This Row],[Weight]]-Table7[[#This Row],[Weight v Sugar]]</f>
        <v>-4.3580806987093865</v>
      </c>
      <c r="BK58" s="2">
        <f>Table7[[#This Row],[Wsugar Res]]^2</f>
        <v>18.992867376463295</v>
      </c>
      <c r="BL58">
        <f>Regression!$W$10+(Regression!$W$9*Table83[[#This Row],[Servings]])</f>
        <v>256.69888332224326</v>
      </c>
      <c r="BM58" s="2">
        <f>Table83[[#This Row],[Weight]]-Table7[[#This Row],[Weight v Servings]]</f>
        <v>-5.2988833222432561</v>
      </c>
      <c r="BN58" s="2">
        <f>Table7[[#This Row],[Wserv Res]]^2</f>
        <v>28.078164462747726</v>
      </c>
      <c r="BO58">
        <f>Regression!$X$10+(Regression!$X$9*Table83[[#This Row],[Water]])</f>
        <v>255.23471394386095</v>
      </c>
      <c r="BP58" s="2">
        <f>Table83[[#This Row],[Weight]]-Table7[[#This Row],[Weight v Water]]</f>
        <v>-3.8347139438609474</v>
      </c>
      <c r="BQ58" s="2">
        <f>Table7[[#This Row],[Wwater Res]]^2</f>
        <v>14.705031031241582</v>
      </c>
      <c r="BR58">
        <f>Regression!$Y$10+(Regression!$Y$9*Table83[[#This Row],[Fat Calories]])</f>
        <v>255.27617053479568</v>
      </c>
      <c r="BS58" s="2">
        <f>Table83[[#This Row],[Weight]]-Table7[[#This Row],[Weight v Fat Calories]]</f>
        <v>-3.8761705347956763</v>
      </c>
      <c r="BT58" s="2">
        <f>Table7[[#This Row],[WFC Res]]^2</f>
        <v>15.024698014818199</v>
      </c>
      <c r="BU58">
        <f>Regression!$B$29+(Regression!$B$28*Table83[[#This Row],[Weight]])</f>
        <v>43.947318566926711</v>
      </c>
      <c r="BV58" s="2">
        <f>Table83[[#This Row],[Waist]]-Table7[[#This Row],[Waist v Weight]]</f>
        <v>5.2681433073288986E-2</v>
      </c>
      <c r="BW58" s="2">
        <f>Table7[[#This Row],[WaistW Res]]^2</f>
        <v>2.7753333906554265E-3</v>
      </c>
      <c r="BX58">
        <f>Regression!$C$29+(Regression!$C$28*Table83[[#This Row],[Neck]])</f>
        <v>45.258648648648581</v>
      </c>
      <c r="BY58" s="2">
        <f>Table83[[#This Row],[Waist]]-Table7[[#This Row],[Waist v Neck]]</f>
        <v>-1.2586486486485811</v>
      </c>
      <c r="BZ58" s="2">
        <f>Table7[[#This Row],[WaistN Res]]^2</f>
        <v>1.5841964207448993</v>
      </c>
      <c r="CA58">
        <f>Regression!$D$29+(Regression!$D$28*Table83[[#This Row],[Morning Body Temp]])</f>
        <v>44.534185183460714</v>
      </c>
      <c r="CB58" s="2">
        <f>Table83[[#This Row],[Waist]]-Table7[[#This Row],[Waist v Morning Temp]]</f>
        <v>-0.53418518346071409</v>
      </c>
      <c r="CC58" s="2">
        <f>Table7[[#This Row],[WaistMT Res]]^2</f>
        <v>0.28535381022895678</v>
      </c>
      <c r="CD58">
        <f>Regression!$E$29+(Regression!$E$28*Table83[[#This Row],[Morning Systolic Pressure]])</f>
        <v>44.428703916909349</v>
      </c>
      <c r="CE58" s="2">
        <f>Table83[[#This Row],[Waist]]-Table7[[#This Row],[Waist v Morning Sys]]</f>
        <v>-0.42870391690934895</v>
      </c>
      <c r="CF58" s="2">
        <f>Table7[[#This Row],[WaistMS Res]]^2</f>
        <v>0.18378704837341797</v>
      </c>
      <c r="CG58">
        <f>Regression!$F$29+(Regression!$F$28*Table83[[#This Row],[Morning Diastolic Pressure]])</f>
        <v>44.492266012826242</v>
      </c>
      <c r="CH58" s="2">
        <f>Table83[[#This Row],[Waist]]-Table7[[#This Row],[Waist v Morning Dia]]</f>
        <v>-0.49226601282624216</v>
      </c>
      <c r="CI58" s="2">
        <f>Table7[[#This Row],[WaistMD Res]]^2</f>
        <v>0.242325827383846</v>
      </c>
      <c r="CJ58">
        <f>Regression!$G$29+(Regression!$G$28*Table83[[#This Row],[Morning Pulse]])</f>
        <v>44.447860179490903</v>
      </c>
      <c r="CK58" s="2">
        <f>Table83[[#This Row],[Waist]]-Table7[[#This Row],[Waist v Morning Pulse]]</f>
        <v>-0.44786017949090251</v>
      </c>
      <c r="CL58" s="2">
        <f>Table7[[#This Row],[WaistMP Res]]^2</f>
        <v>0.20057874037362342</v>
      </c>
      <c r="CM58">
        <f>Regression!$H$29+(Regression!$H$28*Table83[[#This Row],[Night Body Temp]])</f>
        <v>44.448953954659181</v>
      </c>
      <c r="CN58" s="2">
        <f>Table83[[#This Row],[Waist]]-Table7[[#This Row],[Waist v Night Temp]]</f>
        <v>-0.44895395465918142</v>
      </c>
      <c r="CO58" s="2">
        <f>Table7[[#This Row],[WaistNT Res]]^2</f>
        <v>0.20155965340411833</v>
      </c>
      <c r="CP58">
        <f>Regression!$I$29+(Regression!$I$28*Table83[[#This Row],[Night Systolic Pressure]])</f>
        <v>44.572820229910121</v>
      </c>
      <c r="CQ58" s="2">
        <f>Table83[[#This Row],[Waist]]-Table7[[#This Row],[Waist v  Night Sys]]</f>
        <v>-0.57282022991012127</v>
      </c>
      <c r="CR58" s="2">
        <f>Table7[[#This Row],[WaistNS Res]]^2</f>
        <v>0.32812301579428421</v>
      </c>
      <c r="CS58">
        <f>Regression!$J$29+(Regression!$J$28*Table83[[#This Row],[Night Diastolic Pressure]])</f>
        <v>44.546431737190943</v>
      </c>
      <c r="CT58" s="2">
        <f>Table83[[#This Row],[Waist]]-Table7[[#This Row],[Waist v Night Dia]]</f>
        <v>-0.54643173719094307</v>
      </c>
      <c r="CU58" s="2">
        <f>Table7[[#This Row],[WaistND Res]]^2</f>
        <v>0.29858764340951188</v>
      </c>
      <c r="CV58">
        <f>Regression!$K$29+(Regression!$K$28*Table83[[#This Row],[Night Pulse]])</f>
        <v>44.462565118876235</v>
      </c>
      <c r="CW58" s="2">
        <f>Table83[[#This Row],[Waist]]-Table7[[#This Row],[Waist v Night Pulse]]</f>
        <v>-0.46256511887623475</v>
      </c>
      <c r="CX58" s="2">
        <f>Table7[[#This Row],[WaistNP Res]]^2</f>
        <v>0.21396648920098518</v>
      </c>
      <c r="CY58">
        <f>Regression!$L$29+(Regression!$L$28*Table83[[#This Row],[Sleep]])</f>
        <v>44.492966078854842</v>
      </c>
      <c r="CZ58" s="2">
        <f>Table83[[#This Row],[Waist]]-Table7[[#This Row],[Waist v  Sleep]]</f>
        <v>-0.49296607885484178</v>
      </c>
      <c r="DA58" s="2">
        <f>Table7[[#This Row],[WaistS Res]]^2</f>
        <v>0.24301555490151808</v>
      </c>
      <c r="DB58">
        <f>Regression!$M$29+(Regression!$M$28*Table83[[#This Row],[BMI]])</f>
        <v>43.947318566928317</v>
      </c>
      <c r="DC58" s="2">
        <f>Table83[[#This Row],[Waist]]-Table7[[#This Row],[Waist v BMI]]</f>
        <v>5.2681433071683159E-2</v>
      </c>
      <c r="DD58" s="2">
        <f>Table7[[#This Row],[WaistBMI Res]]^2</f>
        <v>2.7753333904862319E-3</v>
      </c>
      <c r="DE58">
        <f>Regression!$N$29+(Regression!$N$28*Table83[[#This Row],[CBF]])</f>
        <v>43.540887941991329</v>
      </c>
      <c r="DF58" s="2">
        <f>Table83[[#This Row],[Waist]]-Table7[[#This Row],[Waist v  CBF]]</f>
        <v>0.45911205800867094</v>
      </c>
      <c r="DG58" s="2">
        <f>Table7[[#This Row],[WaistCBF Res]]^2</f>
        <v>0.21078388180895724</v>
      </c>
      <c r="DH58">
        <f>Regression!$O$29+(Regression!$O$28*Table83[[#This Row],[Gym]])</f>
        <v>44.550847457627107</v>
      </c>
      <c r="DI58" s="2">
        <f>Table83[[#This Row],[Waist]]-Table7[[#This Row],[Waist v  Gym]]</f>
        <v>-0.55084745762710696</v>
      </c>
      <c r="DJ58" s="2">
        <f>Table7[[#This Row],[WaistGYM Res]]^2</f>
        <v>0.30343292157424739</v>
      </c>
      <c r="DK58">
        <f>Regression!$P$29+(Regression!$P$28*Table83[[#This Row],[Cardio]])</f>
        <v>44.680851063829778</v>
      </c>
      <c r="DL58" s="2">
        <f>Table83[[#This Row],[Waist]]-Table7[[#This Row],[Waist v Cardio]]</f>
        <v>-0.68085106382977756</v>
      </c>
      <c r="DM58" s="2">
        <f>Table7[[#This Row],[WaistC Res]]^2</f>
        <v>0.46355817111813985</v>
      </c>
      <c r="DN58">
        <f>Regression!$Q$29+(Regression!$Q$28*Table83[[#This Row],[Calories]])</f>
        <v>44.549814832304449</v>
      </c>
      <c r="DO58" s="2">
        <f>Table83[[#This Row],[Waist]]-Table7[[#This Row],[Waist v Calories]]</f>
        <v>-0.54981483230444894</v>
      </c>
      <c r="DP58" s="2">
        <f>Table7[[#This Row],[WaistCal Res]]^2</f>
        <v>0.30229634982196929</v>
      </c>
      <c r="DQ58">
        <f>Regression!$R$29+(Regression!$R$28*Table83[[#This Row],[Carbs]])</f>
        <v>44.596949955413386</v>
      </c>
      <c r="DR58" s="2">
        <f>Table83[[#This Row],[Waist]]-Table7[[#This Row],[Waist v Carbs]]</f>
        <v>-0.59694995541338614</v>
      </c>
      <c r="DS58" s="2">
        <f>Table7[[#This Row],[WaistCarb Res]]^2</f>
        <v>0.35634924926804368</v>
      </c>
      <c r="DT58">
        <f>Regression!$S$29+(Regression!$S$28*Table83[[#This Row],[Fat ]])</f>
        <v>44.501215567432929</v>
      </c>
      <c r="DU58" s="2">
        <f>Table83[[#This Row],[Waist]]-Table7[[#This Row],[Waist v Fat]]</f>
        <v>-0.50121556743292928</v>
      </c>
      <c r="DV58" s="2">
        <f>Table7[[#This Row],[WaistF Res]]^2</f>
        <v>0.25121704503711328</v>
      </c>
      <c r="DW58">
        <f>Regression!$T$29+(Regression!$T$28*Table83[[#This Row],[Protein]])</f>
        <v>44.399909347434267</v>
      </c>
      <c r="DX58" s="2">
        <f>Table83[[#This Row],[Waist]]-Table7[[#This Row],[Waist v Protein]]</f>
        <v>-0.3999093474342672</v>
      </c>
      <c r="DY58" s="2">
        <f>Table7[[#This Row],[WaistP Res]]^2</f>
        <v>0.15992748616530145</v>
      </c>
      <c r="DZ58">
        <f>Regression!$U$29+(Regression!$U$28*Table83[[#This Row],[Fiber]])</f>
        <v>44.371586947395279</v>
      </c>
      <c r="EA58" s="2">
        <f>Table83[[#This Row],[Waist]]-Table7[[#This Row],[Waist v Fiber]]</f>
        <v>-0.37158694739527931</v>
      </c>
      <c r="EB58" s="2">
        <f>Table7[[#This Row],[WaistFib Res]]^2</f>
        <v>0.13807685947454207</v>
      </c>
      <c r="EC58">
        <f>Regression!$V$29+(Regression!$V$28*Table83[[#This Row],[Sugar]])</f>
        <v>44.569054149614061</v>
      </c>
      <c r="ED58" s="2">
        <f>Table83[[#This Row],[Waist]]-Table7[[#This Row],[Waist v Sugar]]</f>
        <v>-0.56905414961406109</v>
      </c>
      <c r="EE58" s="2">
        <f>Table7[[#This Row],[WaistSugar Res]]^2</f>
        <v>0.32382262519298222</v>
      </c>
      <c r="EF58">
        <f>Regression!$W$29+(Regression!$W$28*Table83[[#This Row],[Servings]])</f>
        <v>44.695207279019115</v>
      </c>
      <c r="EG58" s="2">
        <f>Table83[[#This Row],[Waist]]-Table7[[#This Row],[Waist v Servings]]</f>
        <v>-0.69520727901911528</v>
      </c>
      <c r="EH58" s="2">
        <f>Table7[[#This Row],[WaistServ Res]]^2</f>
        <v>0.48331316080116199</v>
      </c>
      <c r="EI58">
        <f>Regression!$X$29+(Regression!$X$28*Table83[[#This Row],[Water]])</f>
        <v>44.609733984485779</v>
      </c>
      <c r="EJ58" s="2">
        <f>Table83[[#This Row],[Waist]]-Table7[[#This Row],[Waist v Water]]</f>
        <v>-0.60973398448577854</v>
      </c>
      <c r="EK58" s="2">
        <f>Table7[[#This Row],[WaistWat Res]]^2</f>
        <v>0.37177553183690359</v>
      </c>
      <c r="EL58">
        <f>Regression!$Y$29+(Regression!$Y$28*Table83[[#This Row],[Fat Calories]])</f>
        <v>44.502542962112415</v>
      </c>
      <c r="EM58" s="2">
        <f>Table83[[#This Row],[Waist]]-Table7[[#This Row],[Waist v Fat Calories]]</f>
        <v>-0.50254296211241467</v>
      </c>
      <c r="EN58" s="2">
        <f>Table7[[#This Row],[WaistFatCal Res]]^2</f>
        <v>0.25254942876871983</v>
      </c>
    </row>
    <row r="59" spans="1:144" x14ac:dyDescent="0.25">
      <c r="A59">
        <f>Regression!$B$10+(Regression!$B$9*Table83[[#This Row],[Waist]])</f>
        <v>252.52625917894264</v>
      </c>
      <c r="B59" s="2">
        <f>Table83[[#This Row],[Weight]]-Table7[[#This Row],[Weight v Waist]]</f>
        <v>-2.5262591789426381</v>
      </c>
      <c r="C59" s="2">
        <f>Table7[[#This Row],[Weight v Waist Res]]^2</f>
        <v>6.381985439191932</v>
      </c>
      <c r="D59">
        <f>Regression!$C$10+(Regression!$C$9*Table83[[#This Row],[Neck]])</f>
        <v>260.39308108104251</v>
      </c>
      <c r="E59" s="2">
        <f>Table83[[#This Row],[Weight]]-Table7[[#This Row],[Weight v Neck]]</f>
        <v>-10.39308108104251</v>
      </c>
      <c r="F59" s="2">
        <f>Table7[[#This Row],[WN Res]]^2</f>
        <v>108.01613435712375</v>
      </c>
      <c r="G59">
        <f>Regression!$D$10+(Regression!$D$9*Table83[[#This Row],[Morning Body Temp]])</f>
        <v>254.91876934063959</v>
      </c>
      <c r="H59" s="2">
        <f>Table83[[#This Row],[Weight]]-Table7[[#This Row],[Weight v Morning Temp]]</f>
        <v>-4.9187693406395852</v>
      </c>
      <c r="I59" s="2">
        <f>Table7[[#This Row],[WMT Res]]^2</f>
        <v>24.194291826415981</v>
      </c>
      <c r="J59">
        <f>Regression!$E$10+(Regression!$E$9*Table83[[#This Row],[Morning Systolic Pressure]])</f>
        <v>254.91917781330181</v>
      </c>
      <c r="K59" s="2">
        <f>Table83[[#This Row],[Weight]]-Table7[[#This Row],[Weight v Morning Sys]]</f>
        <v>-4.9191778133018147</v>
      </c>
      <c r="L59" s="2">
        <f>Table7[[#This Row],[WMS Res]]^2</f>
        <v>24.198310358880825</v>
      </c>
      <c r="M59">
        <f>Regression!$F$10+(Regression!$F$9*Table83[[#This Row],[Morning Diastolic Pressure]])</f>
        <v>255.00069564820177</v>
      </c>
      <c r="N59" s="2">
        <f>Table83[[#This Row],[Weight]]-Table7[[#This Row],[Weight v Morning Dia]]</f>
        <v>-5.0006956482017699</v>
      </c>
      <c r="O59" s="2">
        <f>Table7[[#This Row],[WMD Res]]^2</f>
        <v>25.00695696594412</v>
      </c>
      <c r="P59">
        <f>Regression!$G$10+(Regression!$G$9*Table83[[#This Row],[Morning Pulse]])</f>
        <v>255.13375084772755</v>
      </c>
      <c r="Q59" s="2">
        <f>Table83[[#This Row],[Weight]]-Table7[[#This Row],[Weight v Morning Pulse]]</f>
        <v>-5.1337508477275549</v>
      </c>
      <c r="R59" s="2">
        <f>Table7[[#This Row],[WMP Res]]^2</f>
        <v>26.355397766543387</v>
      </c>
      <c r="S59">
        <f>Regression!$H$10+(Regression!$H$9*Table83[[#This Row],[Night Body Temp]])</f>
        <v>254.74879010704339</v>
      </c>
      <c r="T59" s="2">
        <f>Table83[[#This Row],[Weight]]-Table7[[#This Row],[Weight v Night Temp]]</f>
        <v>-4.7487901070433907</v>
      </c>
      <c r="U59" s="2">
        <f>Table7[[#This Row],[WNT Res]]^2</f>
        <v>22.551007480753178</v>
      </c>
      <c r="V59">
        <f>Regression!$I$10+(Regression!$I$9*Table83[[#This Row],[Night Systolic Pressure]])</f>
        <v>252.87775021051243</v>
      </c>
      <c r="W59" s="2">
        <f>Table83[[#This Row],[Weight]]-Table7[[#This Row],[Weight v Night Sys]]</f>
        <v>-2.8777502105124313</v>
      </c>
      <c r="X59" s="2">
        <f>Table7[[#This Row],[WNS Res]]^2</f>
        <v>8.2814462741043418</v>
      </c>
      <c r="Y59">
        <f>Regression!$J$10+(Regression!$J$9*Table83[[#This Row],[Night Diastolic Pressure]])</f>
        <v>255.1330822426622</v>
      </c>
      <c r="Z59" s="2">
        <f>Table83[[#This Row],[Weight]]-Table7[[#This Row],[Weight v Night Dia]]</f>
        <v>-5.1330822426621978</v>
      </c>
      <c r="AA59" s="2">
        <f>Table7[[#This Row],[WND Res]]^2</f>
        <v>26.348533309933977</v>
      </c>
      <c r="AB59">
        <f>Regression!$K$10+(Regression!$K$9*Table83[[#This Row],[Night Pulse]])</f>
        <v>254.71087855266379</v>
      </c>
      <c r="AC59" s="2">
        <f>Table83[[#This Row],[Weight]]-Table7[[#This Row],[Weight v Night Pulse]]</f>
        <v>-4.710878552663786</v>
      </c>
      <c r="AD59" s="2">
        <f>Table7[[#This Row],[WNP Res ]]^2</f>
        <v>22.192376737947647</v>
      </c>
      <c r="AE59">
        <f>Regression!$L$10+(Regression!$L$9*Table83[[#This Row],[Sleep]])</f>
        <v>254.97929263569441</v>
      </c>
      <c r="AF59" s="2">
        <f>Table83[[#This Row],[Weight]]-Table7[[#This Row],[Weight v Sleep]]</f>
        <v>-4.9792926356944065</v>
      </c>
      <c r="AG59" s="2">
        <f>Table7[[#This Row],[WS Res]]^2</f>
        <v>24.793355151880551</v>
      </c>
      <c r="AH59">
        <f>Regression!$M$10+(Regression!$M$9*Table83[[#This Row],[BMI]])</f>
        <v>250.00000000001145</v>
      </c>
      <c r="AI59" s="2">
        <f>Table83[[#This Row],[Weight]]-Table7[[#This Row],[Weight v BMI]]</f>
        <v>-1.1453948900452815E-11</v>
      </c>
      <c r="AJ59" s="2">
        <f>Table7[[#This Row],[WBMI Res]]^2</f>
        <v>1.3119294541418425E-22</v>
      </c>
      <c r="AK59">
        <f>Regression!$N$10+(Regression!$N$9*Table83[[#This Row],[CBF]])</f>
        <v>250.04675133427031</v>
      </c>
      <c r="AL59" s="2">
        <f>Table83[[#This Row],[Weight]]-Table7[[#This Row],[Weight v CBF]]</f>
        <v>-4.6751334270311418E-2</v>
      </c>
      <c r="AM59" s="2">
        <f>Table7[[#This Row],[WCBF Res]]^2</f>
        <v>2.1856872560543947E-3</v>
      </c>
      <c r="AN59">
        <f>Regression!$O$10+(Regression!$O$9*Table83[[#This Row],[Gym]])</f>
        <v>255.46779661016953</v>
      </c>
      <c r="AO59" s="2">
        <f>Table83[[#This Row],[Weight]]-Table7[[#This Row],[Weight v Gym]]</f>
        <v>-5.467796610169529</v>
      </c>
      <c r="AP59" s="2">
        <f>Table7[[#This Row],[WG Res]]^2</f>
        <v>29.896799770181392</v>
      </c>
      <c r="AQ59">
        <f>Regression!$P$10+(Regression!$P$9*Table83[[#This Row],[Cardio]])</f>
        <v>254.19242424242461</v>
      </c>
      <c r="AR59" s="2">
        <f>Table83[[#This Row],[Weight]]-Table7[[#This Row],[Weight v Cardio]]</f>
        <v>-4.1924242424246074</v>
      </c>
      <c r="AS59" s="2">
        <f>Table7[[#This Row],[WC Res]]^2</f>
        <v>17.576421028469543</v>
      </c>
      <c r="AT59">
        <f>Regression!$Q$10+(Regression!$Q$9*Table83[[#This Row],[Calories]])</f>
        <v>255.91756322384541</v>
      </c>
      <c r="AU59" s="2">
        <f>Table83[[#This Row],[Weight]]-Table7[[#This Row],[Weight v Calories]]</f>
        <v>-5.9175632238454057</v>
      </c>
      <c r="AV59" s="2">
        <f>Table7[[#This Row],[WCAL Res]]^2</f>
        <v>35.017554508207631</v>
      </c>
      <c r="AW59">
        <f>Regression!$R$10+(Regression!$R$9*Table83[[#This Row],[Carbs]])</f>
        <v>256.22817240254062</v>
      </c>
      <c r="AX59" s="2">
        <f>Table83[[#This Row],[Weight]]-Table7[[#This Row],[Weight v Carbs]]</f>
        <v>-6.228172402540622</v>
      </c>
      <c r="AY59" s="2">
        <f>Table7[[#This Row],[Wcarb Res]]^2</f>
        <v>38.790131475768625</v>
      </c>
      <c r="AZ59">
        <f>Regression!$S$10+(Regression!$S$9*Table83[[#This Row],[Fat ]])</f>
        <v>255.40483397601952</v>
      </c>
      <c r="BA59" s="2">
        <f>Table83[[#This Row],[Weight]]-Table7[[#This Row],[Weight v Fat]]</f>
        <v>-5.4048339760195176</v>
      </c>
      <c r="BB59" s="2">
        <f>Table7[[#This Row],[WF Res]]^2</f>
        <v>29.212230308334949</v>
      </c>
      <c r="BC59">
        <f>Regression!$T$10+(Regression!$T$9*Table83[[#This Row],[Protein]])</f>
        <v>255.80803427882</v>
      </c>
      <c r="BD59" s="2">
        <f>Table83[[#This Row],[Weight]]-Table7[[#This Row],[Weight v Protein]]</f>
        <v>-5.8080342788200028</v>
      </c>
      <c r="BE59" s="2">
        <f>Table7[[#This Row],[WP Res]]^2</f>
        <v>33.733262183948192</v>
      </c>
      <c r="BF59">
        <f>Regression!$U$10+(Regression!$U$9*Table83[[#This Row],[Fiber]])</f>
        <v>254.87292565159558</v>
      </c>
      <c r="BG59" s="2">
        <f>Table83[[#This Row],[Weight]]-Table7[[#This Row],[Weight v Fiber]]</f>
        <v>-4.8729256515955797</v>
      </c>
      <c r="BH59" s="2">
        <f>Table7[[#This Row],[Wfib Res]]^2</f>
        <v>23.745404405978206</v>
      </c>
      <c r="BI59">
        <f>Regression!$V$10+(Regression!$V$9*Table83[[#This Row],[Sugar]])</f>
        <v>256.71181136058027</v>
      </c>
      <c r="BJ59" s="2">
        <f>Table83[[#This Row],[Weight]]-Table7[[#This Row],[Weight v Sugar]]</f>
        <v>-6.7118113605802705</v>
      </c>
      <c r="BK59" s="2">
        <f>Table7[[#This Row],[Wsugar Res]]^2</f>
        <v>45.04841174001438</v>
      </c>
      <c r="BL59">
        <f>Regression!$W$10+(Regression!$W$9*Table83[[#This Row],[Servings]])</f>
        <v>256.83267041826741</v>
      </c>
      <c r="BM59" s="2">
        <f>Table83[[#This Row],[Weight]]-Table7[[#This Row],[Weight v Servings]]</f>
        <v>-6.8326704182674121</v>
      </c>
      <c r="BN59" s="2">
        <f>Table7[[#This Row],[Wserv Res]]^2</f>
        <v>46.685385044666575</v>
      </c>
      <c r="BO59">
        <f>Regression!$X$10+(Regression!$X$9*Table83[[#This Row],[Water]])</f>
        <v>255.19189796045953</v>
      </c>
      <c r="BP59" s="2">
        <f>Table83[[#This Row],[Weight]]-Table7[[#This Row],[Weight v Water]]</f>
        <v>-5.1918979604595279</v>
      </c>
      <c r="BQ59" s="2">
        <f>Table7[[#This Row],[Wwater Res]]^2</f>
        <v>26.955804431823804</v>
      </c>
      <c r="BR59">
        <f>Regression!$Y$10+(Regression!$Y$9*Table83[[#This Row],[Fat Calories]])</f>
        <v>255.41859181578022</v>
      </c>
      <c r="BS59" s="2">
        <f>Table83[[#This Row],[Weight]]-Table7[[#This Row],[Weight v Fat Calories]]</f>
        <v>-5.4185918157802178</v>
      </c>
      <c r="BT59" s="2">
        <f>Table7[[#This Row],[WFC Res]]^2</f>
        <v>29.361137266040359</v>
      </c>
      <c r="BU59">
        <f>Regression!$B$29+(Regression!$B$28*Table83[[#This Row],[Weight]])</f>
        <v>43.756551052128735</v>
      </c>
      <c r="BV59" s="2">
        <f>Table83[[#This Row],[Waist]]-Table7[[#This Row],[Waist v Weight]]</f>
        <v>0.24344894787126492</v>
      </c>
      <c r="BW59" s="2">
        <f>Table7[[#This Row],[WaistW Res]]^2</f>
        <v>5.9267390219625862E-2</v>
      </c>
      <c r="BX59">
        <f>Regression!$C$29+(Regression!$C$28*Table83[[#This Row],[Neck]])</f>
        <v>45.258648648648581</v>
      </c>
      <c r="BY59" s="2">
        <f>Table83[[#This Row],[Waist]]-Table7[[#This Row],[Waist v Neck]]</f>
        <v>-1.2586486486485811</v>
      </c>
      <c r="BZ59" s="2">
        <f>Table7[[#This Row],[WaistN Res]]^2</f>
        <v>1.5841964207448993</v>
      </c>
      <c r="CA59">
        <f>Regression!$D$29+(Regression!$D$28*Table83[[#This Row],[Morning Body Temp]])</f>
        <v>44.400157491229571</v>
      </c>
      <c r="CB59" s="2">
        <f>Table83[[#This Row],[Waist]]-Table7[[#This Row],[Waist v Morning Temp]]</f>
        <v>-0.40015749122957089</v>
      </c>
      <c r="CC59" s="2">
        <f>Table7[[#This Row],[WaistMT Res]]^2</f>
        <v>0.16012601778714411</v>
      </c>
      <c r="CD59">
        <f>Regression!$E$29+(Regression!$E$28*Table83[[#This Row],[Morning Systolic Pressure]])</f>
        <v>44.407523106424492</v>
      </c>
      <c r="CE59" s="2">
        <f>Table83[[#This Row],[Waist]]-Table7[[#This Row],[Waist v Morning Sys]]</f>
        <v>-0.40752310642449174</v>
      </c>
      <c r="CF59" s="2">
        <f>Table7[[#This Row],[WaistMS Res]]^2</f>
        <v>0.16607508226986761</v>
      </c>
      <c r="CG59">
        <f>Regression!$F$29+(Regression!$F$28*Table83[[#This Row],[Morning Diastolic Pressure]])</f>
        <v>44.447181047475404</v>
      </c>
      <c r="CH59" s="2">
        <f>Table83[[#This Row],[Waist]]-Table7[[#This Row],[Waist v Morning Dia]]</f>
        <v>-0.44718104747540366</v>
      </c>
      <c r="CI59" s="2">
        <f>Table7[[#This Row],[WaistMD Res]]^2</f>
        <v>0.19997088922119921</v>
      </c>
      <c r="CJ59">
        <f>Regression!$G$29+(Regression!$G$28*Table83[[#This Row],[Morning Pulse]])</f>
        <v>44.462131723242337</v>
      </c>
      <c r="CK59" s="2">
        <f>Table83[[#This Row],[Waist]]-Table7[[#This Row],[Waist v Morning Pulse]]</f>
        <v>-0.46213172324233653</v>
      </c>
      <c r="CL59" s="2">
        <f>Table7[[#This Row],[WaistMP Res]]^2</f>
        <v>0.21356572962693152</v>
      </c>
      <c r="CM59">
        <f>Regression!$H$29+(Regression!$H$28*Table83[[#This Row],[Night Body Temp]])</f>
        <v>44.424663183244519</v>
      </c>
      <c r="CN59" s="2">
        <f>Table83[[#This Row],[Waist]]-Table7[[#This Row],[Waist v Night Temp]]</f>
        <v>-0.4246631832445189</v>
      </c>
      <c r="CO59" s="2">
        <f>Table7[[#This Row],[WaistNT Res]]^2</f>
        <v>0.18033881920336783</v>
      </c>
      <c r="CP59">
        <f>Regression!$I$29+(Regression!$I$28*Table83[[#This Row],[Night Systolic Pressure]])</f>
        <v>44.136616800141717</v>
      </c>
      <c r="CQ59" s="2">
        <f>Table83[[#This Row],[Waist]]-Table7[[#This Row],[Waist v  Night Sys]]</f>
        <v>-0.13661680014171651</v>
      </c>
      <c r="CR59" s="2">
        <f>Table7[[#This Row],[WaistNS Res]]^2</f>
        <v>1.8664150080961714E-2</v>
      </c>
      <c r="CS59">
        <f>Regression!$J$29+(Regression!$J$28*Table83[[#This Row],[Night Diastolic Pressure]])</f>
        <v>44.461092011153731</v>
      </c>
      <c r="CT59" s="2">
        <f>Table83[[#This Row],[Waist]]-Table7[[#This Row],[Waist v Night Dia]]</f>
        <v>-0.46109201115373111</v>
      </c>
      <c r="CU59" s="2">
        <f>Table7[[#This Row],[WaistND Res]]^2</f>
        <v>0.2126058427497925</v>
      </c>
      <c r="CV59">
        <f>Regression!$K$29+(Regression!$K$28*Table83[[#This Row],[Night Pulse]])</f>
        <v>44.49113258198588</v>
      </c>
      <c r="CW59" s="2">
        <f>Table83[[#This Row],[Waist]]-Table7[[#This Row],[Waist v Night Pulse]]</f>
        <v>-0.49113258198588028</v>
      </c>
      <c r="CX59" s="2">
        <f>Table7[[#This Row],[WaistNP Res]]^2</f>
        <v>0.24121121308811741</v>
      </c>
      <c r="CY59">
        <f>Regression!$L$29+(Regression!$L$28*Table83[[#This Row],[Sleep]])</f>
        <v>44.432842368860271</v>
      </c>
      <c r="CZ59" s="2">
        <f>Table83[[#This Row],[Waist]]-Table7[[#This Row],[Waist v  Sleep]]</f>
        <v>-0.43284236886027116</v>
      </c>
      <c r="DA59" s="2">
        <f>Table7[[#This Row],[WaistS Res]]^2</f>
        <v>0.18735251628057104</v>
      </c>
      <c r="DB59">
        <f>Regression!$M$29+(Regression!$M$28*Table83[[#This Row],[BMI]])</f>
        <v>43.756551052130952</v>
      </c>
      <c r="DC59" s="2">
        <f>Table83[[#This Row],[Waist]]-Table7[[#This Row],[Waist v BMI]]</f>
        <v>0.24344894786904803</v>
      </c>
      <c r="DD59" s="2">
        <f>Table7[[#This Row],[WaistBMI Res]]^2</f>
        <v>5.9267390218546462E-2</v>
      </c>
      <c r="DE59">
        <f>Regression!$N$29+(Regression!$N$28*Table83[[#This Row],[CBF]])</f>
        <v>43.540887941991329</v>
      </c>
      <c r="DF59" s="2">
        <f>Table83[[#This Row],[Waist]]-Table7[[#This Row],[Waist v  CBF]]</f>
        <v>0.45911205800867094</v>
      </c>
      <c r="DG59" s="2">
        <f>Table7[[#This Row],[WaistCBF Res]]^2</f>
        <v>0.21078388180895724</v>
      </c>
      <c r="DH59">
        <f>Regression!$O$29+(Regression!$O$28*Table83[[#This Row],[Gym]])</f>
        <v>44.550847457627107</v>
      </c>
      <c r="DI59" s="2">
        <f>Table83[[#This Row],[Waist]]-Table7[[#This Row],[Waist v  Gym]]</f>
        <v>-0.55084745762710696</v>
      </c>
      <c r="DJ59" s="2">
        <f>Table7[[#This Row],[WaistGYM Res]]^2</f>
        <v>0.30343292157424739</v>
      </c>
      <c r="DK59">
        <f>Regression!$P$29+(Regression!$P$28*Table83[[#This Row],[Cardio]])</f>
        <v>44.291666666666664</v>
      </c>
      <c r="DL59" s="2">
        <f>Table83[[#This Row],[Waist]]-Table7[[#This Row],[Waist v Cardio]]</f>
        <v>-0.2916666666666643</v>
      </c>
      <c r="DM59" s="2">
        <f>Table7[[#This Row],[WaistC Res]]^2</f>
        <v>8.506944444444306E-2</v>
      </c>
      <c r="DN59">
        <f>Regression!$Q$29+(Regression!$Q$28*Table83[[#This Row],[Calories]])</f>
        <v>44.633848037328654</v>
      </c>
      <c r="DO59" s="2">
        <f>Table83[[#This Row],[Waist]]-Table7[[#This Row],[Waist v Calories]]</f>
        <v>-0.63384803732865436</v>
      </c>
      <c r="DP59" s="2">
        <f>Table7[[#This Row],[WaistCal Res]]^2</f>
        <v>0.4017633344253872</v>
      </c>
      <c r="DQ59">
        <f>Regression!$R$29+(Regression!$R$28*Table83[[#This Row],[Carbs]])</f>
        <v>44.685286288299061</v>
      </c>
      <c r="DR59" s="2">
        <f>Table83[[#This Row],[Waist]]-Table7[[#This Row],[Waist v Carbs]]</f>
        <v>-0.68528628829906069</v>
      </c>
      <c r="DS59" s="2">
        <f>Table7[[#This Row],[WaistCarb Res]]^2</f>
        <v>0.46961729693070331</v>
      </c>
      <c r="DT59">
        <f>Regression!$S$29+(Regression!$S$28*Table83[[#This Row],[Fat ]])</f>
        <v>44.542122410193237</v>
      </c>
      <c r="DU59" s="2">
        <f>Table83[[#This Row],[Waist]]-Table7[[#This Row],[Waist v Fat]]</f>
        <v>-0.5421224101932367</v>
      </c>
      <c r="DV59" s="2">
        <f>Table7[[#This Row],[WaistF Res]]^2</f>
        <v>0.293896707633724</v>
      </c>
      <c r="DW59">
        <f>Regression!$T$29+(Regression!$T$28*Table83[[#This Row],[Protein]])</f>
        <v>44.580382740808453</v>
      </c>
      <c r="DX59" s="2">
        <f>Table83[[#This Row],[Waist]]-Table7[[#This Row],[Waist v Protein]]</f>
        <v>-0.58038274080845298</v>
      </c>
      <c r="DY59" s="2">
        <f>Table7[[#This Row],[WaistP Res]]^2</f>
        <v>0.3368441258283319</v>
      </c>
      <c r="DZ59">
        <f>Regression!$U$29+(Regression!$U$28*Table83[[#This Row],[Fiber]])</f>
        <v>44.360115953007281</v>
      </c>
      <c r="EA59" s="2">
        <f>Table83[[#This Row],[Waist]]-Table7[[#This Row],[Waist v Fiber]]</f>
        <v>-0.36011595300728061</v>
      </c>
      <c r="EB59" s="2">
        <f>Table7[[#This Row],[WaistFib Res]]^2</f>
        <v>0.12968349961034192</v>
      </c>
      <c r="EC59">
        <f>Regression!$V$29+(Regression!$V$28*Table83[[#This Row],[Sugar]])</f>
        <v>44.740381226035417</v>
      </c>
      <c r="ED59" s="2">
        <f>Table83[[#This Row],[Waist]]-Table7[[#This Row],[Waist v Sugar]]</f>
        <v>-0.74038122603541723</v>
      </c>
      <c r="EE59" s="2">
        <f>Table7[[#This Row],[WaistSugar Res]]^2</f>
        <v>0.54816435986570755</v>
      </c>
      <c r="EF59">
        <f>Regression!$W$29+(Regression!$W$28*Table83[[#This Row],[Servings]])</f>
        <v>44.715620960979997</v>
      </c>
      <c r="EG59" s="2">
        <f>Table83[[#This Row],[Waist]]-Table7[[#This Row],[Waist v Servings]]</f>
        <v>-0.71562096097999728</v>
      </c>
      <c r="EH59" s="2">
        <f>Table7[[#This Row],[WaistServ Res]]^2</f>
        <v>0.5121133597939348</v>
      </c>
      <c r="EI59">
        <f>Regression!$X$29+(Regression!$X$28*Table83[[#This Row],[Water]])</f>
        <v>44.553850107074496</v>
      </c>
      <c r="EJ59" s="2">
        <f>Table83[[#This Row],[Waist]]-Table7[[#This Row],[Waist v Water]]</f>
        <v>-0.55385010707449567</v>
      </c>
      <c r="EK59" s="2">
        <f>Table7[[#This Row],[WaistWat Res]]^2</f>
        <v>0.30674994110643033</v>
      </c>
      <c r="EL59">
        <f>Regression!$Y$29+(Regression!$Y$28*Table83[[#This Row],[Fat Calories]])</f>
        <v>44.545857370785221</v>
      </c>
      <c r="EM59" s="2">
        <f>Table83[[#This Row],[Waist]]-Table7[[#This Row],[Waist v Fat Calories]]</f>
        <v>-0.54585737078522101</v>
      </c>
      <c r="EN59" s="2">
        <f>Table7[[#This Row],[WaistFatCal Res]]^2</f>
        <v>0.29796026924055424</v>
      </c>
    </row>
    <row r="60" spans="1:144" x14ac:dyDescent="0.25">
      <c r="A60">
        <f>Regression!$B$10+(Regression!$B$9*Table83[[#This Row],[Waist]])</f>
        <v>252.52625917894264</v>
      </c>
      <c r="B60" s="2">
        <f>Table83[[#This Row],[Weight]]-Table7[[#This Row],[Weight v Waist]]</f>
        <v>-2.9262591789426438</v>
      </c>
      <c r="C60" s="2">
        <f>Table7[[#This Row],[Weight v Waist Res]]^2</f>
        <v>8.5629927823460754</v>
      </c>
      <c r="D60">
        <f>Regression!$C$10+(Regression!$C$9*Table83[[#This Row],[Neck]])</f>
        <v>260.39308108104251</v>
      </c>
      <c r="E60" s="2">
        <f>Table83[[#This Row],[Weight]]-Table7[[#This Row],[Weight v Neck]]</f>
        <v>-10.793081081042516</v>
      </c>
      <c r="F60" s="2">
        <f>Table7[[#This Row],[WN Res]]^2</f>
        <v>116.49059922195788</v>
      </c>
      <c r="G60">
        <f>Regression!$D$10+(Regression!$D$9*Table83[[#This Row],[Morning Body Temp]])</f>
        <v>255.3411606659738</v>
      </c>
      <c r="H60" s="2">
        <f>Table83[[#This Row],[Weight]]-Table7[[#This Row],[Weight v Morning Temp]]</f>
        <v>-5.7411606659738084</v>
      </c>
      <c r="I60" s="2">
        <f>Table7[[#This Row],[WMT Res]]^2</f>
        <v>32.960925792524826</v>
      </c>
      <c r="J60">
        <f>Regression!$E$10+(Regression!$E$9*Table83[[#This Row],[Morning Systolic Pressure]])</f>
        <v>254.46840577466799</v>
      </c>
      <c r="K60" s="2">
        <f>Table83[[#This Row],[Weight]]-Table7[[#This Row],[Weight v Morning Sys]]</f>
        <v>-4.8684057746679912</v>
      </c>
      <c r="L60" s="2">
        <f>Table7[[#This Row],[WMS Res]]^2</f>
        <v>23.701374786820644</v>
      </c>
      <c r="M60">
        <f>Regression!$F$10+(Regression!$F$9*Table83[[#This Row],[Morning Diastolic Pressure]])</f>
        <v>255.60876114247105</v>
      </c>
      <c r="N60" s="2">
        <f>Table83[[#This Row],[Weight]]-Table7[[#This Row],[Weight v Morning Dia]]</f>
        <v>-6.0087611424710587</v>
      </c>
      <c r="O60" s="2">
        <f>Table7[[#This Row],[WMD Res]]^2</f>
        <v>36.105210467270105</v>
      </c>
      <c r="P60">
        <f>Regression!$G$10+(Regression!$G$9*Table83[[#This Row],[Morning Pulse]])</f>
        <v>255.13192305197038</v>
      </c>
      <c r="Q60" s="2">
        <f>Table83[[#This Row],[Weight]]-Table7[[#This Row],[Weight v Morning Pulse]]</f>
        <v>-5.5319230519703808</v>
      </c>
      <c r="R60" s="2">
        <f>Table7[[#This Row],[WMP Res]]^2</f>
        <v>30.602172652921293</v>
      </c>
      <c r="S60">
        <f>Regression!$H$10+(Regression!$H$9*Table83[[#This Row],[Night Body Temp]])</f>
        <v>254.64609353656169</v>
      </c>
      <c r="T60" s="2">
        <f>Table83[[#This Row],[Weight]]-Table7[[#This Row],[Weight v Night Temp]]</f>
        <v>-5.046093536561699</v>
      </c>
      <c r="U60" s="2">
        <f>Table7[[#This Row],[WNT Res]]^2</f>
        <v>25.463059979729756</v>
      </c>
      <c r="V60">
        <f>Regression!$I$10+(Regression!$I$9*Table83[[#This Row],[Night Systolic Pressure]])</f>
        <v>253.18568471259783</v>
      </c>
      <c r="W60" s="2">
        <f>Table83[[#This Row],[Weight]]-Table7[[#This Row],[Weight v Night Sys]]</f>
        <v>-3.5856847125978391</v>
      </c>
      <c r="X60" s="2">
        <f>Table7[[#This Row],[WNS Res]]^2</f>
        <v>12.857134858157847</v>
      </c>
      <c r="Y60">
        <f>Regression!$J$10+(Regression!$J$9*Table83[[#This Row],[Night Diastolic Pressure]])</f>
        <v>255.05155050582999</v>
      </c>
      <c r="Z60" s="2">
        <f>Table83[[#This Row],[Weight]]-Table7[[#This Row],[Weight v Night Dia]]</f>
        <v>-5.4515505058299993</v>
      </c>
      <c r="AA60" s="2">
        <f>Table7[[#This Row],[WND Res]]^2</f>
        <v>29.719402917615323</v>
      </c>
      <c r="AB60">
        <f>Regression!$K$10+(Regression!$K$9*Table83[[#This Row],[Night Pulse]])</f>
        <v>254.86444520884743</v>
      </c>
      <c r="AC60" s="2">
        <f>Table83[[#This Row],[Weight]]-Table7[[#This Row],[Weight v Night Pulse]]</f>
        <v>-5.2644452088474338</v>
      </c>
      <c r="AD60" s="2">
        <f>Table7[[#This Row],[WNP Res ]]^2</f>
        <v>27.714383356956702</v>
      </c>
      <c r="AE60">
        <f>Regression!$L$10+(Regression!$L$9*Table83[[#This Row],[Sleep]])</f>
        <v>255.13702972738133</v>
      </c>
      <c r="AF60" s="2">
        <f>Table83[[#This Row],[Weight]]-Table7[[#This Row],[Weight v Sleep]]</f>
        <v>-5.5370297273813378</v>
      </c>
      <c r="AG60" s="2">
        <f>Table7[[#This Row],[WS Res]]^2</f>
        <v>30.658698201904652</v>
      </c>
      <c r="AH60">
        <f>Regression!$M$10+(Regression!$M$9*Table83[[#This Row],[BMI]])</f>
        <v>249.60000000001236</v>
      </c>
      <c r="AI60" s="2">
        <f>Table83[[#This Row],[Weight]]-Table7[[#This Row],[Weight v BMI]]</f>
        <v>-1.2363443602225743E-11</v>
      </c>
      <c r="AJ60" s="2">
        <f>Table7[[#This Row],[WBMI Res]]^2</f>
        <v>1.5285473770541666E-22</v>
      </c>
      <c r="AK60">
        <f>Regression!$N$10+(Regression!$N$9*Table83[[#This Row],[CBF]])</f>
        <v>250.04675133427031</v>
      </c>
      <c r="AL60" s="2">
        <f>Table83[[#This Row],[Weight]]-Table7[[#This Row],[Weight v CBF]]</f>
        <v>-0.4467513342703171</v>
      </c>
      <c r="AM60" s="2">
        <f>Table7[[#This Row],[WCBF Res]]^2</f>
        <v>0.1995867546723086</v>
      </c>
      <c r="AN60">
        <f>Regression!$O$10+(Regression!$O$9*Table83[[#This Row],[Gym]])</f>
        <v>255.46779661016953</v>
      </c>
      <c r="AO60" s="2">
        <f>Table83[[#This Row],[Weight]]-Table7[[#This Row],[Weight v Gym]]</f>
        <v>-5.8677966101695347</v>
      </c>
      <c r="AP60" s="2">
        <f>Table7[[#This Row],[WG Res]]^2</f>
        <v>34.431037058317081</v>
      </c>
      <c r="AQ60">
        <f>Regression!$P$10+(Regression!$P$9*Table83[[#This Row],[Cardio]])</f>
        <v>254.19242424242461</v>
      </c>
      <c r="AR60" s="2">
        <f>Table83[[#This Row],[Weight]]-Table7[[#This Row],[Weight v Cardio]]</f>
        <v>-4.5924242424246131</v>
      </c>
      <c r="AS60" s="2">
        <f>Table7[[#This Row],[WC Res]]^2</f>
        <v>21.090360422409283</v>
      </c>
      <c r="AT60">
        <f>Regression!$Q$10+(Regression!$Q$9*Table83[[#This Row],[Calories]])</f>
        <v>255.69307374004381</v>
      </c>
      <c r="AU60" s="2">
        <f>Table83[[#This Row],[Weight]]-Table7[[#This Row],[Weight v Calories]]</f>
        <v>-6.0930737400438204</v>
      </c>
      <c r="AV60" s="2">
        <f>Table7[[#This Row],[WCAL Res]]^2</f>
        <v>37.125547601611586</v>
      </c>
      <c r="AW60">
        <f>Regression!$R$10+(Regression!$R$9*Table83[[#This Row],[Carbs]])</f>
        <v>256.13447756925245</v>
      </c>
      <c r="AX60" s="2">
        <f>Table83[[#This Row],[Weight]]-Table7[[#This Row],[Weight v Carbs]]</f>
        <v>-6.5344775692524593</v>
      </c>
      <c r="AY60" s="2">
        <f>Table7[[#This Row],[Wcarb Res]]^2</f>
        <v>42.699397103063525</v>
      </c>
      <c r="AZ60">
        <f>Regression!$S$10+(Regression!$S$9*Table83[[#This Row],[Fat ]])</f>
        <v>255.19715226756975</v>
      </c>
      <c r="BA60" s="2">
        <f>Table83[[#This Row],[Weight]]-Table7[[#This Row],[Weight v Fat]]</f>
        <v>-5.5971522675697543</v>
      </c>
      <c r="BB60" s="2">
        <f>Table7[[#This Row],[WF Res]]^2</f>
        <v>31.328113506361241</v>
      </c>
      <c r="BC60">
        <f>Regression!$T$10+(Regression!$T$9*Table83[[#This Row],[Protein]])</f>
        <v>255.15716723802433</v>
      </c>
      <c r="BD60" s="2">
        <f>Table83[[#This Row],[Weight]]-Table7[[#This Row],[Weight v Protein]]</f>
        <v>-5.5571672380243342</v>
      </c>
      <c r="BE60" s="2">
        <f>Table7[[#This Row],[WP Res]]^2</f>
        <v>30.882107711371006</v>
      </c>
      <c r="BF60">
        <f>Regression!$U$10+(Regression!$U$9*Table83[[#This Row],[Fiber]])</f>
        <v>254.90607109571476</v>
      </c>
      <c r="BG60" s="2">
        <f>Table83[[#This Row],[Weight]]-Table7[[#This Row],[Weight v Fiber]]</f>
        <v>-5.3060710957147705</v>
      </c>
      <c r="BH60" s="2">
        <f>Table7[[#This Row],[Wfib Res]]^2</f>
        <v>28.154390472779745</v>
      </c>
      <c r="BI60">
        <f>Regression!$V$10+(Regression!$V$9*Table83[[#This Row],[Sugar]])</f>
        <v>256.73015826052927</v>
      </c>
      <c r="BJ60" s="2">
        <f>Table83[[#This Row],[Weight]]-Table7[[#This Row],[Weight v Sugar]]</f>
        <v>-7.1301582605292708</v>
      </c>
      <c r="BK60" s="2">
        <f>Table7[[#This Row],[Wsugar Res]]^2</f>
        <v>50.8391568201938</v>
      </c>
      <c r="BL60">
        <f>Regression!$W$10+(Regression!$W$9*Table83[[#This Row],[Servings]])</f>
        <v>256.7944455336891</v>
      </c>
      <c r="BM60" s="2">
        <f>Table83[[#This Row],[Weight]]-Table7[[#This Row],[Weight v Servings]]</f>
        <v>-7.1944455336891053</v>
      </c>
      <c r="BN60" s="2">
        <f>Table7[[#This Row],[Wserv Res]]^2</f>
        <v>51.760046537219118</v>
      </c>
      <c r="BO60">
        <f>Regression!$X$10+(Regression!$X$9*Table83[[#This Row],[Water]])</f>
        <v>255.27752992726238</v>
      </c>
      <c r="BP60" s="2">
        <f>Table83[[#This Row],[Weight]]-Table7[[#This Row],[Weight v Water]]</f>
        <v>-5.677529927262384</v>
      </c>
      <c r="BQ60" s="2">
        <f>Table7[[#This Row],[Wwater Res]]^2</f>
        <v>32.234346074960008</v>
      </c>
      <c r="BR60">
        <f>Regression!$Y$10+(Regression!$Y$9*Table83[[#This Row],[Fat Calories]])</f>
        <v>255.19756623178012</v>
      </c>
      <c r="BS60" s="2">
        <f>Table83[[#This Row],[Weight]]-Table7[[#This Row],[Weight v Fat Calories]]</f>
        <v>-5.5975662317801209</v>
      </c>
      <c r="BT60" s="2">
        <f>Table7[[#This Row],[WFC Res]]^2</f>
        <v>31.332747719165102</v>
      </c>
      <c r="BU60">
        <f>Regression!$B$29+(Regression!$B$28*Table83[[#This Row],[Weight]])</f>
        <v>43.702046047900744</v>
      </c>
      <c r="BV60" s="2">
        <f>Table83[[#This Row],[Waist]]-Table7[[#This Row],[Waist v Weight]]</f>
        <v>0.29795395209925601</v>
      </c>
      <c r="BW60" s="2">
        <f>Table7[[#This Row],[WaistW Res]]^2</f>
        <v>8.8776557571565745E-2</v>
      </c>
      <c r="BX60">
        <f>Regression!$C$29+(Regression!$C$28*Table83[[#This Row],[Neck]])</f>
        <v>45.258648648648581</v>
      </c>
      <c r="BY60" s="2">
        <f>Table83[[#This Row],[Waist]]-Table7[[#This Row],[Waist v Neck]]</f>
        <v>-1.2586486486485811</v>
      </c>
      <c r="BZ60" s="2">
        <f>Table7[[#This Row],[WaistN Res]]^2</f>
        <v>1.5841964207448993</v>
      </c>
      <c r="CA60">
        <f>Regression!$D$29+(Regression!$D$28*Table83[[#This Row],[Morning Body Temp]])</f>
        <v>44.515038370284842</v>
      </c>
      <c r="CB60" s="2">
        <f>Table83[[#This Row],[Waist]]-Table7[[#This Row],[Waist v Morning Temp]]</f>
        <v>-0.51503837028484156</v>
      </c>
      <c r="CC60" s="2">
        <f>Table7[[#This Row],[WaistMT Res]]^2</f>
        <v>0.26526452286566554</v>
      </c>
      <c r="CD60">
        <f>Regression!$E$29+(Regression!$E$28*Table83[[#This Row],[Morning Systolic Pressure]])</f>
        <v>44.301619054000227</v>
      </c>
      <c r="CE60" s="2">
        <f>Table83[[#This Row],[Waist]]-Table7[[#This Row],[Waist v Morning Sys]]</f>
        <v>-0.30161905400022704</v>
      </c>
      <c r="CF60" s="2">
        <f>Table7[[#This Row],[WaistMS Res]]^2</f>
        <v>9.0974053735991878E-2</v>
      </c>
      <c r="CG60">
        <f>Regression!$F$29+(Regression!$F$28*Table83[[#This Row],[Morning Diastolic Pressure]])</f>
        <v>44.480994771488533</v>
      </c>
      <c r="CH60" s="2">
        <f>Table83[[#This Row],[Waist]]-Table7[[#This Row],[Waist v Morning Dia]]</f>
        <v>-0.48099477148853254</v>
      </c>
      <c r="CI60" s="2">
        <f>Table7[[#This Row],[WaistMD Res]]^2</f>
        <v>0.23135597019930562</v>
      </c>
      <c r="CJ60">
        <f>Regression!$G$29+(Regression!$G$28*Table83[[#This Row],[Morning Pulse]])</f>
        <v>44.461292220668717</v>
      </c>
      <c r="CK60" s="2">
        <f>Table83[[#This Row],[Waist]]-Table7[[#This Row],[Waist v Morning Pulse]]</f>
        <v>-0.46129222066871733</v>
      </c>
      <c r="CL60" s="2">
        <f>Table7[[#This Row],[WaistMP Res]]^2</f>
        <v>0.21279051284947662</v>
      </c>
      <c r="CM60">
        <f>Regression!$H$29+(Regression!$H$28*Table83[[#This Row],[Night Body Temp]])</f>
        <v>44.416566259439634</v>
      </c>
      <c r="CN60" s="2">
        <f>Table83[[#This Row],[Waist]]-Table7[[#This Row],[Waist v Night Temp]]</f>
        <v>-0.41656625943963377</v>
      </c>
      <c r="CO60" s="2">
        <f>Table7[[#This Row],[WaistNT Res]]^2</f>
        <v>0.17352744850352828</v>
      </c>
      <c r="CP60">
        <f>Regression!$I$29+(Regression!$I$28*Table83[[#This Row],[Night Systolic Pressure]])</f>
        <v>44.180237143118553</v>
      </c>
      <c r="CQ60" s="2">
        <f>Table83[[#This Row],[Waist]]-Table7[[#This Row],[Waist v  Night Sys]]</f>
        <v>-0.18023714311855343</v>
      </c>
      <c r="CR60" s="2">
        <f>Table7[[#This Row],[WaistNS Res]]^2</f>
        <v>3.2485427759537916E-2</v>
      </c>
      <c r="CS60">
        <f>Regression!$J$29+(Regression!$J$28*Table83[[#This Row],[Night Diastolic Pressure]])</f>
        <v>44.426956120738851</v>
      </c>
      <c r="CT60" s="2">
        <f>Table83[[#This Row],[Waist]]-Table7[[#This Row],[Waist v Night Dia]]</f>
        <v>-0.42695612073885059</v>
      </c>
      <c r="CU60" s="2">
        <f>Table7[[#This Row],[WaistND Res]]^2</f>
        <v>0.18229152903636797</v>
      </c>
      <c r="CV60">
        <f>Regression!$K$29+(Regression!$K$28*Table83[[#This Row],[Night Pulse]])</f>
        <v>44.476848850431054</v>
      </c>
      <c r="CW60" s="2">
        <f>Table83[[#This Row],[Waist]]-Table7[[#This Row],[Waist v Night Pulse]]</f>
        <v>-0.47684885043105396</v>
      </c>
      <c r="CX60" s="2">
        <f>Table7[[#This Row],[WaistNP Res]]^2</f>
        <v>0.22738482615741767</v>
      </c>
      <c r="CY60">
        <f>Regression!$L$29+(Regression!$L$28*Table83[[#This Row],[Sleep]])</f>
        <v>44.456891852858099</v>
      </c>
      <c r="CZ60" s="2">
        <f>Table83[[#This Row],[Waist]]-Table7[[#This Row],[Waist v  Sleep]]</f>
        <v>-0.45689185285809941</v>
      </c>
      <c r="DA60" s="2">
        <f>Table7[[#This Row],[WaistS Res]]^2</f>
        <v>0.20875016520810716</v>
      </c>
      <c r="DB60">
        <f>Regression!$M$29+(Regression!$M$28*Table83[[#This Row],[BMI]])</f>
        <v>43.702046047903131</v>
      </c>
      <c r="DC60" s="2">
        <f>Table83[[#This Row],[Waist]]-Table7[[#This Row],[Waist v BMI]]</f>
        <v>0.29795395209686859</v>
      </c>
      <c r="DD60" s="2">
        <f>Table7[[#This Row],[WaistBMI Res]]^2</f>
        <v>8.8776557570143064E-2</v>
      </c>
      <c r="DE60">
        <f>Regression!$N$29+(Regression!$N$28*Table83[[#This Row],[CBF]])</f>
        <v>43.540887941991329</v>
      </c>
      <c r="DF60" s="2">
        <f>Table83[[#This Row],[Waist]]-Table7[[#This Row],[Waist v  CBF]]</f>
        <v>0.45911205800867094</v>
      </c>
      <c r="DG60" s="2">
        <f>Table7[[#This Row],[WaistCBF Res]]^2</f>
        <v>0.21078388180895724</v>
      </c>
      <c r="DH60">
        <f>Regression!$O$29+(Regression!$O$28*Table83[[#This Row],[Gym]])</f>
        <v>44.550847457627107</v>
      </c>
      <c r="DI60" s="2">
        <f>Table83[[#This Row],[Waist]]-Table7[[#This Row],[Waist v  Gym]]</f>
        <v>-0.55084745762710696</v>
      </c>
      <c r="DJ60" s="2">
        <f>Table7[[#This Row],[WaistGYM Res]]^2</f>
        <v>0.30343292157424739</v>
      </c>
      <c r="DK60">
        <f>Regression!$P$29+(Regression!$P$28*Table83[[#This Row],[Cardio]])</f>
        <v>44.291666666666664</v>
      </c>
      <c r="DL60" s="2">
        <f>Table83[[#This Row],[Waist]]-Table7[[#This Row],[Waist v Cardio]]</f>
        <v>-0.2916666666666643</v>
      </c>
      <c r="DM60" s="2">
        <f>Table7[[#This Row],[WaistC Res]]^2</f>
        <v>8.506944444444306E-2</v>
      </c>
      <c r="DN60">
        <f>Regression!$Q$29+(Regression!$Q$28*Table83[[#This Row],[Calories]])</f>
        <v>44.583410229419506</v>
      </c>
      <c r="DO60" s="2">
        <f>Table83[[#This Row],[Waist]]-Table7[[#This Row],[Waist v Calories]]</f>
        <v>-0.58341022941950627</v>
      </c>
      <c r="DP60" s="2">
        <f>Table7[[#This Row],[WaistCal Res]]^2</f>
        <v>0.34036749579132092</v>
      </c>
      <c r="DQ60">
        <f>Regression!$R$29+(Regression!$R$28*Table83[[#This Row],[Carbs]])</f>
        <v>44.665779597773117</v>
      </c>
      <c r="DR60" s="2">
        <f>Table83[[#This Row],[Waist]]-Table7[[#This Row],[Waist v Carbs]]</f>
        <v>-0.6657795977731169</v>
      </c>
      <c r="DS60" s="2">
        <f>Table7[[#This Row],[WaistCarb Res]]^2</f>
        <v>0.44326247281093334</v>
      </c>
      <c r="DT60">
        <f>Regression!$S$29+(Regression!$S$28*Table83[[#This Row],[Fat ]])</f>
        <v>44.478638507027952</v>
      </c>
      <c r="DU60" s="2">
        <f>Table83[[#This Row],[Waist]]-Table7[[#This Row],[Waist v Fat]]</f>
        <v>-0.47863850702795219</v>
      </c>
      <c r="DV60" s="2">
        <f>Table7[[#This Row],[WaistF Res]]^2</f>
        <v>0.22909482040994703</v>
      </c>
      <c r="DW60">
        <f>Regression!$T$29+(Regression!$T$28*Table83[[#This Row],[Protein]])</f>
        <v>44.461249894941751</v>
      </c>
      <c r="DX60" s="2">
        <f>Table83[[#This Row],[Waist]]-Table7[[#This Row],[Waist v Protein]]</f>
        <v>-0.46124989494175139</v>
      </c>
      <c r="DY60" s="2">
        <f>Table7[[#This Row],[WaistP Res]]^2</f>
        <v>0.21275146558377669</v>
      </c>
      <c r="DZ60">
        <f>Regression!$U$29+(Regression!$U$28*Table83[[#This Row],[Fiber]])</f>
        <v>44.372905452497349</v>
      </c>
      <c r="EA60" s="2">
        <f>Table83[[#This Row],[Waist]]-Table7[[#This Row],[Waist v Fiber]]</f>
        <v>-0.37290545249734919</v>
      </c>
      <c r="EB60" s="2">
        <f>Table7[[#This Row],[WaistFib Res]]^2</f>
        <v>0.13905847650225275</v>
      </c>
      <c r="EC60">
        <f>Regression!$V$29+(Regression!$V$28*Table83[[#This Row],[Sugar]])</f>
        <v>44.743677041987787</v>
      </c>
      <c r="ED60" s="2">
        <f>Table83[[#This Row],[Waist]]-Table7[[#This Row],[Waist v Sugar]]</f>
        <v>-0.74367704198778739</v>
      </c>
      <c r="EE60" s="2">
        <f>Table7[[#This Row],[WaistSugar Res]]^2</f>
        <v>0.55305554277970526</v>
      </c>
      <c r="EF60">
        <f>Regression!$W$29+(Regression!$W$28*Table83[[#This Row],[Servings]])</f>
        <v>44.709788480419746</v>
      </c>
      <c r="EG60" s="2">
        <f>Table83[[#This Row],[Waist]]-Table7[[#This Row],[Waist v Servings]]</f>
        <v>-0.70978848041974629</v>
      </c>
      <c r="EH60" s="2">
        <f>Table7[[#This Row],[WaistServ Res]]^2</f>
        <v>0.50379968693657262</v>
      </c>
      <c r="EI60">
        <f>Regression!$X$29+(Regression!$X$28*Table83[[#This Row],[Water]])</f>
        <v>44.665617861897069</v>
      </c>
      <c r="EJ60" s="2">
        <f>Table83[[#This Row],[Waist]]-Table7[[#This Row],[Waist v Water]]</f>
        <v>-0.66561786189706851</v>
      </c>
      <c r="EK60" s="2">
        <f>Table7[[#This Row],[WaistWat Res]]^2</f>
        <v>0.44304713807642498</v>
      </c>
      <c r="EL60">
        <f>Regression!$Y$29+(Regression!$Y$28*Table83[[#This Row],[Fat Calories]])</f>
        <v>44.478637132304385</v>
      </c>
      <c r="EM60" s="2">
        <f>Table83[[#This Row],[Waist]]-Table7[[#This Row],[Waist v Fat Calories]]</f>
        <v>-0.4786371323043852</v>
      </c>
      <c r="EN60" s="2">
        <f>Table7[[#This Row],[WaistFatCal Res]]^2</f>
        <v>0.22909350442056556</v>
      </c>
    </row>
    <row r="61" spans="1:144" x14ac:dyDescent="0.25">
      <c r="A61">
        <f>Regression!$B$10+(Regression!$B$9*Table83[[#This Row],[Waist]])</f>
        <v>249.67228149328892</v>
      </c>
      <c r="B61" s="2">
        <f>Table83[[#This Row],[Weight]]-Table7[[#This Row],[Weight v Waist]]</f>
        <v>-0.4722814932889321</v>
      </c>
      <c r="C61" s="2">
        <f>Table7[[#This Row],[Weight v Waist Res]]^2</f>
        <v>0.22304980890322362</v>
      </c>
      <c r="D61">
        <f>Regression!$C$10+(Regression!$C$9*Table83[[#This Row],[Neck]])</f>
        <v>260.39308108104251</v>
      </c>
      <c r="E61" s="2">
        <f>Table83[[#This Row],[Weight]]-Table7[[#This Row],[Weight v Neck]]</f>
        <v>-11.193081081042521</v>
      </c>
      <c r="F61" s="2">
        <f>Table7[[#This Row],[WN Res]]^2</f>
        <v>125.28506408679202</v>
      </c>
      <c r="G61">
        <f>Regression!$D$10+(Regression!$D$9*Table83[[#This Row],[Morning Body Temp]])</f>
        <v>254.7075736779725</v>
      </c>
      <c r="H61" s="2">
        <f>Table83[[#This Row],[Weight]]-Table7[[#This Row],[Weight v Morning Temp]]</f>
        <v>-5.5075736779725162</v>
      </c>
      <c r="I61" s="2">
        <f>Table7[[#This Row],[WMT Res]]^2</f>
        <v>30.333367818295709</v>
      </c>
      <c r="J61">
        <f>Regression!$E$10+(Regression!$E$9*Table83[[#This Row],[Morning Systolic Pressure]])</f>
        <v>255.14456383261873</v>
      </c>
      <c r="K61" s="2">
        <f>Table83[[#This Row],[Weight]]-Table7[[#This Row],[Weight v Morning Sys]]</f>
        <v>-5.9445638326187407</v>
      </c>
      <c r="L61" s="2">
        <f>Table7[[#This Row],[WMS Res]]^2</f>
        <v>35.337839160078808</v>
      </c>
      <c r="M61">
        <f>Regression!$F$10+(Regression!$F$9*Table83[[#This Row],[Morning Diastolic Pressure]])</f>
        <v>255.00069564820177</v>
      </c>
      <c r="N61" s="2">
        <f>Table83[[#This Row],[Weight]]-Table7[[#This Row],[Weight v Morning Dia]]</f>
        <v>-5.8006956482017813</v>
      </c>
      <c r="O61" s="2">
        <f>Table7[[#This Row],[WMD Res]]^2</f>
        <v>33.648070003067083</v>
      </c>
      <c r="P61">
        <f>Regression!$G$10+(Regression!$G$9*Table83[[#This Row],[Morning Pulse]])</f>
        <v>255.13009525621317</v>
      </c>
      <c r="Q61" s="2">
        <f>Table83[[#This Row],[Weight]]-Table7[[#This Row],[Weight v Morning Pulse]]</f>
        <v>-5.9300952562131783</v>
      </c>
      <c r="R61" s="2">
        <f>Table7[[#This Row],[WMP Res]]^2</f>
        <v>35.166029747762039</v>
      </c>
      <c r="S61">
        <f>Regression!$H$10+(Regression!$H$9*Table83[[#This Row],[Night Body Temp]])</f>
        <v>255.26227295945182</v>
      </c>
      <c r="T61" s="2">
        <f>Table83[[#This Row],[Weight]]-Table7[[#This Row],[Weight v Night Temp]]</f>
        <v>-6.0622729594518319</v>
      </c>
      <c r="U61" s="2">
        <f>Table7[[#This Row],[WNT Res]]^2</f>
        <v>36.751153434900871</v>
      </c>
      <c r="V61">
        <f>Regression!$I$10+(Regression!$I$9*Table83[[#This Row],[Night Systolic Pressure]])</f>
        <v>253.69890888274017</v>
      </c>
      <c r="W61" s="2">
        <f>Table83[[#This Row],[Weight]]-Table7[[#This Row],[Weight v Night Sys]]</f>
        <v>-4.4989088827401815</v>
      </c>
      <c r="X61" s="2">
        <f>Table7[[#This Row],[WNS Res]]^2</f>
        <v>20.240181135198508</v>
      </c>
      <c r="Y61">
        <f>Regression!$J$10+(Regression!$J$9*Table83[[#This Row],[Night Diastolic Pressure]])</f>
        <v>255.25537984791052</v>
      </c>
      <c r="Z61" s="2">
        <f>Table83[[#This Row],[Weight]]-Table7[[#This Row],[Weight v Night Dia]]</f>
        <v>-6.0553798479105296</v>
      </c>
      <c r="AA61" s="2">
        <f>Table7[[#This Row],[WND Res]]^2</f>
        <v>36.667625102480947</v>
      </c>
      <c r="AB61">
        <f>Regression!$K$10+(Regression!$K$9*Table83[[#This Row],[Night Pulse]])</f>
        <v>254.89515854008414</v>
      </c>
      <c r="AC61" s="2">
        <f>Table83[[#This Row],[Weight]]-Table7[[#This Row],[Weight v Night Pulse]]</f>
        <v>-5.6951585400841509</v>
      </c>
      <c r="AD61" s="2">
        <f>Table7[[#This Row],[WNP Res ]]^2</f>
        <v>32.43483079669344</v>
      </c>
      <c r="AE61">
        <f>Regression!$L$10+(Regression!$L$9*Table83[[#This Row],[Sleep]])</f>
        <v>255.21589827322478</v>
      </c>
      <c r="AF61" s="2">
        <f>Table83[[#This Row],[Weight]]-Table7[[#This Row],[Weight v Sleep]]</f>
        <v>-6.0158982732247921</v>
      </c>
      <c r="AG61" s="2">
        <f>Table7[[#This Row],[WS Res]]^2</f>
        <v>36.191032033789035</v>
      </c>
      <c r="AH61">
        <f>Regression!$M$10+(Regression!$M$9*Table83[[#This Row],[BMI]])</f>
        <v>249.20000000001323</v>
      </c>
      <c r="AI61" s="2">
        <f>Table83[[#This Row],[Weight]]-Table7[[#This Row],[Weight v BMI]]</f>
        <v>-1.3244516594568267E-11</v>
      </c>
      <c r="AJ61" s="2">
        <f>Table7[[#This Row],[WBMI Res]]^2</f>
        <v>1.7541721982379422E-22</v>
      </c>
      <c r="AK61">
        <f>Regression!$N$10+(Regression!$N$9*Table83[[#This Row],[CBF]])</f>
        <v>246.85529009284974</v>
      </c>
      <c r="AL61" s="2">
        <f>Table83[[#This Row],[Weight]]-Table7[[#This Row],[Weight v CBF]]</f>
        <v>2.3447099071502464</v>
      </c>
      <c r="AM61" s="2">
        <f>Table7[[#This Row],[WCBF Res]]^2</f>
        <v>5.4976645486885172</v>
      </c>
      <c r="AN61">
        <f>Regression!$O$10+(Regression!$O$9*Table83[[#This Row],[Gym]])</f>
        <v>255.46779661016953</v>
      </c>
      <c r="AO61" s="2">
        <f>Table83[[#This Row],[Weight]]-Table7[[#This Row],[Weight v Gym]]</f>
        <v>-6.2677966101695404</v>
      </c>
      <c r="AP61" s="2">
        <f>Table7[[#This Row],[WG Res]]^2</f>
        <v>39.28527434645278</v>
      </c>
      <c r="AQ61">
        <f>Regression!$P$10+(Regression!$P$9*Table83[[#This Row],[Cardio]])</f>
        <v>254.19242424242461</v>
      </c>
      <c r="AR61" s="2">
        <f>Table83[[#This Row],[Weight]]-Table7[[#This Row],[Weight v Cardio]]</f>
        <v>-4.9924242424246188</v>
      </c>
      <c r="AS61" s="2">
        <f>Table7[[#This Row],[WC Res]]^2</f>
        <v>24.924299816349031</v>
      </c>
      <c r="AT61">
        <f>Regression!$Q$10+(Regression!$Q$9*Table83[[#This Row],[Calories]])</f>
        <v>255.91878937334491</v>
      </c>
      <c r="AU61" s="2">
        <f>Table83[[#This Row],[Weight]]-Table7[[#This Row],[Weight v Calories]]</f>
        <v>-6.7187893733449187</v>
      </c>
      <c r="AV61" s="2">
        <f>Table7[[#This Row],[WCAL Res]]^2</f>
        <v>45.142130643372603</v>
      </c>
      <c r="AW61">
        <f>Regression!$R$10+(Regression!$R$9*Table83[[#This Row],[Carbs]])</f>
        <v>256.21621590273628</v>
      </c>
      <c r="AX61" s="2">
        <f>Table83[[#This Row],[Weight]]-Table7[[#This Row],[Weight v Carbs]]</f>
        <v>-7.0162159027362918</v>
      </c>
      <c r="AY61" s="2">
        <f>Table7[[#This Row],[Wcarb Res]]^2</f>
        <v>49.22728559380964</v>
      </c>
      <c r="AZ61">
        <f>Regression!$S$10+(Regression!$S$9*Table83[[#This Row],[Fat ]])</f>
        <v>255.42286401375313</v>
      </c>
      <c r="BA61" s="2">
        <f>Table83[[#This Row],[Weight]]-Table7[[#This Row],[Weight v Fat]]</f>
        <v>-6.2228640137531386</v>
      </c>
      <c r="BB61" s="2">
        <f>Table7[[#This Row],[WF Res]]^2</f>
        <v>38.724036533663821</v>
      </c>
      <c r="BC61">
        <f>Regression!$T$10+(Regression!$T$9*Table83[[#This Row],[Protein]])</f>
        <v>255.69446742330601</v>
      </c>
      <c r="BD61" s="2">
        <f>Table83[[#This Row],[Weight]]-Table7[[#This Row],[Weight v Protein]]</f>
        <v>-6.4944674233060198</v>
      </c>
      <c r="BE61" s="2">
        <f>Table7[[#This Row],[WP Res]]^2</f>
        <v>42.178107112383131</v>
      </c>
      <c r="BF61">
        <f>Regression!$U$10+(Regression!$U$9*Table83[[#This Row],[Fiber]])</f>
        <v>254.888302404022</v>
      </c>
      <c r="BG61" s="2">
        <f>Table83[[#This Row],[Weight]]-Table7[[#This Row],[Weight v Fiber]]</f>
        <v>-5.6883024040220107</v>
      </c>
      <c r="BH61" s="2">
        <f>Table7[[#This Row],[Wfib Res]]^2</f>
        <v>32.35678423960259</v>
      </c>
      <c r="BI61">
        <f>Regression!$V$10+(Regression!$V$9*Table83[[#This Row],[Sugar]])</f>
        <v>256.74632253417224</v>
      </c>
      <c r="BJ61" s="2">
        <f>Table83[[#This Row],[Weight]]-Table7[[#This Row],[Weight v Sugar]]</f>
        <v>-7.5463225341722477</v>
      </c>
      <c r="BK61" s="2">
        <f>Table7[[#This Row],[Wsugar Res]]^2</f>
        <v>56.946983789755855</v>
      </c>
      <c r="BL61">
        <f>Regression!$W$10+(Regression!$W$9*Table83[[#This Row],[Servings]])</f>
        <v>256.89000774513488</v>
      </c>
      <c r="BM61" s="2">
        <f>Table83[[#This Row],[Weight]]-Table7[[#This Row],[Weight v Servings]]</f>
        <v>-7.690007745134892</v>
      </c>
      <c r="BN61" s="2">
        <f>Table7[[#This Row],[Wserv Res]]^2</f>
        <v>59.136219120234628</v>
      </c>
      <c r="BO61">
        <f>Regression!$X$10+(Regression!$X$9*Table83[[#This Row],[Water]])</f>
        <v>255.19189796045953</v>
      </c>
      <c r="BP61" s="2">
        <f>Table83[[#This Row],[Weight]]-Table7[[#This Row],[Weight v Water]]</f>
        <v>-5.9918979604595393</v>
      </c>
      <c r="BQ61" s="2">
        <f>Table7[[#This Row],[Wwater Res]]^2</f>
        <v>35.902841168559185</v>
      </c>
      <c r="BR61">
        <f>Regression!$Y$10+(Regression!$Y$9*Table83[[#This Row],[Fat Calories]])</f>
        <v>255.43778031172124</v>
      </c>
      <c r="BS61" s="2">
        <f>Table83[[#This Row],[Weight]]-Table7[[#This Row],[Weight v Fat Calories]]</f>
        <v>-6.2377803117212522</v>
      </c>
      <c r="BT61" s="2">
        <f>Table7[[#This Row],[WFC Res]]^2</f>
        <v>38.909903217297284</v>
      </c>
      <c r="BU61">
        <f>Regression!$B$29+(Regression!$B$28*Table83[[#This Row],[Weight]])</f>
        <v>43.647541043672753</v>
      </c>
      <c r="BV61" s="2">
        <f>Table83[[#This Row],[Waist]]-Table7[[#This Row],[Waist v Weight]]</f>
        <v>-0.14754104367275289</v>
      </c>
      <c r="BW61" s="2">
        <f>Table7[[#This Row],[WaistW Res]]^2</f>
        <v>2.1768359568045174E-2</v>
      </c>
      <c r="BX61">
        <f>Regression!$C$29+(Regression!$C$28*Table83[[#This Row],[Neck]])</f>
        <v>45.258648648648581</v>
      </c>
      <c r="BY61" s="2">
        <f>Table83[[#This Row],[Waist]]-Table7[[#This Row],[Waist v Neck]]</f>
        <v>-1.7586486486485811</v>
      </c>
      <c r="BZ61" s="2">
        <f>Table7[[#This Row],[WaistN Res]]^2</f>
        <v>3.0928450693934804</v>
      </c>
      <c r="CA61">
        <f>Regression!$D$29+(Regression!$D$28*Table83[[#This Row],[Morning Body Temp]])</f>
        <v>44.342717051701939</v>
      </c>
      <c r="CB61" s="2">
        <f>Table83[[#This Row],[Waist]]-Table7[[#This Row],[Waist v Morning Temp]]</f>
        <v>-0.84271705170193911</v>
      </c>
      <c r="CC61" s="2">
        <f>Table7[[#This Row],[WaistMT Res]]^2</f>
        <v>0.71017202922920875</v>
      </c>
      <c r="CD61">
        <f>Regression!$E$29+(Regression!$E$28*Table83[[#This Row],[Morning Systolic Pressure]])</f>
        <v>44.460475132636631</v>
      </c>
      <c r="CE61" s="2">
        <f>Table83[[#This Row],[Waist]]-Table7[[#This Row],[Waist v Morning Sys]]</f>
        <v>-0.9604751326366312</v>
      </c>
      <c r="CF61" s="2">
        <f>Table7[[#This Row],[WaistMS Res]]^2</f>
        <v>0.92251248041335432</v>
      </c>
      <c r="CG61">
        <f>Regression!$F$29+(Regression!$F$28*Table83[[#This Row],[Morning Diastolic Pressure]])</f>
        <v>44.447181047475404</v>
      </c>
      <c r="CH61" s="2">
        <f>Table83[[#This Row],[Waist]]-Table7[[#This Row],[Waist v Morning Dia]]</f>
        <v>-0.94718104747540366</v>
      </c>
      <c r="CI61" s="2">
        <f>Table7[[#This Row],[WaistMD Res]]^2</f>
        <v>0.89715193669660287</v>
      </c>
      <c r="CJ61">
        <f>Regression!$G$29+(Regression!$G$28*Table83[[#This Row],[Morning Pulse]])</f>
        <v>44.460452718095105</v>
      </c>
      <c r="CK61" s="2">
        <f>Table83[[#This Row],[Waist]]-Table7[[#This Row],[Waist v Morning Pulse]]</f>
        <v>-0.96045271809510524</v>
      </c>
      <c r="CL61" s="2">
        <f>Table7[[#This Row],[WaistMP Res]]^2</f>
        <v>0.92246942369627571</v>
      </c>
      <c r="CM61">
        <f>Regression!$H$29+(Regression!$H$28*Table83[[#This Row],[Night Body Temp]])</f>
        <v>44.465147802268952</v>
      </c>
      <c r="CN61" s="2">
        <f>Table83[[#This Row],[Waist]]-Table7[[#This Row],[Waist v Night Temp]]</f>
        <v>-0.96514780226895169</v>
      </c>
      <c r="CO61" s="2">
        <f>Table7[[#This Row],[WaistNT Res]]^2</f>
        <v>0.93151028022458748</v>
      </c>
      <c r="CP61">
        <f>Regression!$I$29+(Regression!$I$28*Table83[[#This Row],[Night Systolic Pressure]])</f>
        <v>44.252937714746622</v>
      </c>
      <c r="CQ61" s="2">
        <f>Table83[[#This Row],[Waist]]-Table7[[#This Row],[Waist v  Night Sys]]</f>
        <v>-0.75293771474662208</v>
      </c>
      <c r="CR61" s="2">
        <f>Table7[[#This Row],[WaistNS Res]]^2</f>
        <v>0.56691520228786563</v>
      </c>
      <c r="CS61">
        <f>Regression!$J$29+(Regression!$J$28*Table83[[#This Row],[Night Diastolic Pressure]])</f>
        <v>44.512295846776055</v>
      </c>
      <c r="CT61" s="2">
        <f>Table83[[#This Row],[Waist]]-Table7[[#This Row],[Waist v Night Dia]]</f>
        <v>-1.0122958467760554</v>
      </c>
      <c r="CU61" s="2">
        <f>Table7[[#This Row],[WaistND Res]]^2</f>
        <v>1.0247428814000512</v>
      </c>
      <c r="CV61">
        <f>Regression!$K$29+(Regression!$K$28*Table83[[#This Row],[Night Pulse]])</f>
        <v>44.473992104120093</v>
      </c>
      <c r="CW61" s="2">
        <f>Table83[[#This Row],[Waist]]-Table7[[#This Row],[Waist v Night Pulse]]</f>
        <v>-0.97399210412009296</v>
      </c>
      <c r="CX61" s="2">
        <f>Table7[[#This Row],[WaistNP Res]]^2</f>
        <v>0.94866061888828601</v>
      </c>
      <c r="CY61">
        <f>Regression!$L$29+(Regression!$L$28*Table83[[#This Row],[Sleep]])</f>
        <v>44.468916594857014</v>
      </c>
      <c r="CZ61" s="2">
        <f>Table83[[#This Row],[Waist]]-Table7[[#This Row],[Waist v  Sleep]]</f>
        <v>-0.96891659485701354</v>
      </c>
      <c r="DA61" s="2">
        <f>Table7[[#This Row],[WaistS Res]]^2</f>
        <v>0.93879936778931006</v>
      </c>
      <c r="DB61">
        <f>Regression!$M$29+(Regression!$M$28*Table83[[#This Row],[BMI]])</f>
        <v>43.647541043675311</v>
      </c>
      <c r="DC61" s="2">
        <f>Table83[[#This Row],[Waist]]-Table7[[#This Row],[Waist v BMI]]</f>
        <v>-0.14754104367531085</v>
      </c>
      <c r="DD61" s="2">
        <f>Table7[[#This Row],[WaistBMI Res]]^2</f>
        <v>2.1768359568799984E-2</v>
      </c>
      <c r="DE61">
        <f>Regression!$N$29+(Regression!$N$28*Table83[[#This Row],[CBF]])</f>
        <v>42.966198760667851</v>
      </c>
      <c r="DF61" s="2">
        <f>Table83[[#This Row],[Waist]]-Table7[[#This Row],[Waist v  CBF]]</f>
        <v>0.53380123933214918</v>
      </c>
      <c r="DG61" s="2">
        <f>Table7[[#This Row],[WaistCBF Res]]^2</f>
        <v>0.28494376311253838</v>
      </c>
      <c r="DH61">
        <f>Regression!$O$29+(Regression!$O$28*Table83[[#This Row],[Gym]])</f>
        <v>44.550847457627107</v>
      </c>
      <c r="DI61" s="2">
        <f>Table83[[#This Row],[Waist]]-Table7[[#This Row],[Waist v  Gym]]</f>
        <v>-1.050847457627107</v>
      </c>
      <c r="DJ61" s="2">
        <f>Table7[[#This Row],[WaistGYM Res]]^2</f>
        <v>1.1042803792013545</v>
      </c>
      <c r="DK61">
        <f>Regression!$P$29+(Regression!$P$28*Table83[[#This Row],[Cardio]])</f>
        <v>44.291666666666664</v>
      </c>
      <c r="DL61" s="2">
        <f>Table83[[#This Row],[Waist]]-Table7[[#This Row],[Waist v Cardio]]</f>
        <v>-0.7916666666666643</v>
      </c>
      <c r="DM61" s="2">
        <f>Table7[[#This Row],[WaistC Res]]^2</f>
        <v>0.62673611111110739</v>
      </c>
      <c r="DN61">
        <f>Regression!$Q$29+(Regression!$Q$28*Table83[[#This Row],[Calories]])</f>
        <v>44.634123525925609</v>
      </c>
      <c r="DO61" s="2">
        <f>Table83[[#This Row],[Waist]]-Table7[[#This Row],[Waist v Calories]]</f>
        <v>-1.1341235259256095</v>
      </c>
      <c r="DP61" s="2">
        <f>Table7[[#This Row],[WaistCal Res]]^2</f>
        <v>1.2862361720579367</v>
      </c>
      <c r="DQ61">
        <f>Regression!$R$29+(Regression!$R$28*Table83[[#This Row],[Carbs]])</f>
        <v>44.682797018258533</v>
      </c>
      <c r="DR61" s="2">
        <f>Table83[[#This Row],[Waist]]-Table7[[#This Row],[Waist v Carbs]]</f>
        <v>-1.1827970182585332</v>
      </c>
      <c r="DS61" s="2">
        <f>Table7[[#This Row],[WaistCarb Res]]^2</f>
        <v>1.399008786401277</v>
      </c>
      <c r="DT61">
        <f>Regression!$S$29+(Regression!$S$28*Table83[[#This Row],[Fat ]])</f>
        <v>44.547633811163934</v>
      </c>
      <c r="DU61" s="2">
        <f>Table83[[#This Row],[Waist]]-Table7[[#This Row],[Waist v Fat]]</f>
        <v>-1.0476338111639336</v>
      </c>
      <c r="DV61" s="2">
        <f>Table7[[#This Row],[WaistF Res]]^2</f>
        <v>1.0975366022938686</v>
      </c>
      <c r="DW61">
        <f>Regression!$T$29+(Regression!$T$28*Table83[[#This Row],[Protein]])</f>
        <v>44.559595787643673</v>
      </c>
      <c r="DX61" s="2">
        <f>Table83[[#This Row],[Waist]]-Table7[[#This Row],[Waist v Protein]]</f>
        <v>-1.0595957876436728</v>
      </c>
      <c r="DY61" s="2">
        <f>Table7[[#This Row],[WaistP Res]]^2</f>
        <v>1.1227432331922154</v>
      </c>
      <c r="DZ61">
        <f>Regression!$U$29+(Regression!$U$28*Table83[[#This Row],[Fiber]])</f>
        <v>44.366049225966592</v>
      </c>
      <c r="EA61" s="2">
        <f>Table83[[#This Row],[Waist]]-Table7[[#This Row],[Waist v Fiber]]</f>
        <v>-0.86604922596659151</v>
      </c>
      <c r="EB61" s="2">
        <f>Table7[[#This Row],[WaistFib Res]]^2</f>
        <v>0.75004126179733233</v>
      </c>
      <c r="EC61">
        <f>Regression!$V$29+(Regression!$V$28*Table83[[#This Row],[Sugar]])</f>
        <v>44.746580773467173</v>
      </c>
      <c r="ED61" s="2">
        <f>Table83[[#This Row],[Waist]]-Table7[[#This Row],[Waist v Sugar]]</f>
        <v>-1.2465807734671728</v>
      </c>
      <c r="EE61" s="2">
        <f>Table7[[#This Row],[WaistSugar Res]]^2</f>
        <v>1.5539636247780146</v>
      </c>
      <c r="EF61">
        <f>Regression!$W$29+(Regression!$W$28*Table83[[#This Row],[Servings]])</f>
        <v>44.724369681820377</v>
      </c>
      <c r="EG61" s="2">
        <f>Table83[[#This Row],[Waist]]-Table7[[#This Row],[Waist v Servings]]</f>
        <v>-1.2243696818203773</v>
      </c>
      <c r="EH61" s="2">
        <f>Table7[[#This Row],[WaistServ Res]]^2</f>
        <v>1.499081117760932</v>
      </c>
      <c r="EI61">
        <f>Regression!$X$29+(Regression!$X$28*Table83[[#This Row],[Water]])</f>
        <v>44.553850107074496</v>
      </c>
      <c r="EJ61" s="2">
        <f>Table83[[#This Row],[Waist]]-Table7[[#This Row],[Waist v Water]]</f>
        <v>-1.0538501070744957</v>
      </c>
      <c r="EK61" s="2">
        <f>Table7[[#This Row],[WaistWat Res]]^2</f>
        <v>1.1106000481809259</v>
      </c>
      <c r="EL61">
        <f>Regression!$Y$29+(Regression!$Y$28*Table83[[#This Row],[Fat Calories]])</f>
        <v>44.551693144408802</v>
      </c>
      <c r="EM61" s="2">
        <f>Table83[[#This Row],[Waist]]-Table7[[#This Row],[Waist v Fat Calories]]</f>
        <v>-1.0516931444088016</v>
      </c>
      <c r="EN61" s="2">
        <f>Table7[[#This Row],[WaistFatCal Res]]^2</f>
        <v>1.1060584699964724</v>
      </c>
    </row>
    <row r="62" spans="1:144" x14ac:dyDescent="0.25">
      <c r="A62">
        <f>Regression!$B$10+(Regression!$B$9*Table83[[#This Row],[Waist]])</f>
        <v>249.67228149328892</v>
      </c>
      <c r="B62" s="2">
        <f>Table83[[#This Row],[Weight]]-Table7[[#This Row],[Weight v Waist]]</f>
        <v>-1.272281493288915</v>
      </c>
      <c r="C62" s="2">
        <f>Table7[[#This Row],[Weight v Waist Res]]^2</f>
        <v>1.6187001981654716</v>
      </c>
      <c r="D62">
        <f>Regression!$C$10+(Regression!$C$9*Table83[[#This Row],[Neck]])</f>
        <v>260.39308108104251</v>
      </c>
      <c r="E62" s="2">
        <f>Table83[[#This Row],[Weight]]-Table7[[#This Row],[Weight v Neck]]</f>
        <v>-11.993081081042504</v>
      </c>
      <c r="F62" s="2">
        <f>Table7[[#This Row],[WN Res]]^2</f>
        <v>143.83399381645964</v>
      </c>
      <c r="G62">
        <f>Regression!$D$10+(Regression!$D$9*Table83[[#This Row],[Morning Body Temp]])</f>
        <v>255.62275488286326</v>
      </c>
      <c r="H62" s="2">
        <f>Table83[[#This Row],[Weight]]-Table7[[#This Row],[Weight v Morning Temp]]</f>
        <v>-7.2227548828632564</v>
      </c>
      <c r="I62" s="2">
        <f>Table7[[#This Row],[WMT Res]]^2</f>
        <v>52.168188097925011</v>
      </c>
      <c r="J62">
        <f>Regression!$E$10+(Regression!$E$9*Table83[[#This Row],[Morning Systolic Pressure]])</f>
        <v>254.55856018239473</v>
      </c>
      <c r="K62" s="2">
        <f>Table83[[#This Row],[Weight]]-Table7[[#This Row],[Weight v Morning Sys]]</f>
        <v>-6.1585601823947229</v>
      </c>
      <c r="L62" s="2">
        <f>Table7[[#This Row],[WMS Res]]^2</f>
        <v>37.927863520177723</v>
      </c>
      <c r="M62">
        <f>Regression!$F$10+(Regression!$F$9*Table83[[#This Row],[Morning Diastolic Pressure]])</f>
        <v>254.49397440297739</v>
      </c>
      <c r="N62" s="2">
        <f>Table83[[#This Row],[Weight]]-Table7[[#This Row],[Weight v Morning Dia]]</f>
        <v>-6.0939744029773806</v>
      </c>
      <c r="O62" s="2">
        <f>Table7[[#This Row],[WMD Res]]^2</f>
        <v>37.136524024143519</v>
      </c>
      <c r="P62">
        <f>Regression!$G$10+(Regression!$G$9*Table83[[#This Row],[Morning Pulse]])</f>
        <v>255.12643966469878</v>
      </c>
      <c r="Q62" s="2">
        <f>Table83[[#This Row],[Weight]]-Table7[[#This Row],[Weight v Morning Pulse]]</f>
        <v>-6.7264396646987734</v>
      </c>
      <c r="R62" s="2">
        <f>Table7[[#This Row],[WMP Res]]^2</f>
        <v>45.244990562832946</v>
      </c>
      <c r="S62">
        <f>Regression!$H$10+(Regression!$H$9*Table83[[#This Row],[Night Body Temp]])</f>
        <v>255.36496952993349</v>
      </c>
      <c r="T62" s="2">
        <f>Table83[[#This Row],[Weight]]-Table7[[#This Row],[Weight v Night Temp]]</f>
        <v>-6.9649695299334837</v>
      </c>
      <c r="U62" s="2">
        <f>Table7[[#This Row],[WNT Res]]^2</f>
        <v>48.510800552901856</v>
      </c>
      <c r="V62">
        <f>Regression!$I$10+(Regression!$I$9*Table83[[#This Row],[Night Systolic Pressure]])</f>
        <v>255.54651589525261</v>
      </c>
      <c r="W62" s="2">
        <f>Table83[[#This Row],[Weight]]-Table7[[#This Row],[Weight v Night Sys]]</f>
        <v>-7.1465158952526053</v>
      </c>
      <c r="X62" s="2">
        <f>Table7[[#This Row],[WNS Res]]^2</f>
        <v>51.072689441098149</v>
      </c>
      <c r="Y62">
        <f>Regression!$J$10+(Regression!$J$9*Table83[[#This Row],[Night Diastolic Pressure]])</f>
        <v>255.2146139794944</v>
      </c>
      <c r="Z62" s="2">
        <f>Table83[[#This Row],[Weight]]-Table7[[#This Row],[Weight v Night Dia]]</f>
        <v>-6.8146139794943963</v>
      </c>
      <c r="AA62" s="2">
        <f>Table7[[#This Row],[WND Res]]^2</f>
        <v>46.438963689520449</v>
      </c>
      <c r="AB62">
        <f>Regression!$K$10+(Regression!$K$9*Table83[[#This Row],[Night Pulse]])</f>
        <v>255.11015185874123</v>
      </c>
      <c r="AC62" s="2">
        <f>Table83[[#This Row],[Weight]]-Table7[[#This Row],[Weight v Night Pulse]]</f>
        <v>-6.7101518587412272</v>
      </c>
      <c r="AD62" s="2">
        <f>Table7[[#This Row],[WNP Res ]]^2</f>
        <v>45.026137967368349</v>
      </c>
      <c r="AE62">
        <f>Regression!$L$10+(Regression!$L$9*Table83[[#This Row],[Sleep]])</f>
        <v>253.87513299388604</v>
      </c>
      <c r="AF62" s="2">
        <f>Table83[[#This Row],[Weight]]-Table7[[#This Row],[Weight v Sleep]]</f>
        <v>-5.4751329938860351</v>
      </c>
      <c r="AG62" s="2">
        <f>Table7[[#This Row],[WS Res]]^2</f>
        <v>29.97708130073946</v>
      </c>
      <c r="AH62">
        <f>Regression!$M$10+(Regression!$M$9*Table83[[#This Row],[BMI]])</f>
        <v>248.40000000001501</v>
      </c>
      <c r="AI62" s="2">
        <f>Table83[[#This Row],[Weight]]-Table7[[#This Row],[Weight v BMI]]</f>
        <v>-1.5006662579253316E-11</v>
      </c>
      <c r="AJ62" s="2">
        <f>Table7[[#This Row],[WBMI Res]]^2</f>
        <v>2.2519992176756178E-22</v>
      </c>
      <c r="AK62">
        <f>Regression!$N$10+(Regression!$N$9*Table83[[#This Row],[CBF]])</f>
        <v>246.85529009284974</v>
      </c>
      <c r="AL62" s="2">
        <f>Table83[[#This Row],[Weight]]-Table7[[#This Row],[Weight v CBF]]</f>
        <v>1.5447099071502635</v>
      </c>
      <c r="AM62" s="2">
        <f>Table7[[#This Row],[WCBF Res]]^2</f>
        <v>2.3861286972481754</v>
      </c>
      <c r="AN62">
        <f>Regression!$O$10+(Regression!$O$9*Table83[[#This Row],[Gym]])</f>
        <v>255.46779661016953</v>
      </c>
      <c r="AO62" s="2">
        <f>Table83[[#This Row],[Weight]]-Table7[[#This Row],[Weight v Gym]]</f>
        <v>-7.0677966101695233</v>
      </c>
      <c r="AP62" s="2">
        <f>Table7[[#This Row],[WG Res]]^2</f>
        <v>49.953748922723804</v>
      </c>
      <c r="AQ62">
        <f>Regression!$P$10+(Regression!$P$9*Table83[[#This Row],[Cardio]])</f>
        <v>254.19242424242461</v>
      </c>
      <c r="AR62" s="2">
        <f>Table83[[#This Row],[Weight]]-Table7[[#This Row],[Weight v Cardio]]</f>
        <v>-5.7924242424246017</v>
      </c>
      <c r="AS62" s="2">
        <f>Table7[[#This Row],[WC Res]]^2</f>
        <v>33.552178604228224</v>
      </c>
      <c r="AT62">
        <f>Regression!$Q$10+(Regression!$Q$9*Table83[[#This Row],[Calories]])</f>
        <v>255.66078513655711</v>
      </c>
      <c r="AU62" s="2">
        <f>Table83[[#This Row],[Weight]]-Table7[[#This Row],[Weight v Calories]]</f>
        <v>-7.2607851365571037</v>
      </c>
      <c r="AV62" s="2">
        <f>Table7[[#This Row],[WCAL Res]]^2</f>
        <v>52.719000799248562</v>
      </c>
      <c r="AW62">
        <f>Regression!$R$10+(Regression!$R$9*Table83[[#This Row],[Carbs]])</f>
        <v>256.20495798915169</v>
      </c>
      <c r="AX62" s="2">
        <f>Table83[[#This Row],[Weight]]-Table7[[#This Row],[Weight v Carbs]]</f>
        <v>-7.8049579891516885</v>
      </c>
      <c r="AY62" s="2">
        <f>Table7[[#This Row],[Wcarb Res]]^2</f>
        <v>60.91736921242277</v>
      </c>
      <c r="AZ62">
        <f>Regression!$S$10+(Regression!$S$9*Table83[[#This Row],[Fat ]])</f>
        <v>255.09979006380826</v>
      </c>
      <c r="BA62" s="2">
        <f>Table83[[#This Row],[Weight]]-Table7[[#This Row],[Weight v Fat]]</f>
        <v>-6.6997900638082513</v>
      </c>
      <c r="BB62" s="2">
        <f>Table7[[#This Row],[WF Res]]^2</f>
        <v>44.887186899103774</v>
      </c>
      <c r="BC62">
        <f>Regression!$T$10+(Regression!$T$9*Table83[[#This Row],[Protein]])</f>
        <v>254.95798844527667</v>
      </c>
      <c r="BD62" s="2">
        <f>Table83[[#This Row],[Weight]]-Table7[[#This Row],[Weight v Protein]]</f>
        <v>-6.5579884452766635</v>
      </c>
      <c r="BE62" s="2">
        <f>Table7[[#This Row],[WP Res]]^2</f>
        <v>43.007212448382226</v>
      </c>
      <c r="BF62">
        <f>Regression!$U$10+(Regression!$U$9*Table83[[#This Row],[Fiber]])</f>
        <v>254.89787016108733</v>
      </c>
      <c r="BG62" s="2">
        <f>Table83[[#This Row],[Weight]]-Table7[[#This Row],[Weight v Fiber]]</f>
        <v>-6.4978701610873202</v>
      </c>
      <c r="BH62" s="2">
        <f>Table7[[#This Row],[Wfib Res]]^2</f>
        <v>42.222316630348956</v>
      </c>
      <c r="BI62">
        <f>Regression!$V$10+(Regression!$V$9*Table83[[#This Row],[Sugar]])</f>
        <v>256.75172774402427</v>
      </c>
      <c r="BJ62" s="2">
        <f>Table83[[#This Row],[Weight]]-Table7[[#This Row],[Weight v Sugar]]</f>
        <v>-8.3517277440242594</v>
      </c>
      <c r="BK62" s="2">
        <f>Table7[[#This Row],[Wsugar Res]]^2</f>
        <v>69.751356310304544</v>
      </c>
      <c r="BL62">
        <f>Regression!$W$10+(Regression!$W$9*Table83[[#This Row],[Servings]])</f>
        <v>256.73710820682157</v>
      </c>
      <c r="BM62" s="2">
        <f>Table83[[#This Row],[Weight]]-Table7[[#This Row],[Weight v Servings]]</f>
        <v>-8.3371082068215685</v>
      </c>
      <c r="BN62" s="2">
        <f>Table7[[#This Row],[Wserv Res]]^2</f>
        <v>69.507373252251554</v>
      </c>
      <c r="BO62">
        <f>Regression!$X$10+(Regression!$X$9*Table83[[#This Row],[Water]])</f>
        <v>255.23471394386095</v>
      </c>
      <c r="BP62" s="2">
        <f>Table83[[#This Row],[Weight]]-Table7[[#This Row],[Weight v Water]]</f>
        <v>-6.8347139438609474</v>
      </c>
      <c r="BQ62" s="2">
        <f>Table7[[#This Row],[Wwater Res]]^2</f>
        <v>46.713314694407266</v>
      </c>
      <c r="BR62">
        <f>Regression!$Y$10+(Regression!$Y$9*Table83[[#This Row],[Fat Calories]])</f>
        <v>255.09394835369858</v>
      </c>
      <c r="BS62" s="2">
        <f>Table83[[#This Row],[Weight]]-Table7[[#This Row],[Weight v Fat Calories]]</f>
        <v>-6.6939483536985733</v>
      </c>
      <c r="BT62" s="2">
        <f>Table7[[#This Row],[WFC Res]]^2</f>
        <v>44.808944561983843</v>
      </c>
      <c r="BU62">
        <f>Regression!$B$29+(Regression!$B$28*Table83[[#This Row],[Weight]])</f>
        <v>43.538531035216764</v>
      </c>
      <c r="BV62" s="2">
        <f>Table83[[#This Row],[Waist]]-Table7[[#This Row],[Waist v Weight]]</f>
        <v>-3.8531035216763598E-2</v>
      </c>
      <c r="BW62" s="2">
        <f>Table7[[#This Row],[WaistW Res]]^2</f>
        <v>1.4846406748754766E-3</v>
      </c>
      <c r="BX62">
        <f>Regression!$C$29+(Regression!$C$28*Table83[[#This Row],[Neck]])</f>
        <v>45.258648648648581</v>
      </c>
      <c r="BY62" s="2">
        <f>Table83[[#This Row],[Waist]]-Table7[[#This Row],[Waist v Neck]]</f>
        <v>-1.7586486486485811</v>
      </c>
      <c r="BZ62" s="2">
        <f>Table7[[#This Row],[WaistN Res]]^2</f>
        <v>3.0928450693934804</v>
      </c>
      <c r="CA62">
        <f>Regression!$D$29+(Regression!$D$28*Table83[[#This Row],[Morning Body Temp]])</f>
        <v>44.591625622988346</v>
      </c>
      <c r="CB62" s="2">
        <f>Table83[[#This Row],[Waist]]-Table7[[#This Row],[Waist v Morning Temp]]</f>
        <v>-1.0916256229883459</v>
      </c>
      <c r="CC62" s="2">
        <f>Table7[[#This Row],[WaistMT Res]]^2</f>
        <v>1.1916465007646941</v>
      </c>
      <c r="CD62">
        <f>Regression!$E$29+(Regression!$E$28*Table83[[#This Row],[Morning Systolic Pressure]])</f>
        <v>44.322799864485077</v>
      </c>
      <c r="CE62" s="2">
        <f>Table83[[#This Row],[Waist]]-Table7[[#This Row],[Waist v Morning Sys]]</f>
        <v>-0.82279986448507714</v>
      </c>
      <c r="CF62" s="2">
        <f>Table7[[#This Row],[WaistMS Res]]^2</f>
        <v>0.67699961699666134</v>
      </c>
      <c r="CG62">
        <f>Regression!$F$29+(Regression!$F$28*Table83[[#This Row],[Morning Diastolic Pressure]])</f>
        <v>44.419002944131137</v>
      </c>
      <c r="CH62" s="2">
        <f>Table83[[#This Row],[Waist]]-Table7[[#This Row],[Waist v Morning Dia]]</f>
        <v>-0.9190029441311367</v>
      </c>
      <c r="CI62" s="2">
        <f>Table7[[#This Row],[WaistMD Res]]^2</f>
        <v>0.84456641132169719</v>
      </c>
      <c r="CJ62">
        <f>Regression!$G$29+(Regression!$G$28*Table83[[#This Row],[Morning Pulse]])</f>
        <v>44.458773712947881</v>
      </c>
      <c r="CK62" s="2">
        <f>Table83[[#This Row],[Waist]]-Table7[[#This Row],[Waist v Morning Pulse]]</f>
        <v>-0.95877371294788105</v>
      </c>
      <c r="CL62" s="2">
        <f>Table7[[#This Row],[WaistMP Res]]^2</f>
        <v>0.91924703263986585</v>
      </c>
      <c r="CM62">
        <f>Regression!$H$29+(Regression!$H$28*Table83[[#This Row],[Night Body Temp]])</f>
        <v>44.473244726073837</v>
      </c>
      <c r="CN62" s="2">
        <f>Table83[[#This Row],[Waist]]-Table7[[#This Row],[Waist v Night Temp]]</f>
        <v>-0.97324472607383683</v>
      </c>
      <c r="CO62" s="2">
        <f>Table7[[#This Row],[WaistNT Res]]^2</f>
        <v>0.94720529683053767</v>
      </c>
      <c r="CP62">
        <f>Regression!$I$29+(Regression!$I$28*Table83[[#This Row],[Night Systolic Pressure]])</f>
        <v>44.514659772607665</v>
      </c>
      <c r="CQ62" s="2">
        <f>Table83[[#This Row],[Waist]]-Table7[[#This Row],[Waist v  Night Sys]]</f>
        <v>-1.0146597726076649</v>
      </c>
      <c r="CR62" s="2">
        <f>Table7[[#This Row],[WaistNS Res]]^2</f>
        <v>1.0295344541482383</v>
      </c>
      <c r="CS62">
        <f>Regression!$J$29+(Regression!$J$28*Table83[[#This Row],[Night Diastolic Pressure]])</f>
        <v>44.495227901568619</v>
      </c>
      <c r="CT62" s="2">
        <f>Table83[[#This Row],[Waist]]-Table7[[#This Row],[Waist v Night Dia]]</f>
        <v>-0.99522790156861873</v>
      </c>
      <c r="CU62" s="2">
        <f>Table7[[#This Row],[WaistND Res]]^2</f>
        <v>0.99047857606067624</v>
      </c>
      <c r="CV62">
        <f>Regression!$K$29+(Regression!$K$28*Table83[[#This Row],[Night Pulse]])</f>
        <v>44.453994879943338</v>
      </c>
      <c r="CW62" s="2">
        <f>Table83[[#This Row],[Waist]]-Table7[[#This Row],[Waist v Night Pulse]]</f>
        <v>-0.95399487994333754</v>
      </c>
      <c r="CX62" s="2">
        <f>Table7[[#This Row],[WaistNP Res]]^2</f>
        <v>0.91010623095810295</v>
      </c>
      <c r="CY62">
        <f>Regression!$L$29+(Regression!$L$28*Table83[[#This Row],[Sleep]])</f>
        <v>44.264495980875481</v>
      </c>
      <c r="CZ62" s="2">
        <f>Table83[[#This Row],[Waist]]-Table7[[#This Row],[Waist v  Sleep]]</f>
        <v>-0.76449598087548054</v>
      </c>
      <c r="DA62" s="2">
        <f>Table7[[#This Row],[WaistS Res]]^2</f>
        <v>0.58445410477476312</v>
      </c>
      <c r="DB62">
        <f>Regression!$M$29+(Regression!$M$28*Table83[[#This Row],[BMI]])</f>
        <v>43.53853103521967</v>
      </c>
      <c r="DC62" s="2">
        <f>Table83[[#This Row],[Waist]]-Table7[[#This Row],[Waist v BMI]]</f>
        <v>-3.8531035219669718E-2</v>
      </c>
      <c r="DD62" s="2">
        <f>Table7[[#This Row],[WaistBMI Res]]^2</f>
        <v>1.4846406750994281E-3</v>
      </c>
      <c r="DE62">
        <f>Regression!$N$29+(Regression!$N$28*Table83[[#This Row],[CBF]])</f>
        <v>42.966198760667851</v>
      </c>
      <c r="DF62" s="2">
        <f>Table83[[#This Row],[Waist]]-Table7[[#This Row],[Waist v  CBF]]</f>
        <v>0.53380123933214918</v>
      </c>
      <c r="DG62" s="2">
        <f>Table7[[#This Row],[WaistCBF Res]]^2</f>
        <v>0.28494376311253838</v>
      </c>
      <c r="DH62">
        <f>Regression!$O$29+(Regression!$O$28*Table83[[#This Row],[Gym]])</f>
        <v>44.550847457627107</v>
      </c>
      <c r="DI62" s="2">
        <f>Table83[[#This Row],[Waist]]-Table7[[#This Row],[Waist v  Gym]]</f>
        <v>-1.050847457627107</v>
      </c>
      <c r="DJ62" s="2">
        <f>Table7[[#This Row],[WaistGYM Res]]^2</f>
        <v>1.1042803792013545</v>
      </c>
      <c r="DK62">
        <f>Regression!$P$29+(Regression!$P$28*Table83[[#This Row],[Cardio]])</f>
        <v>44.291666666666664</v>
      </c>
      <c r="DL62" s="2">
        <f>Table83[[#This Row],[Waist]]-Table7[[#This Row],[Waist v Cardio]]</f>
        <v>-0.7916666666666643</v>
      </c>
      <c r="DM62" s="2">
        <f>Table7[[#This Row],[WaistC Res]]^2</f>
        <v>0.62673611111110739</v>
      </c>
      <c r="DN62">
        <f>Regression!$Q$29+(Regression!$Q$28*Table83[[#This Row],[Calories]])</f>
        <v>44.576155696366378</v>
      </c>
      <c r="DO62" s="2">
        <f>Table83[[#This Row],[Waist]]-Table7[[#This Row],[Waist v Calories]]</f>
        <v>-1.0761556963663779</v>
      </c>
      <c r="DP62" s="2">
        <f>Table7[[#This Row],[WaistCal Res]]^2</f>
        <v>1.1581110828218038</v>
      </c>
      <c r="DQ62">
        <f>Regression!$R$29+(Regression!$R$28*Table83[[#This Row],[Carbs]])</f>
        <v>44.680453189590985</v>
      </c>
      <c r="DR62" s="2">
        <f>Table83[[#This Row],[Waist]]-Table7[[#This Row],[Waist v Carbs]]</f>
        <v>-1.1804531895909847</v>
      </c>
      <c r="DS62" s="2">
        <f>Table7[[#This Row],[WaistCarb Res]]^2</f>
        <v>1.3934697328155292</v>
      </c>
      <c r="DT62">
        <f>Regression!$S$29+(Regression!$S$28*Table83[[#This Row],[Fat ]])</f>
        <v>44.448876941786175</v>
      </c>
      <c r="DU62" s="2">
        <f>Table83[[#This Row],[Waist]]-Table7[[#This Row],[Waist v Fat]]</f>
        <v>-0.94887694178617465</v>
      </c>
      <c r="DV62" s="2">
        <f>Table7[[#This Row],[WaistF Res]]^2</f>
        <v>0.90036745065348345</v>
      </c>
      <c r="DW62">
        <f>Regression!$T$29+(Regression!$T$28*Table83[[#This Row],[Protein]])</f>
        <v>44.424792777083532</v>
      </c>
      <c r="DX62" s="2">
        <f>Table83[[#This Row],[Waist]]-Table7[[#This Row],[Waist v Protein]]</f>
        <v>-0.9247927770835318</v>
      </c>
      <c r="DY62" s="2">
        <f>Table7[[#This Row],[WaistP Res]]^2</f>
        <v>0.85524168054587091</v>
      </c>
      <c r="DZ62">
        <f>Regression!$U$29+(Regression!$U$28*Table83[[#This Row],[Fiber]])</f>
        <v>44.369741040252379</v>
      </c>
      <c r="EA62" s="2">
        <f>Table83[[#This Row],[Waist]]-Table7[[#This Row],[Waist v Fiber]]</f>
        <v>-0.86974104025237864</v>
      </c>
      <c r="EB62" s="2">
        <f>Table7[[#This Row],[WaistFib Res]]^2</f>
        <v>0.75644947709928967</v>
      </c>
      <c r="EC62">
        <f>Regression!$V$29+(Regression!$V$28*Table83[[#This Row],[Sugar]])</f>
        <v>44.747551759132634</v>
      </c>
      <c r="ED62" s="2">
        <f>Table83[[#This Row],[Waist]]-Table7[[#This Row],[Waist v Sugar]]</f>
        <v>-1.2475517591326337</v>
      </c>
      <c r="EE62" s="2">
        <f>Table7[[#This Row],[WaistSugar Res]]^2</f>
        <v>1.5563853917149288</v>
      </c>
      <c r="EF62">
        <f>Regression!$W$29+(Regression!$W$28*Table83[[#This Row],[Servings]])</f>
        <v>44.701039759579366</v>
      </c>
      <c r="EG62" s="2">
        <f>Table83[[#This Row],[Waist]]-Table7[[#This Row],[Waist v Servings]]</f>
        <v>-1.2010397595793663</v>
      </c>
      <c r="EH62" s="2">
        <f>Table7[[#This Row],[WaistServ Res]]^2</f>
        <v>1.4424965040904618</v>
      </c>
      <c r="EI62">
        <f>Regression!$X$29+(Regression!$X$28*Table83[[#This Row],[Water]])</f>
        <v>44.609733984485779</v>
      </c>
      <c r="EJ62" s="2">
        <f>Table83[[#This Row],[Waist]]-Table7[[#This Row],[Waist v Water]]</f>
        <v>-1.1097339844857785</v>
      </c>
      <c r="EK62" s="2">
        <f>Table7[[#This Row],[WaistWat Res]]^2</f>
        <v>1.2315095163226821</v>
      </c>
      <c r="EL62">
        <f>Regression!$Y$29+(Regression!$Y$28*Table83[[#This Row],[Fat Calories]])</f>
        <v>44.447123954737037</v>
      </c>
      <c r="EM62" s="2">
        <f>Table83[[#This Row],[Waist]]-Table7[[#This Row],[Waist v Fat Calories]]</f>
        <v>-0.94712395473703737</v>
      </c>
      <c r="EN62" s="2">
        <f>Table7[[#This Row],[WaistFatCal Res]]^2</f>
        <v>0.8970437856367256</v>
      </c>
    </row>
    <row r="63" spans="1:144" x14ac:dyDescent="0.25">
      <c r="A63">
        <f>Regression!$B$10+(Regression!$B$9*Table83[[#This Row],[Waist]])</f>
        <v>249.67228149328892</v>
      </c>
      <c r="B63" s="2">
        <f>Table83[[#This Row],[Weight]]-Table7[[#This Row],[Weight v Waist]]</f>
        <v>-2.0722814932889264</v>
      </c>
      <c r="C63" s="2">
        <f>Table7[[#This Row],[Weight v Waist Res]]^2</f>
        <v>4.2943505874277825</v>
      </c>
      <c r="D63">
        <f>Regression!$C$10+(Regression!$C$9*Table83[[#This Row],[Neck]])</f>
        <v>253.29286486487842</v>
      </c>
      <c r="E63" s="2">
        <f>Table83[[#This Row],[Weight]]-Table7[[#This Row],[Weight v Neck]]</f>
        <v>-5.6928648648784304</v>
      </c>
      <c r="F63" s="2">
        <f>Table7[[#This Row],[WN Res]]^2</f>
        <v>32.408710369767306</v>
      </c>
      <c r="G63">
        <f>Regression!$D$10+(Regression!$D$9*Table83[[#This Row],[Morning Body Temp]])</f>
        <v>254.7075736779725</v>
      </c>
      <c r="H63" s="2">
        <f>Table83[[#This Row],[Weight]]-Table7[[#This Row],[Weight v Morning Temp]]</f>
        <v>-7.1075736779725105</v>
      </c>
      <c r="I63" s="2">
        <f>Table7[[#This Row],[WMT Res]]^2</f>
        <v>50.517603587807677</v>
      </c>
      <c r="J63">
        <f>Regression!$E$10+(Regression!$E$9*Table83[[#This Row],[Morning Systolic Pressure]])</f>
        <v>254.42332857080459</v>
      </c>
      <c r="K63" s="2">
        <f>Table83[[#This Row],[Weight]]-Table7[[#This Row],[Weight v Morning Sys]]</f>
        <v>-6.8233285708045912</v>
      </c>
      <c r="L63" s="2">
        <f>Table7[[#This Row],[WMS Res]]^2</f>
        <v>46.557812785158227</v>
      </c>
      <c r="M63">
        <f>Regression!$F$10+(Regression!$F$9*Table83[[#This Row],[Morning Diastolic Pressure]])</f>
        <v>255.20338414629154</v>
      </c>
      <c r="N63" s="2">
        <f>Table83[[#This Row],[Weight]]-Table7[[#This Row],[Weight v Morning Dia]]</f>
        <v>-7.6033841462915461</v>
      </c>
      <c r="O63" s="2">
        <f>Table7[[#This Row],[WMD Res]]^2</f>
        <v>57.811450476077624</v>
      </c>
      <c r="P63">
        <f>Regression!$G$10+(Regression!$G$9*Table83[[#This Row],[Morning Pulse]])</f>
        <v>255.13192305197038</v>
      </c>
      <c r="Q63" s="2">
        <f>Table83[[#This Row],[Weight]]-Table7[[#This Row],[Weight v Morning Pulse]]</f>
        <v>-7.5319230519703808</v>
      </c>
      <c r="R63" s="2">
        <f>Table7[[#This Row],[WMP Res]]^2</f>
        <v>56.729864860802813</v>
      </c>
      <c r="S63">
        <f>Regression!$H$10+(Regression!$H$9*Table83[[#This Row],[Night Body Temp]])</f>
        <v>254.95418324800676</v>
      </c>
      <c r="T63" s="2">
        <f>Table83[[#This Row],[Weight]]-Table7[[#This Row],[Weight v Night Temp]]</f>
        <v>-7.3541832480067626</v>
      </c>
      <c r="U63" s="2">
        <f>Table7[[#This Row],[WNT Res]]^2</f>
        <v>54.084011245263298</v>
      </c>
      <c r="V63">
        <f>Regression!$I$10+(Regression!$I$9*Table83[[#This Row],[Night Systolic Pressure]])</f>
        <v>254.21213305288254</v>
      </c>
      <c r="W63" s="2">
        <f>Table83[[#This Row],[Weight]]-Table7[[#This Row],[Weight v Night Sys]]</f>
        <v>-6.6121330528825411</v>
      </c>
      <c r="X63" s="2">
        <f>Table7[[#This Row],[WNS Res]]^2</f>
        <v>43.72030350902179</v>
      </c>
      <c r="Y63">
        <f>Regression!$J$10+(Regression!$J$9*Table83[[#This Row],[Night Diastolic Pressure]])</f>
        <v>255.01078463741391</v>
      </c>
      <c r="Z63" s="2">
        <f>Table83[[#This Row],[Weight]]-Table7[[#This Row],[Weight v Night Dia]]</f>
        <v>-7.4107846374139115</v>
      </c>
      <c r="AA63" s="2">
        <f>Table7[[#This Row],[WND Res]]^2</f>
        <v>54.919728942130043</v>
      </c>
      <c r="AB63">
        <f>Regression!$K$10+(Regression!$K$9*Table83[[#This Row],[Night Pulse]])</f>
        <v>255.04872519626778</v>
      </c>
      <c r="AC63" s="2">
        <f>Table83[[#This Row],[Weight]]-Table7[[#This Row],[Weight v Night Pulse]]</f>
        <v>-7.4487251962677874</v>
      </c>
      <c r="AD63" s="2">
        <f>Table7[[#This Row],[WNP Res ]]^2</f>
        <v>55.483507049514586</v>
      </c>
      <c r="AE63">
        <f>Regression!$L$10+(Regression!$L$9*Table83[[#This Row],[Sleep]])</f>
        <v>254.74268699816406</v>
      </c>
      <c r="AF63" s="2">
        <f>Table83[[#This Row],[Weight]]-Table7[[#This Row],[Weight v Sleep]]</f>
        <v>-7.1426869981640664</v>
      </c>
      <c r="AG63" s="2">
        <f>Table7[[#This Row],[WS Res]]^2</f>
        <v>51.017977553742</v>
      </c>
      <c r="AH63">
        <f>Regression!$M$10+(Regression!$M$9*Table83[[#This Row],[BMI]])</f>
        <v>247.60000000001679</v>
      </c>
      <c r="AI63" s="2">
        <f>Table83[[#This Row],[Weight]]-Table7[[#This Row],[Weight v BMI]]</f>
        <v>-1.6797230273368768E-11</v>
      </c>
      <c r="AJ63" s="2">
        <f>Table7[[#This Row],[WBMI Res]]^2</f>
        <v>2.8214694485657623E-22</v>
      </c>
      <c r="AK63">
        <f>Regression!$N$10+(Regression!$N$9*Table83[[#This Row],[CBF]])</f>
        <v>250.04675133427031</v>
      </c>
      <c r="AL63" s="2">
        <f>Table83[[#This Row],[Weight]]-Table7[[#This Row],[Weight v CBF]]</f>
        <v>-2.4467513342703171</v>
      </c>
      <c r="AM63" s="2">
        <f>Table7[[#This Row],[WCBF Res]]^2</f>
        <v>5.9865920917535771</v>
      </c>
      <c r="AN63">
        <f>Regression!$O$10+(Regression!$O$9*Table83[[#This Row],[Gym]])</f>
        <v>255.46779661016953</v>
      </c>
      <c r="AO63" s="2">
        <f>Table83[[#This Row],[Weight]]-Table7[[#This Row],[Weight v Gym]]</f>
        <v>-7.8677966101695347</v>
      </c>
      <c r="AP63" s="2">
        <f>Table7[[#This Row],[WG Res]]^2</f>
        <v>61.90222349899522</v>
      </c>
      <c r="AQ63">
        <f>Regression!$P$10+(Regression!$P$9*Table83[[#This Row],[Cardio]])</f>
        <v>254.19242424242461</v>
      </c>
      <c r="AR63" s="2">
        <f>Table83[[#This Row],[Weight]]-Table7[[#This Row],[Weight v Cardio]]</f>
        <v>-6.5924242424246131</v>
      </c>
      <c r="AS63" s="2">
        <f>Table7[[#This Row],[WC Res]]^2</f>
        <v>43.460057392107736</v>
      </c>
      <c r="AT63">
        <f>Regression!$Q$10+(Regression!$Q$9*Table83[[#This Row],[Calories]])</f>
        <v>255.73527566492049</v>
      </c>
      <c r="AU63" s="2">
        <f>Table83[[#This Row],[Weight]]-Table7[[#This Row],[Weight v Calories]]</f>
        <v>-8.1352756649204991</v>
      </c>
      <c r="AV63" s="2">
        <f>Table7[[#This Row],[WCAL Res]]^2</f>
        <v>66.182710144247665</v>
      </c>
      <c r="AW63">
        <f>Regression!$R$10+(Regression!$R$9*Table83[[#This Row],[Carbs]])</f>
        <v>256.03970020825653</v>
      </c>
      <c r="AX63" s="2">
        <f>Table83[[#This Row],[Weight]]-Table7[[#This Row],[Weight v Carbs]]</f>
        <v>-8.4397002082565393</v>
      </c>
      <c r="AY63" s="2">
        <f>Table7[[#This Row],[Wcarb Res]]^2</f>
        <v>71.228539605245473</v>
      </c>
      <c r="AZ63">
        <f>Regression!$S$10+(Regression!$S$9*Table83[[#This Row],[Fat ]])</f>
        <v>255.28884073326665</v>
      </c>
      <c r="BA63" s="2">
        <f>Table83[[#This Row],[Weight]]-Table7[[#This Row],[Weight v Fat]]</f>
        <v>-7.6888407332666588</v>
      </c>
      <c r="BB63" s="2">
        <f>Table7[[#This Row],[WF Res]]^2</f>
        <v>59.118271821540574</v>
      </c>
      <c r="BC63">
        <f>Regression!$T$10+(Regression!$T$9*Table83[[#This Row],[Protein]])</f>
        <v>255.62283294521254</v>
      </c>
      <c r="BD63" s="2">
        <f>Table83[[#This Row],[Weight]]-Table7[[#This Row],[Weight v Protein]]</f>
        <v>-8.0228329452125422</v>
      </c>
      <c r="BE63" s="2">
        <f>Table7[[#This Row],[WP Res]]^2</f>
        <v>64.365848466787753</v>
      </c>
      <c r="BF63">
        <f>Regression!$U$10+(Regression!$U$9*Table83[[#This Row],[Fiber]])</f>
        <v>254.85549866551227</v>
      </c>
      <c r="BG63" s="2">
        <f>Table83[[#This Row],[Weight]]-Table7[[#This Row],[Weight v Fiber]]</f>
        <v>-7.2554986655122775</v>
      </c>
      <c r="BH63" s="2">
        <f>Table7[[#This Row],[Wfib Res]]^2</f>
        <v>52.642260885250437</v>
      </c>
      <c r="BI63">
        <f>Regression!$V$10+(Regression!$V$9*Table83[[#This Row],[Sugar]])</f>
        <v>256.20133358453177</v>
      </c>
      <c r="BJ63" s="2">
        <f>Table83[[#This Row],[Weight]]-Table7[[#This Row],[Weight v Sugar]]</f>
        <v>-8.6013335845317727</v>
      </c>
      <c r="BK63" s="2">
        <f>Table7[[#This Row],[Wsugar Res]]^2</f>
        <v>73.98293943239419</v>
      </c>
      <c r="BL63">
        <f>Regression!$W$10+(Regression!$W$9*Table83[[#This Row],[Servings]])</f>
        <v>256.89000774513488</v>
      </c>
      <c r="BM63" s="2">
        <f>Table83[[#This Row],[Weight]]-Table7[[#This Row],[Weight v Servings]]</f>
        <v>-9.2900077451348864</v>
      </c>
      <c r="BN63" s="2">
        <f>Table7[[#This Row],[Wserv Res]]^2</f>
        <v>86.30424390466618</v>
      </c>
      <c r="BO63">
        <f>Regression!$X$10+(Regression!$X$9*Table83[[#This Row],[Water]])</f>
        <v>255.23471394386095</v>
      </c>
      <c r="BP63" s="2">
        <f>Table83[[#This Row],[Weight]]-Table7[[#This Row],[Weight v Water]]</f>
        <v>-7.6347139438609588</v>
      </c>
      <c r="BQ63" s="2">
        <f>Table7[[#This Row],[Wwater Res]]^2</f>
        <v>58.288857004584955</v>
      </c>
      <c r="BR63">
        <f>Regression!$Y$10+(Regression!$Y$9*Table83[[#This Row],[Fat Calories]])</f>
        <v>255.29514582522626</v>
      </c>
      <c r="BS63" s="2">
        <f>Table83[[#This Row],[Weight]]-Table7[[#This Row],[Weight v Fat Calories]]</f>
        <v>-7.6951458252262626</v>
      </c>
      <c r="BT63" s="2">
        <f>Table7[[#This Row],[WFC Res]]^2</f>
        <v>59.215269271497178</v>
      </c>
      <c r="BU63">
        <f>Regression!$B$29+(Regression!$B$28*Table83[[#This Row],[Weight]])</f>
        <v>43.429521026760781</v>
      </c>
      <c r="BV63" s="2">
        <f>Table83[[#This Row],[Waist]]-Table7[[#This Row],[Waist v Weight]]</f>
        <v>7.047897323921859E-2</v>
      </c>
      <c r="BW63" s="2">
        <f>Table7[[#This Row],[WaistW Res]]^2</f>
        <v>4.9672856688544901E-3</v>
      </c>
      <c r="BX63">
        <f>Regression!$C$29+(Regression!$C$28*Table83[[#This Row],[Neck]])</f>
        <v>44.175585585585594</v>
      </c>
      <c r="BY63" s="2">
        <f>Table83[[#This Row],[Waist]]-Table7[[#This Row],[Waist v Neck]]</f>
        <v>-0.67558558558559412</v>
      </c>
      <c r="BZ63" s="2">
        <f>Table7[[#This Row],[WaistN Res]]^2</f>
        <v>0.45641588345103012</v>
      </c>
      <c r="CA63">
        <f>Regression!$D$29+(Regression!$D$28*Table83[[#This Row],[Morning Body Temp]])</f>
        <v>44.342717051701939</v>
      </c>
      <c r="CB63" s="2">
        <f>Table83[[#This Row],[Waist]]-Table7[[#This Row],[Waist v Morning Temp]]</f>
        <v>-0.84271705170193911</v>
      </c>
      <c r="CC63" s="2">
        <f>Table7[[#This Row],[WaistMT Res]]^2</f>
        <v>0.71017202922920875</v>
      </c>
      <c r="CD63">
        <f>Regression!$E$29+(Regression!$E$28*Table83[[#This Row],[Morning Systolic Pressure]])</f>
        <v>44.291028648757795</v>
      </c>
      <c r="CE63" s="2">
        <f>Table83[[#This Row],[Waist]]-Table7[[#This Row],[Waist v Morning Sys]]</f>
        <v>-0.79102864875779488</v>
      </c>
      <c r="CF63" s="2">
        <f>Table7[[#This Row],[WaistMS Res]]^2</f>
        <v>0.62572632315558285</v>
      </c>
      <c r="CG63">
        <f>Regression!$F$29+(Regression!$F$28*Table83[[#This Row],[Morning Diastolic Pressure]])</f>
        <v>44.458452288813113</v>
      </c>
      <c r="CH63" s="2">
        <f>Table83[[#This Row],[Waist]]-Table7[[#This Row],[Waist v Morning Dia]]</f>
        <v>-0.95845228881311328</v>
      </c>
      <c r="CI63" s="2">
        <f>Table7[[#This Row],[WaistMD Res]]^2</f>
        <v>0.91863078993109548</v>
      </c>
      <c r="CJ63">
        <f>Regression!$G$29+(Regression!$G$28*Table83[[#This Row],[Morning Pulse]])</f>
        <v>44.461292220668717</v>
      </c>
      <c r="CK63" s="2">
        <f>Table83[[#This Row],[Waist]]-Table7[[#This Row],[Waist v Morning Pulse]]</f>
        <v>-0.96129222066871733</v>
      </c>
      <c r="CL63" s="2">
        <f>Table7[[#This Row],[WaistMP Res]]^2</f>
        <v>0.92408273351819392</v>
      </c>
      <c r="CM63">
        <f>Regression!$H$29+(Regression!$H$28*Table83[[#This Row],[Night Body Temp]])</f>
        <v>44.440857030854289</v>
      </c>
      <c r="CN63" s="2">
        <f>Table83[[#This Row],[Waist]]-Table7[[#This Row],[Waist v Night Temp]]</f>
        <v>-0.94085703085428918</v>
      </c>
      <c r="CO63" s="2">
        <f>Table7[[#This Row],[WaistNT Res]]^2</f>
        <v>0.88521195250794882</v>
      </c>
      <c r="CP63">
        <f>Regression!$I$29+(Regression!$I$28*Table83[[#This Row],[Night Systolic Pressure]])</f>
        <v>44.325638286374691</v>
      </c>
      <c r="CQ63" s="2">
        <f>Table83[[#This Row],[Waist]]-Table7[[#This Row],[Waist v  Night Sys]]</f>
        <v>-0.82563828637469072</v>
      </c>
      <c r="CR63" s="2">
        <f>Table7[[#This Row],[WaistNS Res]]^2</f>
        <v>0.68167857992773584</v>
      </c>
      <c r="CS63">
        <f>Regression!$J$29+(Regression!$J$28*Table83[[#This Row],[Night Diastolic Pressure]])</f>
        <v>44.409888175531407</v>
      </c>
      <c r="CT63" s="2">
        <f>Table83[[#This Row],[Waist]]-Table7[[#This Row],[Waist v Night Dia]]</f>
        <v>-0.90988817553140677</v>
      </c>
      <c r="CU63" s="2">
        <f>Table7[[#This Row],[WaistND Res]]^2</f>
        <v>0.82789649197187209</v>
      </c>
      <c r="CV63">
        <f>Regression!$K$29+(Regression!$K$28*Table83[[#This Row],[Night Pulse]])</f>
        <v>44.459708372565267</v>
      </c>
      <c r="CW63" s="2">
        <f>Table83[[#This Row],[Waist]]-Table7[[#This Row],[Waist v Night Pulse]]</f>
        <v>-0.95970837256526664</v>
      </c>
      <c r="CX63" s="2">
        <f>Table7[[#This Row],[WaistNP Res]]^2</f>
        <v>0.92104016037187264</v>
      </c>
      <c r="CY63">
        <f>Regression!$L$29+(Regression!$L$28*Table83[[#This Row],[Sleep]])</f>
        <v>44.396768142863529</v>
      </c>
      <c r="CZ63" s="2">
        <f>Table83[[#This Row],[Waist]]-Table7[[#This Row],[Waist v  Sleep]]</f>
        <v>-0.89676814286352879</v>
      </c>
      <c r="DA63" s="2">
        <f>Table7[[#This Row],[WaistS Res]]^2</f>
        <v>0.80419310205490235</v>
      </c>
      <c r="DB63">
        <f>Regression!$M$29+(Regression!$M$28*Table83[[#This Row],[BMI]])</f>
        <v>43.429521026764029</v>
      </c>
      <c r="DC63" s="2">
        <f>Table83[[#This Row],[Waist]]-Table7[[#This Row],[Waist v BMI]]</f>
        <v>7.0478973235971409E-2</v>
      </c>
      <c r="DD63" s="2">
        <f>Table7[[#This Row],[WaistBMI Res]]^2</f>
        <v>4.9672856683967747E-3</v>
      </c>
      <c r="DE63">
        <f>Regression!$N$29+(Regression!$N$28*Table83[[#This Row],[CBF]])</f>
        <v>43.540887941991329</v>
      </c>
      <c r="DF63" s="2">
        <f>Table83[[#This Row],[Waist]]-Table7[[#This Row],[Waist v  CBF]]</f>
        <v>-4.0887941991329058E-2</v>
      </c>
      <c r="DG63" s="2">
        <f>Table7[[#This Row],[WaistCBF Res]]^2</f>
        <v>1.6718238002862899E-3</v>
      </c>
      <c r="DH63">
        <f>Regression!$O$29+(Regression!$O$28*Table83[[#This Row],[Gym]])</f>
        <v>44.550847457627107</v>
      </c>
      <c r="DI63" s="2">
        <f>Table83[[#This Row],[Waist]]-Table7[[#This Row],[Waist v  Gym]]</f>
        <v>-1.050847457627107</v>
      </c>
      <c r="DJ63" s="2">
        <f>Table7[[#This Row],[WaistGYM Res]]^2</f>
        <v>1.1042803792013545</v>
      </c>
      <c r="DK63">
        <f>Regression!$P$29+(Regression!$P$28*Table83[[#This Row],[Cardio]])</f>
        <v>44.291666666666664</v>
      </c>
      <c r="DL63" s="2">
        <f>Table83[[#This Row],[Waist]]-Table7[[#This Row],[Waist v Cardio]]</f>
        <v>-0.7916666666666643</v>
      </c>
      <c r="DM63" s="2">
        <f>Table7[[#This Row],[WaistC Res]]^2</f>
        <v>0.62673611111110739</v>
      </c>
      <c r="DN63">
        <f>Regression!$Q$29+(Regression!$Q$28*Table83[[#This Row],[Calories]])</f>
        <v>44.592892065914825</v>
      </c>
      <c r="DO63" s="2">
        <f>Table83[[#This Row],[Waist]]-Table7[[#This Row],[Waist v Calories]]</f>
        <v>-1.0928920659148247</v>
      </c>
      <c r="DP63" s="2">
        <f>Table7[[#This Row],[WaistCal Res]]^2</f>
        <v>1.1944130677395735</v>
      </c>
      <c r="DQ63">
        <f>Regression!$R$29+(Regression!$R$28*Table83[[#This Row],[Carbs]])</f>
        <v>44.646047531607536</v>
      </c>
      <c r="DR63" s="2">
        <f>Table83[[#This Row],[Waist]]-Table7[[#This Row],[Waist v Carbs]]</f>
        <v>-1.146047531607536</v>
      </c>
      <c r="DS63" s="2">
        <f>Table7[[#This Row],[WaistCarb Res]]^2</f>
        <v>1.3134249447037263</v>
      </c>
      <c r="DT63">
        <f>Regression!$S$29+(Regression!$S$28*Table83[[#This Row],[Fat ]])</f>
        <v>44.506665730615069</v>
      </c>
      <c r="DU63" s="2">
        <f>Table83[[#This Row],[Waist]]-Table7[[#This Row],[Waist v Fat]]</f>
        <v>-1.0066657306150688</v>
      </c>
      <c r="DV63" s="2">
        <f>Table7[[#This Row],[WaistF Res]]^2</f>
        <v>1.0133758931947703</v>
      </c>
      <c r="DW63">
        <f>Regression!$T$29+(Regression!$T$28*Table83[[#This Row],[Protein]])</f>
        <v>44.546484017185897</v>
      </c>
      <c r="DX63" s="2">
        <f>Table83[[#This Row],[Waist]]-Table7[[#This Row],[Waist v Protein]]</f>
        <v>-1.0464840171858967</v>
      </c>
      <c r="DY63" s="2">
        <f>Table7[[#This Row],[WaistP Res]]^2</f>
        <v>1.095128798225532</v>
      </c>
      <c r="DZ63">
        <f>Regression!$U$29+(Regression!$U$28*Table83[[#This Row],[Fiber]])</f>
        <v>44.353391576986731</v>
      </c>
      <c r="EA63" s="2">
        <f>Table83[[#This Row],[Waist]]-Table7[[#This Row],[Waist v Fiber]]</f>
        <v>-0.85339157698673063</v>
      </c>
      <c r="EB63" s="2">
        <f>Table7[[#This Row],[WaistFib Res]]^2</f>
        <v>0.72827718367189898</v>
      </c>
      <c r="EC63">
        <f>Regression!$V$29+(Regression!$V$28*Table83[[#This Row],[Sugar]])</f>
        <v>44.648679586940681</v>
      </c>
      <c r="ED63" s="2">
        <f>Table83[[#This Row],[Waist]]-Table7[[#This Row],[Waist v Sugar]]</f>
        <v>-1.1486795869406805</v>
      </c>
      <c r="EE63" s="2">
        <f>Table7[[#This Row],[WaistSugar Res]]^2</f>
        <v>1.3194647934542123</v>
      </c>
      <c r="EF63">
        <f>Regression!$W$29+(Regression!$W$28*Table83[[#This Row],[Servings]])</f>
        <v>44.724369681820377</v>
      </c>
      <c r="EG63" s="2">
        <f>Table83[[#This Row],[Waist]]-Table7[[#This Row],[Waist v Servings]]</f>
        <v>-1.2243696818203773</v>
      </c>
      <c r="EH63" s="2">
        <f>Table7[[#This Row],[WaistServ Res]]^2</f>
        <v>1.499081117760932</v>
      </c>
      <c r="EI63">
        <f>Regression!$X$29+(Regression!$X$28*Table83[[#This Row],[Water]])</f>
        <v>44.609733984485779</v>
      </c>
      <c r="EJ63" s="2">
        <f>Table83[[#This Row],[Waist]]-Table7[[#This Row],[Waist v Water]]</f>
        <v>-1.1097339844857785</v>
      </c>
      <c r="EK63" s="2">
        <f>Table7[[#This Row],[WaistWat Res]]^2</f>
        <v>1.2315095163226821</v>
      </c>
      <c r="EL63">
        <f>Regression!$Y$29+(Regression!$Y$28*Table83[[#This Row],[Fat Calories]])</f>
        <v>44.508313893806843</v>
      </c>
      <c r="EM63" s="2">
        <f>Table83[[#This Row],[Waist]]-Table7[[#This Row],[Waist v Fat Calories]]</f>
        <v>-1.008313893806843</v>
      </c>
      <c r="EN63" s="2">
        <f>Table7[[#This Row],[WaistFatCal Res]]^2</f>
        <v>1.0166969084439175</v>
      </c>
    </row>
    <row r="64" spans="1:144" x14ac:dyDescent="0.25">
      <c r="A64">
        <f>Regression!$B$10+(Regression!$B$9*Table83[[#This Row],[Waist]])</f>
        <v>249.67228149328892</v>
      </c>
      <c r="B64" s="2">
        <f>Table83[[#This Row],[Weight]]-Table7[[#This Row],[Weight v Waist]]</f>
        <v>-3.0722814932889264</v>
      </c>
      <c r="C64" s="2">
        <f>Table7[[#This Row],[Weight v Waist Res]]^2</f>
        <v>9.4389135740056354</v>
      </c>
      <c r="D64">
        <f>Regression!$C$10+(Regression!$C$9*Table83[[#This Row],[Neck]])</f>
        <v>246.19264864871434</v>
      </c>
      <c r="E64" s="2">
        <f>Table83[[#This Row],[Weight]]-Table7[[#This Row],[Weight v Neck]]</f>
        <v>0.40735135128565503</v>
      </c>
      <c r="F64" s="2">
        <f>Table7[[#This Row],[WN Res]]^2</f>
        <v>0.16593512339424912</v>
      </c>
      <c r="G64">
        <f>Regression!$D$10+(Regression!$D$9*Table83[[#This Row],[Morning Body Temp]])</f>
        <v>254.14438524419359</v>
      </c>
      <c r="H64" s="2">
        <f>Table83[[#This Row],[Weight]]-Table7[[#This Row],[Weight v Morning Temp]]</f>
        <v>-7.5443852441935917</v>
      </c>
      <c r="I64" s="2">
        <f>Table7[[#This Row],[WMT Res]]^2</f>
        <v>56.917748712806002</v>
      </c>
      <c r="J64">
        <f>Regression!$E$10+(Regression!$E$9*Table83[[#This Row],[Morning Systolic Pressure]])</f>
        <v>254.73886899784827</v>
      </c>
      <c r="K64" s="2">
        <f>Table83[[#This Row],[Weight]]-Table7[[#This Row],[Weight v Morning Sys]]</f>
        <v>-8.1388689978482773</v>
      </c>
      <c r="L64" s="2">
        <f>Table7[[#This Row],[WMS Res]]^2</f>
        <v>66.241188564135825</v>
      </c>
      <c r="M64">
        <f>Regression!$F$10+(Regression!$F$9*Table83[[#This Row],[Morning Diastolic Pressure]])</f>
        <v>255.00069564820177</v>
      </c>
      <c r="N64" s="2">
        <f>Table83[[#This Row],[Weight]]-Table7[[#This Row],[Weight v Morning Dia]]</f>
        <v>-8.4006956482017756</v>
      </c>
      <c r="O64" s="2">
        <f>Table7[[#This Row],[WMD Res]]^2</f>
        <v>70.571687373716244</v>
      </c>
      <c r="P64">
        <f>Regression!$G$10+(Regression!$G$9*Table83[[#This Row],[Morning Pulse]])</f>
        <v>255.12826746045599</v>
      </c>
      <c r="Q64" s="2">
        <f>Table83[[#This Row],[Weight]]-Table7[[#This Row],[Weight v Morning Pulse]]</f>
        <v>-8.5282674604559929</v>
      </c>
      <c r="R64" s="2">
        <f>Table7[[#This Row],[WMP Res]]^2</f>
        <v>72.731345877072513</v>
      </c>
      <c r="S64">
        <f>Regression!$H$10+(Regression!$H$9*Table83[[#This Row],[Night Body Temp]])</f>
        <v>254.54339696608002</v>
      </c>
      <c r="T64" s="2">
        <f>Table83[[#This Row],[Weight]]-Table7[[#This Row],[Weight v Night Temp]]</f>
        <v>-7.9433969660800301</v>
      </c>
      <c r="U64" s="2">
        <f>Table7[[#This Row],[WNT Res]]^2</f>
        <v>63.09755536072943</v>
      </c>
      <c r="V64">
        <f>Regression!$I$10+(Regression!$I$9*Table83[[#This Row],[Night Systolic Pressure]])</f>
        <v>254.93064689108181</v>
      </c>
      <c r="W64" s="2">
        <f>Table83[[#This Row],[Weight]]-Table7[[#This Row],[Weight v Night Sys]]</f>
        <v>-8.3306468910818126</v>
      </c>
      <c r="X64" s="2">
        <f>Table7[[#This Row],[WNS Res]]^2</f>
        <v>69.399677623891066</v>
      </c>
      <c r="Y64">
        <f>Regression!$J$10+(Regression!$J$9*Table83[[#This Row],[Night Diastolic Pressure]])</f>
        <v>255.41844332157493</v>
      </c>
      <c r="Z64" s="2">
        <f>Table83[[#This Row],[Weight]]-Table7[[#This Row],[Weight v Night Dia]]</f>
        <v>-8.8184433215749323</v>
      </c>
      <c r="AA64" s="2">
        <f>Table7[[#This Row],[WND Res]]^2</f>
        <v>77.764942615829526</v>
      </c>
      <c r="AB64">
        <f>Regression!$K$10+(Regression!$K$9*Table83[[#This Row],[Night Pulse]])</f>
        <v>255.17157852121468</v>
      </c>
      <c r="AC64" s="2">
        <f>Table83[[#This Row],[Weight]]-Table7[[#This Row],[Weight v Night Pulse]]</f>
        <v>-8.5715785212146898</v>
      </c>
      <c r="AD64" s="2">
        <f>Table7[[#This Row],[WNP Res ]]^2</f>
        <v>73.471958345349009</v>
      </c>
      <c r="AE64">
        <f>Regression!$L$10+(Regression!$L$9*Table83[[#This Row],[Sleep]])</f>
        <v>255.29476681906823</v>
      </c>
      <c r="AF64" s="2">
        <f>Table83[[#This Row],[Weight]]-Table7[[#This Row],[Weight v Sleep]]</f>
        <v>-8.694766819068235</v>
      </c>
      <c r="AG64" s="2">
        <f>Table7[[#This Row],[WS Res]]^2</f>
        <v>75.598970037969949</v>
      </c>
      <c r="AH64">
        <f>Regression!$M$10+(Regression!$M$9*Table83[[#This Row],[BMI]])</f>
        <v>246.60000000001901</v>
      </c>
      <c r="AI64" s="2">
        <f>Table83[[#This Row],[Weight]]-Table7[[#This Row],[Weight v BMI]]</f>
        <v>-1.9014123608940281E-11</v>
      </c>
      <c r="AJ64" s="2">
        <f>Table7[[#This Row],[WBMI Res]]^2</f>
        <v>3.6153689661606017E-22</v>
      </c>
      <c r="AK64">
        <f>Regression!$N$10+(Regression!$N$9*Table83[[#This Row],[CBF]])</f>
        <v>253.17965033701802</v>
      </c>
      <c r="AL64" s="2">
        <f>Table83[[#This Row],[Weight]]-Table7[[#This Row],[Weight v CBF]]</f>
        <v>-6.5796503370180233</v>
      </c>
      <c r="AM64" s="2">
        <f>Table7[[#This Row],[WCBF Res]]^2</f>
        <v>43.291798557421387</v>
      </c>
      <c r="AN64">
        <f>Regression!$O$10+(Regression!$O$9*Table83[[#This Row],[Gym]])</f>
        <v>255.46779661016953</v>
      </c>
      <c r="AO64" s="2">
        <f>Table83[[#This Row],[Weight]]-Table7[[#This Row],[Weight v Gym]]</f>
        <v>-8.8677966101695347</v>
      </c>
      <c r="AP64" s="2">
        <f>Table7[[#This Row],[WG Res]]^2</f>
        <v>78.637816719334296</v>
      </c>
      <c r="AQ64">
        <f>Regression!$P$10+(Regression!$P$9*Table83[[#This Row],[Cardio]])</f>
        <v>254.19242424242461</v>
      </c>
      <c r="AR64" s="2">
        <f>Table83[[#This Row],[Weight]]-Table7[[#This Row],[Weight v Cardio]]</f>
        <v>-7.5924242424246131</v>
      </c>
      <c r="AS64" s="2">
        <f>Table7[[#This Row],[WC Res]]^2</f>
        <v>57.644905876956962</v>
      </c>
      <c r="AT64">
        <f>Regression!$Q$10+(Regression!$Q$9*Table83[[#This Row],[Calories]])</f>
        <v>255.67842319979388</v>
      </c>
      <c r="AU64" s="2">
        <f>Table83[[#This Row],[Weight]]-Table7[[#This Row],[Weight v Calories]]</f>
        <v>-9.0784231997938889</v>
      </c>
      <c r="AV64" s="2">
        <f>Table7[[#This Row],[WCAL Res]]^2</f>
        <v>82.417767794555914</v>
      </c>
      <c r="AW64">
        <f>Regression!$R$10+(Regression!$R$9*Table83[[#This Row],[Carbs]])</f>
        <v>256.20661923841965</v>
      </c>
      <c r="AX64" s="2">
        <f>Table83[[#This Row],[Weight]]-Table7[[#This Row],[Weight v Carbs]]</f>
        <v>-9.606619238419654</v>
      </c>
      <c r="AY64" s="2">
        <f>Table7[[#This Row],[Wcarb Res]]^2</f>
        <v>92.287133191974618</v>
      </c>
      <c r="AZ64">
        <f>Regression!$S$10+(Regression!$S$9*Table83[[#This Row],[Fat ]])</f>
        <v>255.18386584690651</v>
      </c>
      <c r="BA64" s="2">
        <f>Table83[[#This Row],[Weight]]-Table7[[#This Row],[Weight v Fat]]</f>
        <v>-8.5838658469065194</v>
      </c>
      <c r="BB64" s="2">
        <f>Table7[[#This Row],[WF Res]]^2</f>
        <v>73.682752877688173</v>
      </c>
      <c r="BC64">
        <f>Regression!$T$10+(Regression!$T$9*Table83[[#This Row],[Protein]])</f>
        <v>254.70847415979205</v>
      </c>
      <c r="BD64" s="2">
        <f>Table83[[#This Row],[Weight]]-Table7[[#This Row],[Weight v Protein]]</f>
        <v>-8.1084741597920527</v>
      </c>
      <c r="BE64" s="2">
        <f>Table7[[#This Row],[WP Res]]^2</f>
        <v>65.747353200015439</v>
      </c>
      <c r="BF64">
        <f>Regression!$U$10+(Regression!$U$9*Table83[[#This Row],[Fiber]])</f>
        <v>254.90265403961999</v>
      </c>
      <c r="BG64" s="2">
        <f>Table83[[#This Row],[Weight]]-Table7[[#This Row],[Weight v Fiber]]</f>
        <v>-8.3026540396199948</v>
      </c>
      <c r="BH64" s="2">
        <f>Table7[[#This Row],[Wfib Res]]^2</f>
        <v>68.934064101618219</v>
      </c>
      <c r="BI64">
        <f>Regression!$V$10+(Regression!$V$9*Table83[[#This Row],[Sugar]])</f>
        <v>256.66399900549965</v>
      </c>
      <c r="BJ64" s="2">
        <f>Table83[[#This Row],[Weight]]-Table7[[#This Row],[Weight v Sugar]]</f>
        <v>-10.063999005499653</v>
      </c>
      <c r="BK64" s="2">
        <f>Table7[[#This Row],[Wsugar Res]]^2</f>
        <v>101.28407598269801</v>
      </c>
      <c r="BL64">
        <f>Regression!$W$10+(Regression!$W$9*Table83[[#This Row],[Servings]])</f>
        <v>256.73710820682157</v>
      </c>
      <c r="BM64" s="2">
        <f>Table83[[#This Row],[Weight]]-Table7[[#This Row],[Weight v Servings]]</f>
        <v>-10.13710820682158</v>
      </c>
      <c r="BN64" s="2">
        <f>Table7[[#This Row],[Wserv Res]]^2</f>
        <v>102.76096279680942</v>
      </c>
      <c r="BO64">
        <f>Regression!$X$10+(Regression!$X$9*Table83[[#This Row],[Water]])</f>
        <v>255.3203459106638</v>
      </c>
      <c r="BP64" s="2">
        <f>Table83[[#This Row],[Weight]]-Table7[[#This Row],[Weight v Water]]</f>
        <v>-8.7203459106638093</v>
      </c>
      <c r="BQ64" s="2">
        <f>Table7[[#This Row],[Wwater Res]]^2</f>
        <v>76.044432801631018</v>
      </c>
      <c r="BR64">
        <f>Regression!$Y$10+(Regression!$Y$9*Table83[[#This Row],[Fat Calories]])</f>
        <v>255.1834261377474</v>
      </c>
      <c r="BS64" s="2">
        <f>Table83[[#This Row],[Weight]]-Table7[[#This Row],[Weight v Fat Calories]]</f>
        <v>-8.5834261377474093</v>
      </c>
      <c r="BT64" s="2">
        <f>Table7[[#This Row],[WFC Res]]^2</f>
        <v>73.675204262165408</v>
      </c>
      <c r="BU64">
        <f>Regression!$B$29+(Regression!$B$28*Table83[[#This Row],[Weight]])</f>
        <v>43.293258516190797</v>
      </c>
      <c r="BV64" s="2">
        <f>Table83[[#This Row],[Waist]]-Table7[[#This Row],[Waist v Weight]]</f>
        <v>0.20674148380920343</v>
      </c>
      <c r="BW64" s="2">
        <f>Table7[[#This Row],[WaistW Res]]^2</f>
        <v>4.2742041127631122E-2</v>
      </c>
      <c r="BX64">
        <f>Regression!$C$29+(Regression!$C$28*Table83[[#This Row],[Neck]])</f>
        <v>43.092522522522614</v>
      </c>
      <c r="BY64" s="2">
        <f>Table83[[#This Row],[Waist]]-Table7[[#This Row],[Waist v Neck]]</f>
        <v>0.40747747747738572</v>
      </c>
      <c r="BZ64" s="2">
        <f>Table7[[#This Row],[WaistN Res]]^2</f>
        <v>0.1660378946513334</v>
      </c>
      <c r="CA64">
        <f>Regression!$D$29+(Regression!$D$28*Table83[[#This Row],[Morning Body Temp]])</f>
        <v>44.189542546294916</v>
      </c>
      <c r="CB64" s="2">
        <f>Table83[[#This Row],[Waist]]-Table7[[#This Row],[Waist v Morning Temp]]</f>
        <v>-0.68954254629491629</v>
      </c>
      <c r="CC64" s="2">
        <f>Table7[[#This Row],[WaistMT Res]]^2</f>
        <v>0.4754689231508768</v>
      </c>
      <c r="CD64">
        <f>Regression!$E$29+(Regression!$E$28*Table83[[#This Row],[Morning Systolic Pressure]])</f>
        <v>44.365161485454784</v>
      </c>
      <c r="CE64" s="2">
        <f>Table83[[#This Row],[Waist]]-Table7[[#This Row],[Waist v Morning Sys]]</f>
        <v>-0.86516148545478444</v>
      </c>
      <c r="CF64" s="2">
        <f>Table7[[#This Row],[WaistMS Res]]^2</f>
        <v>0.74850439591432916</v>
      </c>
      <c r="CG64">
        <f>Regression!$F$29+(Regression!$F$28*Table83[[#This Row],[Morning Diastolic Pressure]])</f>
        <v>44.447181047475404</v>
      </c>
      <c r="CH64" s="2">
        <f>Table83[[#This Row],[Waist]]-Table7[[#This Row],[Waist v Morning Dia]]</f>
        <v>-0.94718104747540366</v>
      </c>
      <c r="CI64" s="2">
        <f>Table7[[#This Row],[WaistMD Res]]^2</f>
        <v>0.89715193669660287</v>
      </c>
      <c r="CJ64">
        <f>Regression!$G$29+(Regression!$G$28*Table83[[#This Row],[Morning Pulse]])</f>
        <v>44.459613215521493</v>
      </c>
      <c r="CK64" s="2">
        <f>Table83[[#This Row],[Waist]]-Table7[[#This Row],[Waist v Morning Pulse]]</f>
        <v>-0.95961321552149315</v>
      </c>
      <c r="CL64" s="2">
        <f>Table7[[#This Row],[WaistMP Res]]^2</f>
        <v>0.92085752340349969</v>
      </c>
      <c r="CM64">
        <f>Regression!$H$29+(Regression!$H$28*Table83[[#This Row],[Night Body Temp]])</f>
        <v>44.408469335634749</v>
      </c>
      <c r="CN64" s="2">
        <f>Table83[[#This Row],[Waist]]-Table7[[#This Row],[Waist v Night Temp]]</f>
        <v>-0.90846933563474863</v>
      </c>
      <c r="CO64" s="2">
        <f>Table7[[#This Row],[WaistNT Res]]^2</f>
        <v>0.82531653378864156</v>
      </c>
      <c r="CP64">
        <f>Regression!$I$29+(Regression!$I$28*Table83[[#This Row],[Night Systolic Pressure]])</f>
        <v>44.427419086653984</v>
      </c>
      <c r="CQ64" s="2">
        <f>Table83[[#This Row],[Waist]]-Table7[[#This Row],[Waist v  Night Sys]]</f>
        <v>-0.92741908665398398</v>
      </c>
      <c r="CR64" s="2">
        <f>Table7[[#This Row],[WaistNS Res]]^2</f>
        <v>0.86010616229010983</v>
      </c>
      <c r="CS64">
        <f>Regression!$J$29+(Regression!$J$28*Table83[[#This Row],[Night Diastolic Pressure]])</f>
        <v>44.580567627605824</v>
      </c>
      <c r="CT64" s="2">
        <f>Table83[[#This Row],[Waist]]-Table7[[#This Row],[Waist v Night Dia]]</f>
        <v>-1.0805676276058236</v>
      </c>
      <c r="CU64" s="2">
        <f>Table7[[#This Row],[WaistND Res]]^2</f>
        <v>1.1676263978296779</v>
      </c>
      <c r="CV64">
        <f>Regression!$K$29+(Regression!$K$28*Table83[[#This Row],[Night Pulse]])</f>
        <v>44.448281387321408</v>
      </c>
      <c r="CW64" s="2">
        <f>Table83[[#This Row],[Waist]]-Table7[[#This Row],[Waist v Night Pulse]]</f>
        <v>-0.94828138732140843</v>
      </c>
      <c r="CX64" s="2">
        <f>Table7[[#This Row],[WaistNP Res]]^2</f>
        <v>0.89923758954021504</v>
      </c>
      <c r="CY64">
        <f>Regression!$L$29+(Regression!$L$28*Table83[[#This Row],[Sleep]])</f>
        <v>44.480941336855928</v>
      </c>
      <c r="CZ64" s="2">
        <f>Table83[[#This Row],[Waist]]-Table7[[#This Row],[Waist v  Sleep]]</f>
        <v>-0.98094133685592766</v>
      </c>
      <c r="DA64" s="2">
        <f>Table7[[#This Row],[WaistS Res]]^2</f>
        <v>0.96224590635269458</v>
      </c>
      <c r="DB64">
        <f>Regression!$M$29+(Regression!$M$28*Table83[[#This Row],[BMI]])</f>
        <v>43.293258516194477</v>
      </c>
      <c r="DC64" s="2">
        <f>Table83[[#This Row],[Waist]]-Table7[[#This Row],[Waist v BMI]]</f>
        <v>0.20674148380552282</v>
      </c>
      <c r="DD64" s="2">
        <f>Table7[[#This Row],[WaistBMI Res]]^2</f>
        <v>4.2742041126109256E-2</v>
      </c>
      <c r="DE64">
        <f>Regression!$N$29+(Regression!$N$28*Table83[[#This Row],[CBF]])</f>
        <v>44.105031770433015</v>
      </c>
      <c r="DF64" s="2">
        <f>Table83[[#This Row],[Waist]]-Table7[[#This Row],[Waist v  CBF]]</f>
        <v>-0.60503177043301548</v>
      </c>
      <c r="DG64" s="2">
        <f>Table7[[#This Row],[WaistCBF Res]]^2</f>
        <v>0.36606344323330914</v>
      </c>
      <c r="DH64">
        <f>Regression!$O$29+(Regression!$O$28*Table83[[#This Row],[Gym]])</f>
        <v>44.550847457627107</v>
      </c>
      <c r="DI64" s="2">
        <f>Table83[[#This Row],[Waist]]-Table7[[#This Row],[Waist v  Gym]]</f>
        <v>-1.050847457627107</v>
      </c>
      <c r="DJ64" s="2">
        <f>Table7[[#This Row],[WaistGYM Res]]^2</f>
        <v>1.1042803792013545</v>
      </c>
      <c r="DK64">
        <f>Regression!$P$29+(Regression!$P$28*Table83[[#This Row],[Cardio]])</f>
        <v>44.291666666666664</v>
      </c>
      <c r="DL64" s="2">
        <f>Table83[[#This Row],[Waist]]-Table7[[#This Row],[Waist v Cardio]]</f>
        <v>-0.7916666666666643</v>
      </c>
      <c r="DM64" s="2">
        <f>Table7[[#This Row],[WaistC Res]]^2</f>
        <v>0.62673611111110739</v>
      </c>
      <c r="DN64">
        <f>Regression!$Q$29+(Regression!$Q$28*Table83[[#This Row],[Calories]])</f>
        <v>44.580118577969387</v>
      </c>
      <c r="DO64" s="2">
        <f>Table83[[#This Row],[Waist]]-Table7[[#This Row],[Waist v Calories]]</f>
        <v>-1.0801185779693867</v>
      </c>
      <c r="DP64" s="2">
        <f>Table7[[#This Row],[WaistCal Res]]^2</f>
        <v>1.16665614247461</v>
      </c>
      <c r="DQ64">
        <f>Regression!$R$29+(Regression!$R$28*Table83[[#This Row],[Carbs]])</f>
        <v>44.680799051515471</v>
      </c>
      <c r="DR64" s="2">
        <f>Table83[[#This Row],[Waist]]-Table7[[#This Row],[Waist v Carbs]]</f>
        <v>-1.1807990515154714</v>
      </c>
      <c r="DS64" s="2">
        <f>Table7[[#This Row],[WaistCarb Res]]^2</f>
        <v>1.3942864000598367</v>
      </c>
      <c r="DT64">
        <f>Regression!$S$29+(Regression!$S$28*Table83[[#This Row],[Fat ]])</f>
        <v>44.474577129407884</v>
      </c>
      <c r="DU64" s="2">
        <f>Table83[[#This Row],[Waist]]-Table7[[#This Row],[Waist v Fat]]</f>
        <v>-0.97457712940788355</v>
      </c>
      <c r="DV64" s="2">
        <f>Table7[[#This Row],[WaistF Res]]^2</f>
        <v>0.94980058116491062</v>
      </c>
      <c r="DW64">
        <f>Regression!$T$29+(Regression!$T$28*Table83[[#This Row],[Protein]])</f>
        <v>44.379122394269487</v>
      </c>
      <c r="DX64" s="2">
        <f>Table83[[#This Row],[Waist]]-Table7[[#This Row],[Waist v Protein]]</f>
        <v>-0.87912239426948702</v>
      </c>
      <c r="DY64" s="2">
        <f>Table7[[#This Row],[WaistP Res]]^2</f>
        <v>0.77285618410611534</v>
      </c>
      <c r="DZ64">
        <f>Regression!$U$29+(Regression!$U$28*Table83[[#This Row],[Fiber]])</f>
        <v>44.371586947395279</v>
      </c>
      <c r="EA64" s="2">
        <f>Table83[[#This Row],[Waist]]-Table7[[#This Row],[Waist v Fiber]]</f>
        <v>-0.87158694739527931</v>
      </c>
      <c r="EB64" s="2">
        <f>Table7[[#This Row],[WaistFib Res]]^2</f>
        <v>0.75966380686982138</v>
      </c>
      <c r="EC64">
        <f>Regression!$V$29+(Regression!$V$28*Table83[[#This Row],[Sugar]])</f>
        <v>44.731792269697671</v>
      </c>
      <c r="ED64" s="2">
        <f>Table83[[#This Row],[Waist]]-Table7[[#This Row],[Waist v Sugar]]</f>
        <v>-1.2317922696976709</v>
      </c>
      <c r="EE64" s="2">
        <f>Table7[[#This Row],[WaistSugar Res]]^2</f>
        <v>1.5173121956869395</v>
      </c>
      <c r="EF64">
        <f>Regression!$W$29+(Regression!$W$28*Table83[[#This Row],[Servings]])</f>
        <v>44.701039759579366</v>
      </c>
      <c r="EG64" s="2">
        <f>Table83[[#This Row],[Waist]]-Table7[[#This Row],[Waist v Servings]]</f>
        <v>-1.2010397595793663</v>
      </c>
      <c r="EH64" s="2">
        <f>Table7[[#This Row],[WaistServ Res]]^2</f>
        <v>1.4424965040904618</v>
      </c>
      <c r="EI64">
        <f>Regression!$X$29+(Regression!$X$28*Table83[[#This Row],[Water]])</f>
        <v>44.721501739308351</v>
      </c>
      <c r="EJ64" s="2">
        <f>Table83[[#This Row],[Waist]]-Table7[[#This Row],[Waist v Water]]</f>
        <v>-1.2215017393083514</v>
      </c>
      <c r="EK64" s="2">
        <f>Table7[[#This Row],[WaistWat Res]]^2</f>
        <v>1.4920664991333277</v>
      </c>
      <c r="EL64">
        <f>Regression!$Y$29+(Regression!$Y$28*Table83[[#This Row],[Fat Calories]])</f>
        <v>44.474336722931767</v>
      </c>
      <c r="EM64" s="2">
        <f>Table83[[#This Row],[Waist]]-Table7[[#This Row],[Waist v Fat Calories]]</f>
        <v>-0.97433672293176699</v>
      </c>
      <c r="EN64" s="2">
        <f>Table7[[#This Row],[WaistFatCal Res]]^2</f>
        <v>0.94933204965341489</v>
      </c>
    </row>
    <row r="65" spans="1:144" x14ac:dyDescent="0.25">
      <c r="A65">
        <f>Regression!$B$10+(Regression!$B$9*Table83[[#This Row],[Waist]])</f>
        <v>246.8183038076352</v>
      </c>
      <c r="B65" s="2">
        <f>Table83[[#This Row],[Weight]]-Table7[[#This Row],[Weight v Waist]]</f>
        <v>-0.21830380763520907</v>
      </c>
      <c r="C65" s="2">
        <f>Table7[[#This Row],[Weight v Waist Res]]^2</f>
        <v>4.7656552428030366E-2</v>
      </c>
      <c r="D65">
        <f>Regression!$C$10+(Regression!$C$9*Table83[[#This Row],[Neck]])</f>
        <v>246.19264864871434</v>
      </c>
      <c r="E65" s="2">
        <f>Table83[[#This Row],[Weight]]-Table7[[#This Row],[Weight v Neck]]</f>
        <v>0.40735135128565503</v>
      </c>
      <c r="F65" s="2">
        <f>Table7[[#This Row],[WN Res]]^2</f>
        <v>0.16593512339424912</v>
      </c>
      <c r="G65">
        <f>Regression!$D$10+(Regression!$D$9*Table83[[#This Row],[Morning Body Temp]])</f>
        <v>254.91876934063959</v>
      </c>
      <c r="H65" s="2">
        <f>Table83[[#This Row],[Weight]]-Table7[[#This Row],[Weight v Morning Temp]]</f>
        <v>-8.3187693406395908</v>
      </c>
      <c r="I65" s="2">
        <f>Table7[[#This Row],[WMT Res]]^2</f>
        <v>69.201923342765255</v>
      </c>
      <c r="J65">
        <f>Regression!$E$10+(Regression!$E$9*Table83[[#This Row],[Morning Systolic Pressure]])</f>
        <v>255.00933222102856</v>
      </c>
      <c r="K65" s="2">
        <f>Table83[[#This Row],[Weight]]-Table7[[#This Row],[Weight v Morning Sys]]</f>
        <v>-8.4093322210285635</v>
      </c>
      <c r="L65" s="2">
        <f>Table7[[#This Row],[WMS Res]]^2</f>
        <v>70.716868403629192</v>
      </c>
      <c r="M65">
        <f>Regression!$F$10+(Regression!$F$9*Table83[[#This Row],[Morning Diastolic Pressure]])</f>
        <v>254.49397440297739</v>
      </c>
      <c r="N65" s="2">
        <f>Table83[[#This Row],[Weight]]-Table7[[#This Row],[Weight v Morning Dia]]</f>
        <v>-7.8939744029773919</v>
      </c>
      <c r="O65" s="2">
        <f>Table7[[#This Row],[WMD Res]]^2</f>
        <v>62.314831874862271</v>
      </c>
      <c r="P65">
        <f>Regression!$G$10+(Regression!$G$9*Table83[[#This Row],[Morning Pulse]])</f>
        <v>255.1246118689416</v>
      </c>
      <c r="Q65" s="2">
        <f>Table83[[#This Row],[Weight]]-Table7[[#This Row],[Weight v Morning Pulse]]</f>
        <v>-8.5246118689416051</v>
      </c>
      <c r="R65" s="2">
        <f>Table7[[#This Row],[WMP Res]]^2</f>
        <v>72.669007516100081</v>
      </c>
      <c r="S65">
        <f>Regression!$H$10+(Regression!$H$9*Table83[[#This Row],[Night Body Temp]])</f>
        <v>254.13261068415329</v>
      </c>
      <c r="T65" s="2">
        <f>Table83[[#This Row],[Weight]]-Table7[[#This Row],[Weight v Night Temp]]</f>
        <v>-7.5326106841532976</v>
      </c>
      <c r="U65" s="2">
        <f>Table7[[#This Row],[WNT Res]]^2</f>
        <v>56.740223719020413</v>
      </c>
      <c r="V65">
        <f>Regression!$I$10+(Regression!$I$9*Table83[[#This Row],[Night Systolic Pressure]])</f>
        <v>254.10948821885404</v>
      </c>
      <c r="W65" s="2">
        <f>Table83[[#This Row],[Weight]]-Table7[[#This Row],[Weight v Night Sys]]</f>
        <v>-7.5094882188540453</v>
      </c>
      <c r="X65" s="2">
        <f>Table7[[#This Row],[WNS Res]]^2</f>
        <v>56.392413309107702</v>
      </c>
      <c r="Y65">
        <f>Regression!$J$10+(Regression!$J$9*Table83[[#This Row],[Night Diastolic Pressure]])</f>
        <v>255.1330822426622</v>
      </c>
      <c r="Z65" s="2">
        <f>Table83[[#This Row],[Weight]]-Table7[[#This Row],[Weight v Night Dia]]</f>
        <v>-8.5330822426622035</v>
      </c>
      <c r="AA65" s="2">
        <f>Table7[[#This Row],[WND Res]]^2</f>
        <v>72.81349256003702</v>
      </c>
      <c r="AB65">
        <f>Regression!$K$10+(Regression!$K$9*Table83[[#This Row],[Night Pulse]])</f>
        <v>255.01801186503107</v>
      </c>
      <c r="AC65" s="2">
        <f>Table83[[#This Row],[Weight]]-Table7[[#This Row],[Weight v Night Pulse]]</f>
        <v>-8.418011865031076</v>
      </c>
      <c r="AD65" s="2">
        <f>Table7[[#This Row],[WNP Res ]]^2</f>
        <v>70.862923759803977</v>
      </c>
      <c r="AE65">
        <f>Regression!$L$10+(Regression!$L$9*Table83[[#This Row],[Sleep]])</f>
        <v>255.61024100244205</v>
      </c>
      <c r="AF65" s="2">
        <f>Table83[[#This Row],[Weight]]-Table7[[#This Row],[Weight v Sleep]]</f>
        <v>-9.0102410024420578</v>
      </c>
      <c r="AG65" s="2">
        <f>Table7[[#This Row],[WS Res]]^2</f>
        <v>81.184442922088053</v>
      </c>
      <c r="AH65">
        <f>Regression!$M$10+(Regression!$M$9*Table83[[#This Row],[BMI]])</f>
        <v>246.60000000001901</v>
      </c>
      <c r="AI65" s="2">
        <f>Table83[[#This Row],[Weight]]-Table7[[#This Row],[Weight v BMI]]</f>
        <v>-1.9014123608940281E-11</v>
      </c>
      <c r="AJ65" s="2">
        <f>Table7[[#This Row],[WBMI Res]]^2</f>
        <v>3.6153689661606017E-22</v>
      </c>
      <c r="AK65">
        <f>Regression!$N$10+(Regression!$N$9*Table83[[#This Row],[CBF]])</f>
        <v>250.04675133427031</v>
      </c>
      <c r="AL65" s="2">
        <f>Table83[[#This Row],[Weight]]-Table7[[#This Row],[Weight v CBF]]</f>
        <v>-3.4467513342703171</v>
      </c>
      <c r="AM65" s="2">
        <f>Table7[[#This Row],[WCBF Res]]^2</f>
        <v>11.880094760294211</v>
      </c>
      <c r="AN65">
        <f>Regression!$O$10+(Regression!$O$9*Table83[[#This Row],[Gym]])</f>
        <v>255.46779661016953</v>
      </c>
      <c r="AO65" s="2">
        <f>Table83[[#This Row],[Weight]]-Table7[[#This Row],[Weight v Gym]]</f>
        <v>-8.8677966101695347</v>
      </c>
      <c r="AP65" s="2">
        <f>Table7[[#This Row],[WG Res]]^2</f>
        <v>78.637816719334296</v>
      </c>
      <c r="AQ65">
        <f>Regression!$P$10+(Regression!$P$9*Table83[[#This Row],[Cardio]])</f>
        <v>254.19242424242461</v>
      </c>
      <c r="AR65" s="2">
        <f>Table83[[#This Row],[Weight]]-Table7[[#This Row],[Weight v Cardio]]</f>
        <v>-7.5924242424246131</v>
      </c>
      <c r="AS65" s="2">
        <f>Table7[[#This Row],[WC Res]]^2</f>
        <v>57.644905876956962</v>
      </c>
      <c r="AT65">
        <f>Regression!$Q$10+(Regression!$Q$9*Table83[[#This Row],[Calories]])</f>
        <v>255.93135545944568</v>
      </c>
      <c r="AU65" s="2">
        <f>Table83[[#This Row],[Weight]]-Table7[[#This Row],[Weight v Calories]]</f>
        <v>-9.3313554594456889</v>
      </c>
      <c r="AV65" s="2">
        <f>Table7[[#This Row],[WCAL Res]]^2</f>
        <v>87.074194710526868</v>
      </c>
      <c r="AW65">
        <f>Regression!$R$10+(Regression!$R$9*Table83[[#This Row],[Carbs]])</f>
        <v>256.09577626725422</v>
      </c>
      <c r="AX65" s="2">
        <f>Table83[[#This Row],[Weight]]-Table7[[#This Row],[Weight v Carbs]]</f>
        <v>-9.4957762672542287</v>
      </c>
      <c r="AY65" s="2">
        <f>Table7[[#This Row],[Wcarb Res]]^2</f>
        <v>90.16976691774866</v>
      </c>
      <c r="AZ65">
        <f>Regression!$S$10+(Regression!$S$9*Table83[[#This Row],[Fat ]])</f>
        <v>255.51748593797018</v>
      </c>
      <c r="BA65" s="2">
        <f>Table83[[#This Row],[Weight]]-Table7[[#This Row],[Weight v Fat]]</f>
        <v>-8.9174859379701843</v>
      </c>
      <c r="BB65" s="2">
        <f>Table7[[#This Row],[WF Res]]^2</f>
        <v>79.521555453895971</v>
      </c>
      <c r="BC65">
        <f>Regression!$T$10+(Regression!$T$9*Table83[[#This Row],[Protein]])</f>
        <v>255.79663599368783</v>
      </c>
      <c r="BD65" s="2">
        <f>Table83[[#This Row],[Weight]]-Table7[[#This Row],[Weight v Protein]]</f>
        <v>-9.1966359936878348</v>
      </c>
      <c r="BE65" s="2">
        <f>Table7[[#This Row],[WP Res]]^2</f>
        <v>84.57811360039463</v>
      </c>
      <c r="BF65">
        <f>Regression!$U$10+(Regression!$U$9*Table83[[#This Row],[Fiber]])</f>
        <v>254.91837249765592</v>
      </c>
      <c r="BG65" s="2">
        <f>Table83[[#This Row],[Weight]]-Table7[[#This Row],[Weight v Fiber]]</f>
        <v>-8.318372497655929</v>
      </c>
      <c r="BH65" s="2">
        <f>Table7[[#This Row],[Wfib Res]]^2</f>
        <v>69.195321009758544</v>
      </c>
      <c r="BI65">
        <f>Regression!$V$10+(Regression!$V$9*Table83[[#This Row],[Sugar]])</f>
        <v>256.56623018596724</v>
      </c>
      <c r="BJ65" s="2">
        <f>Table83[[#This Row],[Weight]]-Table7[[#This Row],[Weight v Sugar]]</f>
        <v>-9.9662301859672482</v>
      </c>
      <c r="BK65" s="2">
        <f>Table7[[#This Row],[Wsugar Res]]^2</f>
        <v>99.325744119684771</v>
      </c>
      <c r="BL65">
        <f>Regression!$W$10+(Regression!$W$9*Table83[[#This Row],[Servings]])</f>
        <v>256.92823262971319</v>
      </c>
      <c r="BM65" s="2">
        <f>Table83[[#This Row],[Weight]]-Table7[[#This Row],[Weight v Servings]]</f>
        <v>-10.328232629713199</v>
      </c>
      <c r="BN65" s="2">
        <f>Table7[[#This Row],[Wserv Res]]^2</f>
        <v>106.67238925347242</v>
      </c>
      <c r="BO65">
        <f>Regression!$X$10+(Regression!$X$9*Table83[[#This Row],[Water]])</f>
        <v>255.23471394386095</v>
      </c>
      <c r="BP65" s="2">
        <f>Table83[[#This Row],[Weight]]-Table7[[#This Row],[Weight v Water]]</f>
        <v>-8.6347139438609588</v>
      </c>
      <c r="BQ65" s="2">
        <f>Table7[[#This Row],[Wwater Res]]^2</f>
        <v>74.558284892306872</v>
      </c>
      <c r="BR65">
        <f>Regression!$Y$10+(Regression!$Y$9*Table83[[#This Row],[Fat Calories]])</f>
        <v>255.53848184299903</v>
      </c>
      <c r="BS65" s="2">
        <f>Table83[[#This Row],[Weight]]-Table7[[#This Row],[Weight v Fat Calories]]</f>
        <v>-8.9384818429990389</v>
      </c>
      <c r="BT65" s="2">
        <f>Table7[[#This Row],[WFC Res]]^2</f>
        <v>79.8964576576235</v>
      </c>
      <c r="BU65">
        <f>Regression!$B$29+(Regression!$B$28*Table83[[#This Row],[Weight]])</f>
        <v>43.293258516190797</v>
      </c>
      <c r="BV65" s="2">
        <f>Table83[[#This Row],[Waist]]-Table7[[#This Row],[Waist v Weight]]</f>
        <v>-0.29325851619079657</v>
      </c>
      <c r="BW65" s="2">
        <f>Table7[[#This Row],[WaistW Res]]^2</f>
        <v>8.6000557318427692E-2</v>
      </c>
      <c r="BX65">
        <f>Regression!$C$29+(Regression!$C$28*Table83[[#This Row],[Neck]])</f>
        <v>43.092522522522614</v>
      </c>
      <c r="BY65" s="2">
        <f>Table83[[#This Row],[Waist]]-Table7[[#This Row],[Waist v Neck]]</f>
        <v>-9.2522522522614281E-2</v>
      </c>
      <c r="BZ65" s="2">
        <f>Table7[[#This Row],[WaistN Res]]^2</f>
        <v>8.5604171739476678E-3</v>
      </c>
      <c r="CA65">
        <f>Regression!$D$29+(Regression!$D$28*Table83[[#This Row],[Morning Body Temp]])</f>
        <v>44.400157491229571</v>
      </c>
      <c r="CB65" s="2">
        <f>Table83[[#This Row],[Waist]]-Table7[[#This Row],[Waist v Morning Temp]]</f>
        <v>-1.4001574912295709</v>
      </c>
      <c r="CC65" s="2">
        <f>Table7[[#This Row],[WaistMT Res]]^2</f>
        <v>1.960441000246286</v>
      </c>
      <c r="CD65">
        <f>Regression!$E$29+(Regression!$E$28*Table83[[#This Row],[Morning Systolic Pressure]])</f>
        <v>44.428703916909349</v>
      </c>
      <c r="CE65" s="2">
        <f>Table83[[#This Row],[Waist]]-Table7[[#This Row],[Waist v Morning Sys]]</f>
        <v>-1.4287039169093489</v>
      </c>
      <c r="CF65" s="2">
        <f>Table7[[#This Row],[WaistMS Res]]^2</f>
        <v>2.0411948821921158</v>
      </c>
      <c r="CG65">
        <f>Regression!$F$29+(Regression!$F$28*Table83[[#This Row],[Morning Diastolic Pressure]])</f>
        <v>44.419002944131137</v>
      </c>
      <c r="CH65" s="2">
        <f>Table83[[#This Row],[Waist]]-Table7[[#This Row],[Waist v Morning Dia]]</f>
        <v>-1.4190029441311367</v>
      </c>
      <c r="CI65" s="2">
        <f>Table7[[#This Row],[WaistMD Res]]^2</f>
        <v>2.0135693554528338</v>
      </c>
      <c r="CJ65">
        <f>Regression!$G$29+(Regression!$G$28*Table83[[#This Row],[Morning Pulse]])</f>
        <v>44.457934210374262</v>
      </c>
      <c r="CK65" s="2">
        <f>Table83[[#This Row],[Waist]]-Table7[[#This Row],[Waist v Morning Pulse]]</f>
        <v>-1.4579342103742619</v>
      </c>
      <c r="CL65" s="2">
        <f>Table7[[#This Row],[WaistMP Res]]^2</f>
        <v>2.1255721617796226</v>
      </c>
      <c r="CM65">
        <f>Regression!$H$29+(Regression!$H$28*Table83[[#This Row],[Night Body Temp]])</f>
        <v>44.376081640415208</v>
      </c>
      <c r="CN65" s="2">
        <f>Table83[[#This Row],[Waist]]-Table7[[#This Row],[Waist v Night Temp]]</f>
        <v>-1.3760816404152081</v>
      </c>
      <c r="CO65" s="2">
        <f>Table7[[#This Row],[WaistNT Res]]^2</f>
        <v>1.8936006810878101</v>
      </c>
      <c r="CP65">
        <f>Regression!$I$29+(Regression!$I$28*Table83[[#This Row],[Night Systolic Pressure]])</f>
        <v>44.311098172049078</v>
      </c>
      <c r="CQ65" s="2">
        <f>Table83[[#This Row],[Waist]]-Table7[[#This Row],[Waist v  Night Sys]]</f>
        <v>-1.3110981720490784</v>
      </c>
      <c r="CR65" s="2">
        <f>Table7[[#This Row],[WaistNS Res]]^2</f>
        <v>1.7189784167504347</v>
      </c>
      <c r="CS65">
        <f>Regression!$J$29+(Regression!$J$28*Table83[[#This Row],[Night Diastolic Pressure]])</f>
        <v>44.461092011153731</v>
      </c>
      <c r="CT65" s="2">
        <f>Table83[[#This Row],[Waist]]-Table7[[#This Row],[Waist v Night Dia]]</f>
        <v>-1.4610920111537311</v>
      </c>
      <c r="CU65" s="2">
        <f>Table7[[#This Row],[WaistND Res]]^2</f>
        <v>2.1347898650572548</v>
      </c>
      <c r="CV65">
        <f>Regression!$K$29+(Regression!$K$28*Table83[[#This Row],[Night Pulse]])</f>
        <v>44.462565118876235</v>
      </c>
      <c r="CW65" s="2">
        <f>Table83[[#This Row],[Waist]]-Table7[[#This Row],[Waist v Night Pulse]]</f>
        <v>-1.4625651188762347</v>
      </c>
      <c r="CX65" s="2">
        <f>Table7[[#This Row],[WaistNP Res]]^2</f>
        <v>2.1390967269534547</v>
      </c>
      <c r="CY65">
        <f>Regression!$L$29+(Regression!$L$28*Table83[[#This Row],[Sleep]])</f>
        <v>44.529040304851584</v>
      </c>
      <c r="CZ65" s="2">
        <f>Table83[[#This Row],[Waist]]-Table7[[#This Row],[Waist v  Sleep]]</f>
        <v>-1.5290403048515842</v>
      </c>
      <c r="DA65" s="2">
        <f>Table7[[#This Row],[WaistS Res]]^2</f>
        <v>2.3379642538606253</v>
      </c>
      <c r="DB65">
        <f>Regression!$M$29+(Regression!$M$28*Table83[[#This Row],[BMI]])</f>
        <v>43.293258516194477</v>
      </c>
      <c r="DC65" s="2">
        <f>Table83[[#This Row],[Waist]]-Table7[[#This Row],[Waist v BMI]]</f>
        <v>-0.29325851619447718</v>
      </c>
      <c r="DD65" s="2">
        <f>Table7[[#This Row],[WaistBMI Res]]^2</f>
        <v>8.6000557320586438E-2</v>
      </c>
      <c r="DE65">
        <f>Regression!$N$29+(Regression!$N$28*Table83[[#This Row],[CBF]])</f>
        <v>43.540887941991329</v>
      </c>
      <c r="DF65" s="2">
        <f>Table83[[#This Row],[Waist]]-Table7[[#This Row],[Waist v  CBF]]</f>
        <v>-0.54088794199132906</v>
      </c>
      <c r="DG65" s="2">
        <f>Table7[[#This Row],[WaistCBF Res]]^2</f>
        <v>0.29255976579161536</v>
      </c>
      <c r="DH65">
        <f>Regression!$O$29+(Regression!$O$28*Table83[[#This Row],[Gym]])</f>
        <v>44.550847457627107</v>
      </c>
      <c r="DI65" s="2">
        <f>Table83[[#This Row],[Waist]]-Table7[[#This Row],[Waist v  Gym]]</f>
        <v>-1.550847457627107</v>
      </c>
      <c r="DJ65" s="2">
        <f>Table7[[#This Row],[WaistGYM Res]]^2</f>
        <v>2.4051278368284614</v>
      </c>
      <c r="DK65">
        <f>Regression!$P$29+(Regression!$P$28*Table83[[#This Row],[Cardio]])</f>
        <v>44.291666666666664</v>
      </c>
      <c r="DL65" s="2">
        <f>Table83[[#This Row],[Waist]]-Table7[[#This Row],[Waist v Cardio]]</f>
        <v>-1.2916666666666643</v>
      </c>
      <c r="DM65" s="2">
        <f>Table7[[#This Row],[WaistC Res]]^2</f>
        <v>1.6684027777777717</v>
      </c>
      <c r="DN65">
        <f>Regression!$Q$29+(Regression!$Q$28*Table83[[#This Row],[Calories]])</f>
        <v>44.6369468467609</v>
      </c>
      <c r="DO65" s="2">
        <f>Table83[[#This Row],[Waist]]-Table7[[#This Row],[Waist v Calories]]</f>
        <v>-1.6369468467608996</v>
      </c>
      <c r="DP65" s="2">
        <f>Table7[[#This Row],[WaistCal Res]]^2</f>
        <v>2.6795949791204521</v>
      </c>
      <c r="DQ65">
        <f>Regression!$R$29+(Regression!$R$28*Table83[[#This Row],[Carbs]])</f>
        <v>44.657722223694556</v>
      </c>
      <c r="DR65" s="2">
        <f>Table83[[#This Row],[Waist]]-Table7[[#This Row],[Waist v Carbs]]</f>
        <v>-1.6577222236945559</v>
      </c>
      <c r="DS65" s="2">
        <f>Table7[[#This Row],[WaistCarb Res]]^2</f>
        <v>2.7480429709308232</v>
      </c>
      <c r="DT65">
        <f>Regression!$S$29+(Regression!$S$28*Table83[[#This Row],[Fat ]])</f>
        <v>44.576557730940721</v>
      </c>
      <c r="DU65" s="2">
        <f>Table83[[#This Row],[Waist]]-Table7[[#This Row],[Waist v Fat]]</f>
        <v>-1.5765577309407206</v>
      </c>
      <c r="DV65" s="2">
        <f>Table7[[#This Row],[WaistF Res]]^2</f>
        <v>2.4855342789889536</v>
      </c>
      <c r="DW65">
        <f>Regression!$T$29+(Regression!$T$28*Table83[[#This Row],[Protein]])</f>
        <v>44.578296431223414</v>
      </c>
      <c r="DX65" s="2">
        <f>Table83[[#This Row],[Waist]]-Table7[[#This Row],[Waist v Protein]]</f>
        <v>-1.5782964312234142</v>
      </c>
      <c r="DY65" s="2">
        <f>Table7[[#This Row],[WaistP Res]]^2</f>
        <v>2.4910196248125653</v>
      </c>
      <c r="DZ65">
        <f>Regression!$U$29+(Regression!$U$28*Table83[[#This Row],[Fiber]])</f>
        <v>44.377652070864791</v>
      </c>
      <c r="EA65" s="2">
        <f>Table83[[#This Row],[Waist]]-Table7[[#This Row],[Waist v Fiber]]</f>
        <v>-1.3776520708647908</v>
      </c>
      <c r="EB65" s="2">
        <f>Table7[[#This Row],[WaistFib Res]]^2</f>
        <v>1.8979252283580466</v>
      </c>
      <c r="EC65">
        <f>Regression!$V$29+(Regression!$V$28*Table83[[#This Row],[Sugar]])</f>
        <v>44.714229191686947</v>
      </c>
      <c r="ED65" s="2">
        <f>Table83[[#This Row],[Waist]]-Table7[[#This Row],[Waist v Sugar]]</f>
        <v>-1.7142291916869468</v>
      </c>
      <c r="EE65" s="2">
        <f>Table7[[#This Row],[WaistSugar Res]]^2</f>
        <v>2.938581721631683</v>
      </c>
      <c r="EF65">
        <f>Regression!$W$29+(Regression!$W$28*Table83[[#This Row],[Servings]])</f>
        <v>44.730202162380628</v>
      </c>
      <c r="EG65" s="2">
        <f>Table83[[#This Row],[Waist]]-Table7[[#This Row],[Waist v Servings]]</f>
        <v>-1.7302021623806283</v>
      </c>
      <c r="EH65" s="2">
        <f>Table7[[#This Row],[WaistServ Res]]^2</f>
        <v>2.9935995227066021</v>
      </c>
      <c r="EI65">
        <f>Regression!$X$29+(Regression!$X$28*Table83[[#This Row],[Water]])</f>
        <v>44.609733984485779</v>
      </c>
      <c r="EJ65" s="2">
        <f>Table83[[#This Row],[Waist]]-Table7[[#This Row],[Waist v Water]]</f>
        <v>-1.6097339844857785</v>
      </c>
      <c r="EK65" s="2">
        <f>Table7[[#This Row],[WaistWat Res]]^2</f>
        <v>2.5912435008084609</v>
      </c>
      <c r="EL65">
        <f>Regression!$Y$29+(Regression!$Y$28*Table83[[#This Row],[Fat Calories]])</f>
        <v>44.582319377016688</v>
      </c>
      <c r="EM65" s="2">
        <f>Table83[[#This Row],[Waist]]-Table7[[#This Row],[Waist v Fat Calories]]</f>
        <v>-1.5823193770166881</v>
      </c>
      <c r="EN65" s="2">
        <f>Table7[[#This Row],[WaistFatCal Res]]^2</f>
        <v>2.5037346108824798</v>
      </c>
    </row>
    <row r="66" spans="1:144" x14ac:dyDescent="0.25">
      <c r="A66">
        <f>Regression!$B$10+(Regression!$B$9*Table83[[#This Row],[Waist]])</f>
        <v>246.8183038076352</v>
      </c>
      <c r="B66" s="2">
        <f>Table83[[#This Row],[Weight]]-Table7[[#This Row],[Weight v Waist]]</f>
        <v>0.18169619236479662</v>
      </c>
      <c r="C66" s="2">
        <f>Table7[[#This Row],[Weight v Waist Res]]^2</f>
        <v>3.3013506319865174E-2</v>
      </c>
      <c r="D66">
        <f>Regression!$C$10+(Regression!$C$9*Table83[[#This Row],[Neck]])</f>
        <v>246.19264864871434</v>
      </c>
      <c r="E66" s="2">
        <f>Table83[[#This Row],[Weight]]-Table7[[#This Row],[Weight v Neck]]</f>
        <v>0.80735135128566071</v>
      </c>
      <c r="F66" s="2">
        <f>Table7[[#This Row],[WN Res]]^2</f>
        <v>0.65181620442278232</v>
      </c>
      <c r="G66">
        <f>Regression!$D$10+(Regression!$D$9*Table83[[#This Row],[Morning Body Temp]])</f>
        <v>254.77797223219488</v>
      </c>
      <c r="H66" s="2">
        <f>Table83[[#This Row],[Weight]]-Table7[[#This Row],[Weight v Morning Temp]]</f>
        <v>-7.7779722321948839</v>
      </c>
      <c r="I66" s="2">
        <f>Table7[[#This Row],[WMT Res]]^2</f>
        <v>60.496852044794664</v>
      </c>
      <c r="J66">
        <f>Regression!$E$10+(Regression!$E$9*Table83[[#This Row],[Morning Systolic Pressure]])</f>
        <v>255.27979544420887</v>
      </c>
      <c r="K66" s="2">
        <f>Table83[[#This Row],[Weight]]-Table7[[#This Row],[Weight v Morning Sys]]</f>
        <v>-8.2797954442088724</v>
      </c>
      <c r="L66" s="2">
        <f>Table7[[#This Row],[WMS Res]]^2</f>
        <v>68.555012597941996</v>
      </c>
      <c r="M66">
        <f>Regression!$F$10+(Regression!$F$9*Table83[[#This Row],[Morning Diastolic Pressure]])</f>
        <v>254.8993513991569</v>
      </c>
      <c r="N66" s="2">
        <f>Table83[[#This Row],[Weight]]-Table7[[#This Row],[Weight v Morning Dia]]</f>
        <v>-7.8993513991568989</v>
      </c>
      <c r="O66" s="2">
        <f>Table7[[#This Row],[WMD Res]]^2</f>
        <v>62.399752527362054</v>
      </c>
      <c r="P66">
        <f>Regression!$G$10+(Regression!$G$9*Table83[[#This Row],[Morning Pulse]])</f>
        <v>255.12643966469878</v>
      </c>
      <c r="Q66" s="2">
        <f>Table83[[#This Row],[Weight]]-Table7[[#This Row],[Weight v Morning Pulse]]</f>
        <v>-8.1264396646987791</v>
      </c>
      <c r="R66" s="2">
        <f>Table7[[#This Row],[WMP Res]]^2</f>
        <v>66.039021623989612</v>
      </c>
      <c r="S66">
        <f>Regression!$H$10+(Regression!$H$9*Table83[[#This Row],[Night Body Temp]])</f>
        <v>256.49463180523202</v>
      </c>
      <c r="T66" s="2">
        <f>Table83[[#This Row],[Weight]]-Table7[[#This Row],[Weight v Night Temp]]</f>
        <v>-9.494631805232018</v>
      </c>
      <c r="U66" s="2">
        <f>Table7[[#This Row],[WNT Res]]^2</f>
        <v>90.148033116923415</v>
      </c>
      <c r="V66">
        <f>Regression!$I$10+(Regression!$I$9*Table83[[#This Row],[Night Systolic Pressure]])</f>
        <v>254.82800205705334</v>
      </c>
      <c r="W66" s="2">
        <f>Table83[[#This Row],[Weight]]-Table7[[#This Row],[Weight v Night Sys]]</f>
        <v>-7.8280020570533395</v>
      </c>
      <c r="X66" s="2">
        <f>Table7[[#This Row],[WNS Res]]^2</f>
        <v>61.277616205231318</v>
      </c>
      <c r="Y66">
        <f>Regression!$J$10+(Regression!$J$9*Table83[[#This Row],[Night Diastolic Pressure]])</f>
        <v>255.1330822426622</v>
      </c>
      <c r="Z66" s="2">
        <f>Table83[[#This Row],[Weight]]-Table7[[#This Row],[Weight v Night Dia]]</f>
        <v>-8.1330822426621978</v>
      </c>
      <c r="AA66" s="2">
        <f>Table7[[#This Row],[WND Res]]^2</f>
        <v>66.147026765907171</v>
      </c>
      <c r="AB66">
        <f>Regression!$K$10+(Regression!$K$9*Table83[[#This Row],[Night Pulse]])</f>
        <v>255.90869847089613</v>
      </c>
      <c r="AC66" s="2">
        <f>Table83[[#This Row],[Weight]]-Table7[[#This Row],[Weight v Night Pulse]]</f>
        <v>-8.9086984708961268</v>
      </c>
      <c r="AD66" s="2">
        <f>Table7[[#This Row],[WNP Res ]]^2</f>
        <v>79.364908445346984</v>
      </c>
      <c r="AE66">
        <f>Regression!$L$10+(Regression!$L$9*Table83[[#This Row],[Sleep]])</f>
        <v>255.29476681906823</v>
      </c>
      <c r="AF66" s="2">
        <f>Table83[[#This Row],[Weight]]-Table7[[#This Row],[Weight v Sleep]]</f>
        <v>-8.2947668190682293</v>
      </c>
      <c r="AG66" s="2">
        <f>Table7[[#This Row],[WS Res]]^2</f>
        <v>68.803156582715275</v>
      </c>
      <c r="AH66">
        <f>Regression!$M$10+(Regression!$M$9*Table83[[#This Row],[BMI]])</f>
        <v>247.00000000001819</v>
      </c>
      <c r="AI66" s="2">
        <f>Table83[[#This Row],[Weight]]-Table7[[#This Row],[Weight v BMI]]</f>
        <v>-1.8189894035458565E-11</v>
      </c>
      <c r="AJ66" s="2">
        <f>Table7[[#This Row],[WBMI Res]]^2</f>
        <v>3.3087224502121107E-22</v>
      </c>
      <c r="AK66">
        <f>Regression!$N$10+(Regression!$N$9*Table83[[#This Row],[CBF]])</f>
        <v>250.04675133427031</v>
      </c>
      <c r="AL66" s="2">
        <f>Table83[[#This Row],[Weight]]-Table7[[#This Row],[Weight v CBF]]</f>
        <v>-3.0467513342703114</v>
      </c>
      <c r="AM66" s="2">
        <f>Table7[[#This Row],[WCBF Res]]^2</f>
        <v>9.2826936928779222</v>
      </c>
      <c r="AN66">
        <f>Regression!$O$10+(Regression!$O$9*Table83[[#This Row],[Gym]])</f>
        <v>254.72962962962998</v>
      </c>
      <c r="AO66" s="2">
        <f>Table83[[#This Row],[Weight]]-Table7[[#This Row],[Weight v Gym]]</f>
        <v>-7.7296296296299829</v>
      </c>
      <c r="AP66" s="2">
        <f>Table7[[#This Row],[WG Res]]^2</f>
        <v>59.74717421125375</v>
      </c>
      <c r="AQ66">
        <f>Regression!$P$10+(Regression!$P$9*Table83[[#This Row],[Cardio]])</f>
        <v>254.19242424242461</v>
      </c>
      <c r="AR66" s="2">
        <f>Table83[[#This Row],[Weight]]-Table7[[#This Row],[Weight v Cardio]]</f>
        <v>-7.1924242424246074</v>
      </c>
      <c r="AS66" s="2">
        <f>Table7[[#This Row],[WC Res]]^2</f>
        <v>51.730966483017191</v>
      </c>
      <c r="AT66">
        <f>Regression!$Q$10+(Regression!$Q$9*Table83[[#This Row],[Calories]])</f>
        <v>254.02922974087895</v>
      </c>
      <c r="AU66" s="2">
        <f>Table83[[#This Row],[Weight]]-Table7[[#This Row],[Weight v Calories]]</f>
        <v>-7.0292297408789466</v>
      </c>
      <c r="AV66" s="2">
        <f>Table7[[#This Row],[WCAL Res]]^2</f>
        <v>49.410070750057102</v>
      </c>
      <c r="AW66">
        <f>Regression!$R$10+(Regression!$R$9*Table83[[#This Row],[Carbs]])</f>
        <v>254.06411523471269</v>
      </c>
      <c r="AX66" s="2">
        <f>Table83[[#This Row],[Weight]]-Table7[[#This Row],[Weight v Carbs]]</f>
        <v>-7.0641152347126877</v>
      </c>
      <c r="AY66" s="2">
        <f>Table7[[#This Row],[Wcarb Res]]^2</f>
        <v>49.901724049299894</v>
      </c>
      <c r="AZ66">
        <f>Regression!$S$10+(Regression!$S$9*Table83[[#This Row],[Fat ]])</f>
        <v>254.23655192387366</v>
      </c>
      <c r="BA66" s="2">
        <f>Table83[[#This Row],[Weight]]-Table7[[#This Row],[Weight v Fat]]</f>
        <v>-7.2365519238736624</v>
      </c>
      <c r="BB66" s="2">
        <f>Table7[[#This Row],[WF Res]]^2</f>
        <v>52.367683746919603</v>
      </c>
      <c r="BC66">
        <f>Regression!$T$10+(Regression!$T$9*Table83[[#This Row],[Protein]])</f>
        <v>255.22414256307104</v>
      </c>
      <c r="BD66" s="2">
        <f>Table83[[#This Row],[Weight]]-Table7[[#This Row],[Weight v Protein]]</f>
        <v>-8.224142563071041</v>
      </c>
      <c r="BE66" s="2">
        <f>Table7[[#This Row],[WP Res]]^2</f>
        <v>67.636520897716707</v>
      </c>
      <c r="BF66">
        <f>Regression!$U$10+(Regression!$U$9*Table83[[#This Row],[Fiber]])</f>
        <v>255.15901867312957</v>
      </c>
      <c r="BG66" s="2">
        <f>Table83[[#This Row],[Weight]]-Table7[[#This Row],[Weight v Fiber]]</f>
        <v>-8.159018673129566</v>
      </c>
      <c r="BH66" s="2">
        <f>Table7[[#This Row],[Wfib Res]]^2</f>
        <v>66.56958570847695</v>
      </c>
      <c r="BI66">
        <f>Regression!$V$10+(Regression!$V$9*Table83[[#This Row],[Sugar]])</f>
        <v>253.31391156631187</v>
      </c>
      <c r="BJ66" s="2">
        <f>Table83[[#This Row],[Weight]]-Table7[[#This Row],[Weight v Sugar]]</f>
        <v>-6.313911566311873</v>
      </c>
      <c r="BK66" s="2">
        <f>Table7[[#This Row],[Wsugar Res]]^2</f>
        <v>39.865479267206851</v>
      </c>
      <c r="BL66">
        <f>Regression!$W$10+(Regression!$W$9*Table83[[#This Row],[Servings]])</f>
        <v>255.16606545065252</v>
      </c>
      <c r="BM66" s="2">
        <f>Table83[[#This Row],[Weight]]-Table7[[#This Row],[Weight v Servings]]</f>
        <v>-8.1660654506525248</v>
      </c>
      <c r="BN66" s="2">
        <f>Table7[[#This Row],[Wserv Res]]^2</f>
        <v>66.684624944340825</v>
      </c>
      <c r="BO66">
        <f>Regression!$X$10+(Regression!$X$9*Table83[[#This Row],[Water]])</f>
        <v>255.06345001025522</v>
      </c>
      <c r="BP66" s="2">
        <f>Table83[[#This Row],[Weight]]-Table7[[#This Row],[Weight v Water]]</f>
        <v>-8.0634500102552238</v>
      </c>
      <c r="BQ66" s="2">
        <f>Table7[[#This Row],[Wwater Res]]^2</f>
        <v>65.019226067884972</v>
      </c>
      <c r="BR66">
        <f>Regression!$Y$10+(Regression!$Y$9*Table83[[#This Row],[Fat Calories]])</f>
        <v>254.17524580914429</v>
      </c>
      <c r="BS66" s="2">
        <f>Table83[[#This Row],[Weight]]-Table7[[#This Row],[Weight v Fat Calories]]</f>
        <v>-7.1752458091442861</v>
      </c>
      <c r="BT66" s="2">
        <f>Table7[[#This Row],[WFC Res]]^2</f>
        <v>51.484152421642641</v>
      </c>
      <c r="BU66">
        <f>Regression!$B$29+(Regression!$B$28*Table83[[#This Row],[Weight]])</f>
        <v>43.347763520418788</v>
      </c>
      <c r="BV66" s="2">
        <f>Table83[[#This Row],[Waist]]-Table7[[#This Row],[Waist v Weight]]</f>
        <v>-0.34776352041878766</v>
      </c>
      <c r="BW66" s="2">
        <f>Table7[[#This Row],[WaistW Res]]^2</f>
        <v>0.12093946613406854</v>
      </c>
      <c r="BX66">
        <f>Regression!$C$29+(Regression!$C$28*Table83[[#This Row],[Neck]])</f>
        <v>43.092522522522614</v>
      </c>
      <c r="BY66" s="2">
        <f>Table83[[#This Row],[Waist]]-Table7[[#This Row],[Waist v Neck]]</f>
        <v>-9.2522522522614281E-2</v>
      </c>
      <c r="BZ66" s="2">
        <f>Table7[[#This Row],[WaistN Res]]^2</f>
        <v>8.5604171739476678E-3</v>
      </c>
      <c r="CA66">
        <f>Regression!$D$29+(Regression!$D$28*Table83[[#This Row],[Morning Body Temp]])</f>
        <v>44.361863864877819</v>
      </c>
      <c r="CB66" s="2">
        <f>Table83[[#This Row],[Waist]]-Table7[[#This Row],[Waist v Morning Temp]]</f>
        <v>-1.3618638648778187</v>
      </c>
      <c r="CC66" s="2">
        <f>Table7[[#This Row],[WaistMT Res]]^2</f>
        <v>1.8546731864599497</v>
      </c>
      <c r="CD66">
        <f>Regression!$E$29+(Regression!$E$28*Table83[[#This Row],[Morning Systolic Pressure]])</f>
        <v>44.492246348363913</v>
      </c>
      <c r="CE66" s="2">
        <f>Table83[[#This Row],[Waist]]-Table7[[#This Row],[Waist v Morning Sys]]</f>
        <v>-1.4922463483639135</v>
      </c>
      <c r="CF66" s="2">
        <f>Table7[[#This Row],[WaistMS Res]]^2</f>
        <v>2.2267991642054343</v>
      </c>
      <c r="CG66">
        <f>Regression!$F$29+(Regression!$F$28*Table83[[#This Row],[Morning Diastolic Pressure]])</f>
        <v>44.441545426806556</v>
      </c>
      <c r="CH66" s="2">
        <f>Table83[[#This Row],[Waist]]-Table7[[#This Row],[Waist v Morning Dia]]</f>
        <v>-1.441545426806556</v>
      </c>
      <c r="CI66" s="2">
        <f>Table7[[#This Row],[WaistMD Res]]^2</f>
        <v>2.0780532175468958</v>
      </c>
      <c r="CJ66">
        <f>Regression!$G$29+(Regression!$G$28*Table83[[#This Row],[Morning Pulse]])</f>
        <v>44.458773712947881</v>
      </c>
      <c r="CK66" s="2">
        <f>Table83[[#This Row],[Waist]]-Table7[[#This Row],[Waist v Morning Pulse]]</f>
        <v>-1.4587737129478811</v>
      </c>
      <c r="CL66" s="2">
        <f>Table7[[#This Row],[WaistMP Res]]^2</f>
        <v>2.1280207455877469</v>
      </c>
      <c r="CM66">
        <f>Regression!$H$29+(Regression!$H$28*Table83[[#This Row],[Night Body Temp]])</f>
        <v>44.56231088792758</v>
      </c>
      <c r="CN66" s="2">
        <f>Table83[[#This Row],[Waist]]-Table7[[#This Row],[Waist v Night Temp]]</f>
        <v>-1.5623108879275804</v>
      </c>
      <c r="CO66" s="2">
        <f>Table7[[#This Row],[WaistNT Res]]^2</f>
        <v>2.4408153105370647</v>
      </c>
      <c r="CP66">
        <f>Regression!$I$29+(Regression!$I$28*Table83[[#This Row],[Night Systolic Pressure]])</f>
        <v>44.412878972328372</v>
      </c>
      <c r="CQ66" s="2">
        <f>Table83[[#This Row],[Waist]]-Table7[[#This Row],[Waist v  Night Sys]]</f>
        <v>-1.4128789723283717</v>
      </c>
      <c r="CR66" s="2">
        <f>Table7[[#This Row],[WaistNS Res]]^2</f>
        <v>1.9962269904476757</v>
      </c>
      <c r="CS66">
        <f>Regression!$J$29+(Regression!$J$28*Table83[[#This Row],[Night Diastolic Pressure]])</f>
        <v>44.461092011153731</v>
      </c>
      <c r="CT66" s="2">
        <f>Table83[[#This Row],[Waist]]-Table7[[#This Row],[Waist v Night Dia]]</f>
        <v>-1.4610920111537311</v>
      </c>
      <c r="CU66" s="2">
        <f>Table7[[#This Row],[WaistND Res]]^2</f>
        <v>2.1347898650572548</v>
      </c>
      <c r="CV66">
        <f>Regression!$K$29+(Regression!$K$28*Table83[[#This Row],[Night Pulse]])</f>
        <v>44.379719475858252</v>
      </c>
      <c r="CW66" s="2">
        <f>Table83[[#This Row],[Waist]]-Table7[[#This Row],[Waist v Night Pulse]]</f>
        <v>-1.3797194758582521</v>
      </c>
      <c r="CX66" s="2">
        <f>Table7[[#This Row],[WaistNP Res]]^2</f>
        <v>1.9036258320625699</v>
      </c>
      <c r="CY66">
        <f>Regression!$L$29+(Regression!$L$28*Table83[[#This Row],[Sleep]])</f>
        <v>44.480941336855928</v>
      </c>
      <c r="CZ66" s="2">
        <f>Table83[[#This Row],[Waist]]-Table7[[#This Row],[Waist v  Sleep]]</f>
        <v>-1.4809413368559277</v>
      </c>
      <c r="DA66" s="2">
        <f>Table7[[#This Row],[WaistS Res]]^2</f>
        <v>2.1931872432086221</v>
      </c>
      <c r="DB66">
        <f>Regression!$M$29+(Regression!$M$28*Table83[[#This Row],[BMI]])</f>
        <v>43.347763520422305</v>
      </c>
      <c r="DC66" s="2">
        <f>Table83[[#This Row],[Waist]]-Table7[[#This Row],[Waist v BMI]]</f>
        <v>-0.34776352042230485</v>
      </c>
      <c r="DD66" s="2">
        <f>Table7[[#This Row],[WaistBMI Res]]^2</f>
        <v>0.12093946613651484</v>
      </c>
      <c r="DE66">
        <f>Regression!$N$29+(Regression!$N$28*Table83[[#This Row],[CBF]])</f>
        <v>43.540887941991329</v>
      </c>
      <c r="DF66" s="2">
        <f>Table83[[#This Row],[Waist]]-Table7[[#This Row],[Waist v  CBF]]</f>
        <v>-0.54088794199132906</v>
      </c>
      <c r="DG66" s="2">
        <f>Table7[[#This Row],[WaistCBF Res]]^2</f>
        <v>0.29255976579161536</v>
      </c>
      <c r="DH66">
        <f>Regression!$O$29+(Regression!$O$28*Table83[[#This Row],[Gym]])</f>
        <v>44.347222222222221</v>
      </c>
      <c r="DI66" s="2">
        <f>Table83[[#This Row],[Waist]]-Table7[[#This Row],[Waist v  Gym]]</f>
        <v>-1.3472222222222214</v>
      </c>
      <c r="DJ66" s="2">
        <f>Table7[[#This Row],[WaistGYM Res]]^2</f>
        <v>1.8150077160493805</v>
      </c>
      <c r="DK66">
        <f>Regression!$P$29+(Regression!$P$28*Table83[[#This Row],[Cardio]])</f>
        <v>44.291666666666664</v>
      </c>
      <c r="DL66" s="2">
        <f>Table83[[#This Row],[Waist]]-Table7[[#This Row],[Waist v Cardio]]</f>
        <v>-1.2916666666666643</v>
      </c>
      <c r="DM66" s="2">
        <f>Table7[[#This Row],[WaistC Res]]^2</f>
        <v>1.6684027777777717</v>
      </c>
      <c r="DN66">
        <f>Regression!$Q$29+(Regression!$Q$28*Table83[[#This Row],[Calories]])</f>
        <v>44.209581386306148</v>
      </c>
      <c r="DO66" s="2">
        <f>Table83[[#This Row],[Waist]]-Table7[[#This Row],[Waist v Calories]]</f>
        <v>-1.209581386306148</v>
      </c>
      <c r="DP66" s="2">
        <f>Table7[[#This Row],[WaistCal Res]]^2</f>
        <v>1.4630871300983028</v>
      </c>
      <c r="DQ66">
        <f>Regression!$R$29+(Regression!$R$28*Table83[[#This Row],[Carbs]])</f>
        <v>44.234742838123339</v>
      </c>
      <c r="DR66" s="2">
        <f>Table83[[#This Row],[Waist]]-Table7[[#This Row],[Waist v Carbs]]</f>
        <v>-1.2347428381233385</v>
      </c>
      <c r="DS66" s="2">
        <f>Table7[[#This Row],[WaistCarb Res]]^2</f>
        <v>1.524589876296877</v>
      </c>
      <c r="DT66">
        <f>Regression!$S$29+(Regression!$S$28*Table83[[#This Row],[Fat ]])</f>
        <v>44.185003310866783</v>
      </c>
      <c r="DU66" s="2">
        <f>Table83[[#This Row],[Waist]]-Table7[[#This Row],[Waist v Fat]]</f>
        <v>-1.185003310866783</v>
      </c>
      <c r="DV66" s="2">
        <f>Table7[[#This Row],[WaistF Res]]^2</f>
        <v>1.4042328467652376</v>
      </c>
      <c r="DW66">
        <f>Regression!$T$29+(Regression!$T$28*Table83[[#This Row],[Protein]])</f>
        <v>44.47350886732098</v>
      </c>
      <c r="DX66" s="2">
        <f>Table83[[#This Row],[Waist]]-Table7[[#This Row],[Waist v Protein]]</f>
        <v>-1.4735088673209802</v>
      </c>
      <c r="DY66" s="2">
        <f>Table7[[#This Row],[WaistP Res]]^2</f>
        <v>2.1712283820735578</v>
      </c>
      <c r="DZ66">
        <f>Regression!$U$29+(Regression!$U$28*Table83[[#This Row],[Fiber]])</f>
        <v>44.470507792677971</v>
      </c>
      <c r="EA66" s="2">
        <f>Table83[[#This Row],[Waist]]-Table7[[#This Row],[Waist v Fiber]]</f>
        <v>-1.4705077926779708</v>
      </c>
      <c r="EB66" s="2">
        <f>Table7[[#This Row],[WaistFib Res]]^2</f>
        <v>2.1623931683266382</v>
      </c>
      <c r="EC66">
        <f>Regression!$V$29+(Regression!$V$28*Table83[[#This Row],[Sugar]])</f>
        <v>44.129986424862977</v>
      </c>
      <c r="ED66" s="2">
        <f>Table83[[#This Row],[Waist]]-Table7[[#This Row],[Waist v Sugar]]</f>
        <v>-1.1299864248629774</v>
      </c>
      <c r="EE66" s="2">
        <f>Table7[[#This Row],[WaistSugar Res]]^2</f>
        <v>1.2768693203746133</v>
      </c>
      <c r="EF66">
        <f>Regression!$W$29+(Regression!$W$28*Table83[[#This Row],[Servings]])</f>
        <v>44.461324808553002</v>
      </c>
      <c r="EG66" s="2">
        <f>Table83[[#This Row],[Waist]]-Table7[[#This Row],[Waist v Servings]]</f>
        <v>-1.4613248085530017</v>
      </c>
      <c r="EH66" s="2">
        <f>Table7[[#This Row],[WaistServ Res]]^2</f>
        <v>2.1354701960924674</v>
      </c>
      <c r="EI66">
        <f>Regression!$X$29+(Regression!$X$28*Table83[[#This Row],[Water]])</f>
        <v>44.386198474840633</v>
      </c>
      <c r="EJ66" s="2">
        <f>Table83[[#This Row],[Waist]]-Table7[[#This Row],[Waist v Water]]</f>
        <v>-1.3861984748406329</v>
      </c>
      <c r="EK66" s="2">
        <f>Table7[[#This Row],[WaistWat Res]]^2</f>
        <v>1.9215462116504967</v>
      </c>
      <c r="EL66">
        <f>Regression!$Y$29+(Regression!$Y$28*Table83[[#This Row],[Fat Calories]])</f>
        <v>44.167720082025774</v>
      </c>
      <c r="EM66" s="2">
        <f>Table83[[#This Row],[Waist]]-Table7[[#This Row],[Waist v Fat Calories]]</f>
        <v>-1.1677200820257738</v>
      </c>
      <c r="EN66" s="2">
        <f>Table7[[#This Row],[WaistFatCal Res]]^2</f>
        <v>1.36357018996628</v>
      </c>
    </row>
    <row r="67" spans="1:144" x14ac:dyDescent="0.25">
      <c r="A67">
        <f>Regression!$B$10+(Regression!$B$9*Table83[[#This Row],[Waist]])</f>
        <v>249.67228149328892</v>
      </c>
      <c r="B67" s="2">
        <f>Table83[[#This Row],[Weight]]-Table7[[#This Row],[Weight v Waist]]</f>
        <v>1.1277185067110906</v>
      </c>
      <c r="C67" s="2">
        <f>Table7[[#This Row],[Weight v Waist Res]]^2</f>
        <v>1.2717490303786922</v>
      </c>
      <c r="D67">
        <f>Regression!$C$10+(Regression!$C$9*Table83[[#This Row],[Neck]])</f>
        <v>253.29286486487842</v>
      </c>
      <c r="E67" s="2">
        <f>Table83[[#This Row],[Weight]]-Table7[[#This Row],[Weight v Neck]]</f>
        <v>-2.4928648648784133</v>
      </c>
      <c r="F67" s="2">
        <f>Table7[[#This Row],[WN Res]]^2</f>
        <v>6.2143752345452699</v>
      </c>
      <c r="G67">
        <f>Regression!$D$10+(Regression!$D$9*Table83[[#This Row],[Morning Body Temp]])</f>
        <v>254.49637801530542</v>
      </c>
      <c r="H67" s="2">
        <f>Table83[[#This Row],[Weight]]-Table7[[#This Row],[Weight v Morning Temp]]</f>
        <v>-3.6963780153054131</v>
      </c>
      <c r="I67" s="2">
        <f>Table7[[#This Row],[WMT Res]]^2</f>
        <v>13.663210432033186</v>
      </c>
      <c r="J67">
        <f>Regression!$E$10+(Regression!$E$9*Table83[[#This Row],[Morning Systolic Pressure]])</f>
        <v>254.46840577466799</v>
      </c>
      <c r="K67" s="2">
        <f>Table83[[#This Row],[Weight]]-Table7[[#This Row],[Weight v Morning Sys]]</f>
        <v>-3.6684057746679741</v>
      </c>
      <c r="L67" s="2">
        <f>Table7[[#This Row],[WMS Res]]^2</f>
        <v>13.45720092761734</v>
      </c>
      <c r="M67">
        <f>Regression!$F$10+(Regression!$F$9*Table83[[#This Row],[Morning Diastolic Pressure]])</f>
        <v>255.20338414629154</v>
      </c>
      <c r="N67" s="2">
        <f>Table83[[#This Row],[Weight]]-Table7[[#This Row],[Weight v Morning Dia]]</f>
        <v>-4.4033841462915291</v>
      </c>
      <c r="O67" s="2">
        <f>Table7[[#This Row],[WMD Res]]^2</f>
        <v>19.389791939811577</v>
      </c>
      <c r="P67">
        <f>Regression!$G$10+(Regression!$G$9*Table83[[#This Row],[Morning Pulse]])</f>
        <v>255.09902272834094</v>
      </c>
      <c r="Q67" s="2">
        <f>Table83[[#This Row],[Weight]]-Table7[[#This Row],[Weight v Morning Pulse]]</f>
        <v>-4.2990227283409297</v>
      </c>
      <c r="R67" s="2">
        <f>Table7[[#This Row],[WMP Res]]^2</f>
        <v>18.481596418791892</v>
      </c>
      <c r="S67">
        <f>Regression!$H$10+(Regression!$H$9*Table83[[#This Row],[Night Body Temp]])</f>
        <v>254.85148667752509</v>
      </c>
      <c r="T67" s="2">
        <f>Table83[[#This Row],[Weight]]-Table7[[#This Row],[Weight v Night Temp]]</f>
        <v>-4.0514866775250766</v>
      </c>
      <c r="U67" s="2">
        <f>Table7[[#This Row],[WNT Res]]^2</f>
        <v>16.414544298163186</v>
      </c>
      <c r="V67">
        <f>Regression!$I$10+(Regression!$I$9*Table83[[#This Row],[Night Systolic Pressure]])</f>
        <v>253.5962640487117</v>
      </c>
      <c r="W67" s="2">
        <f>Table83[[#This Row],[Weight]]-Table7[[#This Row],[Weight v Night Sys]]</f>
        <v>-2.7962640487116914</v>
      </c>
      <c r="X67" s="2">
        <f>Table7[[#This Row],[WNS Res]]^2</f>
        <v>7.8190926301175008</v>
      </c>
      <c r="Y67">
        <f>Regression!$J$10+(Regression!$J$9*Table83[[#This Row],[Night Diastolic Pressure]])</f>
        <v>254.80695529533338</v>
      </c>
      <c r="Z67" s="2">
        <f>Table83[[#This Row],[Weight]]-Table7[[#This Row],[Weight v Night Dia]]</f>
        <v>-4.0069552953333698</v>
      </c>
      <c r="AA67" s="2">
        <f>Table7[[#This Row],[WND Res]]^2</f>
        <v>16.055690738800134</v>
      </c>
      <c r="AB67">
        <f>Regression!$K$10+(Regression!$K$9*Table83[[#This Row],[Night Pulse]])</f>
        <v>255.11015185874123</v>
      </c>
      <c r="AC67" s="2">
        <f>Table83[[#This Row],[Weight]]-Table7[[#This Row],[Weight v Night Pulse]]</f>
        <v>-4.3101518587412215</v>
      </c>
      <c r="AD67" s="2">
        <f>Table7[[#This Row],[WNP Res ]]^2</f>
        <v>18.577409045410405</v>
      </c>
      <c r="AE67">
        <f>Regression!$L$10+(Regression!$L$9*Table83[[#This Row],[Sleep]])</f>
        <v>255.61024100244205</v>
      </c>
      <c r="AF67" s="2">
        <f>Table83[[#This Row],[Weight]]-Table7[[#This Row],[Weight v Sleep]]</f>
        <v>-4.8102410024420408</v>
      </c>
      <c r="AG67" s="2">
        <f>Table7[[#This Row],[WS Res]]^2</f>
        <v>23.138418501574609</v>
      </c>
      <c r="AH67">
        <f>Regression!$M$10+(Regression!$M$9*Table83[[#This Row],[BMI]])</f>
        <v>250.8000000000097</v>
      </c>
      <c r="AI67" s="2">
        <f>Table83[[#This Row],[Weight]]-Table7[[#This Row],[Weight v BMI]]</f>
        <v>-9.6918029157677665E-12</v>
      </c>
      <c r="AJ67" s="2">
        <f>Table7[[#This Row],[WBMI Res]]^2</f>
        <v>9.3931043758084581E-23</v>
      </c>
      <c r="AK67">
        <f>Regression!$N$10+(Regression!$N$9*Table83[[#This Row],[CBF]])</f>
        <v>250.04675133427031</v>
      </c>
      <c r="AL67" s="2">
        <f>Table83[[#This Row],[Weight]]-Table7[[#This Row],[Weight v CBF]]</f>
        <v>0.75324866572969995</v>
      </c>
      <c r="AM67" s="2">
        <f>Table7[[#This Row],[WCBF Res]]^2</f>
        <v>0.5673835524235733</v>
      </c>
      <c r="AN67">
        <f>Regression!$O$10+(Regression!$O$9*Table83[[#This Row],[Gym]])</f>
        <v>255.46779661016953</v>
      </c>
      <c r="AO67" s="2">
        <f>Table83[[#This Row],[Weight]]-Table7[[#This Row],[Weight v Gym]]</f>
        <v>-4.6677966101695176</v>
      </c>
      <c r="AP67" s="2">
        <f>Table7[[#This Row],[WG Res]]^2</f>
        <v>21.78832519391004</v>
      </c>
      <c r="AQ67">
        <f>Regression!$P$10+(Regression!$P$9*Table83[[#This Row],[Cardio]])</f>
        <v>256.41063829787231</v>
      </c>
      <c r="AR67" s="2">
        <f>Table83[[#This Row],[Weight]]-Table7[[#This Row],[Weight v Cardio]]</f>
        <v>-5.6106382978722991</v>
      </c>
      <c r="AS67" s="2">
        <f>Table7[[#This Row],[WC Res]]^2</f>
        <v>31.479262109551371</v>
      </c>
      <c r="AT67">
        <f>Regression!$Q$10+(Regression!$Q$9*Table83[[#This Row],[Calories]])</f>
        <v>256.07608197203609</v>
      </c>
      <c r="AU67" s="2">
        <f>Table83[[#This Row],[Weight]]-Table7[[#This Row],[Weight v Calories]]</f>
        <v>-5.2760819720360814</v>
      </c>
      <c r="AV67" s="2">
        <f>Table7[[#This Row],[WCAL Res]]^2</f>
        <v>27.837040975644147</v>
      </c>
      <c r="AW67">
        <f>Regression!$R$10+(Regression!$R$9*Table83[[#This Row],[Carbs]])</f>
        <v>256.11260976039983</v>
      </c>
      <c r="AX67" s="2">
        <f>Table83[[#This Row],[Weight]]-Table7[[#This Row],[Weight v Carbs]]</f>
        <v>-5.3126097603998232</v>
      </c>
      <c r="AY67" s="2">
        <f>Table7[[#This Row],[Wcarb Res]]^2</f>
        <v>28.223822466295466</v>
      </c>
      <c r="AZ67">
        <f>Regression!$S$10+(Regression!$S$9*Table83[[#This Row],[Fat ]])</f>
        <v>255.62907183816594</v>
      </c>
      <c r="BA67" s="2">
        <f>Table83[[#This Row],[Weight]]-Table7[[#This Row],[Weight v Fat]]</f>
        <v>-4.8290718381659303</v>
      </c>
      <c r="BB67" s="2">
        <f>Table7[[#This Row],[WF Res]]^2</f>
        <v>23.319934818167276</v>
      </c>
      <c r="BC67">
        <f>Regression!$T$10+(Regression!$T$9*Table83[[#This Row],[Protein]])</f>
        <v>256.6341187538373</v>
      </c>
      <c r="BD67" s="2">
        <f>Table83[[#This Row],[Weight]]-Table7[[#This Row],[Weight v Protein]]</f>
        <v>-5.8341187538372878</v>
      </c>
      <c r="BE67" s="2">
        <f>Table7[[#This Row],[WP Res]]^2</f>
        <v>34.036941633875948</v>
      </c>
      <c r="BF67">
        <f>Regression!$U$10+(Regression!$U$9*Table83[[#This Row],[Fiber]])</f>
        <v>254.89479481060204</v>
      </c>
      <c r="BG67" s="2">
        <f>Table83[[#This Row],[Weight]]-Table7[[#This Row],[Weight v Fiber]]</f>
        <v>-4.0947948106020249</v>
      </c>
      <c r="BH67" s="2">
        <f>Table7[[#This Row],[Wfib Res]]^2</f>
        <v>16.767344540933273</v>
      </c>
      <c r="BI67">
        <f>Regression!$V$10+(Regression!$V$9*Table83[[#This Row],[Sugar]])</f>
        <v>256.73339368305352</v>
      </c>
      <c r="BJ67" s="2">
        <f>Table83[[#This Row],[Weight]]-Table7[[#This Row],[Weight v Sugar]]</f>
        <v>-5.9333936830535094</v>
      </c>
      <c r="BK67" s="2">
        <f>Table7[[#This Row],[Wsugar Res]]^2</f>
        <v>35.20516059809929</v>
      </c>
      <c r="BL67">
        <f>Regression!$W$10+(Regression!$W$9*Table83[[#This Row],[Servings]])</f>
        <v>257.08495465648434</v>
      </c>
      <c r="BM67" s="2">
        <f>Table83[[#This Row],[Weight]]-Table7[[#This Row],[Weight v Servings]]</f>
        <v>-6.2849546564843308</v>
      </c>
      <c r="BN67" s="2">
        <f>Table7[[#This Row],[Wserv Res]]^2</f>
        <v>39.500655034064074</v>
      </c>
      <c r="BO67">
        <f>Regression!$X$10+(Regression!$X$9*Table83[[#This Row],[Water]])</f>
        <v>255.1490819770581</v>
      </c>
      <c r="BP67" s="2">
        <f>Table83[[#This Row],[Weight]]-Table7[[#This Row],[Weight v Water]]</f>
        <v>-4.3490819770580913</v>
      </c>
      <c r="BQ67" s="2">
        <f>Table7[[#This Row],[Wwater Res]]^2</f>
        <v>18.914514043171515</v>
      </c>
      <c r="BR67">
        <f>Regression!$Y$10+(Regression!$Y$9*Table83[[#This Row],[Fat Calories]])</f>
        <v>255.65723731232296</v>
      </c>
      <c r="BS67" s="2">
        <f>Table83[[#This Row],[Weight]]-Table7[[#This Row],[Weight v Fat Calories]]</f>
        <v>-4.8572373123229511</v>
      </c>
      <c r="BT67" s="2">
        <f>Table7[[#This Row],[WFC Res]]^2</f>
        <v>23.592754308222286</v>
      </c>
      <c r="BU67">
        <f>Regression!$B$29+(Regression!$B$28*Table83[[#This Row],[Weight]])</f>
        <v>43.865561060584724</v>
      </c>
      <c r="BV67" s="2">
        <f>Table83[[#This Row],[Waist]]-Table7[[#This Row],[Waist v Weight]]</f>
        <v>-0.36556106058472437</v>
      </c>
      <c r="BW67" s="2">
        <f>Table7[[#This Row],[WaistW Res]]^2</f>
        <v>0.13363488901582851</v>
      </c>
      <c r="BX67">
        <f>Regression!$C$29+(Regression!$C$28*Table83[[#This Row],[Neck]])</f>
        <v>44.175585585585594</v>
      </c>
      <c r="BY67" s="2">
        <f>Table83[[#This Row],[Waist]]-Table7[[#This Row],[Waist v Neck]]</f>
        <v>-0.67558558558559412</v>
      </c>
      <c r="BZ67" s="2">
        <f>Table7[[#This Row],[WaistN Res]]^2</f>
        <v>0.45641588345103012</v>
      </c>
      <c r="CA67">
        <f>Regression!$D$29+(Regression!$D$28*Table83[[#This Row],[Morning Body Temp]])</f>
        <v>44.2852766121743</v>
      </c>
      <c r="CB67" s="2">
        <f>Table83[[#This Row],[Waist]]-Table7[[#This Row],[Waist v Morning Temp]]</f>
        <v>-0.78527661217430023</v>
      </c>
      <c r="CC67" s="2">
        <f>Table7[[#This Row],[WaistMT Res]]^2</f>
        <v>0.61665935762794633</v>
      </c>
      <c r="CD67">
        <f>Regression!$E$29+(Regression!$E$28*Table83[[#This Row],[Morning Systolic Pressure]])</f>
        <v>44.301619054000227</v>
      </c>
      <c r="CE67" s="2">
        <f>Table83[[#This Row],[Waist]]-Table7[[#This Row],[Waist v Morning Sys]]</f>
        <v>-0.80161905400022704</v>
      </c>
      <c r="CF67" s="2">
        <f>Table7[[#This Row],[WaistMS Res]]^2</f>
        <v>0.64259310773621892</v>
      </c>
      <c r="CG67">
        <f>Regression!$F$29+(Regression!$F$28*Table83[[#This Row],[Morning Diastolic Pressure]])</f>
        <v>44.458452288813113</v>
      </c>
      <c r="CH67" s="2">
        <f>Table83[[#This Row],[Waist]]-Table7[[#This Row],[Waist v Morning Dia]]</f>
        <v>-0.95845228881311328</v>
      </c>
      <c r="CI67" s="2">
        <f>Table7[[#This Row],[WaistMD Res]]^2</f>
        <v>0.91863078993109548</v>
      </c>
      <c r="CJ67">
        <f>Regression!$G$29+(Regression!$G$28*Table83[[#This Row],[Morning Pulse]])</f>
        <v>44.446181174343671</v>
      </c>
      <c r="CK67" s="2">
        <f>Table83[[#This Row],[Waist]]-Table7[[#This Row],[Waist v Morning Pulse]]</f>
        <v>-0.94618117434367122</v>
      </c>
      <c r="CL67" s="2">
        <f>Table7[[#This Row],[WaistMP Res]]^2</f>
        <v>0.89525881468236879</v>
      </c>
      <c r="CM67">
        <f>Regression!$H$29+(Regression!$H$28*Table83[[#This Row],[Night Body Temp]])</f>
        <v>44.432760107049404</v>
      </c>
      <c r="CN67" s="2">
        <f>Table83[[#This Row],[Waist]]-Table7[[#This Row],[Waist v Night Temp]]</f>
        <v>-0.93276010704940404</v>
      </c>
      <c r="CO67" s="2">
        <f>Table7[[#This Row],[WaistNT Res]]^2</f>
        <v>0.8700414173028157</v>
      </c>
      <c r="CP67">
        <f>Regression!$I$29+(Regression!$I$28*Table83[[#This Row],[Night Systolic Pressure]])</f>
        <v>44.23839760042101</v>
      </c>
      <c r="CQ67" s="2">
        <f>Table83[[#This Row],[Waist]]-Table7[[#This Row],[Waist v  Night Sys]]</f>
        <v>-0.73839760042100977</v>
      </c>
      <c r="CR67" s="2">
        <f>Table7[[#This Row],[WaistNS Res]]^2</f>
        <v>0.54523101630750526</v>
      </c>
      <c r="CS67">
        <f>Regression!$J$29+(Regression!$J$28*Table83[[#This Row],[Night Diastolic Pressure]])</f>
        <v>44.324548449494195</v>
      </c>
      <c r="CT67" s="2">
        <f>Table83[[#This Row],[Waist]]-Table7[[#This Row],[Waist v Night Dia]]</f>
        <v>-0.82454844949419481</v>
      </c>
      <c r="CU67" s="2">
        <f>Table7[[#This Row],[WaistND Res]]^2</f>
        <v>0.67988014556328069</v>
      </c>
      <c r="CV67">
        <f>Regression!$K$29+(Regression!$K$28*Table83[[#This Row],[Night Pulse]])</f>
        <v>44.453994879943338</v>
      </c>
      <c r="CW67" s="2">
        <f>Table83[[#This Row],[Waist]]-Table7[[#This Row],[Waist v Night Pulse]]</f>
        <v>-0.95399487994333754</v>
      </c>
      <c r="CX67" s="2">
        <f>Table7[[#This Row],[WaistNP Res]]^2</f>
        <v>0.91010623095810295</v>
      </c>
      <c r="CY67">
        <f>Regression!$L$29+(Regression!$L$28*Table83[[#This Row],[Sleep]])</f>
        <v>44.529040304851584</v>
      </c>
      <c r="CZ67" s="2">
        <f>Table83[[#This Row],[Waist]]-Table7[[#This Row],[Waist v  Sleep]]</f>
        <v>-1.0290403048515842</v>
      </c>
      <c r="DA67" s="2">
        <f>Table7[[#This Row],[WaistS Res]]^2</f>
        <v>1.0589239490090412</v>
      </c>
      <c r="DB67">
        <f>Regression!$M$29+(Regression!$M$28*Table83[[#This Row],[BMI]])</f>
        <v>43.865561060586593</v>
      </c>
      <c r="DC67" s="2">
        <f>Table83[[#This Row],[Waist]]-Table7[[#This Row],[Waist v BMI]]</f>
        <v>-0.3655610605865931</v>
      </c>
      <c r="DD67" s="2">
        <f>Table7[[#This Row],[WaistBMI Res]]^2</f>
        <v>0.13363488901719478</v>
      </c>
      <c r="DE67">
        <f>Regression!$N$29+(Regression!$N$28*Table83[[#This Row],[CBF]])</f>
        <v>43.540887941991329</v>
      </c>
      <c r="DF67" s="2">
        <f>Table83[[#This Row],[Waist]]-Table7[[#This Row],[Waist v  CBF]]</f>
        <v>-4.0887941991329058E-2</v>
      </c>
      <c r="DG67" s="2">
        <f>Table7[[#This Row],[WaistCBF Res]]^2</f>
        <v>1.6718238002862899E-3</v>
      </c>
      <c r="DH67">
        <f>Regression!$O$29+(Regression!$O$28*Table83[[#This Row],[Gym]])</f>
        <v>44.550847457627107</v>
      </c>
      <c r="DI67" s="2">
        <f>Table83[[#This Row],[Waist]]-Table7[[#This Row],[Waist v  Gym]]</f>
        <v>-1.050847457627107</v>
      </c>
      <c r="DJ67" s="2">
        <f>Table7[[#This Row],[WaistGYM Res]]^2</f>
        <v>1.1042803792013545</v>
      </c>
      <c r="DK67">
        <f>Regression!$P$29+(Regression!$P$28*Table83[[#This Row],[Cardio]])</f>
        <v>44.680851063829778</v>
      </c>
      <c r="DL67" s="2">
        <f>Table83[[#This Row],[Waist]]-Table7[[#This Row],[Waist v Cardio]]</f>
        <v>-1.1808510638297776</v>
      </c>
      <c r="DM67" s="2">
        <f>Table7[[#This Row],[WaistC Res]]^2</f>
        <v>1.3944092349479174</v>
      </c>
      <c r="DN67">
        <f>Regression!$Q$29+(Regression!$Q$28*Table83[[#This Row],[Calories]])</f>
        <v>44.669463684154699</v>
      </c>
      <c r="DO67" s="2">
        <f>Table83[[#This Row],[Waist]]-Table7[[#This Row],[Waist v Calories]]</f>
        <v>-1.1694636841546995</v>
      </c>
      <c r="DP67" s="2">
        <f>Table7[[#This Row],[WaistCal Res]]^2</f>
        <v>1.3676453085566826</v>
      </c>
      <c r="DQ67">
        <f>Regression!$R$29+(Regression!$R$28*Table83[[#This Row],[Carbs]])</f>
        <v>44.6612268538832</v>
      </c>
      <c r="DR67" s="2">
        <f>Table83[[#This Row],[Waist]]-Table7[[#This Row],[Waist v Carbs]]</f>
        <v>-1.1612268538831998</v>
      </c>
      <c r="DS67" s="2">
        <f>Table7[[#This Row],[WaistCarb Res]]^2</f>
        <v>1.3484478061794742</v>
      </c>
      <c r="DT67">
        <f>Regression!$S$29+(Regression!$S$28*Table83[[#This Row],[Fat ]])</f>
        <v>44.610667179170498</v>
      </c>
      <c r="DU67" s="2">
        <f>Table83[[#This Row],[Waist]]-Table7[[#This Row],[Waist v Fat]]</f>
        <v>-1.1106671791704983</v>
      </c>
      <c r="DV67" s="2">
        <f>Table7[[#This Row],[WaistF Res]]^2</f>
        <v>1.2335815828865517</v>
      </c>
      <c r="DW67">
        <f>Regression!$T$29+(Regression!$T$28*Table83[[#This Row],[Protein]])</f>
        <v>44.731586885843662</v>
      </c>
      <c r="DX67" s="2">
        <f>Table83[[#This Row],[Waist]]-Table7[[#This Row],[Waist v Protein]]</f>
        <v>-1.2315868858436616</v>
      </c>
      <c r="DY67" s="2">
        <f>Table7[[#This Row],[WaistP Res]]^2</f>
        <v>1.5168062573820884</v>
      </c>
      <c r="DZ67">
        <f>Regression!$U$29+(Regression!$U$28*Table83[[#This Row],[Fiber]])</f>
        <v>44.368554385660524</v>
      </c>
      <c r="EA67" s="2">
        <f>Table83[[#This Row],[Waist]]-Table7[[#This Row],[Waist v Fiber]]</f>
        <v>-0.86855438566052356</v>
      </c>
      <c r="EB67" s="2">
        <f>Table7[[#This Row],[WaistFib Res]]^2</f>
        <v>0.75438672085012948</v>
      </c>
      <c r="EC67">
        <f>Regression!$V$29+(Regression!$V$28*Table83[[#This Row],[Sugar]])</f>
        <v>44.744258249559515</v>
      </c>
      <c r="ED67" s="2">
        <f>Table83[[#This Row],[Waist]]-Table7[[#This Row],[Waist v Sugar]]</f>
        <v>-1.2442582495595147</v>
      </c>
      <c r="EE67" s="2">
        <f>Table7[[#This Row],[WaistSugar Res]]^2</f>
        <v>1.5481785915969075</v>
      </c>
      <c r="EF67">
        <f>Regression!$W$29+(Regression!$W$28*Table83[[#This Row],[Servings]])</f>
        <v>44.754115332677664</v>
      </c>
      <c r="EG67" s="2">
        <f>Table83[[#This Row],[Waist]]-Table7[[#This Row],[Waist v Servings]]</f>
        <v>-1.2541153326776637</v>
      </c>
      <c r="EH67" s="2">
        <f>Table7[[#This Row],[WaistServ Res]]^2</f>
        <v>1.5728052676572071</v>
      </c>
      <c r="EI67">
        <f>Regression!$X$29+(Regression!$X$28*Table83[[#This Row],[Water]])</f>
        <v>44.497966229663206</v>
      </c>
      <c r="EJ67" s="2">
        <f>Table83[[#This Row],[Waist]]-Table7[[#This Row],[Waist v Water]]</f>
        <v>-0.9979662296632057</v>
      </c>
      <c r="EK67" s="2">
        <f>Table7[[#This Row],[WaistWat Res]]^2</f>
        <v>0.99593659554819425</v>
      </c>
      <c r="EL67">
        <f>Regression!$Y$29+(Regression!$Y$28*Table83[[#This Row],[Fat Calories]])</f>
        <v>44.618436331553745</v>
      </c>
      <c r="EM67" s="2">
        <f>Table83[[#This Row],[Waist]]-Table7[[#This Row],[Waist v Fat Calories]]</f>
        <v>-1.1184363315537453</v>
      </c>
      <c r="EN67" s="2">
        <f>Table7[[#This Row],[WaistFatCal Res]]^2</f>
        <v>1.2508998277393995</v>
      </c>
    </row>
    <row r="68" spans="1:144" x14ac:dyDescent="0.25">
      <c r="A68">
        <f>Regression!$B$10+(Regression!$B$9*Table83[[#This Row],[Waist]])</f>
        <v>249.67228149328892</v>
      </c>
      <c r="B68" s="2">
        <f>Table83[[#This Row],[Weight]]-Table7[[#This Row],[Weight v Waist]]</f>
        <v>-0.67228149328892073</v>
      </c>
      <c r="C68" s="2">
        <f>Table7[[#This Row],[Weight v Waist Res]]^2</f>
        <v>0.45196240621878114</v>
      </c>
      <c r="D68">
        <f>Regression!$C$10+(Regression!$C$9*Table83[[#This Row],[Neck]])</f>
        <v>253.29286486487842</v>
      </c>
      <c r="E68" s="2">
        <f>Table83[[#This Row],[Weight]]-Table7[[#This Row],[Weight v Neck]]</f>
        <v>-4.2928648648784247</v>
      </c>
      <c r="F68" s="2">
        <f>Table7[[#This Row],[WN Res]]^2</f>
        <v>18.428688748107657</v>
      </c>
      <c r="G68">
        <f>Regression!$D$10+(Regression!$D$9*Table83[[#This Row],[Morning Body Temp]])</f>
        <v>254.49637801530542</v>
      </c>
      <c r="H68" s="2">
        <f>Table83[[#This Row],[Weight]]-Table7[[#This Row],[Weight v Morning Temp]]</f>
        <v>-5.4963780153054245</v>
      </c>
      <c r="I68" s="2">
        <f>Table7[[#This Row],[WMT Res]]^2</f>
        <v>30.210171287132798</v>
      </c>
      <c r="J68">
        <f>Regression!$E$10+(Regression!$E$9*Table83[[#This Row],[Morning Systolic Pressure]])</f>
        <v>255.46010425966242</v>
      </c>
      <c r="K68" s="2">
        <f>Table83[[#This Row],[Weight]]-Table7[[#This Row],[Weight v Morning Sys]]</f>
        <v>-6.4601042596624154</v>
      </c>
      <c r="L68" s="2">
        <f>Table7[[#This Row],[WMS Res]]^2</f>
        <v>41.732947045708485</v>
      </c>
      <c r="M68">
        <f>Regression!$F$10+(Regression!$F$9*Table83[[#This Row],[Morning Diastolic Pressure]])</f>
        <v>254.08859740679787</v>
      </c>
      <c r="N68" s="2">
        <f>Table83[[#This Row],[Weight]]-Table7[[#This Row],[Weight v Morning Dia]]</f>
        <v>-5.0885974067978736</v>
      </c>
      <c r="O68" s="2">
        <f>Table7[[#This Row],[WMD Res]]^2</f>
        <v>25.893823568470044</v>
      </c>
      <c r="P68">
        <f>Regression!$G$10+(Regression!$G$9*Table83[[#This Row],[Morning Pulse]])</f>
        <v>255.10085052409812</v>
      </c>
      <c r="Q68" s="2">
        <f>Table83[[#This Row],[Weight]]-Table7[[#This Row],[Weight v Morning Pulse]]</f>
        <v>-6.1008505240981208</v>
      </c>
      <c r="R68" s="2">
        <f>Table7[[#This Row],[WMP Res]]^2</f>
        <v>37.220377117388317</v>
      </c>
      <c r="S68">
        <f>Regression!$H$10+(Regression!$H$9*Table83[[#This Row],[Night Body Temp]])</f>
        <v>255.46766610041516</v>
      </c>
      <c r="T68" s="2">
        <f>Table83[[#This Row],[Weight]]-Table7[[#This Row],[Weight v Night Temp]]</f>
        <v>-6.4676661004151583</v>
      </c>
      <c r="U68" s="2">
        <f>Table7[[#This Row],[WNT Res]]^2</f>
        <v>41.830704786459421</v>
      </c>
      <c r="V68">
        <f>Regression!$I$10+(Regression!$I$9*Table83[[#This Row],[Night Systolic Pressure]])</f>
        <v>255.03329172511027</v>
      </c>
      <c r="W68" s="2">
        <f>Table83[[#This Row],[Weight]]-Table7[[#This Row],[Weight v Night Sys]]</f>
        <v>-6.0332917251102742</v>
      </c>
      <c r="X68" s="2">
        <f>Table7[[#This Row],[WNS Res]]^2</f>
        <v>36.40060904028411</v>
      </c>
      <c r="Y68">
        <f>Regression!$J$10+(Regression!$J$9*Table83[[#This Row],[Night Diastolic Pressure]])</f>
        <v>255.09231637424611</v>
      </c>
      <c r="Z68" s="2">
        <f>Table83[[#This Row],[Weight]]-Table7[[#This Row],[Weight v Night Dia]]</f>
        <v>-6.0923163742461099</v>
      </c>
      <c r="AA68" s="2">
        <f>Table7[[#This Row],[WND Res]]^2</f>
        <v>37.116318803907269</v>
      </c>
      <c r="AB68">
        <f>Regression!$K$10+(Regression!$K$9*Table83[[#This Row],[Night Pulse]])</f>
        <v>255.01801186503107</v>
      </c>
      <c r="AC68" s="2">
        <f>Table83[[#This Row],[Weight]]-Table7[[#This Row],[Weight v Night Pulse]]</f>
        <v>-6.0180118650310703</v>
      </c>
      <c r="AD68" s="2">
        <f>Table7[[#This Row],[WNP Res ]]^2</f>
        <v>36.21646680765474</v>
      </c>
      <c r="AE68">
        <f>Regression!$L$10+(Regression!$L$9*Table83[[#This Row],[Sleep]])</f>
        <v>254.03287008557294</v>
      </c>
      <c r="AF68" s="2">
        <f>Table83[[#This Row],[Weight]]-Table7[[#This Row],[Weight v Sleep]]</f>
        <v>-5.032870085572938</v>
      </c>
      <c r="AG68" s="2">
        <f>Table7[[#This Row],[WS Res]]^2</f>
        <v>25.329781298254954</v>
      </c>
      <c r="AH68">
        <f>Regression!$M$10+(Regression!$M$9*Table83[[#This Row],[BMI]])</f>
        <v>249.0000000000137</v>
      </c>
      <c r="AI68" s="2">
        <f>Table83[[#This Row],[Weight]]-Table7[[#This Row],[Weight v BMI]]</f>
        <v>-1.3699263945454732E-11</v>
      </c>
      <c r="AJ68" s="2">
        <f>Table7[[#This Row],[WBMI Res]]^2</f>
        <v>1.8766983264723594E-22</v>
      </c>
      <c r="AK68">
        <f>Regression!$N$10+(Regression!$N$9*Table83[[#This Row],[CBF]])</f>
        <v>250.04675133427031</v>
      </c>
      <c r="AL68" s="2">
        <f>Table83[[#This Row],[Weight]]-Table7[[#This Row],[Weight v CBF]]</f>
        <v>-1.0467513342703114</v>
      </c>
      <c r="AM68" s="2">
        <f>Table7[[#This Row],[WCBF Res]]^2</f>
        <v>1.0956883557966772</v>
      </c>
      <c r="AN68">
        <f>Regression!$O$10+(Regression!$O$9*Table83[[#This Row],[Gym]])</f>
        <v>255.46779661016953</v>
      </c>
      <c r="AO68" s="2">
        <f>Table83[[#This Row],[Weight]]-Table7[[#This Row],[Weight v Gym]]</f>
        <v>-6.467796610169529</v>
      </c>
      <c r="AP68" s="2">
        <f>Table7[[#This Row],[WG Res]]^2</f>
        <v>41.832392990520454</v>
      </c>
      <c r="AQ68">
        <f>Regression!$P$10+(Regression!$P$9*Table83[[#This Row],[Cardio]])</f>
        <v>256.41063829787231</v>
      </c>
      <c r="AR68" s="2">
        <f>Table83[[#This Row],[Weight]]-Table7[[#This Row],[Weight v Cardio]]</f>
        <v>-7.4106382978723104</v>
      </c>
      <c r="AS68" s="2">
        <f>Table7[[#This Row],[WC Res]]^2</f>
        <v>54.917559981891813</v>
      </c>
      <c r="AT68">
        <f>Regression!$Q$10+(Regression!$Q$9*Table83[[#This Row],[Calories]])</f>
        <v>255.59018130748024</v>
      </c>
      <c r="AU68" s="2">
        <f>Table83[[#This Row],[Weight]]-Table7[[#This Row],[Weight v Calories]]</f>
        <v>-6.5901813074802362</v>
      </c>
      <c r="AV68" s="2">
        <f>Table7[[#This Row],[WCAL Res]]^2</f>
        <v>43.430489665461913</v>
      </c>
      <c r="AW68">
        <f>Regression!$R$10+(Regression!$R$9*Table83[[#This Row],[Carbs]])</f>
        <v>255.6240545176901</v>
      </c>
      <c r="AX68" s="2">
        <f>Table83[[#This Row],[Weight]]-Table7[[#This Row],[Weight v Carbs]]</f>
        <v>-6.624054517690098</v>
      </c>
      <c r="AY68" s="2">
        <f>Table7[[#This Row],[Wcarb Res]]^2</f>
        <v>43.878098253330599</v>
      </c>
      <c r="AZ68">
        <f>Regression!$S$10+(Regression!$S$9*Table83[[#This Row],[Fat ]])</f>
        <v>255.37899092193467</v>
      </c>
      <c r="BA68" s="2">
        <f>Table83[[#This Row],[Weight]]-Table7[[#This Row],[Weight v Fat]]</f>
        <v>-6.3789909219346725</v>
      </c>
      <c r="BB68" s="2">
        <f>Table7[[#This Row],[WF Res]]^2</f>
        <v>40.691525182124963</v>
      </c>
      <c r="BC68">
        <f>Regression!$T$10+(Regression!$T$9*Table83[[#This Row],[Protein]])</f>
        <v>255.74688289508168</v>
      </c>
      <c r="BD68" s="2">
        <f>Table83[[#This Row],[Weight]]-Table7[[#This Row],[Weight v Protein]]</f>
        <v>-6.7468828950816828</v>
      </c>
      <c r="BE68" s="2">
        <f>Table7[[#This Row],[WP Res]]^2</f>
        <v>45.52042879994579</v>
      </c>
      <c r="BF68">
        <f>Regression!$U$10+(Regression!$U$9*Table83[[#This Row],[Fiber]])</f>
        <v>254.90880474059057</v>
      </c>
      <c r="BG68" s="2">
        <f>Table83[[#This Row],[Weight]]-Table7[[#This Row],[Weight v Fiber]]</f>
        <v>-5.9088047405905684</v>
      </c>
      <c r="BH68" s="2">
        <f>Table7[[#This Row],[Wfib Res]]^2</f>
        <v>34.913973462425574</v>
      </c>
      <c r="BI68">
        <f>Regression!$V$10+(Regression!$V$9*Table83[[#This Row],[Sugar]])</f>
        <v>255.47516097353324</v>
      </c>
      <c r="BJ68" s="2">
        <f>Table83[[#This Row],[Weight]]-Table7[[#This Row],[Weight v Sugar]]</f>
        <v>-6.4751609735332352</v>
      </c>
      <c r="BK68" s="2">
        <f>Table7[[#This Row],[Wsugar Res]]^2</f>
        <v>41.927709633167872</v>
      </c>
      <c r="BL68">
        <f>Regression!$W$10+(Regression!$W$9*Table83[[#This Row],[Servings]])</f>
        <v>256.46953401477333</v>
      </c>
      <c r="BM68" s="2">
        <f>Table83[[#This Row],[Weight]]-Table7[[#This Row],[Weight v Servings]]</f>
        <v>-7.4695340147733305</v>
      </c>
      <c r="BN68" s="2">
        <f>Table7[[#This Row],[Wserv Res]]^2</f>
        <v>55.79393839785579</v>
      </c>
      <c r="BO68">
        <f>Regression!$X$10+(Regression!$X$9*Table83[[#This Row],[Water]])</f>
        <v>255.12767398535738</v>
      </c>
      <c r="BP68" s="2">
        <f>Table83[[#This Row],[Weight]]-Table7[[#This Row],[Weight v Water]]</f>
        <v>-6.1276739853573758</v>
      </c>
      <c r="BQ68" s="2">
        <f>Table7[[#This Row],[Wwater Res]]^2</f>
        <v>37.548388470825543</v>
      </c>
      <c r="BR68">
        <f>Regression!$Y$10+(Regression!$Y$9*Table83[[#This Row],[Fat Calories]])</f>
        <v>255.3910883049314</v>
      </c>
      <c r="BS68" s="2">
        <f>Table83[[#This Row],[Weight]]-Table7[[#This Row],[Weight v Fat Calories]]</f>
        <v>-6.3910883049314009</v>
      </c>
      <c r="BT68" s="2">
        <f>Table7[[#This Row],[WFC Res]]^2</f>
        <v>40.846009721430924</v>
      </c>
      <c r="BU68">
        <f>Regression!$B$29+(Regression!$B$28*Table83[[#This Row],[Weight]])</f>
        <v>43.620288541558757</v>
      </c>
      <c r="BV68" s="2">
        <f>Table83[[#This Row],[Waist]]-Table7[[#This Row],[Waist v Weight]]</f>
        <v>-0.12028854155875734</v>
      </c>
      <c r="BW68" s="2">
        <f>Table7[[#This Row],[WaistW Res]]^2</f>
        <v>1.4469333230332893E-2</v>
      </c>
      <c r="BX68">
        <f>Regression!$C$29+(Regression!$C$28*Table83[[#This Row],[Neck]])</f>
        <v>44.175585585585594</v>
      </c>
      <c r="BY68" s="2">
        <f>Table83[[#This Row],[Waist]]-Table7[[#This Row],[Waist v Neck]]</f>
        <v>-0.67558558558559412</v>
      </c>
      <c r="BZ68" s="2">
        <f>Table7[[#This Row],[WaistN Res]]^2</f>
        <v>0.45641588345103012</v>
      </c>
      <c r="CA68">
        <f>Regression!$D$29+(Regression!$D$28*Table83[[#This Row],[Morning Body Temp]])</f>
        <v>44.2852766121743</v>
      </c>
      <c r="CB68" s="2">
        <f>Table83[[#This Row],[Waist]]-Table7[[#This Row],[Waist v Morning Temp]]</f>
        <v>-0.78527661217430023</v>
      </c>
      <c r="CC68" s="2">
        <f>Table7[[#This Row],[WaistMT Res]]^2</f>
        <v>0.61665935762794633</v>
      </c>
      <c r="CD68">
        <f>Regression!$E$29+(Regression!$E$28*Table83[[#This Row],[Morning Systolic Pressure]])</f>
        <v>44.534607969333621</v>
      </c>
      <c r="CE68" s="2">
        <f>Table83[[#This Row],[Waist]]-Table7[[#This Row],[Waist v Morning Sys]]</f>
        <v>-1.0346079693336208</v>
      </c>
      <c r="CF68" s="2">
        <f>Table7[[#This Row],[WaistMS Res]]^2</f>
        <v>1.0704136502086383</v>
      </c>
      <c r="CG68">
        <f>Regression!$F$29+(Regression!$F$28*Table83[[#This Row],[Morning Diastolic Pressure]])</f>
        <v>44.396460461455717</v>
      </c>
      <c r="CH68" s="2">
        <f>Table83[[#This Row],[Waist]]-Table7[[#This Row],[Waist v Morning Dia]]</f>
        <v>-0.89646046145571745</v>
      </c>
      <c r="CI68" s="2">
        <f>Table7[[#This Row],[WaistMD Res]]^2</f>
        <v>0.80364135895339783</v>
      </c>
      <c r="CJ68">
        <f>Regression!$G$29+(Regression!$G$28*Table83[[#This Row],[Morning Pulse]])</f>
        <v>44.447020676917283</v>
      </c>
      <c r="CK68" s="2">
        <f>Table83[[#This Row],[Waist]]-Table7[[#This Row],[Waist v Morning Pulse]]</f>
        <v>-0.94702067691728331</v>
      </c>
      <c r="CL68" s="2">
        <f>Table7[[#This Row],[WaistMP Res]]^2</f>
        <v>0.89684816250886945</v>
      </c>
      <c r="CM68">
        <f>Regression!$H$29+(Regression!$H$28*Table83[[#This Row],[Night Body Temp]])</f>
        <v>44.481341649878722</v>
      </c>
      <c r="CN68" s="2">
        <f>Table83[[#This Row],[Waist]]-Table7[[#This Row],[Waist v Night Temp]]</f>
        <v>-0.98134164987872197</v>
      </c>
      <c r="CO68" s="2">
        <f>Table7[[#This Row],[WaistNT Res]]^2</f>
        <v>0.96303143378669209</v>
      </c>
      <c r="CP68">
        <f>Regression!$I$29+(Regression!$I$28*Table83[[#This Row],[Night Systolic Pressure]])</f>
        <v>44.441959200979596</v>
      </c>
      <c r="CQ68" s="2">
        <f>Table83[[#This Row],[Waist]]-Table7[[#This Row],[Waist v  Night Sys]]</f>
        <v>-0.94195920097959629</v>
      </c>
      <c r="CR68" s="2">
        <f>Table7[[#This Row],[WaistNS Res]]^2</f>
        <v>0.88728713631011946</v>
      </c>
      <c r="CS68">
        <f>Regression!$J$29+(Regression!$J$28*Table83[[#This Row],[Night Diastolic Pressure]])</f>
        <v>44.444024065946287</v>
      </c>
      <c r="CT68" s="2">
        <f>Table83[[#This Row],[Waist]]-Table7[[#This Row],[Waist v Night Dia]]</f>
        <v>-0.94402406594628729</v>
      </c>
      <c r="CU68" s="2">
        <f>Table7[[#This Row],[WaistND Res]]^2</f>
        <v>0.89118143708576014</v>
      </c>
      <c r="CV68">
        <f>Regression!$K$29+(Regression!$K$28*Table83[[#This Row],[Night Pulse]])</f>
        <v>44.462565118876235</v>
      </c>
      <c r="CW68" s="2">
        <f>Table83[[#This Row],[Waist]]-Table7[[#This Row],[Waist v Night Pulse]]</f>
        <v>-0.96256511887623475</v>
      </c>
      <c r="CX68" s="2">
        <f>Table7[[#This Row],[WaistNP Res]]^2</f>
        <v>0.9265316080772199</v>
      </c>
      <c r="CY68">
        <f>Regression!$L$29+(Regression!$L$28*Table83[[#This Row],[Sleep]])</f>
        <v>44.288545464873309</v>
      </c>
      <c r="CZ68" s="2">
        <f>Table83[[#This Row],[Waist]]-Table7[[#This Row],[Waist v  Sleep]]</f>
        <v>-0.78854546487330879</v>
      </c>
      <c r="DA68" s="2">
        <f>Table7[[#This Row],[WaistS Res]]^2</f>
        <v>0.62180395017226264</v>
      </c>
      <c r="DB68">
        <f>Regression!$M$29+(Regression!$M$28*Table83[[#This Row],[BMI]])</f>
        <v>43.620288541561401</v>
      </c>
      <c r="DC68" s="2">
        <f>Table83[[#This Row],[Waist]]-Table7[[#This Row],[Waist v BMI]]</f>
        <v>-0.12028854156140056</v>
      </c>
      <c r="DD68" s="2">
        <f>Table7[[#This Row],[WaistBMI Res]]^2</f>
        <v>1.446933323096879E-2</v>
      </c>
      <c r="DE68">
        <f>Regression!$N$29+(Regression!$N$28*Table83[[#This Row],[CBF]])</f>
        <v>43.540887941991329</v>
      </c>
      <c r="DF68" s="2">
        <f>Table83[[#This Row],[Waist]]-Table7[[#This Row],[Waist v  CBF]]</f>
        <v>-4.0887941991329058E-2</v>
      </c>
      <c r="DG68" s="2">
        <f>Table7[[#This Row],[WaistCBF Res]]^2</f>
        <v>1.6718238002862899E-3</v>
      </c>
      <c r="DH68">
        <f>Regression!$O$29+(Regression!$O$28*Table83[[#This Row],[Gym]])</f>
        <v>44.550847457627107</v>
      </c>
      <c r="DI68" s="2">
        <f>Table83[[#This Row],[Waist]]-Table7[[#This Row],[Waist v  Gym]]</f>
        <v>-1.050847457627107</v>
      </c>
      <c r="DJ68" s="2">
        <f>Table7[[#This Row],[WaistGYM Res]]^2</f>
        <v>1.1042803792013545</v>
      </c>
      <c r="DK68">
        <f>Regression!$P$29+(Regression!$P$28*Table83[[#This Row],[Cardio]])</f>
        <v>44.680851063829778</v>
      </c>
      <c r="DL68" s="2">
        <f>Table83[[#This Row],[Waist]]-Table7[[#This Row],[Waist v Cardio]]</f>
        <v>-1.1808510638297776</v>
      </c>
      <c r="DM68" s="2">
        <f>Table7[[#This Row],[WaistC Res]]^2</f>
        <v>1.3944092349479174</v>
      </c>
      <c r="DN68">
        <f>Regression!$Q$29+(Regression!$Q$28*Table83[[#This Row],[Calories]])</f>
        <v>44.560292581941937</v>
      </c>
      <c r="DO68" s="2">
        <f>Table83[[#This Row],[Waist]]-Table7[[#This Row],[Waist v Calories]]</f>
        <v>-1.0602925819419369</v>
      </c>
      <c r="DP68" s="2">
        <f>Table7[[#This Row],[WaistCal Res]]^2</f>
        <v>1.1242203593210989</v>
      </c>
      <c r="DQ68">
        <f>Regression!$R$29+(Regression!$R$28*Table83[[#This Row],[Carbs]])</f>
        <v>44.559512644145933</v>
      </c>
      <c r="DR68" s="2">
        <f>Table83[[#This Row],[Waist]]-Table7[[#This Row],[Waist v Carbs]]</f>
        <v>-1.0595126441459328</v>
      </c>
      <c r="DS68" s="2">
        <f>Table7[[#This Row],[WaistCarb Res]]^2</f>
        <v>1.122567043105106</v>
      </c>
      <c r="DT68">
        <f>Regression!$S$29+(Regression!$S$28*Table83[[#This Row],[Fat ]])</f>
        <v>44.534222735468568</v>
      </c>
      <c r="DU68" s="2">
        <f>Table83[[#This Row],[Waist]]-Table7[[#This Row],[Waist v Fat]]</f>
        <v>-1.0342227354685676</v>
      </c>
      <c r="DV68" s="2">
        <f>Table7[[#This Row],[WaistF Res]]^2</f>
        <v>1.0696166665600868</v>
      </c>
      <c r="DW68">
        <f>Regression!$T$29+(Regression!$T$28*Table83[[#This Row],[Protein]])</f>
        <v>44.569189766027421</v>
      </c>
      <c r="DX68" s="2">
        <f>Table83[[#This Row],[Waist]]-Table7[[#This Row],[Waist v Protein]]</f>
        <v>-1.0691897660274208</v>
      </c>
      <c r="DY68" s="2">
        <f>Table7[[#This Row],[WaistP Res]]^2</f>
        <v>1.1431667557777707</v>
      </c>
      <c r="DZ68">
        <f>Regression!$U$29+(Regression!$U$28*Table83[[#This Row],[Fiber]])</f>
        <v>44.373960256579004</v>
      </c>
      <c r="EA68" s="2">
        <f>Table83[[#This Row],[Waist]]-Table7[[#This Row],[Waist v Fiber]]</f>
        <v>-0.87396025657900367</v>
      </c>
      <c r="EB68" s="2">
        <f>Table7[[#This Row],[WaistFib Res]]^2</f>
        <v>0.76380653007963795</v>
      </c>
      <c r="EC68">
        <f>Regression!$V$29+(Regression!$V$28*Table83[[#This Row],[Sugar]])</f>
        <v>44.518230776397473</v>
      </c>
      <c r="ED68" s="2">
        <f>Table83[[#This Row],[Waist]]-Table7[[#This Row],[Waist v Sugar]]</f>
        <v>-1.0182307763974734</v>
      </c>
      <c r="EE68" s="2">
        <f>Table7[[#This Row],[WaistSugar Res]]^2</f>
        <v>1.0367939140030014</v>
      </c>
      <c r="EF68">
        <f>Regression!$W$29+(Regression!$W$28*Table83[[#This Row],[Servings]])</f>
        <v>44.660212395657602</v>
      </c>
      <c r="EG68" s="2">
        <f>Table83[[#This Row],[Waist]]-Table7[[#This Row],[Waist v Servings]]</f>
        <v>-1.1602123956576023</v>
      </c>
      <c r="EH68" s="2">
        <f>Table7[[#This Row],[WaistServ Res]]^2</f>
        <v>1.3460928030375525</v>
      </c>
      <c r="EI68">
        <f>Regression!$X$29+(Regression!$X$28*Table83[[#This Row],[Water]])</f>
        <v>44.470024290957568</v>
      </c>
      <c r="EJ68" s="2">
        <f>Table83[[#This Row],[Waist]]-Table7[[#This Row],[Waist v Water]]</f>
        <v>-0.97002429095756781</v>
      </c>
      <c r="EK68" s="2">
        <f>Table7[[#This Row],[WaistWat Res]]^2</f>
        <v>0.94094712504773215</v>
      </c>
      <c r="EL68">
        <f>Regression!$Y$29+(Regression!$Y$28*Table83[[#This Row],[Fat Calories]])</f>
        <v>44.537492761924753</v>
      </c>
      <c r="EM68" s="2">
        <f>Table83[[#This Row],[Waist]]-Table7[[#This Row],[Waist v Fat Calories]]</f>
        <v>-1.0374927619247529</v>
      </c>
      <c r="EN68" s="2">
        <f>Table7[[#This Row],[WaistFatCal Res]]^2</f>
        <v>1.076391231046252</v>
      </c>
    </row>
    <row r="69" spans="1:144" x14ac:dyDescent="0.25">
      <c r="A69">
        <f>Regression!$B$10+(Regression!$B$9*Table83[[#This Row],[Waist]])</f>
        <v>249.67228149328892</v>
      </c>
      <c r="B69" s="2">
        <f>Table83[[#This Row],[Weight]]-Table7[[#This Row],[Weight v Waist]]</f>
        <v>-0.87228149328890936</v>
      </c>
      <c r="C69" s="2">
        <f>Table7[[#This Row],[Weight v Waist Res]]^2</f>
        <v>0.76087500353432957</v>
      </c>
      <c r="D69">
        <f>Regression!$C$10+(Regression!$C$9*Table83[[#This Row],[Neck]])</f>
        <v>253.29286486487842</v>
      </c>
      <c r="E69" s="2">
        <f>Table83[[#This Row],[Weight]]-Table7[[#This Row],[Weight v Neck]]</f>
        <v>-4.4928648648784133</v>
      </c>
      <c r="F69" s="2">
        <f>Table7[[#This Row],[WN Res]]^2</f>
        <v>20.185834694058922</v>
      </c>
      <c r="G69">
        <f>Regression!$D$10+(Regression!$D$9*Table83[[#This Row],[Morning Body Temp]])</f>
        <v>253.93318958152648</v>
      </c>
      <c r="H69" s="2">
        <f>Table83[[#This Row],[Weight]]-Table7[[#This Row],[Weight v Morning Temp]]</f>
        <v>-5.1331895815264659</v>
      </c>
      <c r="I69" s="2">
        <f>Table7[[#This Row],[WMT Res]]^2</f>
        <v>26.349635279891853</v>
      </c>
      <c r="J69">
        <f>Regression!$E$10+(Regression!$E$9*Table83[[#This Row],[Morning Systolic Pressure]])</f>
        <v>255.27979544420887</v>
      </c>
      <c r="K69" s="2">
        <f>Table83[[#This Row],[Weight]]-Table7[[#This Row],[Weight v Morning Sys]]</f>
        <v>-6.479795444208861</v>
      </c>
      <c r="L69" s="2">
        <f>Table7[[#This Row],[WMS Res]]^2</f>
        <v>41.987748998789911</v>
      </c>
      <c r="M69">
        <f>Regression!$F$10+(Regression!$F$9*Table83[[#This Row],[Morning Diastolic Pressure]])</f>
        <v>254.69666290106716</v>
      </c>
      <c r="N69" s="2">
        <f>Table83[[#This Row],[Weight]]-Table7[[#This Row],[Weight v Morning Dia]]</f>
        <v>-5.8966629010671454</v>
      </c>
      <c r="O69" s="2">
        <f>Table7[[#This Row],[WMD Res]]^2</f>
        <v>34.770633368821606</v>
      </c>
      <c r="P69">
        <f>Regression!$G$10+(Regression!$G$9*Table83[[#This Row],[Morning Pulse]])</f>
        <v>255.13375084772755</v>
      </c>
      <c r="Q69" s="2">
        <f>Table83[[#This Row],[Weight]]-Table7[[#This Row],[Weight v Morning Pulse]]</f>
        <v>-6.3337508477275435</v>
      </c>
      <c r="R69" s="2">
        <f>Table7[[#This Row],[WMP Res]]^2</f>
        <v>40.116399801089379</v>
      </c>
      <c r="S69">
        <f>Regression!$H$10+(Regression!$H$9*Table83[[#This Row],[Night Body Temp]])</f>
        <v>254.85148667752509</v>
      </c>
      <c r="T69" s="2">
        <f>Table83[[#This Row],[Weight]]-Table7[[#This Row],[Weight v Night Temp]]</f>
        <v>-6.0514866775250766</v>
      </c>
      <c r="U69" s="2">
        <f>Table7[[#This Row],[WNT Res]]^2</f>
        <v>36.620491008263492</v>
      </c>
      <c r="V69">
        <f>Regression!$I$10+(Regression!$I$9*Table83[[#This Row],[Night Systolic Pressure]])</f>
        <v>255.64916072928111</v>
      </c>
      <c r="W69" s="2">
        <f>Table83[[#This Row],[Weight]]-Table7[[#This Row],[Weight v Night Sys]]</f>
        <v>-6.8491607292810954</v>
      </c>
      <c r="X69" s="2">
        <f>Table7[[#This Row],[WNS Res]]^2</f>
        <v>46.911002695526349</v>
      </c>
      <c r="Y69">
        <f>Regression!$J$10+(Regression!$J$9*Table83[[#This Row],[Night Diastolic Pressure]])</f>
        <v>254.88848703216559</v>
      </c>
      <c r="Z69" s="2">
        <f>Table83[[#This Row],[Weight]]-Table7[[#This Row],[Weight v Night Dia]]</f>
        <v>-6.088487032165574</v>
      </c>
      <c r="AA69" s="2">
        <f>Table7[[#This Row],[WND Res]]^2</f>
        <v>37.069674340848358</v>
      </c>
      <c r="AB69">
        <f>Regression!$K$10+(Regression!$K$9*Table83[[#This Row],[Night Pulse]])</f>
        <v>255.01801186503107</v>
      </c>
      <c r="AC69" s="2">
        <f>Table83[[#This Row],[Weight]]-Table7[[#This Row],[Weight v Night Pulse]]</f>
        <v>-6.218011865031059</v>
      </c>
      <c r="AD69" s="2">
        <f>Table7[[#This Row],[WNP Res ]]^2</f>
        <v>38.663671553667029</v>
      </c>
      <c r="AE69">
        <f>Regression!$L$10+(Regression!$L$9*Table83[[#This Row],[Sleep]])</f>
        <v>255.13702972738133</v>
      </c>
      <c r="AF69" s="2">
        <f>Table83[[#This Row],[Weight]]-Table7[[#This Row],[Weight v Sleep]]</f>
        <v>-6.3370297273813208</v>
      </c>
      <c r="AG69" s="2">
        <f>Table7[[#This Row],[WS Res]]^2</f>
        <v>40.15794576571458</v>
      </c>
      <c r="AH69">
        <f>Regression!$M$10+(Regression!$M$9*Table83[[#This Row],[BMI]])</f>
        <v>248.80000000001414</v>
      </c>
      <c r="AI69" s="2">
        <f>Table83[[#This Row],[Weight]]-Table7[[#This Row],[Weight v BMI]]</f>
        <v>-1.4125589586910792E-11</v>
      </c>
      <c r="AJ69" s="2">
        <f>Table7[[#This Row],[WBMI Res]]^2</f>
        <v>1.9953228117784259E-22</v>
      </c>
      <c r="AK69">
        <f>Regression!$N$10+(Regression!$N$9*Table83[[#This Row],[CBF]])</f>
        <v>250.04675133427031</v>
      </c>
      <c r="AL69" s="2">
        <f>Table83[[#This Row],[Weight]]-Table7[[#This Row],[Weight v CBF]]</f>
        <v>-1.2467513342703</v>
      </c>
      <c r="AM69" s="2">
        <f>Table7[[#This Row],[WCBF Res]]^2</f>
        <v>1.5543888895047735</v>
      </c>
      <c r="AN69">
        <f>Regression!$O$10+(Regression!$O$9*Table83[[#This Row],[Gym]])</f>
        <v>255.46779661016953</v>
      </c>
      <c r="AO69" s="2">
        <f>Table83[[#This Row],[Weight]]-Table7[[#This Row],[Weight v Gym]]</f>
        <v>-6.6677966101695176</v>
      </c>
      <c r="AP69" s="2">
        <f>Table7[[#This Row],[WG Res]]^2</f>
        <v>44.459511634588111</v>
      </c>
      <c r="AQ69">
        <f>Regression!$P$10+(Regression!$P$9*Table83[[#This Row],[Cardio]])</f>
        <v>256.41063829787231</v>
      </c>
      <c r="AR69" s="2">
        <f>Table83[[#This Row],[Weight]]-Table7[[#This Row],[Weight v Cardio]]</f>
        <v>-7.6106382978722991</v>
      </c>
      <c r="AS69" s="2">
        <f>Table7[[#This Row],[WC Res]]^2</f>
        <v>57.921815301040567</v>
      </c>
      <c r="AT69">
        <f>Regression!$Q$10+(Regression!$Q$9*Table83[[#This Row],[Calories]])</f>
        <v>253.52483270843666</v>
      </c>
      <c r="AU69" s="2">
        <f>Table83[[#This Row],[Weight]]-Table7[[#This Row],[Weight v Calories]]</f>
        <v>-4.7248327084366508</v>
      </c>
      <c r="AV69" s="2">
        <f>Table7[[#This Row],[WCAL Res]]^2</f>
        <v>22.324044122712817</v>
      </c>
      <c r="AW69">
        <f>Regression!$R$10+(Regression!$R$9*Table83[[#This Row],[Carbs]])</f>
        <v>253.73216504277661</v>
      </c>
      <c r="AX69" s="2">
        <f>Table83[[#This Row],[Weight]]-Table7[[#This Row],[Weight v Carbs]]</f>
        <v>-4.9321650427766031</v>
      </c>
      <c r="AY69" s="2">
        <f>Table7[[#This Row],[Wcarb Res]]^2</f>
        <v>24.326252009187531</v>
      </c>
      <c r="AZ69">
        <f>Regression!$S$10+(Regression!$S$9*Table83[[#This Row],[Fat ]])</f>
        <v>253.8827625167898</v>
      </c>
      <c r="BA69" s="2">
        <f>Table83[[#This Row],[Weight]]-Table7[[#This Row],[Weight v Fat]]</f>
        <v>-5.082762516789785</v>
      </c>
      <c r="BB69" s="2">
        <f>Table7[[#This Row],[WF Res]]^2</f>
        <v>25.834474802083228</v>
      </c>
      <c r="BC69">
        <f>Regression!$T$10+(Regression!$T$9*Table83[[#This Row],[Protein]])</f>
        <v>252.93125686994969</v>
      </c>
      <c r="BD69" s="2">
        <f>Table83[[#This Row],[Weight]]-Table7[[#This Row],[Weight v Protein]]</f>
        <v>-4.1312568699496808</v>
      </c>
      <c r="BE69" s="2">
        <f>Table7[[#This Row],[WP Res]]^2</f>
        <v>17.067283325506434</v>
      </c>
      <c r="BF69">
        <f>Regression!$U$10+(Regression!$U$9*Table83[[#This Row],[Fiber]])</f>
        <v>255.2105307937581</v>
      </c>
      <c r="BG69" s="2">
        <f>Table83[[#This Row],[Weight]]-Table7[[#This Row],[Weight v Fiber]]</f>
        <v>-6.4105307937580847</v>
      </c>
      <c r="BH69" s="2">
        <f>Table7[[#This Row],[Wfib Res]]^2</f>
        <v>41.094905057720659</v>
      </c>
      <c r="BI69">
        <f>Regression!$V$10+(Regression!$V$9*Table83[[#This Row],[Sugar]])</f>
        <v>253.77513902171341</v>
      </c>
      <c r="BJ69" s="2">
        <f>Table83[[#This Row],[Weight]]-Table7[[#This Row],[Weight v Sugar]]</f>
        <v>-4.9751390217134031</v>
      </c>
      <c r="BK69" s="2">
        <f>Table7[[#This Row],[Wsugar Res]]^2</f>
        <v>24.752008285375396</v>
      </c>
      <c r="BL69">
        <f>Regression!$W$10+(Regression!$W$9*Table83[[#This Row],[Servings]])</f>
        <v>254.17604094007399</v>
      </c>
      <c r="BM69" s="2">
        <f>Table83[[#This Row],[Weight]]-Table7[[#This Row],[Weight v Servings]]</f>
        <v>-5.3760409400739775</v>
      </c>
      <c r="BN69" s="2">
        <f>Table7[[#This Row],[Wserv Res]]^2</f>
        <v>28.901816189351496</v>
      </c>
      <c r="BO69">
        <f>Regression!$X$10+(Regression!$X$9*Table83[[#This Row],[Water]])</f>
        <v>255.1490819770581</v>
      </c>
      <c r="BP69" s="2">
        <f>Table83[[#This Row],[Weight]]-Table7[[#This Row],[Weight v Water]]</f>
        <v>-6.3490819770580913</v>
      </c>
      <c r="BQ69" s="2">
        <f>Table7[[#This Row],[Wwater Res]]^2</f>
        <v>40.31084195140388</v>
      </c>
      <c r="BR69">
        <f>Regression!$Y$10+(Regression!$Y$9*Table83[[#This Row],[Fat Calories]])</f>
        <v>253.79872487767923</v>
      </c>
      <c r="BS69" s="2">
        <f>Table83[[#This Row],[Weight]]-Table7[[#This Row],[Weight v Fat Calories]]</f>
        <v>-4.9987248776792228</v>
      </c>
      <c r="BT69" s="2">
        <f>Table7[[#This Row],[WFC Res]]^2</f>
        <v>24.98725040272916</v>
      </c>
      <c r="BU69">
        <f>Regression!$B$29+(Regression!$B$28*Table83[[#This Row],[Weight]])</f>
        <v>43.593036039444762</v>
      </c>
      <c r="BV69" s="2">
        <f>Table83[[#This Row],[Waist]]-Table7[[#This Row],[Waist v Weight]]</f>
        <v>-9.3036039444761798E-2</v>
      </c>
      <c r="BW69" s="2">
        <f>Table7[[#This Row],[WaistW Res]]^2</f>
        <v>8.6557046355672726E-3</v>
      </c>
      <c r="BX69">
        <f>Regression!$C$29+(Regression!$C$28*Table83[[#This Row],[Neck]])</f>
        <v>44.175585585585594</v>
      </c>
      <c r="BY69" s="2">
        <f>Table83[[#This Row],[Waist]]-Table7[[#This Row],[Waist v Neck]]</f>
        <v>-0.67558558558559412</v>
      </c>
      <c r="BZ69" s="2">
        <f>Table7[[#This Row],[WaistN Res]]^2</f>
        <v>0.45641588345103012</v>
      </c>
      <c r="CA69">
        <f>Regression!$D$29+(Regression!$D$28*Table83[[#This Row],[Morning Body Temp]])</f>
        <v>44.132102106767285</v>
      </c>
      <c r="CB69" s="2">
        <f>Table83[[#This Row],[Waist]]-Table7[[#This Row],[Waist v Morning Temp]]</f>
        <v>-0.63210210676728451</v>
      </c>
      <c r="CC69" s="2">
        <f>Table7[[#This Row],[WaistMT Res]]^2</f>
        <v>0.39955307337963952</v>
      </c>
      <c r="CD69">
        <f>Regression!$E$29+(Regression!$E$28*Table83[[#This Row],[Morning Systolic Pressure]])</f>
        <v>44.492246348363913</v>
      </c>
      <c r="CE69" s="2">
        <f>Table83[[#This Row],[Waist]]-Table7[[#This Row],[Waist v Morning Sys]]</f>
        <v>-0.99224634836391346</v>
      </c>
      <c r="CF69" s="2">
        <f>Table7[[#This Row],[WaistMS Res]]^2</f>
        <v>0.98455281584152066</v>
      </c>
      <c r="CG69">
        <f>Regression!$F$29+(Regression!$F$28*Table83[[#This Row],[Morning Diastolic Pressure]])</f>
        <v>44.430274185468846</v>
      </c>
      <c r="CH69" s="2">
        <f>Table83[[#This Row],[Waist]]-Table7[[#This Row],[Waist v Morning Dia]]</f>
        <v>-0.93027418546884633</v>
      </c>
      <c r="CI69" s="2">
        <f>Table7[[#This Row],[WaistMD Res]]^2</f>
        <v>0.86541006014972555</v>
      </c>
      <c r="CJ69">
        <f>Regression!$G$29+(Regression!$G$28*Table83[[#This Row],[Morning Pulse]])</f>
        <v>44.462131723242337</v>
      </c>
      <c r="CK69" s="2">
        <f>Table83[[#This Row],[Waist]]-Table7[[#This Row],[Waist v Morning Pulse]]</f>
        <v>-0.96213172324233653</v>
      </c>
      <c r="CL69" s="2">
        <f>Table7[[#This Row],[WaistMP Res]]^2</f>
        <v>0.92569745286926808</v>
      </c>
      <c r="CM69">
        <f>Regression!$H$29+(Regression!$H$28*Table83[[#This Row],[Night Body Temp]])</f>
        <v>44.432760107049404</v>
      </c>
      <c r="CN69" s="2">
        <f>Table83[[#This Row],[Waist]]-Table7[[#This Row],[Waist v Night Temp]]</f>
        <v>-0.93276010704940404</v>
      </c>
      <c r="CO69" s="2">
        <f>Table7[[#This Row],[WaistNT Res]]^2</f>
        <v>0.8700414173028157</v>
      </c>
      <c r="CP69">
        <f>Regression!$I$29+(Regression!$I$28*Table83[[#This Row],[Night Systolic Pressure]])</f>
        <v>44.529199886933277</v>
      </c>
      <c r="CQ69" s="2">
        <f>Table83[[#This Row],[Waist]]-Table7[[#This Row],[Waist v  Night Sys]]</f>
        <v>-1.0291998869332772</v>
      </c>
      <c r="CR69" s="2">
        <f>Table7[[#This Row],[WaistNS Res]]^2</f>
        <v>1.0592524072634706</v>
      </c>
      <c r="CS69">
        <f>Regression!$J$29+(Regression!$J$28*Table83[[#This Row],[Night Diastolic Pressure]])</f>
        <v>44.358684339909082</v>
      </c>
      <c r="CT69" s="2">
        <f>Table83[[#This Row],[Waist]]-Table7[[#This Row],[Waist v Night Dia]]</f>
        <v>-0.85868433990908244</v>
      </c>
      <c r="CU69" s="2">
        <f>Table7[[#This Row],[WaistND Res]]^2</f>
        <v>0.73733879560509663</v>
      </c>
      <c r="CV69">
        <f>Regression!$K$29+(Regression!$K$28*Table83[[#This Row],[Night Pulse]])</f>
        <v>44.462565118876235</v>
      </c>
      <c r="CW69" s="2">
        <f>Table83[[#This Row],[Waist]]-Table7[[#This Row],[Waist v Night Pulse]]</f>
        <v>-0.96256511887623475</v>
      </c>
      <c r="CX69" s="2">
        <f>Table7[[#This Row],[WaistNP Res]]^2</f>
        <v>0.9265316080772199</v>
      </c>
      <c r="CY69">
        <f>Regression!$L$29+(Regression!$L$28*Table83[[#This Row],[Sleep]])</f>
        <v>44.456891852858099</v>
      </c>
      <c r="CZ69" s="2">
        <f>Table83[[#This Row],[Waist]]-Table7[[#This Row],[Waist v  Sleep]]</f>
        <v>-0.95689185285809941</v>
      </c>
      <c r="DA69" s="2">
        <f>Table7[[#This Row],[WaistS Res]]^2</f>
        <v>0.9156420180662066</v>
      </c>
      <c r="DB69">
        <f>Regression!$M$29+(Regression!$M$28*Table83[[#This Row],[BMI]])</f>
        <v>43.59303603944749</v>
      </c>
      <c r="DC69" s="2">
        <f>Table83[[#This Row],[Waist]]-Table7[[#This Row],[Waist v BMI]]</f>
        <v>-9.3036039447490282E-2</v>
      </c>
      <c r="DD69" s="2">
        <f>Table7[[#This Row],[WaistBMI Res]]^2</f>
        <v>8.6557046360749672E-3</v>
      </c>
      <c r="DE69">
        <f>Regression!$N$29+(Regression!$N$28*Table83[[#This Row],[CBF]])</f>
        <v>43.540887941991329</v>
      </c>
      <c r="DF69" s="2">
        <f>Table83[[#This Row],[Waist]]-Table7[[#This Row],[Waist v  CBF]]</f>
        <v>-4.0887941991329058E-2</v>
      </c>
      <c r="DG69" s="2">
        <f>Table7[[#This Row],[WaistCBF Res]]^2</f>
        <v>1.6718238002862899E-3</v>
      </c>
      <c r="DH69">
        <f>Regression!$O$29+(Regression!$O$28*Table83[[#This Row],[Gym]])</f>
        <v>44.550847457627107</v>
      </c>
      <c r="DI69" s="2">
        <f>Table83[[#This Row],[Waist]]-Table7[[#This Row],[Waist v  Gym]]</f>
        <v>-1.050847457627107</v>
      </c>
      <c r="DJ69" s="2">
        <f>Table7[[#This Row],[WaistGYM Res]]^2</f>
        <v>1.1042803792013545</v>
      </c>
      <c r="DK69">
        <f>Regression!$P$29+(Regression!$P$28*Table83[[#This Row],[Cardio]])</f>
        <v>44.680851063829778</v>
      </c>
      <c r="DL69" s="2">
        <f>Table83[[#This Row],[Waist]]-Table7[[#This Row],[Waist v Cardio]]</f>
        <v>-1.1808510638297776</v>
      </c>
      <c r="DM69" s="2">
        <f>Table7[[#This Row],[WaistC Res]]^2</f>
        <v>1.3944092349479174</v>
      </c>
      <c r="DN69">
        <f>Regression!$Q$29+(Regression!$Q$28*Table83[[#This Row],[Calories]])</f>
        <v>44.096254560472502</v>
      </c>
      <c r="DO69" s="2">
        <f>Table83[[#This Row],[Waist]]-Table7[[#This Row],[Waist v Calories]]</f>
        <v>-0.59625456047250225</v>
      </c>
      <c r="DP69" s="2">
        <f>Table7[[#This Row],[WaistCal Res]]^2</f>
        <v>0.35551950088425682</v>
      </c>
      <c r="DQ69">
        <f>Regression!$R$29+(Regression!$R$28*Table83[[#This Row],[Carbs]])</f>
        <v>44.165632840945449</v>
      </c>
      <c r="DR69" s="2">
        <f>Table83[[#This Row],[Waist]]-Table7[[#This Row],[Waist v Carbs]]</f>
        <v>-0.66563284094544883</v>
      </c>
      <c r="DS69" s="2">
        <f>Table7[[#This Row],[WaistCarb Res]]^2</f>
        <v>0.44306707894510916</v>
      </c>
      <c r="DT69">
        <f>Regression!$S$29+(Regression!$S$28*Table83[[#This Row],[Fat ]])</f>
        <v>44.076857376263938</v>
      </c>
      <c r="DU69" s="2">
        <f>Table83[[#This Row],[Waist]]-Table7[[#This Row],[Waist v Fat]]</f>
        <v>-0.57685737626393774</v>
      </c>
      <c r="DV69" s="2">
        <f>Table7[[#This Row],[WaistF Res]]^2</f>
        <v>0.33276443255011423</v>
      </c>
      <c r="DW69">
        <f>Regression!$T$29+(Regression!$T$28*Table83[[#This Row],[Protein]])</f>
        <v>44.053825612912135</v>
      </c>
      <c r="DX69" s="2">
        <f>Table83[[#This Row],[Waist]]-Table7[[#This Row],[Waist v Protein]]</f>
        <v>-0.55382561291213506</v>
      </c>
      <c r="DY69" s="2">
        <f>Table7[[#This Row],[WaistP Res]]^2</f>
        <v>0.30672280951750208</v>
      </c>
      <c r="DZ69">
        <f>Regression!$U$29+(Regression!$U$28*Table83[[#This Row],[Fiber]])</f>
        <v>44.490384257091655</v>
      </c>
      <c r="EA69" s="2">
        <f>Table83[[#This Row],[Waist]]-Table7[[#This Row],[Waist v Fiber]]</f>
        <v>-0.99038425709165523</v>
      </c>
      <c r="EB69" s="2">
        <f>Table7[[#This Row],[WaistFib Res]]^2</f>
        <v>0.98086097669498984</v>
      </c>
      <c r="EC69">
        <f>Regression!$V$29+(Regression!$V$28*Table83[[#This Row],[Sugar]])</f>
        <v>44.212840793143641</v>
      </c>
      <c r="ED69" s="2">
        <f>Table83[[#This Row],[Waist]]-Table7[[#This Row],[Waist v Sugar]]</f>
        <v>-0.71284079314364135</v>
      </c>
      <c r="EE69" s="2">
        <f>Table7[[#This Row],[WaistSugar Res]]^2</f>
        <v>0.50814199636965562</v>
      </c>
      <c r="EF69">
        <f>Regression!$W$29+(Regression!$W$28*Table83[[#This Row],[Servings]])</f>
        <v>44.310263562042465</v>
      </c>
      <c r="EG69" s="2">
        <f>Table83[[#This Row],[Waist]]-Table7[[#This Row],[Waist v Servings]]</f>
        <v>-0.81026356204246497</v>
      </c>
      <c r="EH69" s="2">
        <f>Table7[[#This Row],[WaistServ Res]]^2</f>
        <v>0.65652703997374351</v>
      </c>
      <c r="EI69">
        <f>Regression!$X$29+(Regression!$X$28*Table83[[#This Row],[Water]])</f>
        <v>44.497966229663206</v>
      </c>
      <c r="EJ69" s="2">
        <f>Table83[[#This Row],[Waist]]-Table7[[#This Row],[Waist v Water]]</f>
        <v>-0.9979662296632057</v>
      </c>
      <c r="EK69" s="2">
        <f>Table7[[#This Row],[WaistWat Res]]^2</f>
        <v>0.99593659554819425</v>
      </c>
      <c r="EL69">
        <f>Regression!$Y$29+(Regression!$Y$28*Table83[[#This Row],[Fat Calories]])</f>
        <v>44.053209235145268</v>
      </c>
      <c r="EM69" s="2">
        <f>Table83[[#This Row],[Waist]]-Table7[[#This Row],[Waist v Fat Calories]]</f>
        <v>-0.55320923514526754</v>
      </c>
      <c r="EN69" s="2">
        <f>Table7[[#This Row],[WaistFatCal Res]]^2</f>
        <v>0.30604045785001194</v>
      </c>
    </row>
    <row r="70" spans="1:144" x14ac:dyDescent="0.25">
      <c r="A70">
        <f>Regression!$B$10+(Regression!$B$9*Table83[[#This Row],[Waist]])</f>
        <v>252.52625917894264</v>
      </c>
      <c r="B70" s="2">
        <f>Table83[[#This Row],[Weight]]-Table7[[#This Row],[Weight v Waist]]</f>
        <v>-0.12625917894263239</v>
      </c>
      <c r="C70" s="2">
        <f>Table7[[#This Row],[Weight v Waist Res]]^2</f>
        <v>1.5941380267267664E-2</v>
      </c>
      <c r="D70">
        <f>Regression!$C$10+(Regression!$C$9*Table83[[#This Row],[Neck]])</f>
        <v>253.29286486487842</v>
      </c>
      <c r="E70" s="2">
        <f>Table83[[#This Row],[Weight]]-Table7[[#This Row],[Weight v Neck]]</f>
        <v>-0.89286486487841898</v>
      </c>
      <c r="F70" s="2">
        <f>Table7[[#This Row],[WN Res]]^2</f>
        <v>0.79720766693435741</v>
      </c>
      <c r="G70">
        <f>Regression!$D$10+(Regression!$D$9*Table83[[#This Row],[Morning Body Temp]])</f>
        <v>254.77797223219488</v>
      </c>
      <c r="H70" s="2">
        <f>Table83[[#This Row],[Weight]]-Table7[[#This Row],[Weight v Morning Temp]]</f>
        <v>-2.3779722321948782</v>
      </c>
      <c r="I70" s="2">
        <f>Table7[[#This Row],[WMT Res]]^2</f>
        <v>5.654751937089892</v>
      </c>
      <c r="J70">
        <f>Regression!$E$10+(Regression!$E$9*Table83[[#This Row],[Morning Systolic Pressure]])</f>
        <v>255.50518146352579</v>
      </c>
      <c r="K70" s="2">
        <f>Table83[[#This Row],[Weight]]-Table7[[#This Row],[Weight v Morning Sys]]</f>
        <v>-3.1051814635257813</v>
      </c>
      <c r="L70" s="2">
        <f>Table7[[#This Row],[WMS Res]]^2</f>
        <v>9.6421519214241123</v>
      </c>
      <c r="M70">
        <f>Regression!$F$10+(Regression!$F$9*Table83[[#This Row],[Morning Diastolic Pressure]])</f>
        <v>255.30472839533641</v>
      </c>
      <c r="N70" s="2">
        <f>Table83[[#This Row],[Weight]]-Table7[[#This Row],[Weight v Morning Dia]]</f>
        <v>-2.9047283953364058</v>
      </c>
      <c r="O70" s="2">
        <f>Table7[[#This Row],[WMD Res]]^2</f>
        <v>8.4374470506736117</v>
      </c>
      <c r="P70">
        <f>Regression!$G$10+(Regression!$G$9*Table83[[#This Row],[Morning Pulse]])</f>
        <v>255.11730068591285</v>
      </c>
      <c r="Q70" s="2">
        <f>Table83[[#This Row],[Weight]]-Table7[[#This Row],[Weight v Morning Pulse]]</f>
        <v>-2.7173006859128463</v>
      </c>
      <c r="R70" s="2">
        <f>Table7[[#This Row],[WMP Res]]^2</f>
        <v>7.3837230176624251</v>
      </c>
      <c r="S70">
        <f>Regression!$H$10+(Regression!$H$9*Table83[[#This Row],[Night Body Temp]])</f>
        <v>254.23530725463496</v>
      </c>
      <c r="T70" s="2">
        <f>Table83[[#This Row],[Weight]]-Table7[[#This Row],[Weight v Night Temp]]</f>
        <v>-1.8353072546349551</v>
      </c>
      <c r="U70" s="2">
        <f>Table7[[#This Row],[WNT Res]]^2</f>
        <v>3.3683527189156961</v>
      </c>
      <c r="V70">
        <f>Regression!$I$10+(Regression!$I$9*Table83[[#This Row],[Night Systolic Pressure]])</f>
        <v>254.10948821885404</v>
      </c>
      <c r="W70" s="2">
        <f>Table83[[#This Row],[Weight]]-Table7[[#This Row],[Weight v Night Sys]]</f>
        <v>-1.7094882188540339</v>
      </c>
      <c r="X70" s="2">
        <f>Table7[[#This Row],[WNS Res]]^2</f>
        <v>2.9223499704007372</v>
      </c>
      <c r="Y70">
        <f>Regression!$J$10+(Regression!$J$9*Table83[[#This Row],[Night Diastolic Pressure]])</f>
        <v>255.09231637424611</v>
      </c>
      <c r="Z70" s="2">
        <f>Table83[[#This Row],[Weight]]-Table7[[#This Row],[Weight v Night Dia]]</f>
        <v>-2.6923163742461043</v>
      </c>
      <c r="AA70" s="2">
        <f>Table7[[#This Row],[WND Res]]^2</f>
        <v>7.2485674590336888</v>
      </c>
      <c r="AB70">
        <f>Regression!$K$10+(Regression!$K$9*Table83[[#This Row],[Night Pulse]])</f>
        <v>254.77230521513724</v>
      </c>
      <c r="AC70" s="2">
        <f>Table83[[#This Row],[Weight]]-Table7[[#This Row],[Weight v Night Pulse]]</f>
        <v>-2.3723052151372315</v>
      </c>
      <c r="AD70" s="2">
        <f>Table7[[#This Row],[WNP Res ]]^2</f>
        <v>5.627832033767306</v>
      </c>
      <c r="AE70">
        <f>Regression!$L$10+(Regression!$L$9*Table83[[#This Row],[Sleep]])</f>
        <v>255.61024100244205</v>
      </c>
      <c r="AF70" s="2">
        <f>Table83[[#This Row],[Weight]]-Table7[[#This Row],[Weight v Sleep]]</f>
        <v>-3.2102410024420465</v>
      </c>
      <c r="AG70" s="2">
        <f>Table7[[#This Row],[WS Res]]^2</f>
        <v>10.305647293760115</v>
      </c>
      <c r="AH70">
        <f>Regression!$M$10+(Regression!$M$9*Table83[[#This Row],[BMI]])</f>
        <v>252.40000000000609</v>
      </c>
      <c r="AI70" s="2">
        <f>Table83[[#This Row],[Weight]]-Table7[[#This Row],[Weight v BMI]]</f>
        <v>-6.0822458181064576E-12</v>
      </c>
      <c r="AJ70" s="2">
        <f>Table7[[#This Row],[WBMI Res]]^2</f>
        <v>3.6993714191873492E-23</v>
      </c>
      <c r="AK70">
        <f>Regression!$N$10+(Regression!$N$9*Table83[[#This Row],[CBF]])</f>
        <v>253.17965033701802</v>
      </c>
      <c r="AL70" s="2">
        <f>Table83[[#This Row],[Weight]]-Table7[[#This Row],[Weight v CBF]]</f>
        <v>-0.7796503370180119</v>
      </c>
      <c r="AM70" s="2">
        <f>Table7[[#This Row],[WCBF Res]]^2</f>
        <v>0.60785464801229949</v>
      </c>
      <c r="AN70">
        <f>Regression!$O$10+(Regression!$O$9*Table83[[#This Row],[Gym]])</f>
        <v>255.46779661016953</v>
      </c>
      <c r="AO70" s="2">
        <f>Table83[[#This Row],[Weight]]-Table7[[#This Row],[Weight v Gym]]</f>
        <v>-3.0677966101695233</v>
      </c>
      <c r="AP70" s="2">
        <f>Table7[[#This Row],[WG Res]]^2</f>
        <v>9.4113760413676175</v>
      </c>
      <c r="AQ70">
        <f>Regression!$P$10+(Regression!$P$9*Table83[[#This Row],[Cardio]])</f>
        <v>254.19242424242461</v>
      </c>
      <c r="AR70" s="2">
        <f>Table83[[#This Row],[Weight]]-Table7[[#This Row],[Weight v Cardio]]</f>
        <v>-1.7924242424246017</v>
      </c>
      <c r="AS70" s="2">
        <f>Table7[[#This Row],[WC Res]]^2</f>
        <v>3.2127846648314073</v>
      </c>
      <c r="AT70">
        <f>Regression!$Q$10+(Regression!$Q$9*Table83[[#This Row],[Calories]])</f>
        <v>255.64760743540836</v>
      </c>
      <c r="AU70" s="2">
        <f>Table83[[#This Row],[Weight]]-Table7[[#This Row],[Weight v Calories]]</f>
        <v>-3.2476074354083551</v>
      </c>
      <c r="AV70" s="2">
        <f>Table7[[#This Row],[WCAL Res]]^2</f>
        <v>10.546954054519633</v>
      </c>
      <c r="AW70">
        <f>Regression!$R$10+(Regression!$R$9*Table83[[#This Row],[Carbs]])</f>
        <v>256.00651330489922</v>
      </c>
      <c r="AX70" s="2">
        <f>Table83[[#This Row],[Weight]]-Table7[[#This Row],[Weight v Carbs]]</f>
        <v>-3.6065133048992095</v>
      </c>
      <c r="AY70" s="2">
        <f>Table7[[#This Row],[Wcarb Res]]^2</f>
        <v>13.006938218415019</v>
      </c>
      <c r="AZ70">
        <f>Regression!$S$10+(Regression!$S$9*Table83[[#This Row],[Fat ]])</f>
        <v>255.2379702696611</v>
      </c>
      <c r="BA70" s="2">
        <f>Table83[[#This Row],[Weight]]-Table7[[#This Row],[Weight v Fat]]</f>
        <v>-2.8379702696610991</v>
      </c>
      <c r="BB70" s="2">
        <f>Table7[[#This Row],[WF Res]]^2</f>
        <v>8.0540752514802918</v>
      </c>
      <c r="BC70">
        <f>Regression!$T$10+(Regression!$T$9*Table83[[#This Row],[Protein]])</f>
        <v>255.47360138244798</v>
      </c>
      <c r="BD70" s="2">
        <f>Table83[[#This Row],[Weight]]-Table7[[#This Row],[Weight v Protein]]</f>
        <v>-3.0736013824479755</v>
      </c>
      <c r="BE70" s="2">
        <f>Table7[[#This Row],[WP Res]]^2</f>
        <v>9.447025458186106</v>
      </c>
      <c r="BF70">
        <f>Regression!$U$10+(Regression!$U$9*Table83[[#This Row],[Fiber]])</f>
        <v>254.89584840289794</v>
      </c>
      <c r="BG70" s="2">
        <f>Table83[[#This Row],[Weight]]-Table7[[#This Row],[Weight v Fiber]]</f>
        <v>-2.4958484028979342</v>
      </c>
      <c r="BH70" s="2">
        <f>Table7[[#This Row],[Wfib Res]]^2</f>
        <v>6.2292592502481687</v>
      </c>
      <c r="BI70">
        <f>Regression!$V$10+(Regression!$V$9*Table83[[#This Row],[Sugar]])</f>
        <v>256.62305978345336</v>
      </c>
      <c r="BJ70" s="2">
        <f>Table83[[#This Row],[Weight]]-Table7[[#This Row],[Weight v Sugar]]</f>
        <v>-4.2230597834533512</v>
      </c>
      <c r="BK70" s="2">
        <f>Table7[[#This Row],[Wsugar Res]]^2</f>
        <v>17.834233934621064</v>
      </c>
      <c r="BL70">
        <f>Regression!$W$10+(Regression!$W$9*Table83[[#This Row],[Servings]])</f>
        <v>256.67977087995411</v>
      </c>
      <c r="BM70" s="2">
        <f>Table83[[#This Row],[Weight]]-Table7[[#This Row],[Weight v Servings]]</f>
        <v>-4.2797708799540999</v>
      </c>
      <c r="BN70" s="2">
        <f>Table7[[#This Row],[Wserv Res]]^2</f>
        <v>18.316438784903092</v>
      </c>
      <c r="BO70">
        <f>Regression!$X$10+(Regression!$X$9*Table83[[#This Row],[Water]])</f>
        <v>255.19189796045953</v>
      </c>
      <c r="BP70" s="2">
        <f>Table83[[#This Row],[Weight]]-Table7[[#This Row],[Weight v Water]]</f>
        <v>-2.7918979604595222</v>
      </c>
      <c r="BQ70" s="2">
        <f>Table7[[#This Row],[Wwater Res]]^2</f>
        <v>7.7946942216180402</v>
      </c>
      <c r="BR70">
        <f>Regression!$Y$10+(Regression!$Y$9*Table83[[#This Row],[Fat Calories]])</f>
        <v>255.2410068545355</v>
      </c>
      <c r="BS70" s="2">
        <f>Table83[[#This Row],[Weight]]-Table7[[#This Row],[Weight v Fat Calories]]</f>
        <v>-2.8410068545354932</v>
      </c>
      <c r="BT70" s="2">
        <f>Table7[[#This Row],[WFC Res]]^2</f>
        <v>8.0713199475176562</v>
      </c>
      <c r="BU70">
        <f>Regression!$B$29+(Regression!$B$28*Table83[[#This Row],[Weight]])</f>
        <v>44.083581077496696</v>
      </c>
      <c r="BV70" s="2">
        <f>Table83[[#This Row],[Waist]]-Table7[[#This Row],[Waist v Weight]]</f>
        <v>-8.3581077496695855E-2</v>
      </c>
      <c r="BW70" s="2">
        <f>Table7[[#This Row],[WaistW Res]]^2</f>
        <v>6.9857965155086781E-3</v>
      </c>
      <c r="BX70">
        <f>Regression!$C$29+(Regression!$C$28*Table83[[#This Row],[Neck]])</f>
        <v>44.175585585585594</v>
      </c>
      <c r="BY70" s="2">
        <f>Table83[[#This Row],[Waist]]-Table7[[#This Row],[Waist v Neck]]</f>
        <v>-0.17558558558559412</v>
      </c>
      <c r="BZ70" s="2">
        <f>Table7[[#This Row],[WaistN Res]]^2</f>
        <v>3.0830297865435997E-2</v>
      </c>
      <c r="CA70">
        <f>Regression!$D$29+(Regression!$D$28*Table83[[#This Row],[Morning Body Temp]])</f>
        <v>44.361863864877819</v>
      </c>
      <c r="CB70" s="2">
        <f>Table83[[#This Row],[Waist]]-Table7[[#This Row],[Waist v Morning Temp]]</f>
        <v>-0.36186386487781874</v>
      </c>
      <c r="CC70" s="2">
        <f>Table7[[#This Row],[WaistMT Res]]^2</f>
        <v>0.13094545670431226</v>
      </c>
      <c r="CD70">
        <f>Regression!$E$29+(Regression!$E$28*Table83[[#This Row],[Morning Systolic Pressure]])</f>
        <v>44.545198374576046</v>
      </c>
      <c r="CE70" s="2">
        <f>Table83[[#This Row],[Waist]]-Table7[[#This Row],[Waist v Morning Sys]]</f>
        <v>-0.54519837457604581</v>
      </c>
      <c r="CF70" s="2">
        <f>Table7[[#This Row],[WaistMS Res]]^2</f>
        <v>0.29724126764036235</v>
      </c>
      <c r="CG70">
        <f>Regression!$F$29+(Regression!$F$28*Table83[[#This Row],[Morning Diastolic Pressure]])</f>
        <v>44.464087909481968</v>
      </c>
      <c r="CH70" s="2">
        <f>Table83[[#This Row],[Waist]]-Table7[[#This Row],[Waist v Morning Dia]]</f>
        <v>-0.4640879094819681</v>
      </c>
      <c r="CI70" s="2">
        <f>Table7[[#This Row],[WaistMD Res]]^2</f>
        <v>0.21537758772734342</v>
      </c>
      <c r="CJ70">
        <f>Regression!$G$29+(Regression!$G$28*Table83[[#This Row],[Morning Pulse]])</f>
        <v>44.454576200079806</v>
      </c>
      <c r="CK70" s="2">
        <f>Table83[[#This Row],[Waist]]-Table7[[#This Row],[Waist v Morning Pulse]]</f>
        <v>-0.45457620007980637</v>
      </c>
      <c r="CL70" s="2">
        <f>Table7[[#This Row],[WaistMP Res]]^2</f>
        <v>0.20663952167899616</v>
      </c>
      <c r="CM70">
        <f>Regression!$H$29+(Regression!$H$28*Table83[[#This Row],[Night Body Temp]])</f>
        <v>44.384178564220093</v>
      </c>
      <c r="CN70" s="2">
        <f>Table83[[#This Row],[Waist]]-Table7[[#This Row],[Waist v Night Temp]]</f>
        <v>-0.38417856422009322</v>
      </c>
      <c r="CO70" s="2">
        <f>Table7[[#This Row],[WaistNT Res]]^2</f>
        <v>0.14759316920621229</v>
      </c>
      <c r="CP70">
        <f>Regression!$I$29+(Regression!$I$28*Table83[[#This Row],[Night Systolic Pressure]])</f>
        <v>44.311098172049078</v>
      </c>
      <c r="CQ70" s="2">
        <f>Table83[[#This Row],[Waist]]-Table7[[#This Row],[Waist v  Night Sys]]</f>
        <v>-0.31109817204907841</v>
      </c>
      <c r="CR70" s="2">
        <f>Table7[[#This Row],[WaistNS Res]]^2</f>
        <v>9.6782072652277992E-2</v>
      </c>
      <c r="CS70">
        <f>Regression!$J$29+(Regression!$J$28*Table83[[#This Row],[Night Diastolic Pressure]])</f>
        <v>44.444024065946287</v>
      </c>
      <c r="CT70" s="2">
        <f>Table83[[#This Row],[Waist]]-Table7[[#This Row],[Waist v Night Dia]]</f>
        <v>-0.44402406594628729</v>
      </c>
      <c r="CU70" s="2">
        <f>Table7[[#This Row],[WaistND Res]]^2</f>
        <v>0.19715737113947288</v>
      </c>
      <c r="CV70">
        <f>Regression!$K$29+(Regression!$K$28*Table83[[#This Row],[Night Pulse]])</f>
        <v>44.485419089363951</v>
      </c>
      <c r="CW70" s="2">
        <f>Table83[[#This Row],[Waist]]-Table7[[#This Row],[Waist v Night Pulse]]</f>
        <v>-0.48541908936395117</v>
      </c>
      <c r="CX70" s="2">
        <f>Table7[[#This Row],[WaistNP Res]]^2</f>
        <v>0.23563169231892761</v>
      </c>
      <c r="CY70">
        <f>Regression!$L$29+(Regression!$L$28*Table83[[#This Row],[Sleep]])</f>
        <v>44.529040304851584</v>
      </c>
      <c r="CZ70" s="2">
        <f>Table83[[#This Row],[Waist]]-Table7[[#This Row],[Waist v  Sleep]]</f>
        <v>-0.52904030485158415</v>
      </c>
      <c r="DA70" s="2">
        <f>Table7[[#This Row],[WaistS Res]]^2</f>
        <v>0.27988364415745709</v>
      </c>
      <c r="DB70">
        <f>Regression!$M$29+(Regression!$M$28*Table83[[#This Row],[BMI]])</f>
        <v>44.083581077497868</v>
      </c>
      <c r="DC70" s="2">
        <f>Table83[[#This Row],[Waist]]-Table7[[#This Row],[Waist v BMI]]</f>
        <v>-8.358107749786825E-2</v>
      </c>
      <c r="DD70" s="2">
        <f>Table7[[#This Row],[WaistBMI Res]]^2</f>
        <v>6.9857965157046585E-3</v>
      </c>
      <c r="DE70">
        <f>Regression!$N$29+(Regression!$N$28*Table83[[#This Row],[CBF]])</f>
        <v>44.105031770433015</v>
      </c>
      <c r="DF70" s="2">
        <f>Table83[[#This Row],[Waist]]-Table7[[#This Row],[Waist v  CBF]]</f>
        <v>-0.10503177043301548</v>
      </c>
      <c r="DG70" s="2">
        <f>Table7[[#This Row],[WaistCBF Res]]^2</f>
        <v>1.1031672800293666E-2</v>
      </c>
      <c r="DH70">
        <f>Regression!$O$29+(Regression!$O$28*Table83[[#This Row],[Gym]])</f>
        <v>44.550847457627107</v>
      </c>
      <c r="DI70" s="2">
        <f>Table83[[#This Row],[Waist]]-Table7[[#This Row],[Waist v  Gym]]</f>
        <v>-0.55084745762710696</v>
      </c>
      <c r="DJ70" s="2">
        <f>Table7[[#This Row],[WaistGYM Res]]^2</f>
        <v>0.30343292157424739</v>
      </c>
      <c r="DK70">
        <f>Regression!$P$29+(Regression!$P$28*Table83[[#This Row],[Cardio]])</f>
        <v>44.291666666666664</v>
      </c>
      <c r="DL70" s="2">
        <f>Table83[[#This Row],[Waist]]-Table7[[#This Row],[Waist v Cardio]]</f>
        <v>-0.2916666666666643</v>
      </c>
      <c r="DM70" s="2">
        <f>Table7[[#This Row],[WaistC Res]]^2</f>
        <v>8.506944444444306E-2</v>
      </c>
      <c r="DN70">
        <f>Regression!$Q$29+(Regression!$Q$28*Table83[[#This Row],[Calories]])</f>
        <v>44.573194959195227</v>
      </c>
      <c r="DO70" s="2">
        <f>Table83[[#This Row],[Waist]]-Table7[[#This Row],[Waist v Calories]]</f>
        <v>-0.57319495919522723</v>
      </c>
      <c r="DP70" s="2">
        <f>Table7[[#This Row],[WaistCal Res]]^2</f>
        <v>0.32855246124681819</v>
      </c>
      <c r="DQ70">
        <f>Regression!$R$29+(Regression!$R$28*Table83[[#This Row],[Carbs]])</f>
        <v>44.639138221557175</v>
      </c>
      <c r="DR70" s="2">
        <f>Table83[[#This Row],[Waist]]-Table7[[#This Row],[Waist v Carbs]]</f>
        <v>-0.63913822155717526</v>
      </c>
      <c r="DS70" s="2">
        <f>Table7[[#This Row],[WaistCarb Res]]^2</f>
        <v>0.40849766625526884</v>
      </c>
      <c r="DT70">
        <f>Regression!$S$29+(Regression!$S$28*Table83[[#This Row],[Fat ]])</f>
        <v>44.491115706447736</v>
      </c>
      <c r="DU70" s="2">
        <f>Table83[[#This Row],[Waist]]-Table7[[#This Row],[Waist v Fat]]</f>
        <v>-0.4911157064477365</v>
      </c>
      <c r="DV70" s="2">
        <f>Table7[[#This Row],[WaistF Res]]^2</f>
        <v>0.2411946371196593</v>
      </c>
      <c r="DW70">
        <f>Regression!$T$29+(Regression!$T$28*Table83[[#This Row],[Protein]])</f>
        <v>44.519169097776938</v>
      </c>
      <c r="DX70" s="2">
        <f>Table83[[#This Row],[Waist]]-Table7[[#This Row],[Waist v Protein]]</f>
        <v>-0.51916909777693832</v>
      </c>
      <c r="DY70" s="2">
        <f>Table7[[#This Row],[WaistP Res]]^2</f>
        <v>0.26953655208652011</v>
      </c>
      <c r="DZ70">
        <f>Regression!$U$29+(Regression!$U$28*Table83[[#This Row],[Fiber]])</f>
        <v>44.368960924733656</v>
      </c>
      <c r="EA70" s="2">
        <f>Table83[[#This Row],[Waist]]-Table7[[#This Row],[Waist v Fiber]]</f>
        <v>-0.36896092473365627</v>
      </c>
      <c r="EB70" s="2">
        <f>Table7[[#This Row],[WaistFib Res]]^2</f>
        <v>0.13613216398031477</v>
      </c>
      <c r="EC70">
        <f>Regression!$V$29+(Regression!$V$28*Table83[[#This Row],[Sugar]])</f>
        <v>44.7244379950533</v>
      </c>
      <c r="ED70" s="2">
        <f>Table83[[#This Row],[Waist]]-Table7[[#This Row],[Waist v Sugar]]</f>
        <v>-0.7244379950533002</v>
      </c>
      <c r="EE70" s="2">
        <f>Table7[[#This Row],[WaistSugar Res]]^2</f>
        <v>0.52481040867684536</v>
      </c>
      <c r="EF70">
        <f>Regression!$W$29+(Regression!$W$28*Table83[[#This Row],[Servings]])</f>
        <v>44.692291038738993</v>
      </c>
      <c r="EG70" s="2">
        <f>Table83[[#This Row],[Waist]]-Table7[[#This Row],[Waist v Servings]]</f>
        <v>-0.69229103873899334</v>
      </c>
      <c r="EH70" s="2">
        <f>Table7[[#This Row],[WaistServ Res]]^2</f>
        <v>0.47926688231831438</v>
      </c>
      <c r="EI70">
        <f>Regression!$X$29+(Regression!$X$28*Table83[[#This Row],[Water]])</f>
        <v>44.553850107074496</v>
      </c>
      <c r="EJ70" s="2">
        <f>Table83[[#This Row],[Waist]]-Table7[[#This Row],[Waist v Water]]</f>
        <v>-0.55385010707449567</v>
      </c>
      <c r="EK70" s="2">
        <f>Table7[[#This Row],[WaistWat Res]]^2</f>
        <v>0.30674994110643033</v>
      </c>
      <c r="EL70">
        <f>Regression!$Y$29+(Regression!$Y$28*Table83[[#This Row],[Fat Calories]])</f>
        <v>44.491848675368878</v>
      </c>
      <c r="EM70" s="2">
        <f>Table83[[#This Row],[Waist]]-Table7[[#This Row],[Waist v Fat Calories]]</f>
        <v>-0.49184867536887822</v>
      </c>
      <c r="EN70" s="2">
        <f>Table7[[#This Row],[WaistFatCal Res]]^2</f>
        <v>0.24191511946212016</v>
      </c>
    </row>
    <row r="71" spans="1:144" x14ac:dyDescent="0.25">
      <c r="A71">
        <f>Regression!$B$10+(Regression!$B$9*Table83[[#This Row],[Waist]])</f>
        <v>249.67228149328892</v>
      </c>
      <c r="B71" s="2">
        <f>Table83[[#This Row],[Weight]]-Table7[[#This Row],[Weight v Waist]]</f>
        <v>-7.2281493288926413E-2</v>
      </c>
      <c r="C71" s="2">
        <f>Table7[[#This Row],[Weight v Waist Res]]^2</f>
        <v>5.2246142720771141E-3</v>
      </c>
      <c r="D71">
        <f>Regression!$C$10+(Regression!$C$9*Table83[[#This Row],[Neck]])</f>
        <v>253.29286486487842</v>
      </c>
      <c r="E71" s="2">
        <f>Table83[[#This Row],[Weight]]-Table7[[#This Row],[Weight v Neck]]</f>
        <v>-3.6928648648784304</v>
      </c>
      <c r="F71" s="2">
        <f>Table7[[#This Row],[WN Res]]^2</f>
        <v>13.637250910253588</v>
      </c>
      <c r="G71">
        <f>Regression!$D$10+(Regression!$D$9*Table83[[#This Row],[Morning Body Temp]])</f>
        <v>254.98916789486196</v>
      </c>
      <c r="H71" s="2">
        <f>Table83[[#This Row],[Weight]]-Table7[[#This Row],[Weight v Morning Temp]]</f>
        <v>-5.3891678948619699</v>
      </c>
      <c r="I71" s="2">
        <f>Table7[[#This Row],[WMT Res]]^2</f>
        <v>29.043130599010997</v>
      </c>
      <c r="J71">
        <f>Regression!$E$10+(Regression!$E$9*Table83[[#This Row],[Morning Systolic Pressure]])</f>
        <v>254.6937917939849</v>
      </c>
      <c r="K71" s="2">
        <f>Table83[[#This Row],[Weight]]-Table7[[#This Row],[Weight v Morning Sys]]</f>
        <v>-5.0937917939849058</v>
      </c>
      <c r="L71" s="2">
        <f>Table7[[#This Row],[WMS Res]]^2</f>
        <v>25.946714840467966</v>
      </c>
      <c r="M71">
        <f>Regression!$F$10+(Regression!$F$9*Table83[[#This Row],[Morning Diastolic Pressure]])</f>
        <v>255.40607264438131</v>
      </c>
      <c r="N71" s="2">
        <f>Table83[[#This Row],[Weight]]-Table7[[#This Row],[Weight v Morning Dia]]</f>
        <v>-5.8060726443813166</v>
      </c>
      <c r="O71" s="2">
        <f>Table7[[#This Row],[WMD Res]]^2</f>
        <v>33.710479551833053</v>
      </c>
      <c r="P71">
        <f>Regression!$G$10+(Regression!$G$9*Table83[[#This Row],[Morning Pulse]])</f>
        <v>255.11547289015564</v>
      </c>
      <c r="Q71" s="2">
        <f>Table83[[#This Row],[Weight]]-Table7[[#This Row],[Weight v Morning Pulse]]</f>
        <v>-5.5154728901556496</v>
      </c>
      <c r="R71" s="2">
        <f>Table7[[#This Row],[WMP Res]]^2</f>
        <v>30.420441202041914</v>
      </c>
      <c r="S71">
        <f>Regression!$H$10+(Regression!$H$9*Table83[[#This Row],[Night Body Temp]])</f>
        <v>254.85148667752509</v>
      </c>
      <c r="T71" s="2">
        <f>Table83[[#This Row],[Weight]]-Table7[[#This Row],[Weight v Night Temp]]</f>
        <v>-5.2514866775250937</v>
      </c>
      <c r="U71" s="2">
        <f>Table7[[#This Row],[WNT Res]]^2</f>
        <v>27.578112324223547</v>
      </c>
      <c r="V71">
        <f>Regression!$I$10+(Regression!$I$9*Table83[[#This Row],[Night Systolic Pressure]])</f>
        <v>255.34122622719568</v>
      </c>
      <c r="W71" s="2">
        <f>Table83[[#This Row],[Weight]]-Table7[[#This Row],[Weight v Night Sys]]</f>
        <v>-5.741226227195682</v>
      </c>
      <c r="X71" s="2">
        <f>Table7[[#This Row],[WNS Res]]^2</f>
        <v>32.961678591839565</v>
      </c>
      <c r="Y71">
        <f>Regression!$J$10+(Regression!$J$9*Table83[[#This Row],[Night Diastolic Pressure]])</f>
        <v>255.29614571632661</v>
      </c>
      <c r="Z71" s="2">
        <f>Table83[[#This Row],[Weight]]-Table7[[#This Row],[Weight v Night Dia]]</f>
        <v>-5.6961457163266118</v>
      </c>
      <c r="AA71" s="2">
        <f>Table7[[#This Row],[WND Res]]^2</f>
        <v>32.446076021626013</v>
      </c>
      <c r="AB71">
        <f>Regression!$K$10+(Regression!$K$9*Table83[[#This Row],[Night Pulse]])</f>
        <v>254.77230521513724</v>
      </c>
      <c r="AC71" s="2">
        <f>Table83[[#This Row],[Weight]]-Table7[[#This Row],[Weight v Night Pulse]]</f>
        <v>-5.1723052151372428</v>
      </c>
      <c r="AD71" s="2">
        <f>Table7[[#This Row],[WNP Res ]]^2</f>
        <v>26.752741238535918</v>
      </c>
      <c r="AE71">
        <f>Regression!$L$10+(Regression!$L$9*Table83[[#This Row],[Sleep]])</f>
        <v>255.13702972738133</v>
      </c>
      <c r="AF71" s="2">
        <f>Table83[[#This Row],[Weight]]-Table7[[#This Row],[Weight v Sleep]]</f>
        <v>-5.5370297273813378</v>
      </c>
      <c r="AG71" s="2">
        <f>Table7[[#This Row],[WS Res]]^2</f>
        <v>30.658698201904652</v>
      </c>
      <c r="AH71">
        <f>Regression!$M$10+(Regression!$M$9*Table83[[#This Row],[BMI]])</f>
        <v>249.60000000001236</v>
      </c>
      <c r="AI71" s="2">
        <f>Table83[[#This Row],[Weight]]-Table7[[#This Row],[Weight v BMI]]</f>
        <v>-1.2363443602225743E-11</v>
      </c>
      <c r="AJ71" s="2">
        <f>Table7[[#This Row],[WBMI Res]]^2</f>
        <v>1.5285473770541666E-22</v>
      </c>
      <c r="AK71">
        <f>Regression!$N$10+(Regression!$N$9*Table83[[#This Row],[CBF]])</f>
        <v>250.04675133427031</v>
      </c>
      <c r="AL71" s="2">
        <f>Table83[[#This Row],[Weight]]-Table7[[#This Row],[Weight v CBF]]</f>
        <v>-0.4467513342703171</v>
      </c>
      <c r="AM71" s="2">
        <f>Table7[[#This Row],[WCBF Res]]^2</f>
        <v>0.1995867546723086</v>
      </c>
      <c r="AN71">
        <f>Regression!$O$10+(Regression!$O$9*Table83[[#This Row],[Gym]])</f>
        <v>255.46779661016953</v>
      </c>
      <c r="AO71" s="2">
        <f>Table83[[#This Row],[Weight]]-Table7[[#This Row],[Weight v Gym]]</f>
        <v>-5.8677966101695347</v>
      </c>
      <c r="AP71" s="2">
        <f>Table7[[#This Row],[WG Res]]^2</f>
        <v>34.431037058317081</v>
      </c>
      <c r="AQ71">
        <f>Regression!$P$10+(Regression!$P$9*Table83[[#This Row],[Cardio]])</f>
        <v>254.19242424242461</v>
      </c>
      <c r="AR71" s="2">
        <f>Table83[[#This Row],[Weight]]-Table7[[#This Row],[Weight v Cardio]]</f>
        <v>-4.5924242424246131</v>
      </c>
      <c r="AS71" s="2">
        <f>Table7[[#This Row],[WC Res]]^2</f>
        <v>21.090360422409283</v>
      </c>
      <c r="AT71">
        <f>Regression!$Q$10+(Regression!$Q$9*Table83[[#This Row],[Calories]])</f>
        <v>255.68025463896694</v>
      </c>
      <c r="AU71" s="2">
        <f>Table83[[#This Row],[Weight]]-Table7[[#This Row],[Weight v Calories]]</f>
        <v>-6.0802546389669487</v>
      </c>
      <c r="AV71" s="2">
        <f>Table7[[#This Row],[WCAL Res]]^2</f>
        <v>36.969496474679097</v>
      </c>
      <c r="AW71">
        <f>Regression!$R$10+(Regression!$R$9*Table83[[#This Row],[Carbs]])</f>
        <v>256.17432632564925</v>
      </c>
      <c r="AX71" s="2">
        <f>Table83[[#This Row],[Weight]]-Table7[[#This Row],[Weight v Carbs]]</f>
        <v>-6.5743263256492526</v>
      </c>
      <c r="AY71" s="2">
        <f>Table7[[#This Row],[Wcarb Res]]^2</f>
        <v>43.221766636124805</v>
      </c>
      <c r="AZ71">
        <f>Regression!$S$10+(Regression!$S$9*Table83[[#This Row],[Fat ]])</f>
        <v>255.21522523396462</v>
      </c>
      <c r="BA71" s="2">
        <f>Table83[[#This Row],[Weight]]-Table7[[#This Row],[Weight v Fat]]</f>
        <v>-5.6152252339646225</v>
      </c>
      <c r="BB71" s="2">
        <f>Table7[[#This Row],[WF Res]]^2</f>
        <v>31.530754428153049</v>
      </c>
      <c r="BC71">
        <f>Regression!$T$10+(Regression!$T$9*Table83[[#This Row],[Protein]])</f>
        <v>254.46962323351258</v>
      </c>
      <c r="BD71" s="2">
        <f>Table83[[#This Row],[Weight]]-Table7[[#This Row],[Weight v Protein]]</f>
        <v>-4.8696232335125842</v>
      </c>
      <c r="BE71" s="2">
        <f>Table7[[#This Row],[WP Res]]^2</f>
        <v>23.713230436365556</v>
      </c>
      <c r="BF71">
        <f>Regression!$U$10+(Regression!$U$9*Table83[[#This Row],[Fiber]])</f>
        <v>254.93551472906464</v>
      </c>
      <c r="BG71" s="2">
        <f>Table83[[#This Row],[Weight]]-Table7[[#This Row],[Weight v Fiber]]</f>
        <v>-5.3355147290646414</v>
      </c>
      <c r="BH71" s="2">
        <f>Table7[[#This Row],[Wfib Res]]^2</f>
        <v>28.467717424065732</v>
      </c>
      <c r="BI71">
        <f>Regression!$V$10+(Regression!$V$9*Table83[[#This Row],[Sugar]])</f>
        <v>256.62621389244856</v>
      </c>
      <c r="BJ71" s="2">
        <f>Table83[[#This Row],[Weight]]-Table7[[#This Row],[Weight v Sugar]]</f>
        <v>-7.0262138924485669</v>
      </c>
      <c r="BK71" s="2">
        <f>Table7[[#This Row],[Wsugar Res]]^2</f>
        <v>49.367681662437242</v>
      </c>
      <c r="BL71">
        <f>Regression!$W$10+(Regression!$W$9*Table83[[#This Row],[Servings]])</f>
        <v>256.73710820682157</v>
      </c>
      <c r="BM71" s="2">
        <f>Table83[[#This Row],[Weight]]-Table7[[#This Row],[Weight v Servings]]</f>
        <v>-7.1371082068215799</v>
      </c>
      <c r="BN71" s="2">
        <f>Table7[[#This Row],[Wserv Res]]^2</f>
        <v>50.938313555879944</v>
      </c>
      <c r="BO71">
        <f>Regression!$X$10+(Regression!$X$9*Table83[[#This Row],[Water]])</f>
        <v>255.3203459106638</v>
      </c>
      <c r="BP71" s="2">
        <f>Table83[[#This Row],[Weight]]-Table7[[#This Row],[Weight v Water]]</f>
        <v>-5.7203459106638093</v>
      </c>
      <c r="BQ71" s="2">
        <f>Table7[[#This Row],[Wwater Res]]^2</f>
        <v>32.722357337648162</v>
      </c>
      <c r="BR71">
        <f>Regression!$Y$10+(Regression!$Y$9*Table83[[#This Row],[Fat Calories]])</f>
        <v>255.21680041461624</v>
      </c>
      <c r="BS71" s="2">
        <f>Table83[[#This Row],[Weight]]-Table7[[#This Row],[Weight v Fat Calories]]</f>
        <v>-5.6168004146162502</v>
      </c>
      <c r="BT71" s="2">
        <f>Table7[[#This Row],[WFC Res]]^2</f>
        <v>31.54844689763328</v>
      </c>
      <c r="BU71">
        <f>Regression!$B$29+(Regression!$B$28*Table83[[#This Row],[Weight]])</f>
        <v>43.702046047900744</v>
      </c>
      <c r="BV71" s="2">
        <f>Table83[[#This Row],[Waist]]-Table7[[#This Row],[Waist v Weight]]</f>
        <v>-0.20204604790074399</v>
      </c>
      <c r="BW71" s="2">
        <f>Table7[[#This Row],[WaistW Res]]^2</f>
        <v>4.0822605472309731E-2</v>
      </c>
      <c r="BX71">
        <f>Regression!$C$29+(Regression!$C$28*Table83[[#This Row],[Neck]])</f>
        <v>44.175585585585594</v>
      </c>
      <c r="BY71" s="2">
        <f>Table83[[#This Row],[Waist]]-Table7[[#This Row],[Waist v Neck]]</f>
        <v>-0.67558558558559412</v>
      </c>
      <c r="BZ71" s="2">
        <f>Table7[[#This Row],[WaistN Res]]^2</f>
        <v>0.45641588345103012</v>
      </c>
      <c r="CA71">
        <f>Regression!$D$29+(Regression!$D$28*Table83[[#This Row],[Morning Body Temp]])</f>
        <v>44.419304304405451</v>
      </c>
      <c r="CB71" s="2">
        <f>Table83[[#This Row],[Waist]]-Table7[[#This Row],[Waist v Morning Temp]]</f>
        <v>-0.91930430440545052</v>
      </c>
      <c r="CC71" s="2">
        <f>Table7[[#This Row],[WaistMT Res]]^2</f>
        <v>0.84512040409838929</v>
      </c>
      <c r="CD71">
        <f>Regression!$E$29+(Regression!$E$28*Table83[[#This Row],[Morning Systolic Pressure]])</f>
        <v>44.354571080212359</v>
      </c>
      <c r="CE71" s="2">
        <f>Table83[[#This Row],[Waist]]-Table7[[#This Row],[Waist v Morning Sys]]</f>
        <v>-0.85457108021235939</v>
      </c>
      <c r="CF71" s="2">
        <f>Table7[[#This Row],[WaistMS Res]]^2</f>
        <v>0.73029173113531876</v>
      </c>
      <c r="CG71">
        <f>Regression!$F$29+(Regression!$F$28*Table83[[#This Row],[Morning Diastolic Pressure]])</f>
        <v>44.469723530150823</v>
      </c>
      <c r="CH71" s="2">
        <f>Table83[[#This Row],[Waist]]-Table7[[#This Row],[Waist v Morning Dia]]</f>
        <v>-0.96972353015082291</v>
      </c>
      <c r="CI71" s="2">
        <f>Table7[[#This Row],[WaistMD Res]]^2</f>
        <v>0.94036372492817399</v>
      </c>
      <c r="CJ71">
        <f>Regression!$G$29+(Regression!$G$28*Table83[[#This Row],[Morning Pulse]])</f>
        <v>44.453736697506194</v>
      </c>
      <c r="CK71" s="2">
        <f>Table83[[#This Row],[Waist]]-Table7[[#This Row],[Waist v Morning Pulse]]</f>
        <v>-0.95373669750619428</v>
      </c>
      <c r="CL71" s="2">
        <f>Table7[[#This Row],[WaistMP Res]]^2</f>
        <v>0.90961368817002197</v>
      </c>
      <c r="CM71">
        <f>Regression!$H$29+(Regression!$H$28*Table83[[#This Row],[Night Body Temp]])</f>
        <v>44.432760107049404</v>
      </c>
      <c r="CN71" s="2">
        <f>Table83[[#This Row],[Waist]]-Table7[[#This Row],[Waist v Night Temp]]</f>
        <v>-0.93276010704940404</v>
      </c>
      <c r="CO71" s="2">
        <f>Table7[[#This Row],[WaistNT Res]]^2</f>
        <v>0.8700414173028157</v>
      </c>
      <c r="CP71">
        <f>Regression!$I$29+(Regression!$I$28*Table83[[#This Row],[Night Systolic Pressure]])</f>
        <v>44.48557954395644</v>
      </c>
      <c r="CQ71" s="2">
        <f>Table83[[#This Row],[Waist]]-Table7[[#This Row],[Waist v  Night Sys]]</f>
        <v>-0.98557954395644032</v>
      </c>
      <c r="CR71" s="2">
        <f>Table7[[#This Row],[WaistNS Res]]^2</f>
        <v>0.97136703746538489</v>
      </c>
      <c r="CS71">
        <f>Regression!$J$29+(Regression!$J$28*Table83[[#This Row],[Night Diastolic Pressure]])</f>
        <v>44.529363791983499</v>
      </c>
      <c r="CT71" s="2">
        <f>Table83[[#This Row],[Waist]]-Table7[[#This Row],[Waist v Night Dia]]</f>
        <v>-1.0293637919834993</v>
      </c>
      <c r="CU71" s="2">
        <f>Table7[[#This Row],[WaistND Res]]^2</f>
        <v>1.0595898162466488</v>
      </c>
      <c r="CV71">
        <f>Regression!$K$29+(Regression!$K$28*Table83[[#This Row],[Night Pulse]])</f>
        <v>44.485419089363951</v>
      </c>
      <c r="CW71" s="2">
        <f>Table83[[#This Row],[Waist]]-Table7[[#This Row],[Waist v Night Pulse]]</f>
        <v>-0.98541908936395117</v>
      </c>
      <c r="CX71" s="2">
        <f>Table7[[#This Row],[WaistNP Res]]^2</f>
        <v>0.97105078168287884</v>
      </c>
      <c r="CY71">
        <f>Regression!$L$29+(Regression!$L$28*Table83[[#This Row],[Sleep]])</f>
        <v>44.456891852858099</v>
      </c>
      <c r="CZ71" s="2">
        <f>Table83[[#This Row],[Waist]]-Table7[[#This Row],[Waist v  Sleep]]</f>
        <v>-0.95689185285809941</v>
      </c>
      <c r="DA71" s="2">
        <f>Table7[[#This Row],[WaistS Res]]^2</f>
        <v>0.9156420180662066</v>
      </c>
      <c r="DB71">
        <f>Regression!$M$29+(Regression!$M$28*Table83[[#This Row],[BMI]])</f>
        <v>43.702046047903131</v>
      </c>
      <c r="DC71" s="2">
        <f>Table83[[#This Row],[Waist]]-Table7[[#This Row],[Waist v BMI]]</f>
        <v>-0.20204604790313141</v>
      </c>
      <c r="DD71" s="2">
        <f>Table7[[#This Row],[WaistBMI Res]]^2</f>
        <v>4.0822605473274473E-2</v>
      </c>
      <c r="DE71">
        <f>Regression!$N$29+(Regression!$N$28*Table83[[#This Row],[CBF]])</f>
        <v>43.540887941991329</v>
      </c>
      <c r="DF71" s="2">
        <f>Table83[[#This Row],[Waist]]-Table7[[#This Row],[Waist v  CBF]]</f>
        <v>-4.0887941991329058E-2</v>
      </c>
      <c r="DG71" s="2">
        <f>Table7[[#This Row],[WaistCBF Res]]^2</f>
        <v>1.6718238002862899E-3</v>
      </c>
      <c r="DH71">
        <f>Regression!$O$29+(Regression!$O$28*Table83[[#This Row],[Gym]])</f>
        <v>44.550847457627107</v>
      </c>
      <c r="DI71" s="2">
        <f>Table83[[#This Row],[Waist]]-Table7[[#This Row],[Waist v  Gym]]</f>
        <v>-1.050847457627107</v>
      </c>
      <c r="DJ71" s="2">
        <f>Table7[[#This Row],[WaistGYM Res]]^2</f>
        <v>1.1042803792013545</v>
      </c>
      <c r="DK71">
        <f>Regression!$P$29+(Regression!$P$28*Table83[[#This Row],[Cardio]])</f>
        <v>44.291666666666664</v>
      </c>
      <c r="DL71" s="2">
        <f>Table83[[#This Row],[Waist]]-Table7[[#This Row],[Waist v Cardio]]</f>
        <v>-0.7916666666666643</v>
      </c>
      <c r="DM71" s="2">
        <f>Table7[[#This Row],[WaistC Res]]^2</f>
        <v>0.62673611111110739</v>
      </c>
      <c r="DN71">
        <f>Regression!$Q$29+(Regression!$Q$28*Table83[[#This Row],[Calories]])</f>
        <v>44.580530061730869</v>
      </c>
      <c r="DO71" s="2">
        <f>Table83[[#This Row],[Waist]]-Table7[[#This Row],[Waist v Calories]]</f>
        <v>-1.0805300617308689</v>
      </c>
      <c r="DP71" s="2">
        <f>Table7[[#This Row],[WaistCal Res]]^2</f>
        <v>1.1675452143041152</v>
      </c>
      <c r="DQ71">
        <f>Regression!$R$29+(Regression!$R$28*Table83[[#This Row],[Carbs]])</f>
        <v>44.674075864830712</v>
      </c>
      <c r="DR71" s="2">
        <f>Table83[[#This Row],[Waist]]-Table7[[#This Row],[Waist v Carbs]]</f>
        <v>-1.1740758648307121</v>
      </c>
      <c r="DS71" s="2">
        <f>Table7[[#This Row],[WaistCarb Res]]^2</f>
        <v>1.3784541363779845</v>
      </c>
      <c r="DT71">
        <f>Regression!$S$29+(Regression!$S$28*Table83[[#This Row],[Fat ]])</f>
        <v>44.484163030381922</v>
      </c>
      <c r="DU71" s="2">
        <f>Table83[[#This Row],[Waist]]-Table7[[#This Row],[Waist v Fat]]</f>
        <v>-0.98416303038192154</v>
      </c>
      <c r="DV71" s="2">
        <f>Table7[[#This Row],[WaistF Res]]^2</f>
        <v>0.96857687037052698</v>
      </c>
      <c r="DW71">
        <f>Regression!$T$29+(Regression!$T$28*Table83[[#This Row],[Protein]])</f>
        <v>44.33540380229595</v>
      </c>
      <c r="DX71" s="2">
        <f>Table83[[#This Row],[Waist]]-Table7[[#This Row],[Waist v Protein]]</f>
        <v>-0.83540380229595002</v>
      </c>
      <c r="DY71" s="2">
        <f>Table7[[#This Row],[WaistP Res]]^2</f>
        <v>0.69789951289053076</v>
      </c>
      <c r="DZ71">
        <f>Regression!$U$29+(Regression!$U$28*Table83[[#This Row],[Fiber]])</f>
        <v>44.384266571460174</v>
      </c>
      <c r="EA71" s="2">
        <f>Table83[[#This Row],[Waist]]-Table7[[#This Row],[Waist v Fiber]]</f>
        <v>-0.88426657146017362</v>
      </c>
      <c r="EB71" s="2">
        <f>Table7[[#This Row],[WaistFib Res]]^2</f>
        <v>0.78192736940193031</v>
      </c>
      <c r="EC71">
        <f>Regression!$V$29+(Regression!$V$28*Table83[[#This Row],[Sugar]])</f>
        <v>44.725004595556427</v>
      </c>
      <c r="ED71" s="2">
        <f>Table83[[#This Row],[Waist]]-Table7[[#This Row],[Waist v Sugar]]</f>
        <v>-1.2250045955564275</v>
      </c>
      <c r="EE71" s="2">
        <f>Table7[[#This Row],[WaistSugar Res]]^2</f>
        <v>1.5006362591343665</v>
      </c>
      <c r="EF71">
        <f>Regression!$W$29+(Regression!$W$28*Table83[[#This Row],[Servings]])</f>
        <v>44.701039759579366</v>
      </c>
      <c r="EG71" s="2">
        <f>Table83[[#This Row],[Waist]]-Table7[[#This Row],[Waist v Servings]]</f>
        <v>-1.2010397595793663</v>
      </c>
      <c r="EH71" s="2">
        <f>Table7[[#This Row],[WaistServ Res]]^2</f>
        <v>1.4424965040904618</v>
      </c>
      <c r="EI71">
        <f>Regression!$X$29+(Regression!$X$28*Table83[[#This Row],[Water]])</f>
        <v>44.721501739308351</v>
      </c>
      <c r="EJ71" s="2">
        <f>Table83[[#This Row],[Waist]]-Table7[[#This Row],[Waist v Water]]</f>
        <v>-1.2215017393083514</v>
      </c>
      <c r="EK71" s="2">
        <f>Table7[[#This Row],[WaistWat Res]]^2</f>
        <v>1.4920664991333277</v>
      </c>
      <c r="EL71">
        <f>Regression!$Y$29+(Regression!$Y$28*Table83[[#This Row],[Fat Calories]])</f>
        <v>44.484486800627067</v>
      </c>
      <c r="EM71" s="2">
        <f>Table83[[#This Row],[Waist]]-Table7[[#This Row],[Waist v Fat Calories]]</f>
        <v>-0.98448680062706728</v>
      </c>
      <c r="EN71" s="2">
        <f>Table7[[#This Row],[WaistFatCal Res]]^2</f>
        <v>0.96921426060891891</v>
      </c>
    </row>
    <row r="72" spans="1:144" x14ac:dyDescent="0.25">
      <c r="A72">
        <f>Regression!$B$10+(Regression!$B$9*Table83[[#This Row],[Waist]])</f>
        <v>249.67228149328892</v>
      </c>
      <c r="B72" s="2">
        <f>Table83[[#This Row],[Weight]]-Table7[[#This Row],[Weight v Waist]]</f>
        <v>-2.272281493288915</v>
      </c>
      <c r="C72" s="2">
        <f>Table7[[#This Row],[Weight v Waist Res]]^2</f>
        <v>5.1632631847433013</v>
      </c>
      <c r="D72">
        <f>Regression!$C$10+(Regression!$C$9*Table83[[#This Row],[Neck]])</f>
        <v>253.29286486487842</v>
      </c>
      <c r="E72" s="2">
        <f>Table83[[#This Row],[Weight]]-Table7[[#This Row],[Weight v Neck]]</f>
        <v>-5.892864864878419</v>
      </c>
      <c r="F72" s="2">
        <f>Table7[[#This Row],[WN Res]]^2</f>
        <v>34.725856315718545</v>
      </c>
      <c r="G72">
        <f>Regression!$D$10+(Regression!$D$9*Table83[[#This Row],[Morning Body Temp]])</f>
        <v>255.27076211175142</v>
      </c>
      <c r="H72" s="2">
        <f>Table83[[#This Row],[Weight]]-Table7[[#This Row],[Weight v Morning Temp]]</f>
        <v>-7.8707621117514179</v>
      </c>
      <c r="I72" s="2">
        <f>Table7[[#This Row],[WMT Res]]^2</f>
        <v>61.948896219781638</v>
      </c>
      <c r="J72">
        <f>Regression!$E$10+(Regression!$E$9*Table83[[#This Row],[Morning Systolic Pressure]])</f>
        <v>254.60363738625813</v>
      </c>
      <c r="K72" s="2">
        <f>Table83[[#This Row],[Weight]]-Table7[[#This Row],[Weight v Morning Sys]]</f>
        <v>-7.2036373862581229</v>
      </c>
      <c r="L72" s="2">
        <f>Table7[[#This Row],[WMS Res]]^2</f>
        <v>51.892391592695759</v>
      </c>
      <c r="M72">
        <f>Regression!$F$10+(Regression!$F$9*Table83[[#This Row],[Morning Diastolic Pressure]])</f>
        <v>254.59531865202226</v>
      </c>
      <c r="N72" s="2">
        <f>Table83[[#This Row],[Weight]]-Table7[[#This Row],[Weight v Morning Dia]]</f>
        <v>-7.1953186520222516</v>
      </c>
      <c r="O72" s="2">
        <f>Table7[[#This Row],[WMD Res]]^2</f>
        <v>51.772610504139315</v>
      </c>
      <c r="P72">
        <f>Regression!$G$10+(Regression!$G$9*Table83[[#This Row],[Morning Pulse]])</f>
        <v>255.11912848167003</v>
      </c>
      <c r="Q72" s="2">
        <f>Table83[[#This Row],[Weight]]-Table7[[#This Row],[Weight v Morning Pulse]]</f>
        <v>-7.7191284816700261</v>
      </c>
      <c r="R72" s="2">
        <f>Table7[[#This Row],[WMP Res]]^2</f>
        <v>59.584944516529404</v>
      </c>
      <c r="S72">
        <f>Regression!$H$10+(Regression!$H$9*Table83[[#This Row],[Night Body Temp]])</f>
        <v>254.74879010704339</v>
      </c>
      <c r="T72" s="2">
        <f>Table83[[#This Row],[Weight]]-Table7[[#This Row],[Weight v Night Temp]]</f>
        <v>-7.348790107043385</v>
      </c>
      <c r="U72" s="2">
        <f>Table7[[#This Row],[WNT Res]]^2</f>
        <v>54.004716037378728</v>
      </c>
      <c r="V72">
        <f>Regression!$I$10+(Regression!$I$9*Table83[[#This Row],[Night Systolic Pressure]])</f>
        <v>254.82800205705334</v>
      </c>
      <c r="W72" s="2">
        <f>Table83[[#This Row],[Weight]]-Table7[[#This Row],[Weight v Night Sys]]</f>
        <v>-7.4280020570533338</v>
      </c>
      <c r="X72" s="2">
        <f>Table7[[#This Row],[WNS Res]]^2</f>
        <v>55.175214559588561</v>
      </c>
      <c r="Y72">
        <f>Regression!$J$10+(Regression!$J$9*Table83[[#This Row],[Night Diastolic Pressure]])</f>
        <v>255.17384811107831</v>
      </c>
      <c r="Z72" s="2">
        <f>Table83[[#This Row],[Weight]]-Table7[[#This Row],[Weight v Night Dia]]</f>
        <v>-7.7738481110783084</v>
      </c>
      <c r="AA72" s="2">
        <f>Table7[[#This Row],[WND Res]]^2</f>
        <v>60.432714454115782</v>
      </c>
      <c r="AB72">
        <f>Regression!$K$10+(Regression!$K$9*Table83[[#This Row],[Night Pulse]])</f>
        <v>254.80301854637398</v>
      </c>
      <c r="AC72" s="2">
        <f>Table83[[#This Row],[Weight]]-Table7[[#This Row],[Weight v Night Pulse]]</f>
        <v>-7.4030185463739713</v>
      </c>
      <c r="AD72" s="2">
        <f>Table7[[#This Row],[WNP Res ]]^2</f>
        <v>54.804683597956988</v>
      </c>
      <c r="AE72">
        <f>Regression!$L$10+(Regression!$L$9*Table83[[#This Row],[Sleep]])</f>
        <v>255.29476681906823</v>
      </c>
      <c r="AF72" s="2">
        <f>Table83[[#This Row],[Weight]]-Table7[[#This Row],[Weight v Sleep]]</f>
        <v>-7.8947668190682236</v>
      </c>
      <c r="AG72" s="2">
        <f>Table7[[#This Row],[WS Res]]^2</f>
        <v>62.327343127460601</v>
      </c>
      <c r="AH72">
        <f>Regression!$M$10+(Regression!$M$9*Table83[[#This Row],[BMI]])</f>
        <v>247.40000000001729</v>
      </c>
      <c r="AI72" s="2">
        <f>Table83[[#This Row],[Weight]]-Table7[[#This Row],[Weight v BMI]]</f>
        <v>-1.7280399333685637E-11</v>
      </c>
      <c r="AJ72" s="2">
        <f>Table7[[#This Row],[WBMI Res]]^2</f>
        <v>2.9861220113164299E-22</v>
      </c>
      <c r="AK72">
        <f>Regression!$N$10+(Regression!$N$9*Table83[[#This Row],[CBF]])</f>
        <v>250.04675133427031</v>
      </c>
      <c r="AL72" s="2">
        <f>Table83[[#This Row],[Weight]]-Table7[[#This Row],[Weight v CBF]]</f>
        <v>-2.6467513342703057</v>
      </c>
      <c r="AM72" s="2">
        <f>Table7[[#This Row],[WCBF Res]]^2</f>
        <v>7.0052926254616441</v>
      </c>
      <c r="AN72">
        <f>Regression!$O$10+(Regression!$O$9*Table83[[#This Row],[Gym]])</f>
        <v>255.46779661016953</v>
      </c>
      <c r="AO72" s="2">
        <f>Table83[[#This Row],[Weight]]-Table7[[#This Row],[Weight v Gym]]</f>
        <v>-8.0677966101695233</v>
      </c>
      <c r="AP72" s="2">
        <f>Table7[[#This Row],[WG Res]]^2</f>
        <v>65.089342143062851</v>
      </c>
      <c r="AQ72">
        <f>Regression!$P$10+(Regression!$P$9*Table83[[#This Row],[Cardio]])</f>
        <v>254.19242424242461</v>
      </c>
      <c r="AR72" s="2">
        <f>Table83[[#This Row],[Weight]]-Table7[[#This Row],[Weight v Cardio]]</f>
        <v>-6.7924242424246017</v>
      </c>
      <c r="AS72" s="2">
        <f>Table7[[#This Row],[WC Res]]^2</f>
        <v>46.137027089077428</v>
      </c>
      <c r="AT72">
        <f>Regression!$Q$10+(Regression!$Q$9*Table83[[#This Row],[Calories]])</f>
        <v>255.82852920002969</v>
      </c>
      <c r="AU72" s="2">
        <f>Table83[[#This Row],[Weight]]-Table7[[#This Row],[Weight v Calories]]</f>
        <v>-8.4285292000296863</v>
      </c>
      <c r="AV72" s="2">
        <f>Table7[[#This Row],[WCAL Res]]^2</f>
        <v>71.040104475753068</v>
      </c>
      <c r="AW72">
        <f>Regression!$R$10+(Regression!$R$9*Table83[[#This Row],[Carbs]])</f>
        <v>255.99984458461364</v>
      </c>
      <c r="AX72" s="2">
        <f>Table83[[#This Row],[Weight]]-Table7[[#This Row],[Weight v Carbs]]</f>
        <v>-8.5998445846136349</v>
      </c>
      <c r="AY72" s="2">
        <f>Table7[[#This Row],[Wcarb Res]]^2</f>
        <v>73.957326879508457</v>
      </c>
      <c r="AZ72">
        <f>Regression!$S$10+(Regression!$S$9*Table83[[#This Row],[Fat ]])</f>
        <v>255.45748597906777</v>
      </c>
      <c r="BA72" s="2">
        <f>Table83[[#This Row],[Weight]]-Table7[[#This Row],[Weight v Fat]]</f>
        <v>-8.0574859790677635</v>
      </c>
      <c r="BB72" s="2">
        <f>Table7[[#This Row],[WF Res]]^2</f>
        <v>64.923080302873601</v>
      </c>
      <c r="BC72">
        <f>Regression!$T$10+(Regression!$T$9*Table83[[#This Row],[Protein]])</f>
        <v>255.47670748447914</v>
      </c>
      <c r="BD72" s="2">
        <f>Table83[[#This Row],[Weight]]-Table7[[#This Row],[Weight v Protein]]</f>
        <v>-8.0767074844791296</v>
      </c>
      <c r="BE72" s="2">
        <f>Table7[[#This Row],[WP Res]]^2</f>
        <v>65.233203789841184</v>
      </c>
      <c r="BF72">
        <f>Regression!$U$10+(Regression!$U$9*Table83[[#This Row],[Fiber]])</f>
        <v>255.04554393531598</v>
      </c>
      <c r="BG72" s="2">
        <f>Table83[[#This Row],[Weight]]-Table7[[#This Row],[Weight v Fiber]]</f>
        <v>-7.6455439353159704</v>
      </c>
      <c r="BH72" s="2">
        <f>Table7[[#This Row],[Wfib Res]]^2</f>
        <v>58.454342066846813</v>
      </c>
      <c r="BI72">
        <f>Regression!$V$10+(Regression!$V$9*Table83[[#This Row],[Sugar]])</f>
        <v>256.39912660411284</v>
      </c>
      <c r="BJ72" s="2">
        <f>Table83[[#This Row],[Weight]]-Table7[[#This Row],[Weight v Sugar]]</f>
        <v>-8.9991266041128313</v>
      </c>
      <c r="BK72" s="2">
        <f>Table7[[#This Row],[Wsugar Res]]^2</f>
        <v>80.98427963685134</v>
      </c>
      <c r="BL72">
        <f>Regression!$W$10+(Regression!$W$9*Table83[[#This Row],[Servings]])</f>
        <v>256.58420866850832</v>
      </c>
      <c r="BM72" s="2">
        <f>Table83[[#This Row],[Weight]]-Table7[[#This Row],[Weight v Servings]]</f>
        <v>-9.1842086685083189</v>
      </c>
      <c r="BN72" s="2">
        <f>Table7[[#This Row],[Wserv Res]]^2</f>
        <v>84.349688866703346</v>
      </c>
      <c r="BO72">
        <f>Regression!$X$10+(Regression!$X$9*Table83[[#This Row],[Water]])</f>
        <v>255.23471394386095</v>
      </c>
      <c r="BP72" s="2">
        <f>Table83[[#This Row],[Weight]]-Table7[[#This Row],[Weight v Water]]</f>
        <v>-7.8347139438609474</v>
      </c>
      <c r="BQ72" s="2">
        <f>Table7[[#This Row],[Wwater Res]]^2</f>
        <v>61.382742582129161</v>
      </c>
      <c r="BR72">
        <f>Regression!$Y$10+(Regression!$Y$9*Table83[[#This Row],[Fat Calories]])</f>
        <v>255.47462679261753</v>
      </c>
      <c r="BS72" s="2">
        <f>Table83[[#This Row],[Weight]]-Table7[[#This Row],[Weight v Fat Calories]]</f>
        <v>-8.0746267926175221</v>
      </c>
      <c r="BT72" s="2">
        <f>Table7[[#This Row],[WFC Res]]^2</f>
        <v>65.19959784005674</v>
      </c>
      <c r="BU72">
        <f>Regression!$B$29+(Regression!$B$28*Table83[[#This Row],[Weight]])</f>
        <v>43.402268524646786</v>
      </c>
      <c r="BV72" s="2">
        <f>Table83[[#This Row],[Waist]]-Table7[[#This Row],[Waist v Weight]]</f>
        <v>9.7731475353214137E-2</v>
      </c>
      <c r="BW72" s="2">
        <f>Table7[[#This Row],[WaistW Res]]^2</f>
        <v>9.5514412747159019E-3</v>
      </c>
      <c r="BX72">
        <f>Regression!$C$29+(Regression!$C$28*Table83[[#This Row],[Neck]])</f>
        <v>44.175585585585594</v>
      </c>
      <c r="BY72" s="2">
        <f>Table83[[#This Row],[Waist]]-Table7[[#This Row],[Waist v Neck]]</f>
        <v>-0.67558558558559412</v>
      </c>
      <c r="BZ72" s="2">
        <f>Table7[[#This Row],[WaistN Res]]^2</f>
        <v>0.45641588345103012</v>
      </c>
      <c r="CA72">
        <f>Regression!$D$29+(Regression!$D$28*Table83[[#This Row],[Morning Body Temp]])</f>
        <v>44.495891557108962</v>
      </c>
      <c r="CB72" s="2">
        <f>Table83[[#This Row],[Waist]]-Table7[[#This Row],[Waist v Morning Temp]]</f>
        <v>-0.99589155710896193</v>
      </c>
      <c r="CC72" s="2">
        <f>Table7[[#This Row],[WaistMT Res]]^2</f>
        <v>0.99179999352091275</v>
      </c>
      <c r="CD72">
        <f>Regression!$E$29+(Regression!$E$28*Table83[[#This Row],[Morning Systolic Pressure]])</f>
        <v>44.333390269727509</v>
      </c>
      <c r="CE72" s="2">
        <f>Table83[[#This Row],[Waist]]-Table7[[#This Row],[Waist v Morning Sys]]</f>
        <v>-0.83339026972750929</v>
      </c>
      <c r="CF72" s="2">
        <f>Table7[[#This Row],[WaistMS Res]]^2</f>
        <v>0.69453934167649067</v>
      </c>
      <c r="CG72">
        <f>Regression!$F$29+(Regression!$F$28*Table83[[#This Row],[Morning Diastolic Pressure]])</f>
        <v>44.424638564799992</v>
      </c>
      <c r="CH72" s="2">
        <f>Table83[[#This Row],[Waist]]-Table7[[#This Row],[Waist v Morning Dia]]</f>
        <v>-0.92463856479999151</v>
      </c>
      <c r="CI72" s="2">
        <f>Table7[[#This Row],[WaistMD Res]]^2</f>
        <v>0.85495647551538811</v>
      </c>
      <c r="CJ72">
        <f>Regression!$G$29+(Regression!$G$28*Table83[[#This Row],[Morning Pulse]])</f>
        <v>44.455415702653426</v>
      </c>
      <c r="CK72" s="2">
        <f>Table83[[#This Row],[Waist]]-Table7[[#This Row],[Waist v Morning Pulse]]</f>
        <v>-0.95541570265342557</v>
      </c>
      <c r="CL72" s="2">
        <f>Table7[[#This Row],[WaistMP Res]]^2</f>
        <v>0.91281916487673886</v>
      </c>
      <c r="CM72">
        <f>Regression!$H$29+(Regression!$H$28*Table83[[#This Row],[Night Body Temp]])</f>
        <v>44.424663183244519</v>
      </c>
      <c r="CN72" s="2">
        <f>Table83[[#This Row],[Waist]]-Table7[[#This Row],[Waist v Night Temp]]</f>
        <v>-0.9246631832445189</v>
      </c>
      <c r="CO72" s="2">
        <f>Table7[[#This Row],[WaistNT Res]]^2</f>
        <v>0.85500200244788671</v>
      </c>
      <c r="CP72">
        <f>Regression!$I$29+(Regression!$I$28*Table83[[#This Row],[Night Systolic Pressure]])</f>
        <v>44.412878972328372</v>
      </c>
      <c r="CQ72" s="2">
        <f>Table83[[#This Row],[Waist]]-Table7[[#This Row],[Waist v  Night Sys]]</f>
        <v>-0.91287897232837167</v>
      </c>
      <c r="CR72" s="2">
        <f>Table7[[#This Row],[WaistNS Res]]^2</f>
        <v>0.83334801811930392</v>
      </c>
      <c r="CS72">
        <f>Regression!$J$29+(Regression!$J$28*Table83[[#This Row],[Night Diastolic Pressure]])</f>
        <v>44.478159956361175</v>
      </c>
      <c r="CT72" s="2">
        <f>Table83[[#This Row],[Waist]]-Table7[[#This Row],[Waist v Night Dia]]</f>
        <v>-0.97815995636117492</v>
      </c>
      <c r="CU72" s="2">
        <f>Table7[[#This Row],[WaistND Res]]^2</f>
        <v>0.95679690022849562</v>
      </c>
      <c r="CV72">
        <f>Regression!$K$29+(Regression!$K$28*Table83[[#This Row],[Night Pulse]])</f>
        <v>44.482562343052983</v>
      </c>
      <c r="CW72" s="2">
        <f>Table83[[#This Row],[Waist]]-Table7[[#This Row],[Waist v Night Pulse]]</f>
        <v>-0.98256234305298307</v>
      </c>
      <c r="CX72" s="2">
        <f>Table7[[#This Row],[WaistNP Res]]^2</f>
        <v>0.96542875798576799</v>
      </c>
      <c r="CY72">
        <f>Regression!$L$29+(Regression!$L$28*Table83[[#This Row],[Sleep]])</f>
        <v>44.480941336855928</v>
      </c>
      <c r="CZ72" s="2">
        <f>Table83[[#This Row],[Waist]]-Table7[[#This Row],[Waist v  Sleep]]</f>
        <v>-0.98094133685592766</v>
      </c>
      <c r="DA72" s="2">
        <f>Table7[[#This Row],[WaistS Res]]^2</f>
        <v>0.96224590635269458</v>
      </c>
      <c r="DB72">
        <f>Regression!$M$29+(Regression!$M$28*Table83[[#This Row],[BMI]])</f>
        <v>43.402268524650125</v>
      </c>
      <c r="DC72" s="2">
        <f>Table83[[#This Row],[Waist]]-Table7[[#This Row],[Waist v BMI]]</f>
        <v>9.7731475349874586E-2</v>
      </c>
      <c r="DD72" s="2">
        <f>Table7[[#This Row],[WaistBMI Res]]^2</f>
        <v>9.5514412740631445E-3</v>
      </c>
      <c r="DE72">
        <f>Regression!$N$29+(Regression!$N$28*Table83[[#This Row],[CBF]])</f>
        <v>43.540887941991329</v>
      </c>
      <c r="DF72" s="2">
        <f>Table83[[#This Row],[Waist]]-Table7[[#This Row],[Waist v  CBF]]</f>
        <v>-4.0887941991329058E-2</v>
      </c>
      <c r="DG72" s="2">
        <f>Table7[[#This Row],[WaistCBF Res]]^2</f>
        <v>1.6718238002862899E-3</v>
      </c>
      <c r="DH72">
        <f>Regression!$O$29+(Regression!$O$28*Table83[[#This Row],[Gym]])</f>
        <v>44.550847457627107</v>
      </c>
      <c r="DI72" s="2">
        <f>Table83[[#This Row],[Waist]]-Table7[[#This Row],[Waist v  Gym]]</f>
        <v>-1.050847457627107</v>
      </c>
      <c r="DJ72" s="2">
        <f>Table7[[#This Row],[WaistGYM Res]]^2</f>
        <v>1.1042803792013545</v>
      </c>
      <c r="DK72">
        <f>Regression!$P$29+(Regression!$P$28*Table83[[#This Row],[Cardio]])</f>
        <v>44.291666666666664</v>
      </c>
      <c r="DL72" s="2">
        <f>Table83[[#This Row],[Waist]]-Table7[[#This Row],[Waist v Cardio]]</f>
        <v>-0.7916666666666643</v>
      </c>
      <c r="DM72" s="2">
        <f>Table7[[#This Row],[WaistC Res]]^2</f>
        <v>0.62673611111110739</v>
      </c>
      <c r="DN72">
        <f>Regression!$Q$29+(Regression!$Q$28*Table83[[#This Row],[Calories]])</f>
        <v>44.613844066921892</v>
      </c>
      <c r="DO72" s="2">
        <f>Table83[[#This Row],[Waist]]-Table7[[#This Row],[Waist v Calories]]</f>
        <v>-1.1138440669218923</v>
      </c>
      <c r="DP72" s="2">
        <f>Table7[[#This Row],[WaistCal Res]]^2</f>
        <v>1.2406486054171009</v>
      </c>
      <c r="DQ72">
        <f>Regression!$R$29+(Regression!$R$28*Table83[[#This Row],[Carbs]])</f>
        <v>44.637749834831354</v>
      </c>
      <c r="DR72" s="2">
        <f>Table83[[#This Row],[Waist]]-Table7[[#This Row],[Waist v Carbs]]</f>
        <v>-1.1377498348313537</v>
      </c>
      <c r="DS72" s="2">
        <f>Table7[[#This Row],[WaistCarb Res]]^2</f>
        <v>1.2944746866587726</v>
      </c>
      <c r="DT72">
        <f>Regression!$S$29+(Regression!$S$28*Table83[[#This Row],[Fat ]])</f>
        <v>44.558217013266002</v>
      </c>
      <c r="DU72" s="2">
        <f>Table83[[#This Row],[Waist]]-Table7[[#This Row],[Waist v Fat]]</f>
        <v>-1.0582170132660025</v>
      </c>
      <c r="DV72" s="2">
        <f>Table7[[#This Row],[WaistF Res]]^2</f>
        <v>1.1198232471656189</v>
      </c>
      <c r="DW72">
        <f>Regression!$T$29+(Regression!$T$28*Table83[[#This Row],[Protein]])</f>
        <v>44.519737629829308</v>
      </c>
      <c r="DX72" s="2">
        <f>Table83[[#This Row],[Waist]]-Table7[[#This Row],[Waist v Protein]]</f>
        <v>-1.0197376298293079</v>
      </c>
      <c r="DY72" s="2">
        <f>Table7[[#This Row],[WaistP Res]]^2</f>
        <v>1.0398648336898946</v>
      </c>
      <c r="DZ72">
        <f>Regression!$U$29+(Regression!$U$28*Table83[[#This Row],[Fiber]])</f>
        <v>44.426722435746775</v>
      </c>
      <c r="EA72" s="2">
        <f>Table83[[#This Row],[Waist]]-Table7[[#This Row],[Waist v Fiber]]</f>
        <v>-0.92672243574677537</v>
      </c>
      <c r="EB72" s="2">
        <f>Table7[[#This Row],[WaistFib Res]]^2</f>
        <v>0.8588144729164362</v>
      </c>
      <c r="EC72">
        <f>Regression!$V$29+(Regression!$V$28*Table83[[#This Row],[Sugar]])</f>
        <v>44.684210896917556</v>
      </c>
      <c r="ED72" s="2">
        <f>Table83[[#This Row],[Waist]]-Table7[[#This Row],[Waist v Sugar]]</f>
        <v>-1.1842108969175555</v>
      </c>
      <c r="EE72" s="2">
        <f>Table7[[#This Row],[WaistSugar Res]]^2</f>
        <v>1.4023554483782814</v>
      </c>
      <c r="EF72">
        <f>Regression!$W$29+(Regression!$W$28*Table83[[#This Row],[Servings]])</f>
        <v>44.677709837338362</v>
      </c>
      <c r="EG72" s="2">
        <f>Table83[[#This Row],[Waist]]-Table7[[#This Row],[Waist v Servings]]</f>
        <v>-1.1777098373383623</v>
      </c>
      <c r="EH72" s="2">
        <f>Table7[[#This Row],[WaistServ Res]]^2</f>
        <v>1.3870004609635518</v>
      </c>
      <c r="EI72">
        <f>Regression!$X$29+(Regression!$X$28*Table83[[#This Row],[Water]])</f>
        <v>44.609733984485779</v>
      </c>
      <c r="EJ72" s="2">
        <f>Table83[[#This Row],[Waist]]-Table7[[#This Row],[Waist v Water]]</f>
        <v>-1.1097339844857785</v>
      </c>
      <c r="EK72" s="2">
        <f>Table7[[#This Row],[WaistWat Res]]^2</f>
        <v>1.2315095163226821</v>
      </c>
      <c r="EL72">
        <f>Regression!$Y$29+(Regression!$Y$28*Table83[[#This Row],[Fat Calories]])</f>
        <v>44.562899219235987</v>
      </c>
      <c r="EM72" s="2">
        <f>Table83[[#This Row],[Waist]]-Table7[[#This Row],[Waist v Fat Calories]]</f>
        <v>-1.0628992192359874</v>
      </c>
      <c r="EN72" s="2">
        <f>Table7[[#This Row],[WaistFatCal Res]]^2</f>
        <v>1.1297547502524716</v>
      </c>
    </row>
    <row r="73" spans="1:144" x14ac:dyDescent="0.25">
      <c r="A73">
        <f>Regression!$B$10+(Regression!$B$9*Table83[[#This Row],[Waist]])</f>
        <v>246.8183038076352</v>
      </c>
      <c r="B73" s="2">
        <f>Table83[[#This Row],[Weight]]-Table7[[#This Row],[Weight v Waist]]</f>
        <v>-1.018303807635192</v>
      </c>
      <c r="C73" s="2">
        <f>Table7[[#This Row],[Weight v Waist Res]]^2</f>
        <v>1.0369426446443302</v>
      </c>
      <c r="D73">
        <f>Regression!$C$10+(Regression!$C$9*Table83[[#This Row],[Neck]])</f>
        <v>253.29286486487842</v>
      </c>
      <c r="E73" s="2">
        <f>Table83[[#This Row],[Weight]]-Table7[[#This Row],[Weight v Neck]]</f>
        <v>-7.4928648648784133</v>
      </c>
      <c r="F73" s="2">
        <f>Table7[[#This Row],[WN Res]]^2</f>
        <v>56.143023883329406</v>
      </c>
      <c r="G73">
        <f>Regression!$D$10+(Regression!$D$9*Table83[[#This Row],[Morning Body Temp]])</f>
        <v>254.84837078641723</v>
      </c>
      <c r="H73" s="2">
        <f>Table83[[#This Row],[Weight]]-Table7[[#This Row],[Weight v Morning Temp]]</f>
        <v>-9.0483707864172231</v>
      </c>
      <c r="I73" s="2">
        <f>Table7[[#This Row],[WMT Res]]^2</f>
        <v>81.873013888488643</v>
      </c>
      <c r="J73">
        <f>Regression!$E$10+(Regression!$E$9*Table83[[#This Row],[Morning Systolic Pressure]])</f>
        <v>255.27979544420887</v>
      </c>
      <c r="K73" s="2">
        <f>Table83[[#This Row],[Weight]]-Table7[[#This Row],[Weight v Morning Sys]]</f>
        <v>-9.479795444208861</v>
      </c>
      <c r="L73" s="2">
        <f>Table7[[#This Row],[WMS Res]]^2</f>
        <v>89.866521664043077</v>
      </c>
      <c r="M73">
        <f>Regression!$F$10+(Regression!$F$9*Table83[[#This Row],[Morning Diastolic Pressure]])</f>
        <v>255.10203989724667</v>
      </c>
      <c r="N73" s="2">
        <f>Table83[[#This Row],[Weight]]-Table7[[#This Row],[Weight v Morning Dia]]</f>
        <v>-9.302039897246658</v>
      </c>
      <c r="O73" s="2">
        <f>Table7[[#This Row],[WMD Res]]^2</f>
        <v>86.527946249968622</v>
      </c>
      <c r="P73">
        <f>Regression!$G$10+(Regression!$G$9*Table83[[#This Row],[Morning Pulse]])</f>
        <v>255.13009525621317</v>
      </c>
      <c r="Q73" s="2">
        <f>Table83[[#This Row],[Weight]]-Table7[[#This Row],[Weight v Morning Pulse]]</f>
        <v>-9.3300952562131556</v>
      </c>
      <c r="R73" s="2">
        <f>Table7[[#This Row],[WMP Res]]^2</f>
        <v>87.050677490011225</v>
      </c>
      <c r="S73">
        <f>Regression!$H$10+(Regression!$H$9*Table83[[#This Row],[Night Body Temp]])</f>
        <v>256.18654209378701</v>
      </c>
      <c r="T73" s="2">
        <f>Table83[[#This Row],[Weight]]-Table7[[#This Row],[Weight v Night Temp]]</f>
        <v>-10.386542093787</v>
      </c>
      <c r="U73" s="2">
        <f>Table7[[#This Row],[WNT Res]]^2</f>
        <v>107.88025666600923</v>
      </c>
      <c r="V73">
        <f>Regression!$I$10+(Regression!$I$9*Table83[[#This Row],[Night Systolic Pressure]])</f>
        <v>252.46717087439856</v>
      </c>
      <c r="W73" s="2">
        <f>Table83[[#This Row],[Weight]]-Table7[[#This Row],[Weight v Night Sys]]</f>
        <v>-6.6671708743985505</v>
      </c>
      <c r="X73" s="2">
        <f>Table7[[#This Row],[WNS Res]]^2</f>
        <v>44.451167468428331</v>
      </c>
      <c r="Y73">
        <f>Regression!$J$10+(Regression!$J$9*Table83[[#This Row],[Night Diastolic Pressure]])</f>
        <v>255.1330822426622</v>
      </c>
      <c r="Z73" s="2">
        <f>Table83[[#This Row],[Weight]]-Table7[[#This Row],[Weight v Night Dia]]</f>
        <v>-9.3330822426621864</v>
      </c>
      <c r="AA73" s="2">
        <f>Table7[[#This Row],[WND Res]]^2</f>
        <v>87.106424148296227</v>
      </c>
      <c r="AB73">
        <f>Regression!$K$10+(Regression!$K$9*Table83[[#This Row],[Night Pulse]])</f>
        <v>255.75513181471248</v>
      </c>
      <c r="AC73" s="2">
        <f>Table83[[#This Row],[Weight]]-Table7[[#This Row],[Weight v Night Pulse]]</f>
        <v>-9.9551318147124732</v>
      </c>
      <c r="AD73" s="2">
        <f>Table7[[#This Row],[WNP Res ]]^2</f>
        <v>99.104649448300464</v>
      </c>
      <c r="AE73">
        <f>Regression!$L$10+(Regression!$L$9*Table83[[#This Row],[Sleep]])</f>
        <v>254.97929263569441</v>
      </c>
      <c r="AF73" s="2">
        <f>Table83[[#This Row],[Weight]]-Table7[[#This Row],[Weight v Sleep]]</f>
        <v>-9.1792926356943951</v>
      </c>
      <c r="AG73" s="2">
        <f>Table7[[#This Row],[WS Res]]^2</f>
        <v>84.259413291713358</v>
      </c>
      <c r="AH73">
        <f>Regression!$M$10+(Regression!$M$9*Table83[[#This Row],[BMI]])</f>
        <v>245.80000000002084</v>
      </c>
      <c r="AI73" s="2">
        <f>Table83[[#This Row],[Weight]]-Table7[[#This Row],[Weight v BMI]]</f>
        <v>-2.0833113012486137E-11</v>
      </c>
      <c r="AJ73" s="2">
        <f>Table7[[#This Row],[WBMI Res]]^2</f>
        <v>4.3401859779101923E-22</v>
      </c>
      <c r="AK73">
        <f>Regression!$N$10+(Regression!$N$9*Table83[[#This Row],[CBF]])</f>
        <v>246.85529009284974</v>
      </c>
      <c r="AL73" s="2">
        <f>Table83[[#This Row],[Weight]]-Table7[[#This Row],[Weight v CBF]]</f>
        <v>-1.0552900928497309</v>
      </c>
      <c r="AM73" s="2">
        <f>Table7[[#This Row],[WCBF Res]]^2</f>
        <v>1.1136371800667935</v>
      </c>
      <c r="AN73">
        <f>Regression!$O$10+(Regression!$O$9*Table83[[#This Row],[Gym]])</f>
        <v>254.72962962962998</v>
      </c>
      <c r="AO73" s="2">
        <f>Table83[[#This Row],[Weight]]-Table7[[#This Row],[Weight v Gym]]</f>
        <v>-8.9296296296299715</v>
      </c>
      <c r="AP73" s="2">
        <f>Table7[[#This Row],[WG Res]]^2</f>
        <v>79.738285322365499</v>
      </c>
      <c r="AQ73">
        <f>Regression!$P$10+(Regression!$P$9*Table83[[#This Row],[Cardio]])</f>
        <v>254.19242424242461</v>
      </c>
      <c r="AR73" s="2">
        <f>Table83[[#This Row],[Weight]]-Table7[[#This Row],[Weight v Cardio]]</f>
        <v>-8.3924242424245961</v>
      </c>
      <c r="AS73" s="2">
        <f>Table7[[#This Row],[WC Res]]^2</f>
        <v>70.432784664836049</v>
      </c>
      <c r="AT73">
        <f>Regression!$Q$10+(Regression!$Q$9*Table83[[#This Row],[Calories]])</f>
        <v>253.94953780848795</v>
      </c>
      <c r="AU73" s="2">
        <f>Table83[[#This Row],[Weight]]-Table7[[#This Row],[Weight v Calories]]</f>
        <v>-8.1495378084879349</v>
      </c>
      <c r="AV73" s="2">
        <f>Table7[[#This Row],[WCAL Res]]^2</f>
        <v>66.414966491974326</v>
      </c>
      <c r="AW73">
        <f>Regression!$R$10+(Regression!$R$9*Table83[[#This Row],[Carbs]])</f>
        <v>253.7914553475394</v>
      </c>
      <c r="AX73" s="2">
        <f>Table83[[#This Row],[Weight]]-Table7[[#This Row],[Weight v Carbs]]</f>
        <v>-7.9914553475393859</v>
      </c>
      <c r="AY73" s="2">
        <f>Table7[[#This Row],[Wcarb Res]]^2</f>
        <v>63.86335857171585</v>
      </c>
      <c r="AZ73">
        <f>Regression!$S$10+(Regression!$S$9*Table83[[#This Row],[Fat ]])</f>
        <v>254.28938279634389</v>
      </c>
      <c r="BA73" s="2">
        <f>Table83[[#This Row],[Weight]]-Table7[[#This Row],[Weight v Fat]]</f>
        <v>-8.4893827963438753</v>
      </c>
      <c r="BB73" s="2">
        <f>Table7[[#This Row],[WF Res]]^2</f>
        <v>72.06962026285936</v>
      </c>
      <c r="BC73">
        <f>Regression!$T$10+(Regression!$T$9*Table83[[#This Row],[Protein]])</f>
        <v>253.7002417603961</v>
      </c>
      <c r="BD73" s="2">
        <f>Table83[[#This Row],[Weight]]-Table7[[#This Row],[Weight v Protein]]</f>
        <v>-7.9002417603960851</v>
      </c>
      <c r="BE73" s="2">
        <f>Table7[[#This Row],[WP Res]]^2</f>
        <v>62.413819872706235</v>
      </c>
      <c r="BF73">
        <f>Regression!$U$10+(Regression!$U$9*Table83[[#This Row],[Fiber]])</f>
        <v>255.14253137747232</v>
      </c>
      <c r="BG73" s="2">
        <f>Table83[[#This Row],[Weight]]-Table7[[#This Row],[Weight v Fiber]]</f>
        <v>-9.3425313774723122</v>
      </c>
      <c r="BH73" s="2">
        <f>Table7[[#This Row],[Wfib Res]]^2</f>
        <v>87.2828925390547</v>
      </c>
      <c r="BI73">
        <f>Regression!$V$10+(Regression!$V$9*Table83[[#This Row],[Sugar]])</f>
        <v>253.02620718190011</v>
      </c>
      <c r="BJ73" s="2">
        <f>Table83[[#This Row],[Weight]]-Table7[[#This Row],[Weight v Sugar]]</f>
        <v>-7.2262071819000937</v>
      </c>
      <c r="BK73" s="2">
        <f>Table7[[#This Row],[Wsugar Res]]^2</f>
        <v>52.218070235744491</v>
      </c>
      <c r="BL73">
        <f>Regression!$W$10+(Regression!$W$9*Table83[[#This Row],[Servings]])</f>
        <v>253.31980352551955</v>
      </c>
      <c r="BM73" s="2">
        <f>Table83[[#This Row],[Weight]]-Table7[[#This Row],[Weight v Servings]]</f>
        <v>-7.519803525519535</v>
      </c>
      <c r="BN73" s="2">
        <f>Table7[[#This Row],[Wserv Res]]^2</f>
        <v>56.547445062416031</v>
      </c>
      <c r="BO73">
        <f>Regression!$X$10+(Regression!$X$9*Table83[[#This Row],[Water]])</f>
        <v>255.1490819770581</v>
      </c>
      <c r="BP73" s="2">
        <f>Table83[[#This Row],[Weight]]-Table7[[#This Row],[Weight v Water]]</f>
        <v>-9.3490819770580913</v>
      </c>
      <c r="BQ73" s="2">
        <f>Table7[[#This Row],[Wwater Res]]^2</f>
        <v>87.405333813752435</v>
      </c>
      <c r="BR73">
        <f>Regression!$Y$10+(Regression!$Y$9*Table83[[#This Row],[Fat Calories]])</f>
        <v>254.23147114804451</v>
      </c>
      <c r="BS73" s="2">
        <f>Table83[[#This Row],[Weight]]-Table7[[#This Row],[Weight v Fat Calories]]</f>
        <v>-8.4314711480444942</v>
      </c>
      <c r="BT73" s="2">
        <f>Table7[[#This Row],[WFC Res]]^2</f>
        <v>71.089705720306739</v>
      </c>
      <c r="BU73">
        <f>Regression!$B$29+(Regression!$B$28*Table83[[#This Row],[Weight]])</f>
        <v>43.184248507734814</v>
      </c>
      <c r="BV73" s="2">
        <f>Table83[[#This Row],[Waist]]-Table7[[#This Row],[Waist v Weight]]</f>
        <v>-0.18424850773481438</v>
      </c>
      <c r="BW73" s="2">
        <f>Table7[[#This Row],[WaistW Res]]^2</f>
        <v>3.3947512602505954E-2</v>
      </c>
      <c r="BX73">
        <f>Regression!$C$29+(Regression!$C$28*Table83[[#This Row],[Neck]])</f>
        <v>44.175585585585594</v>
      </c>
      <c r="BY73" s="2">
        <f>Table83[[#This Row],[Waist]]-Table7[[#This Row],[Waist v Neck]]</f>
        <v>-1.1755855855855941</v>
      </c>
      <c r="BZ73" s="2">
        <f>Table7[[#This Row],[WaistN Res]]^2</f>
        <v>1.3820014690366242</v>
      </c>
      <c r="CA73">
        <f>Regression!$D$29+(Regression!$D$28*Table83[[#This Row],[Morning Body Temp]])</f>
        <v>44.381010678053698</v>
      </c>
      <c r="CB73" s="2">
        <f>Table83[[#This Row],[Waist]]-Table7[[#This Row],[Waist v Morning Temp]]</f>
        <v>-1.3810106780536984</v>
      </c>
      <c r="CC73" s="2">
        <f>Table7[[#This Row],[WaistMT Res]]^2</f>
        <v>1.9071904928983356</v>
      </c>
      <c r="CD73">
        <f>Regression!$E$29+(Regression!$E$28*Table83[[#This Row],[Morning Systolic Pressure]])</f>
        <v>44.492246348363913</v>
      </c>
      <c r="CE73" s="2">
        <f>Table83[[#This Row],[Waist]]-Table7[[#This Row],[Waist v Morning Sys]]</f>
        <v>-1.4922463483639135</v>
      </c>
      <c r="CF73" s="2">
        <f>Table7[[#This Row],[WaistMS Res]]^2</f>
        <v>2.2267991642054343</v>
      </c>
      <c r="CG73">
        <f>Regression!$F$29+(Regression!$F$28*Table83[[#This Row],[Morning Diastolic Pressure]])</f>
        <v>44.452816668144258</v>
      </c>
      <c r="CH73" s="2">
        <f>Table83[[#This Row],[Waist]]-Table7[[#This Row],[Waist v Morning Dia]]</f>
        <v>-1.4528166681442585</v>
      </c>
      <c r="CI73" s="2">
        <f>Table7[[#This Row],[WaistMD Res]]^2</f>
        <v>2.1106762712377845</v>
      </c>
      <c r="CJ73">
        <f>Regression!$G$29+(Regression!$G$28*Table83[[#This Row],[Morning Pulse]])</f>
        <v>44.460452718095105</v>
      </c>
      <c r="CK73" s="2">
        <f>Table83[[#This Row],[Waist]]-Table7[[#This Row],[Waist v Morning Pulse]]</f>
        <v>-1.4604527180951052</v>
      </c>
      <c r="CL73" s="2">
        <f>Table7[[#This Row],[WaistMP Res]]^2</f>
        <v>2.1329221417913811</v>
      </c>
      <c r="CM73">
        <f>Regression!$H$29+(Regression!$H$28*Table83[[#This Row],[Night Body Temp]])</f>
        <v>44.538020116512925</v>
      </c>
      <c r="CN73" s="2">
        <f>Table83[[#This Row],[Waist]]-Table7[[#This Row],[Waist v Night Temp]]</f>
        <v>-1.538020116512925</v>
      </c>
      <c r="CO73" s="2">
        <f>Table7[[#This Row],[WaistNT Res]]^2</f>
        <v>2.3655058787984315</v>
      </c>
      <c r="CP73">
        <f>Regression!$I$29+(Regression!$I$28*Table83[[#This Row],[Night Systolic Pressure]])</f>
        <v>44.07845634283926</v>
      </c>
      <c r="CQ73" s="2">
        <f>Table83[[#This Row],[Waist]]-Table7[[#This Row],[Waist v  Night Sys]]</f>
        <v>-1.0784563428392602</v>
      </c>
      <c r="CR73" s="2">
        <f>Table7[[#This Row],[WaistNS Res]]^2</f>
        <v>1.1630680834102318</v>
      </c>
      <c r="CS73">
        <f>Regression!$J$29+(Regression!$J$28*Table83[[#This Row],[Night Diastolic Pressure]])</f>
        <v>44.461092011153731</v>
      </c>
      <c r="CT73" s="2">
        <f>Table83[[#This Row],[Waist]]-Table7[[#This Row],[Waist v Night Dia]]</f>
        <v>-1.4610920111537311</v>
      </c>
      <c r="CU73" s="2">
        <f>Table7[[#This Row],[WaistND Res]]^2</f>
        <v>2.1347898650572548</v>
      </c>
      <c r="CV73">
        <f>Regression!$K$29+(Regression!$K$28*Table83[[#This Row],[Night Pulse]])</f>
        <v>44.394003207413071</v>
      </c>
      <c r="CW73" s="2">
        <f>Table83[[#This Row],[Waist]]-Table7[[#This Row],[Waist v Night Pulse]]</f>
        <v>-1.3940032074130713</v>
      </c>
      <c r="CX73" s="2">
        <f>Table7[[#This Row],[WaistNP Res]]^2</f>
        <v>1.9432449422779301</v>
      </c>
      <c r="CY73">
        <f>Regression!$L$29+(Regression!$L$28*Table83[[#This Row],[Sleep]])</f>
        <v>44.432842368860271</v>
      </c>
      <c r="CZ73" s="2">
        <f>Table83[[#This Row],[Waist]]-Table7[[#This Row],[Waist v  Sleep]]</f>
        <v>-1.4328423688602712</v>
      </c>
      <c r="DA73" s="2">
        <f>Table7[[#This Row],[WaistS Res]]^2</f>
        <v>2.0530372540011133</v>
      </c>
      <c r="DB73">
        <f>Regression!$M$29+(Regression!$M$28*Table83[[#This Row],[BMI]])</f>
        <v>43.184248507738843</v>
      </c>
      <c r="DC73" s="2">
        <f>Table83[[#This Row],[Waist]]-Table7[[#This Row],[Waist v BMI]]</f>
        <v>-0.18424850773884316</v>
      </c>
      <c r="DD73" s="2">
        <f>Table7[[#This Row],[WaistBMI Res]]^2</f>
        <v>3.3947512603990544E-2</v>
      </c>
      <c r="DE73">
        <f>Regression!$N$29+(Regression!$N$28*Table83[[#This Row],[CBF]])</f>
        <v>42.966198760667851</v>
      </c>
      <c r="DF73" s="2">
        <f>Table83[[#This Row],[Waist]]-Table7[[#This Row],[Waist v  CBF]]</f>
        <v>3.380123933214918E-2</v>
      </c>
      <c r="DG73" s="2">
        <f>Table7[[#This Row],[WaistCBF Res]]^2</f>
        <v>1.1425237803892288E-3</v>
      </c>
      <c r="DH73">
        <f>Regression!$O$29+(Regression!$O$28*Table83[[#This Row],[Gym]])</f>
        <v>44.347222222222221</v>
      </c>
      <c r="DI73" s="2">
        <f>Table83[[#This Row],[Waist]]-Table7[[#This Row],[Waist v  Gym]]</f>
        <v>-1.3472222222222214</v>
      </c>
      <c r="DJ73" s="2">
        <f>Table7[[#This Row],[WaistGYM Res]]^2</f>
        <v>1.8150077160493805</v>
      </c>
      <c r="DK73">
        <f>Regression!$P$29+(Regression!$P$28*Table83[[#This Row],[Cardio]])</f>
        <v>44.291666666666664</v>
      </c>
      <c r="DL73" s="2">
        <f>Table83[[#This Row],[Waist]]-Table7[[#This Row],[Waist v Cardio]]</f>
        <v>-1.2916666666666643</v>
      </c>
      <c r="DM73" s="2">
        <f>Table7[[#This Row],[WaistC Res]]^2</f>
        <v>1.6684027777777717</v>
      </c>
      <c r="DN73">
        <f>Regression!$Q$29+(Regression!$Q$28*Table83[[#This Row],[Calories]])</f>
        <v>44.191676376638092</v>
      </c>
      <c r="DO73" s="2">
        <f>Table83[[#This Row],[Waist]]-Table7[[#This Row],[Waist v Calories]]</f>
        <v>-1.1916763766380924</v>
      </c>
      <c r="DP73" s="2">
        <f>Table7[[#This Row],[WaistCal Res]]^2</f>
        <v>1.4200925866372929</v>
      </c>
      <c r="DQ73">
        <f>Regression!$R$29+(Regression!$R$28*Table83[[#This Row],[Carbs]])</f>
        <v>44.177976719317485</v>
      </c>
      <c r="DR73" s="2">
        <f>Table83[[#This Row],[Waist]]-Table7[[#This Row],[Waist v Carbs]]</f>
        <v>-1.1779767193174848</v>
      </c>
      <c r="DS73" s="2">
        <f>Table7[[#This Row],[WaistCarb Res]]^2</f>
        <v>1.3876291512539844</v>
      </c>
      <c r="DT73">
        <f>Regression!$S$29+(Regression!$S$28*Table83[[#This Row],[Fat ]])</f>
        <v>44.201152590536488</v>
      </c>
      <c r="DU73" s="2">
        <f>Table83[[#This Row],[Waist]]-Table7[[#This Row],[Waist v Fat]]</f>
        <v>-1.2011525905364877</v>
      </c>
      <c r="DV73" s="2">
        <f>Table7[[#This Row],[WaistF Res]]^2</f>
        <v>1.4427675457525153</v>
      </c>
      <c r="DW73">
        <f>Regression!$T$29+(Regression!$T$28*Table83[[#This Row],[Protein]])</f>
        <v>44.194578412923917</v>
      </c>
      <c r="DX73" s="2">
        <f>Table83[[#This Row],[Waist]]-Table7[[#This Row],[Waist v Protein]]</f>
        <v>-1.1945784129239172</v>
      </c>
      <c r="DY73" s="2">
        <f>Table7[[#This Row],[WaistP Res]]^2</f>
        <v>1.4270175846238249</v>
      </c>
      <c r="DZ73">
        <f>Regression!$U$29+(Regression!$U$28*Table83[[#This Row],[Fiber]])</f>
        <v>44.464146005560494</v>
      </c>
      <c r="EA73" s="2">
        <f>Table83[[#This Row],[Waist]]-Table7[[#This Row],[Waist v Fiber]]</f>
        <v>-1.4641460055604938</v>
      </c>
      <c r="EB73" s="2">
        <f>Table7[[#This Row],[WaistFib Res]]^2</f>
        <v>2.1437235255987495</v>
      </c>
      <c r="EC73">
        <f>Regression!$V$29+(Regression!$V$28*Table83[[#This Row],[Sugar]])</f>
        <v>44.078303540978148</v>
      </c>
      <c r="ED73" s="2">
        <f>Table83[[#This Row],[Waist]]-Table7[[#This Row],[Waist v Sugar]]</f>
        <v>-1.0783035409781476</v>
      </c>
      <c r="EE73" s="2">
        <f>Table7[[#This Row],[WaistSugar Res]]^2</f>
        <v>1.1627385264860117</v>
      </c>
      <c r="EF73">
        <f>Regression!$W$29+(Regression!$W$28*Table83[[#This Row],[Servings]])</f>
        <v>44.179615997492817</v>
      </c>
      <c r="EG73" s="2">
        <f>Table83[[#This Row],[Waist]]-Table7[[#This Row],[Waist v Servings]]</f>
        <v>-1.1796159974928173</v>
      </c>
      <c r="EH73" s="2">
        <f>Table7[[#This Row],[WaistServ Res]]^2</f>
        <v>1.3914939015409744</v>
      </c>
      <c r="EI73">
        <f>Regression!$X$29+(Regression!$X$28*Table83[[#This Row],[Water]])</f>
        <v>44.497966229663206</v>
      </c>
      <c r="EJ73" s="2">
        <f>Table83[[#This Row],[Waist]]-Table7[[#This Row],[Waist v Water]]</f>
        <v>-1.4979662296632057</v>
      </c>
      <c r="EK73" s="2">
        <f>Table7[[#This Row],[WaistWat Res]]^2</f>
        <v>2.2439028252113999</v>
      </c>
      <c r="EL73">
        <f>Regression!$Y$29+(Regression!$Y$28*Table83[[#This Row],[Fat Calories]])</f>
        <v>44.184819825056145</v>
      </c>
      <c r="EM73" s="2">
        <f>Table83[[#This Row],[Waist]]-Table7[[#This Row],[Waist v Fat Calories]]</f>
        <v>-1.1848198250561452</v>
      </c>
      <c r="EN73" s="2">
        <f>Table7[[#This Row],[WaistFatCal Res]]^2</f>
        <v>1.4037980178460747</v>
      </c>
    </row>
    <row r="74" spans="1:144" x14ac:dyDescent="0.25">
      <c r="A74">
        <f>Regression!$B$10+(Regression!$B$9*Table83[[#This Row],[Waist]])</f>
        <v>246.8183038076352</v>
      </c>
      <c r="B74" s="2">
        <f>Table83[[#This Row],[Weight]]-Table7[[#This Row],[Weight v Waist]]</f>
        <v>5.1816961923647966</v>
      </c>
      <c r="C74" s="2">
        <f>Table7[[#This Row],[Weight v Waist Res]]^2</f>
        <v>26.849975429967831</v>
      </c>
      <c r="D74">
        <f>Regression!$C$10+(Regression!$C$9*Table83[[#This Row],[Neck]])</f>
        <v>253.29286486487842</v>
      </c>
      <c r="E74" s="2">
        <f>Table83[[#This Row],[Weight]]-Table7[[#This Row],[Weight v Neck]]</f>
        <v>-1.2928648648784247</v>
      </c>
      <c r="F74" s="2">
        <f>Table7[[#This Row],[WN Res]]^2</f>
        <v>1.6714995588371073</v>
      </c>
      <c r="G74">
        <f>Regression!$D$10+(Regression!$D$9*Table83[[#This Row],[Morning Body Temp]])</f>
        <v>255.05956644908434</v>
      </c>
      <c r="H74" s="2">
        <f>Table83[[#This Row],[Weight]]-Table7[[#This Row],[Weight v Morning Temp]]</f>
        <v>-3.0595664490843433</v>
      </c>
      <c r="I74" s="2">
        <f>Table7[[#This Row],[WMT Res]]^2</f>
        <v>9.3609468563625775</v>
      </c>
      <c r="J74">
        <f>Regression!$E$10+(Regression!$E$9*Table83[[#This Row],[Morning Systolic Pressure]])</f>
        <v>255.14456383261873</v>
      </c>
      <c r="K74" s="2">
        <f>Table83[[#This Row],[Weight]]-Table7[[#This Row],[Weight v Morning Sys]]</f>
        <v>-3.1445638326187293</v>
      </c>
      <c r="L74" s="2">
        <f>Table7[[#This Row],[WMS Res]]^2</f>
        <v>9.8882816974137917</v>
      </c>
      <c r="M74">
        <f>Regression!$F$10+(Regression!$F$9*Table83[[#This Row],[Morning Diastolic Pressure]])</f>
        <v>255.00069564820177</v>
      </c>
      <c r="N74" s="2">
        <f>Table83[[#This Row],[Weight]]-Table7[[#This Row],[Weight v Morning Dia]]</f>
        <v>-3.0006956482017699</v>
      </c>
      <c r="O74" s="2">
        <f>Table7[[#This Row],[WMD Res]]^2</f>
        <v>9.0041743731370403</v>
      </c>
      <c r="P74">
        <f>Regression!$G$10+(Regression!$G$9*Table83[[#This Row],[Morning Pulse]])</f>
        <v>255.12095627742721</v>
      </c>
      <c r="Q74" s="2">
        <f>Table83[[#This Row],[Weight]]-Table7[[#This Row],[Weight v Morning Pulse]]</f>
        <v>-3.1209562774272115</v>
      </c>
      <c r="R74" s="2">
        <f>Table7[[#This Row],[WMP Res]]^2</f>
        <v>9.7403680856123174</v>
      </c>
      <c r="S74">
        <f>Regression!$H$10+(Regression!$H$9*Table83[[#This Row],[Night Body Temp]])</f>
        <v>255.05687981848845</v>
      </c>
      <c r="T74" s="2">
        <f>Table83[[#This Row],[Weight]]-Table7[[#This Row],[Weight v Night Temp]]</f>
        <v>-3.0568798184884542</v>
      </c>
      <c r="U74" s="2">
        <f>Table7[[#This Row],[WNT Res]]^2</f>
        <v>9.3445142246820048</v>
      </c>
      <c r="V74">
        <f>Regression!$I$10+(Regression!$I$9*Table83[[#This Row],[Night Systolic Pressure]])</f>
        <v>255.03329172511027</v>
      </c>
      <c r="W74" s="2">
        <f>Table83[[#This Row],[Weight]]-Table7[[#This Row],[Weight v Night Sys]]</f>
        <v>-3.0332917251102742</v>
      </c>
      <c r="X74" s="2">
        <f>Table7[[#This Row],[WNS Res]]^2</f>
        <v>9.2008586896224642</v>
      </c>
      <c r="Y74">
        <f>Regression!$J$10+(Regression!$J$9*Table83[[#This Row],[Night Diastolic Pressure]])</f>
        <v>255.1330822426622</v>
      </c>
      <c r="Z74" s="2">
        <f>Table83[[#This Row],[Weight]]-Table7[[#This Row],[Weight v Night Dia]]</f>
        <v>-3.1330822426621978</v>
      </c>
      <c r="AA74" s="2">
        <f>Table7[[#This Row],[WND Res]]^2</f>
        <v>9.8162043392851874</v>
      </c>
      <c r="AB74">
        <f>Regression!$K$10+(Regression!$K$9*Table83[[#This Row],[Night Pulse]])</f>
        <v>255.07943852750452</v>
      </c>
      <c r="AC74" s="2">
        <f>Table83[[#This Row],[Weight]]-Table7[[#This Row],[Weight v Night Pulse]]</f>
        <v>-3.0794385275045215</v>
      </c>
      <c r="AD74" s="2">
        <f>Table7[[#This Row],[WNP Res ]]^2</f>
        <v>9.4829416446792152</v>
      </c>
      <c r="AE74">
        <f>Regression!$L$10+(Regression!$L$9*Table83[[#This Row],[Sleep]])</f>
        <v>254.50608136063369</v>
      </c>
      <c r="AF74" s="2">
        <f>Table83[[#This Row],[Weight]]-Table7[[#This Row],[Weight v Sleep]]</f>
        <v>-2.5060813606336865</v>
      </c>
      <c r="AG74" s="2">
        <f>Table7[[#This Row],[WS Res]]^2</f>
        <v>6.2804437861155895</v>
      </c>
      <c r="AH74">
        <f>Regression!$M$10+(Regression!$M$9*Table83[[#This Row],[BMI]])</f>
        <v>252.00000000000696</v>
      </c>
      <c r="AI74" s="2">
        <f>Table83[[#This Row],[Weight]]-Table7[[#This Row],[Weight v BMI]]</f>
        <v>-6.9633188104489818E-12</v>
      </c>
      <c r="AJ74" s="2">
        <f>Table7[[#This Row],[WBMI Res]]^2</f>
        <v>4.8487808855952623E-23</v>
      </c>
      <c r="AK74">
        <f>Regression!$N$10+(Regression!$N$9*Table83[[#This Row],[CBF]])</f>
        <v>246.85529009284974</v>
      </c>
      <c r="AL74" s="2">
        <f>Table83[[#This Row],[Weight]]-Table7[[#This Row],[Weight v CBF]]</f>
        <v>5.1447099071502578</v>
      </c>
      <c r="AM74" s="2">
        <f>Table7[[#This Row],[WCBF Res]]^2</f>
        <v>26.468040028730012</v>
      </c>
      <c r="AN74">
        <f>Regression!$O$10+(Regression!$O$9*Table83[[#This Row],[Gym]])</f>
        <v>254.72962962962998</v>
      </c>
      <c r="AO74" s="2">
        <f>Table83[[#This Row],[Weight]]-Table7[[#This Row],[Weight v Gym]]</f>
        <v>-2.7296296296299829</v>
      </c>
      <c r="AP74" s="2">
        <f>Table7[[#This Row],[WG Res]]^2</f>
        <v>7.4508779149539173</v>
      </c>
      <c r="AQ74">
        <f>Regression!$P$10+(Regression!$P$9*Table83[[#This Row],[Cardio]])</f>
        <v>254.19242424242461</v>
      </c>
      <c r="AR74" s="2">
        <f>Table83[[#This Row],[Weight]]-Table7[[#This Row],[Weight v Cardio]]</f>
        <v>-2.1924242424246074</v>
      </c>
      <c r="AS74" s="2">
        <f>Table7[[#This Row],[WC Res]]^2</f>
        <v>4.8067240587711142</v>
      </c>
      <c r="AT74">
        <f>Regression!$Q$10+(Regression!$Q$9*Table83[[#This Row],[Calories]])</f>
        <v>255.7074196891879</v>
      </c>
      <c r="AU74" s="2">
        <f>Table83[[#This Row],[Weight]]-Table7[[#This Row],[Weight v Calories]]</f>
        <v>-3.7074196891879012</v>
      </c>
      <c r="AV74" s="2">
        <f>Table7[[#This Row],[WCAL Res]]^2</f>
        <v>13.744960751778114</v>
      </c>
      <c r="AW74">
        <f>Regression!$R$10+(Regression!$R$9*Table83[[#This Row],[Carbs]])</f>
        <v>255.90085385597044</v>
      </c>
      <c r="AX74" s="2">
        <f>Table83[[#This Row],[Weight]]-Table7[[#This Row],[Weight v Carbs]]</f>
        <v>-3.9008538559704391</v>
      </c>
      <c r="AY74" s="2">
        <f>Table7[[#This Row],[Wcarb Res]]^2</f>
        <v>15.216660805639442</v>
      </c>
      <c r="AZ74">
        <f>Regression!$S$10+(Regression!$S$9*Table83[[#This Row],[Fat ]])</f>
        <v>255.32075819292126</v>
      </c>
      <c r="BA74" s="2">
        <f>Table83[[#This Row],[Weight]]-Table7[[#This Row],[Weight v Fat]]</f>
        <v>-3.3207581929212608</v>
      </c>
      <c r="BB74" s="2">
        <f>Table7[[#This Row],[WF Res]]^2</f>
        <v>11.027434975853678</v>
      </c>
      <c r="BC74">
        <f>Regression!$T$10+(Regression!$T$9*Table83[[#This Row],[Protein]])</f>
        <v>255.79547120542614</v>
      </c>
      <c r="BD74" s="2">
        <f>Table83[[#This Row],[Weight]]-Table7[[#This Row],[Weight v Protein]]</f>
        <v>-3.7954712054261392</v>
      </c>
      <c r="BE74" s="2">
        <f>Table7[[#This Row],[WP Res]]^2</f>
        <v>14.405601671218951</v>
      </c>
      <c r="BF74">
        <f>Regression!$U$10+(Regression!$U$9*Table83[[#This Row],[Fiber]])</f>
        <v>254.97065345590576</v>
      </c>
      <c r="BG74" s="2">
        <f>Table83[[#This Row],[Weight]]-Table7[[#This Row],[Weight v Fiber]]</f>
        <v>-2.9706534559057616</v>
      </c>
      <c r="BH74" s="2">
        <f>Table7[[#This Row],[Wfib Res]]^2</f>
        <v>8.8247819550848448</v>
      </c>
      <c r="BI74">
        <f>Regression!$V$10+(Regression!$V$9*Table83[[#This Row],[Sugar]])</f>
        <v>256.67012319813483</v>
      </c>
      <c r="BJ74" s="2">
        <f>Table83[[#This Row],[Weight]]-Table7[[#This Row],[Weight v Sugar]]</f>
        <v>-4.6701231981348315</v>
      </c>
      <c r="BK74" s="2">
        <f>Table7[[#This Row],[Wsugar Res]]^2</f>
        <v>21.810050685757105</v>
      </c>
      <c r="BL74">
        <f>Regression!$W$10+(Regression!$W$9*Table83[[#This Row],[Servings]])</f>
        <v>257.00468239886987</v>
      </c>
      <c r="BM74" s="2">
        <f>Table83[[#This Row],[Weight]]-Table7[[#This Row],[Weight v Servings]]</f>
        <v>-5.0046823988698748</v>
      </c>
      <c r="BN74" s="2">
        <f>Table7[[#This Row],[Wserv Res]]^2</f>
        <v>25.046845913557924</v>
      </c>
      <c r="BO74">
        <f>Regression!$X$10+(Regression!$X$9*Table83[[#This Row],[Water]])</f>
        <v>255.06345001025522</v>
      </c>
      <c r="BP74" s="2">
        <f>Table83[[#This Row],[Weight]]-Table7[[#This Row],[Weight v Water]]</f>
        <v>-3.0634500102552238</v>
      </c>
      <c r="BQ74" s="2">
        <f>Table7[[#This Row],[Wwater Res]]^2</f>
        <v>9.3847259653327306</v>
      </c>
      <c r="BR74">
        <f>Regression!$Y$10+(Regression!$Y$9*Table83[[#This Row],[Fat Calories]])</f>
        <v>255.32911403173139</v>
      </c>
      <c r="BS74" s="2">
        <f>Table83[[#This Row],[Weight]]-Table7[[#This Row],[Weight v Fat Calories]]</f>
        <v>-3.3291140317313932</v>
      </c>
      <c r="BT74" s="2">
        <f>Table7[[#This Row],[WFC Res]]^2</f>
        <v>11.083000236270852</v>
      </c>
      <c r="BU74">
        <f>Regression!$B$29+(Regression!$B$28*Table83[[#This Row],[Weight]])</f>
        <v>44.029076073268705</v>
      </c>
      <c r="BV74" s="2">
        <f>Table83[[#This Row],[Waist]]-Table7[[#This Row],[Waist v Weight]]</f>
        <v>-1.0290760732687048</v>
      </c>
      <c r="BW74" s="2">
        <f>Table7[[#This Row],[WaistW Res]]^2</f>
        <v>1.0589975645741365</v>
      </c>
      <c r="BX74">
        <f>Regression!$C$29+(Regression!$C$28*Table83[[#This Row],[Neck]])</f>
        <v>44.175585585585594</v>
      </c>
      <c r="BY74" s="2">
        <f>Table83[[#This Row],[Waist]]-Table7[[#This Row],[Waist v Neck]]</f>
        <v>-1.1755855855855941</v>
      </c>
      <c r="BZ74" s="2">
        <f>Table7[[#This Row],[WaistN Res]]^2</f>
        <v>1.3820014690366242</v>
      </c>
      <c r="CA74">
        <f>Regression!$D$29+(Regression!$D$28*Table83[[#This Row],[Morning Body Temp]])</f>
        <v>44.438451117581323</v>
      </c>
      <c r="CB74" s="2">
        <f>Table83[[#This Row],[Waist]]-Table7[[#This Row],[Waist v Morning Temp]]</f>
        <v>-1.438451117581323</v>
      </c>
      <c r="CC74" s="2">
        <f>Table7[[#This Row],[WaistMT Res]]^2</f>
        <v>2.0691416176709572</v>
      </c>
      <c r="CD74">
        <f>Regression!$E$29+(Regression!$E$28*Table83[[#This Row],[Morning Systolic Pressure]])</f>
        <v>44.460475132636631</v>
      </c>
      <c r="CE74" s="2">
        <f>Table83[[#This Row],[Waist]]-Table7[[#This Row],[Waist v Morning Sys]]</f>
        <v>-1.4604751326366312</v>
      </c>
      <c r="CF74" s="2">
        <f>Table7[[#This Row],[WaistMS Res]]^2</f>
        <v>2.1329876130499854</v>
      </c>
      <c r="CG74">
        <f>Regression!$F$29+(Regression!$F$28*Table83[[#This Row],[Morning Diastolic Pressure]])</f>
        <v>44.447181047475404</v>
      </c>
      <c r="CH74" s="2">
        <f>Table83[[#This Row],[Waist]]-Table7[[#This Row],[Waist v Morning Dia]]</f>
        <v>-1.4471810474754037</v>
      </c>
      <c r="CI74" s="2">
        <f>Table7[[#This Row],[WaistMD Res]]^2</f>
        <v>2.0943329841720066</v>
      </c>
      <c r="CJ74">
        <f>Regression!$G$29+(Regression!$G$28*Table83[[#This Row],[Morning Pulse]])</f>
        <v>44.456255205227038</v>
      </c>
      <c r="CK74" s="2">
        <f>Table83[[#This Row],[Waist]]-Table7[[#This Row],[Waist v Morning Pulse]]</f>
        <v>-1.4562552052270377</v>
      </c>
      <c r="CL74" s="2">
        <f>Table7[[#This Row],[WaistMP Res]]^2</f>
        <v>2.1206792227508418</v>
      </c>
      <c r="CM74">
        <f>Regression!$H$29+(Regression!$H$28*Table83[[#This Row],[Night Body Temp]])</f>
        <v>44.448953954659181</v>
      </c>
      <c r="CN74" s="2">
        <f>Table83[[#This Row],[Waist]]-Table7[[#This Row],[Waist v Night Temp]]</f>
        <v>-1.4489539546591814</v>
      </c>
      <c r="CO74" s="2">
        <f>Table7[[#This Row],[WaistNT Res]]^2</f>
        <v>2.0994675627224813</v>
      </c>
      <c r="CP74">
        <f>Regression!$I$29+(Regression!$I$28*Table83[[#This Row],[Night Systolic Pressure]])</f>
        <v>44.441959200979596</v>
      </c>
      <c r="CQ74" s="2">
        <f>Table83[[#This Row],[Waist]]-Table7[[#This Row],[Waist v  Night Sys]]</f>
        <v>-1.4419592009795963</v>
      </c>
      <c r="CR74" s="2">
        <f>Table7[[#This Row],[WaistNS Res]]^2</f>
        <v>2.0792463372897156</v>
      </c>
      <c r="CS74">
        <f>Regression!$J$29+(Regression!$J$28*Table83[[#This Row],[Night Diastolic Pressure]])</f>
        <v>44.461092011153731</v>
      </c>
      <c r="CT74" s="2">
        <f>Table83[[#This Row],[Waist]]-Table7[[#This Row],[Waist v Night Dia]]</f>
        <v>-1.4610920111537311</v>
      </c>
      <c r="CU74" s="2">
        <f>Table7[[#This Row],[WaistND Res]]^2</f>
        <v>2.1347898650572548</v>
      </c>
      <c r="CV74">
        <f>Regression!$K$29+(Regression!$K$28*Table83[[#This Row],[Night Pulse]])</f>
        <v>44.456851626254306</v>
      </c>
      <c r="CW74" s="2">
        <f>Table83[[#This Row],[Waist]]-Table7[[#This Row],[Waist v Night Pulse]]</f>
        <v>-1.4568516262543056</v>
      </c>
      <c r="CX74" s="2">
        <f>Table7[[#This Row],[WaistNP Res]]^2</f>
        <v>2.1224166609198152</v>
      </c>
      <c r="CY74">
        <f>Regression!$L$29+(Regression!$L$28*Table83[[#This Row],[Sleep]])</f>
        <v>44.360693916866794</v>
      </c>
      <c r="CZ74" s="2">
        <f>Table83[[#This Row],[Waist]]-Table7[[#This Row],[Waist v  Sleep]]</f>
        <v>-1.3606939168667935</v>
      </c>
      <c r="DA74" s="2">
        <f>Table7[[#This Row],[WaistS Res]]^2</f>
        <v>1.8514879353982965</v>
      </c>
      <c r="DB74">
        <f>Regression!$M$29+(Regression!$M$28*Table83[[#This Row],[BMI]])</f>
        <v>44.029076073270048</v>
      </c>
      <c r="DC74" s="2">
        <f>Table83[[#This Row],[Waist]]-Table7[[#This Row],[Waist v BMI]]</f>
        <v>-1.0290760732700477</v>
      </c>
      <c r="DD74" s="2">
        <f>Table7[[#This Row],[WaistBMI Res]]^2</f>
        <v>1.0589975645769005</v>
      </c>
      <c r="DE74">
        <f>Regression!$N$29+(Regression!$N$28*Table83[[#This Row],[CBF]])</f>
        <v>42.966198760667851</v>
      </c>
      <c r="DF74" s="2">
        <f>Table83[[#This Row],[Waist]]-Table7[[#This Row],[Waist v  CBF]]</f>
        <v>3.380123933214918E-2</v>
      </c>
      <c r="DG74" s="2">
        <f>Table7[[#This Row],[WaistCBF Res]]^2</f>
        <v>1.1425237803892288E-3</v>
      </c>
      <c r="DH74">
        <f>Regression!$O$29+(Regression!$O$28*Table83[[#This Row],[Gym]])</f>
        <v>44.347222222222221</v>
      </c>
      <c r="DI74" s="2">
        <f>Table83[[#This Row],[Waist]]-Table7[[#This Row],[Waist v  Gym]]</f>
        <v>-1.3472222222222214</v>
      </c>
      <c r="DJ74" s="2">
        <f>Table7[[#This Row],[WaistGYM Res]]^2</f>
        <v>1.8150077160493805</v>
      </c>
      <c r="DK74">
        <f>Regression!$P$29+(Regression!$P$28*Table83[[#This Row],[Cardio]])</f>
        <v>44.291666666666664</v>
      </c>
      <c r="DL74" s="2">
        <f>Table83[[#This Row],[Waist]]-Table7[[#This Row],[Waist v Cardio]]</f>
        <v>-1.2916666666666643</v>
      </c>
      <c r="DM74" s="2">
        <f>Table7[[#This Row],[WaistC Res]]^2</f>
        <v>1.6684027777777717</v>
      </c>
      <c r="DN74">
        <f>Regression!$Q$29+(Regression!$Q$28*Table83[[#This Row],[Calories]])</f>
        <v>44.586633446003866</v>
      </c>
      <c r="DO74" s="2">
        <f>Table83[[#This Row],[Waist]]-Table7[[#This Row],[Waist v Calories]]</f>
        <v>-1.5866334460038658</v>
      </c>
      <c r="DP74" s="2">
        <f>Table7[[#This Row],[WaistCal Res]]^2</f>
        <v>2.517405691978102</v>
      </c>
      <c r="DQ74">
        <f>Regression!$R$29+(Regression!$R$28*Table83[[#This Row],[Carbs]])</f>
        <v>44.617140571323276</v>
      </c>
      <c r="DR74" s="2">
        <f>Table83[[#This Row],[Waist]]-Table7[[#This Row],[Waist v Carbs]]</f>
        <v>-1.6171405713232758</v>
      </c>
      <c r="DS74" s="2">
        <f>Table7[[#This Row],[WaistCarb Res]]^2</f>
        <v>2.615143627419771</v>
      </c>
      <c r="DT74">
        <f>Regression!$S$29+(Regression!$S$28*Table83[[#This Row],[Fat ]])</f>
        <v>44.516422222571528</v>
      </c>
      <c r="DU74" s="2">
        <f>Table83[[#This Row],[Waist]]-Table7[[#This Row],[Waist v Fat]]</f>
        <v>-1.5164222225715278</v>
      </c>
      <c r="DV74" s="2">
        <f>Table7[[#This Row],[WaistF Res]]^2</f>
        <v>2.2995363571087721</v>
      </c>
      <c r="DW74">
        <f>Regression!$T$29+(Regression!$T$28*Table83[[#This Row],[Protein]])</f>
        <v>44.578083231703779</v>
      </c>
      <c r="DX74" s="2">
        <f>Table83[[#This Row],[Waist]]-Table7[[#This Row],[Waist v Protein]]</f>
        <v>-1.5780832317037792</v>
      </c>
      <c r="DY74" s="2">
        <f>Table7[[#This Row],[WaistP Res]]^2</f>
        <v>2.4903466861846435</v>
      </c>
      <c r="DZ74">
        <f>Regression!$U$29+(Regression!$U$28*Table83[[#This Row],[Fiber]])</f>
        <v>44.397825198926441</v>
      </c>
      <c r="EA74" s="2">
        <f>Table83[[#This Row],[Waist]]-Table7[[#This Row],[Waist v Fiber]]</f>
        <v>-1.3978251989264407</v>
      </c>
      <c r="EB74" s="2">
        <f>Table7[[#This Row],[WaistFib Res]]^2</f>
        <v>1.9539152867537437</v>
      </c>
      <c r="EC74">
        <f>Regression!$V$29+(Regression!$V$28*Table83[[#This Row],[Sugar]])</f>
        <v>44.732892412601295</v>
      </c>
      <c r="ED74" s="2">
        <f>Table83[[#This Row],[Waist]]-Table7[[#This Row],[Waist v Sugar]]</f>
        <v>-1.732892412601295</v>
      </c>
      <c r="EE74" s="2">
        <f>Table7[[#This Row],[WaistSugar Res]]^2</f>
        <v>3.0029161136511369</v>
      </c>
      <c r="EF74">
        <f>Regression!$W$29+(Regression!$W$28*Table83[[#This Row],[Servings]])</f>
        <v>44.741867123501137</v>
      </c>
      <c r="EG74" s="2">
        <f>Table83[[#This Row],[Waist]]-Table7[[#This Row],[Waist v Servings]]</f>
        <v>-1.7418671235011374</v>
      </c>
      <c r="EH74" s="2">
        <f>Table7[[#This Row],[WaistServ Res]]^2</f>
        <v>3.0341010759341267</v>
      </c>
      <c r="EI74">
        <f>Regression!$X$29+(Regression!$X$28*Table83[[#This Row],[Water]])</f>
        <v>44.386198474840633</v>
      </c>
      <c r="EJ74" s="2">
        <f>Table83[[#This Row],[Waist]]-Table7[[#This Row],[Waist v Water]]</f>
        <v>-1.3861984748406329</v>
      </c>
      <c r="EK74" s="2">
        <f>Table7[[#This Row],[WaistWat Res]]^2</f>
        <v>1.9215462116504967</v>
      </c>
      <c r="EL74">
        <f>Regression!$Y$29+(Regression!$Y$28*Table83[[#This Row],[Fat Calories]])</f>
        <v>44.518644602590491</v>
      </c>
      <c r="EM74" s="2">
        <f>Table83[[#This Row],[Waist]]-Table7[[#This Row],[Waist v Fat Calories]]</f>
        <v>-1.5186446025904914</v>
      </c>
      <c r="EN74" s="2">
        <f>Table7[[#This Row],[WaistFatCal Res]]^2</f>
        <v>2.3062814289772313</v>
      </c>
    </row>
    <row r="75" spans="1:144" x14ac:dyDescent="0.25">
      <c r="A75">
        <f>Regression!$B$10+(Regression!$B$9*Table83[[#This Row],[Waist]])</f>
        <v>246.8183038076352</v>
      </c>
      <c r="B75" s="2">
        <f>Table83[[#This Row],[Weight]]-Table7[[#This Row],[Weight v Waist]]</f>
        <v>5.1816961923647966</v>
      </c>
      <c r="C75" s="2">
        <f>Table7[[#This Row],[Weight v Waist Res]]^2</f>
        <v>26.849975429967831</v>
      </c>
      <c r="D75">
        <f>Regression!$C$10+(Regression!$C$9*Table83[[#This Row],[Neck]])</f>
        <v>253.29286486487842</v>
      </c>
      <c r="E75" s="2">
        <f>Table83[[#This Row],[Weight]]-Table7[[#This Row],[Weight v Neck]]</f>
        <v>-1.2928648648784247</v>
      </c>
      <c r="F75" s="2">
        <f>Table7[[#This Row],[WN Res]]^2</f>
        <v>1.6714995588371073</v>
      </c>
      <c r="G75">
        <f>Regression!$D$10+(Regression!$D$9*Table83[[#This Row],[Morning Body Temp]])</f>
        <v>255.05956644908434</v>
      </c>
      <c r="H75" s="2">
        <f>Table83[[#This Row],[Weight]]-Table7[[#This Row],[Weight v Morning Temp]]</f>
        <v>-3.0595664490843433</v>
      </c>
      <c r="I75" s="2">
        <f>Table7[[#This Row],[WMT Res]]^2</f>
        <v>9.3609468563625775</v>
      </c>
      <c r="J75">
        <f>Regression!$E$10+(Regression!$E$9*Table83[[#This Row],[Morning Systolic Pressure]])</f>
        <v>255.09948662875533</v>
      </c>
      <c r="K75" s="2">
        <f>Table83[[#This Row],[Weight]]-Table7[[#This Row],[Weight v Morning Sys]]</f>
        <v>-3.0994866287553293</v>
      </c>
      <c r="L75" s="2">
        <f>Table7[[#This Row],[WMS Res]]^2</f>
        <v>9.6068173618330768</v>
      </c>
      <c r="M75">
        <f>Regression!$F$10+(Regression!$F$9*Table83[[#This Row],[Morning Diastolic Pressure]])</f>
        <v>255.10203989724667</v>
      </c>
      <c r="N75" s="2">
        <f>Table83[[#This Row],[Weight]]-Table7[[#This Row],[Weight v Morning Dia]]</f>
        <v>-3.1020398972466694</v>
      </c>
      <c r="O75" s="2">
        <f>Table7[[#This Row],[WMD Res]]^2</f>
        <v>9.6226515241101271</v>
      </c>
      <c r="P75">
        <f>Regression!$G$10+(Regression!$G$9*Table83[[#This Row],[Morning Pulse]])</f>
        <v>255.11912848167003</v>
      </c>
      <c r="Q75" s="2">
        <f>Table83[[#This Row],[Weight]]-Table7[[#This Row],[Weight v Morning Pulse]]</f>
        <v>-3.1191284816700318</v>
      </c>
      <c r="R75" s="2">
        <f>Table7[[#This Row],[WMP Res]]^2</f>
        <v>9.7289624851651979</v>
      </c>
      <c r="S75">
        <f>Regression!$H$10+(Regression!$H$9*Table83[[#This Row],[Night Body Temp]])</f>
        <v>255.15957638897012</v>
      </c>
      <c r="T75" s="2">
        <f>Table83[[#This Row],[Weight]]-Table7[[#This Row],[Weight v Night Temp]]</f>
        <v>-3.1595763889701232</v>
      </c>
      <c r="U75" s="2">
        <f>Table7[[#This Row],[WNT Res]]^2</f>
        <v>9.9829229577374825</v>
      </c>
      <c r="V75">
        <f>Regression!$I$10+(Regression!$I$9*Table83[[#This Row],[Night Systolic Pressure]])</f>
        <v>254.93064689108181</v>
      </c>
      <c r="W75" s="2">
        <f>Table83[[#This Row],[Weight]]-Table7[[#This Row],[Weight v Night Sys]]</f>
        <v>-2.9306468910818069</v>
      </c>
      <c r="X75" s="2">
        <f>Table7[[#This Row],[WNS Res]]^2</f>
        <v>8.5886912002074602</v>
      </c>
      <c r="Y75">
        <f>Regression!$J$10+(Regression!$J$9*Table83[[#This Row],[Night Diastolic Pressure]])</f>
        <v>255.09231637424611</v>
      </c>
      <c r="Z75" s="2">
        <f>Table83[[#This Row],[Weight]]-Table7[[#This Row],[Weight v Night Dia]]</f>
        <v>-3.0923163742461099</v>
      </c>
      <c r="AA75" s="2">
        <f>Table7[[#This Row],[WND Res]]^2</f>
        <v>9.5624205584306079</v>
      </c>
      <c r="AB75">
        <f>Regression!$K$10+(Regression!$K$9*Table83[[#This Row],[Night Pulse]])</f>
        <v>255.11015185874123</v>
      </c>
      <c r="AC75" s="2">
        <f>Table83[[#This Row],[Weight]]-Table7[[#This Row],[Weight v Night Pulse]]</f>
        <v>-3.1101518587412329</v>
      </c>
      <c r="AD75" s="2">
        <f>Table7[[#This Row],[WNP Res ]]^2</f>
        <v>9.6730445844315458</v>
      </c>
      <c r="AE75">
        <f>Regression!$L$10+(Regression!$L$9*Table83[[#This Row],[Sleep]])</f>
        <v>254.50608136063369</v>
      </c>
      <c r="AF75" s="2">
        <f>Table83[[#This Row],[Weight]]-Table7[[#This Row],[Weight v Sleep]]</f>
        <v>-2.5060813606336865</v>
      </c>
      <c r="AG75" s="2">
        <f>Table7[[#This Row],[WS Res]]^2</f>
        <v>6.2804437861155895</v>
      </c>
      <c r="AH75">
        <f>Regression!$M$10+(Regression!$M$9*Table83[[#This Row],[BMI]])</f>
        <v>252.00000000000696</v>
      </c>
      <c r="AI75" s="2">
        <f>Table83[[#This Row],[Weight]]-Table7[[#This Row],[Weight v BMI]]</f>
        <v>-6.9633188104489818E-12</v>
      </c>
      <c r="AJ75" s="2">
        <f>Table7[[#This Row],[WBMI Res]]^2</f>
        <v>4.8487808855952623E-23</v>
      </c>
      <c r="AK75">
        <f>Regression!$N$10+(Regression!$N$9*Table83[[#This Row],[CBF]])</f>
        <v>246.85529009284974</v>
      </c>
      <c r="AL75" s="2">
        <f>Table83[[#This Row],[Weight]]-Table7[[#This Row],[Weight v CBF]]</f>
        <v>5.1447099071502578</v>
      </c>
      <c r="AM75" s="2">
        <f>Table7[[#This Row],[WCBF Res]]^2</f>
        <v>26.468040028730012</v>
      </c>
      <c r="AN75">
        <f>Regression!$O$10+(Regression!$O$9*Table83[[#This Row],[Gym]])</f>
        <v>254.72962962962998</v>
      </c>
      <c r="AO75" s="2">
        <f>Table83[[#This Row],[Weight]]-Table7[[#This Row],[Weight v Gym]]</f>
        <v>-2.7296296296299829</v>
      </c>
      <c r="AP75" s="2">
        <f>Table7[[#This Row],[WG Res]]^2</f>
        <v>7.4508779149539173</v>
      </c>
      <c r="AQ75">
        <f>Regression!$P$10+(Regression!$P$9*Table83[[#This Row],[Cardio]])</f>
        <v>254.19242424242461</v>
      </c>
      <c r="AR75" s="2">
        <f>Table83[[#This Row],[Weight]]-Table7[[#This Row],[Weight v Cardio]]</f>
        <v>-2.1924242424246074</v>
      </c>
      <c r="AS75" s="2">
        <f>Table7[[#This Row],[WC Res]]^2</f>
        <v>4.8067240587711142</v>
      </c>
      <c r="AT75">
        <f>Regression!$Q$10+(Regression!$Q$9*Table83[[#This Row],[Calories]])</f>
        <v>254.16042773732494</v>
      </c>
      <c r="AU75" s="2">
        <f>Table83[[#This Row],[Weight]]-Table7[[#This Row],[Weight v Calories]]</f>
        <v>-2.1604277373249374</v>
      </c>
      <c r="AV75" s="2">
        <f>Table7[[#This Row],[WCAL Res]]^2</f>
        <v>4.6674480082029488</v>
      </c>
      <c r="AW75">
        <f>Regression!$R$10+(Regression!$R$9*Table83[[#This Row],[Carbs]])</f>
        <v>253.98812853200883</v>
      </c>
      <c r="AX75" s="2">
        <f>Table83[[#This Row],[Weight]]-Table7[[#This Row],[Weight v Carbs]]</f>
        <v>-1.9881285320088296</v>
      </c>
      <c r="AY75" s="2">
        <f>Table7[[#This Row],[Wcarb Res]]^2</f>
        <v>3.9526550597875838</v>
      </c>
      <c r="AZ75">
        <f>Regression!$S$10+(Regression!$S$9*Table83[[#This Row],[Fat ]])</f>
        <v>254.49257845969089</v>
      </c>
      <c r="BA75" s="2">
        <f>Table83[[#This Row],[Weight]]-Table7[[#This Row],[Weight v Fat]]</f>
        <v>-2.4925784596908898</v>
      </c>
      <c r="BB75" s="2">
        <f>Table7[[#This Row],[WF Res]]^2</f>
        <v>6.2129473777150084</v>
      </c>
      <c r="BC75">
        <f>Regression!$T$10+(Regression!$T$9*Table83[[#This Row],[Protein]])</f>
        <v>254.73667867555707</v>
      </c>
      <c r="BD75" s="2">
        <f>Table83[[#This Row],[Weight]]-Table7[[#This Row],[Weight v Protein]]</f>
        <v>-2.7366786755570729</v>
      </c>
      <c r="BE75" s="2">
        <f>Table7[[#This Row],[WP Res]]^2</f>
        <v>7.4894101732488148</v>
      </c>
      <c r="BF75">
        <f>Regression!$U$10+(Regression!$U$9*Table83[[#This Row],[Fiber]])</f>
        <v>255.27613827077752</v>
      </c>
      <c r="BG75" s="2">
        <f>Table83[[#This Row],[Weight]]-Table7[[#This Row],[Weight v Fiber]]</f>
        <v>-3.2761382707775226</v>
      </c>
      <c r="BH75" s="2">
        <f>Table7[[#This Row],[Wfib Res]]^2</f>
        <v>10.733081969253137</v>
      </c>
      <c r="BI75">
        <f>Regression!$V$10+(Regression!$V$9*Table83[[#This Row],[Sugar]])</f>
        <v>253.65039550883398</v>
      </c>
      <c r="BJ75" s="2">
        <f>Table83[[#This Row],[Weight]]-Table7[[#This Row],[Weight v Sugar]]</f>
        <v>-1.6503955088339808</v>
      </c>
      <c r="BK75" s="2">
        <f>Table7[[#This Row],[Wsugar Res]]^2</f>
        <v>2.7238053355793745</v>
      </c>
      <c r="BL75">
        <f>Regression!$W$10+(Regression!$W$9*Table83[[#This Row],[Servings]])</f>
        <v>252.91461974898934</v>
      </c>
      <c r="BM75" s="2">
        <f>Table83[[#This Row],[Weight]]-Table7[[#This Row],[Weight v Servings]]</f>
        <v>-0.91461974898933818</v>
      </c>
      <c r="BN75" s="2">
        <f>Table7[[#This Row],[Wserv Res]]^2</f>
        <v>0.83652928524131998</v>
      </c>
      <c r="BO75">
        <f>Regression!$X$10+(Regression!$X$9*Table83[[#This Row],[Water]])</f>
        <v>255.06345001025522</v>
      </c>
      <c r="BP75" s="2">
        <f>Table83[[#This Row],[Weight]]-Table7[[#This Row],[Weight v Water]]</f>
        <v>-3.0634500102552238</v>
      </c>
      <c r="BQ75" s="2">
        <f>Table7[[#This Row],[Wwater Res]]^2</f>
        <v>9.3847259653327306</v>
      </c>
      <c r="BR75">
        <f>Regression!$Y$10+(Regression!$Y$9*Table83[[#This Row],[Fat Calories]])</f>
        <v>254.44772245150688</v>
      </c>
      <c r="BS75" s="2">
        <f>Table83[[#This Row],[Weight]]-Table7[[#This Row],[Weight v Fat Calories]]</f>
        <v>-2.447722451506877</v>
      </c>
      <c r="BT75" s="2">
        <f>Table7[[#This Row],[WFC Res]]^2</f>
        <v>5.9913451996108353</v>
      </c>
      <c r="BU75">
        <f>Regression!$B$29+(Regression!$B$28*Table83[[#This Row],[Weight]])</f>
        <v>44.029076073268705</v>
      </c>
      <c r="BV75" s="2">
        <f>Table83[[#This Row],[Waist]]-Table7[[#This Row],[Waist v Weight]]</f>
        <v>-1.0290760732687048</v>
      </c>
      <c r="BW75" s="2">
        <f>Table7[[#This Row],[WaistW Res]]^2</f>
        <v>1.0589975645741365</v>
      </c>
      <c r="BX75">
        <f>Regression!$C$29+(Regression!$C$28*Table83[[#This Row],[Neck]])</f>
        <v>44.175585585585594</v>
      </c>
      <c r="BY75" s="2">
        <f>Table83[[#This Row],[Waist]]-Table7[[#This Row],[Waist v Neck]]</f>
        <v>-1.1755855855855941</v>
      </c>
      <c r="BZ75" s="2">
        <f>Table7[[#This Row],[WaistN Res]]^2</f>
        <v>1.3820014690366242</v>
      </c>
      <c r="CA75">
        <f>Regression!$D$29+(Regression!$D$28*Table83[[#This Row],[Morning Body Temp]])</f>
        <v>44.438451117581323</v>
      </c>
      <c r="CB75" s="2">
        <f>Table83[[#This Row],[Waist]]-Table7[[#This Row],[Waist v Morning Temp]]</f>
        <v>-1.438451117581323</v>
      </c>
      <c r="CC75" s="2">
        <f>Table7[[#This Row],[WaistMT Res]]^2</f>
        <v>2.0691416176709572</v>
      </c>
      <c r="CD75">
        <f>Regression!$E$29+(Regression!$E$28*Table83[[#This Row],[Morning Systolic Pressure]])</f>
        <v>44.449884727394206</v>
      </c>
      <c r="CE75" s="2">
        <f>Table83[[#This Row],[Waist]]-Table7[[#This Row],[Waist v Morning Sys]]</f>
        <v>-1.4498847273942062</v>
      </c>
      <c r="CF75" s="2">
        <f>Table7[[#This Row],[WaistMS Res]]^2</f>
        <v>2.1021657227309714</v>
      </c>
      <c r="CG75">
        <f>Regression!$F$29+(Regression!$F$28*Table83[[#This Row],[Morning Diastolic Pressure]])</f>
        <v>44.452816668144258</v>
      </c>
      <c r="CH75" s="2">
        <f>Table83[[#This Row],[Waist]]-Table7[[#This Row],[Waist v Morning Dia]]</f>
        <v>-1.4528166681442585</v>
      </c>
      <c r="CI75" s="2">
        <f>Table7[[#This Row],[WaistMD Res]]^2</f>
        <v>2.1106762712377845</v>
      </c>
      <c r="CJ75">
        <f>Regression!$G$29+(Regression!$G$28*Table83[[#This Row],[Morning Pulse]])</f>
        <v>44.455415702653426</v>
      </c>
      <c r="CK75" s="2">
        <f>Table83[[#This Row],[Waist]]-Table7[[#This Row],[Waist v Morning Pulse]]</f>
        <v>-1.4554157026534256</v>
      </c>
      <c r="CL75" s="2">
        <f>Table7[[#This Row],[WaistMP Res]]^2</f>
        <v>2.1182348675301643</v>
      </c>
      <c r="CM75">
        <f>Regression!$H$29+(Regression!$H$28*Table83[[#This Row],[Night Body Temp]])</f>
        <v>44.457050878464067</v>
      </c>
      <c r="CN75" s="2">
        <f>Table83[[#This Row],[Waist]]-Table7[[#This Row],[Waist v Night Temp]]</f>
        <v>-1.4570508784640666</v>
      </c>
      <c r="CO75" s="2">
        <f>Table7[[#This Row],[WaistNT Res]]^2</f>
        <v>2.1229972624329081</v>
      </c>
      <c r="CP75">
        <f>Regression!$I$29+(Regression!$I$28*Table83[[#This Row],[Night Systolic Pressure]])</f>
        <v>44.427419086653984</v>
      </c>
      <c r="CQ75" s="2">
        <f>Table83[[#This Row],[Waist]]-Table7[[#This Row],[Waist v  Night Sys]]</f>
        <v>-1.427419086653984</v>
      </c>
      <c r="CR75" s="2">
        <f>Table7[[#This Row],[WaistNS Res]]^2</f>
        <v>2.0375252489440938</v>
      </c>
      <c r="CS75">
        <f>Regression!$J$29+(Regression!$J$28*Table83[[#This Row],[Night Diastolic Pressure]])</f>
        <v>44.444024065946287</v>
      </c>
      <c r="CT75" s="2">
        <f>Table83[[#This Row],[Waist]]-Table7[[#This Row],[Waist v Night Dia]]</f>
        <v>-1.4440240659462873</v>
      </c>
      <c r="CU75" s="2">
        <f>Table7[[#This Row],[WaistND Res]]^2</f>
        <v>2.0852055030320473</v>
      </c>
      <c r="CV75">
        <f>Regression!$K$29+(Regression!$K$28*Table83[[#This Row],[Night Pulse]])</f>
        <v>44.453994879943338</v>
      </c>
      <c r="CW75" s="2">
        <f>Table83[[#This Row],[Waist]]-Table7[[#This Row],[Waist v Night Pulse]]</f>
        <v>-1.4539948799433375</v>
      </c>
      <c r="CX75" s="2">
        <f>Table7[[#This Row],[WaistNP Res]]^2</f>
        <v>2.1141011109014407</v>
      </c>
      <c r="CY75">
        <f>Regression!$L$29+(Regression!$L$28*Table83[[#This Row],[Sleep]])</f>
        <v>44.360693916866794</v>
      </c>
      <c r="CZ75" s="2">
        <f>Table83[[#This Row],[Waist]]-Table7[[#This Row],[Waist v  Sleep]]</f>
        <v>-1.3606939168667935</v>
      </c>
      <c r="DA75" s="2">
        <f>Table7[[#This Row],[WaistS Res]]^2</f>
        <v>1.8514879353982965</v>
      </c>
      <c r="DB75">
        <f>Regression!$M$29+(Regression!$M$28*Table83[[#This Row],[BMI]])</f>
        <v>44.029076073270048</v>
      </c>
      <c r="DC75" s="2">
        <f>Table83[[#This Row],[Waist]]-Table7[[#This Row],[Waist v BMI]]</f>
        <v>-1.0290760732700477</v>
      </c>
      <c r="DD75" s="2">
        <f>Table7[[#This Row],[WaistBMI Res]]^2</f>
        <v>1.0589975645769005</v>
      </c>
      <c r="DE75">
        <f>Regression!$N$29+(Regression!$N$28*Table83[[#This Row],[CBF]])</f>
        <v>42.966198760667851</v>
      </c>
      <c r="DF75" s="2">
        <f>Table83[[#This Row],[Waist]]-Table7[[#This Row],[Waist v  CBF]]</f>
        <v>3.380123933214918E-2</v>
      </c>
      <c r="DG75" s="2">
        <f>Table7[[#This Row],[WaistCBF Res]]^2</f>
        <v>1.1425237803892288E-3</v>
      </c>
      <c r="DH75">
        <f>Regression!$O$29+(Regression!$O$28*Table83[[#This Row],[Gym]])</f>
        <v>44.347222222222221</v>
      </c>
      <c r="DI75" s="2">
        <f>Table83[[#This Row],[Waist]]-Table7[[#This Row],[Waist v  Gym]]</f>
        <v>-1.3472222222222214</v>
      </c>
      <c r="DJ75" s="2">
        <f>Table7[[#This Row],[WaistGYM Res]]^2</f>
        <v>1.8150077160493805</v>
      </c>
      <c r="DK75">
        <f>Regression!$P$29+(Regression!$P$28*Table83[[#This Row],[Cardio]])</f>
        <v>44.291666666666664</v>
      </c>
      <c r="DL75" s="2">
        <f>Table83[[#This Row],[Waist]]-Table7[[#This Row],[Waist v Cardio]]</f>
        <v>-1.2916666666666643</v>
      </c>
      <c r="DM75" s="2">
        <f>Table7[[#This Row],[WaistC Res]]^2</f>
        <v>1.6684027777777717</v>
      </c>
      <c r="DN75">
        <f>Regression!$Q$29+(Regression!$Q$28*Table83[[#This Row],[Calories]])</f>
        <v>44.239058666180227</v>
      </c>
      <c r="DO75" s="2">
        <f>Table83[[#This Row],[Waist]]-Table7[[#This Row],[Waist v Calories]]</f>
        <v>-1.2390586661802274</v>
      </c>
      <c r="DP75" s="2">
        <f>Table7[[#This Row],[WaistCal Res]]^2</f>
        <v>1.5352663782363243</v>
      </c>
      <c r="DQ75">
        <f>Regression!$R$29+(Regression!$R$28*Table83[[#This Row],[Carbs]])</f>
        <v>44.218922871944706</v>
      </c>
      <c r="DR75" s="2">
        <f>Table83[[#This Row],[Waist]]-Table7[[#This Row],[Waist v Carbs]]</f>
        <v>-1.2189228719447058</v>
      </c>
      <c r="DS75" s="2">
        <f>Table7[[#This Row],[WaistCarb Res]]^2</f>
        <v>1.4857729677499298</v>
      </c>
      <c r="DT75">
        <f>Regression!$S$29+(Regression!$S$28*Table83[[#This Row],[Fat ]])</f>
        <v>44.263265204650722</v>
      </c>
      <c r="DU75" s="2">
        <f>Table83[[#This Row],[Waist]]-Table7[[#This Row],[Waist v Fat]]</f>
        <v>-1.2632652046507218</v>
      </c>
      <c r="DV75" s="2">
        <f>Table7[[#This Row],[WaistF Res]]^2</f>
        <v>1.59583897728123</v>
      </c>
      <c r="DW75">
        <f>Regression!$T$29+(Regression!$T$28*Table83[[#This Row],[Protein]])</f>
        <v>44.384284868352168</v>
      </c>
      <c r="DX75" s="2">
        <f>Table83[[#This Row],[Waist]]-Table7[[#This Row],[Waist v Protein]]</f>
        <v>-1.384284868352168</v>
      </c>
      <c r="DY75" s="2">
        <f>Table7[[#This Row],[WaistP Res]]^2</f>
        <v>1.9162445967487791</v>
      </c>
      <c r="DZ75">
        <f>Regression!$U$29+(Regression!$U$28*Table83[[#This Row],[Fiber]])</f>
        <v>44.51569955505137</v>
      </c>
      <c r="EA75" s="2">
        <f>Table83[[#This Row],[Waist]]-Table7[[#This Row],[Waist v Fiber]]</f>
        <v>-1.5156995550513699</v>
      </c>
      <c r="EB75" s="2">
        <f>Table7[[#This Row],[WaistFib Res]]^2</f>
        <v>2.2973451411829204</v>
      </c>
      <c r="EC75">
        <f>Regression!$V$29+(Regression!$V$28*Table83[[#This Row],[Sugar]])</f>
        <v>44.190432012322603</v>
      </c>
      <c r="ED75" s="2">
        <f>Table83[[#This Row],[Waist]]-Table7[[#This Row],[Waist v Sugar]]</f>
        <v>-1.1904320123226029</v>
      </c>
      <c r="EE75" s="2">
        <f>Table7[[#This Row],[WaistSugar Res]]^2</f>
        <v>1.4171283759624418</v>
      </c>
      <c r="EF75">
        <f>Regression!$W$29+(Regression!$W$28*Table83[[#This Row],[Servings]])</f>
        <v>44.11779170355414</v>
      </c>
      <c r="EG75" s="2">
        <f>Table83[[#This Row],[Waist]]-Table7[[#This Row],[Waist v Servings]]</f>
        <v>-1.1177917035541398</v>
      </c>
      <c r="EH75" s="2">
        <f>Table7[[#This Row],[WaistServ Res]]^2</f>
        <v>1.2494582925344659</v>
      </c>
      <c r="EI75">
        <f>Regression!$X$29+(Regression!$X$28*Table83[[#This Row],[Water]])</f>
        <v>44.386198474840633</v>
      </c>
      <c r="EJ75" s="2">
        <f>Table83[[#This Row],[Waist]]-Table7[[#This Row],[Waist v Water]]</f>
        <v>-1.3861984748406329</v>
      </c>
      <c r="EK75" s="2">
        <f>Table7[[#This Row],[WaistWat Res]]^2</f>
        <v>1.9215462116504967</v>
      </c>
      <c r="EL75">
        <f>Regression!$Y$29+(Regression!$Y$28*Table83[[#This Row],[Fat Calories]])</f>
        <v>44.250588067480635</v>
      </c>
      <c r="EM75" s="2">
        <f>Table83[[#This Row],[Waist]]-Table7[[#This Row],[Waist v Fat Calories]]</f>
        <v>-1.2505880674806349</v>
      </c>
      <c r="EN75" s="2">
        <f>Table7[[#This Row],[WaistFatCal Res]]^2</f>
        <v>1.563970514524949</v>
      </c>
    </row>
    <row r="76" spans="1:144" x14ac:dyDescent="0.25">
      <c r="A76">
        <f>Regression!$B$10+(Regression!$B$9*Table83[[#This Row],[Waist]])</f>
        <v>252.52625917894264</v>
      </c>
      <c r="B76" s="2">
        <f>Table83[[#This Row],[Weight]]-Table7[[#This Row],[Weight v Waist]]</f>
        <v>0.87374082105736761</v>
      </c>
      <c r="C76" s="2">
        <f>Table7[[#This Row],[Weight v Waist Res]]^2</f>
        <v>0.76342302238200288</v>
      </c>
      <c r="D76">
        <f>Regression!$C$10+(Regression!$C$9*Table83[[#This Row],[Neck]])</f>
        <v>253.29286486487842</v>
      </c>
      <c r="E76" s="2">
        <f>Table83[[#This Row],[Weight]]-Table7[[#This Row],[Weight v Neck]]</f>
        <v>0.10713513512158102</v>
      </c>
      <c r="F76" s="2">
        <f>Table7[[#This Row],[WN Res]]^2</f>
        <v>1.1477937177519422E-2</v>
      </c>
      <c r="G76">
        <f>Regression!$D$10+(Regression!$D$9*Table83[[#This Row],[Morning Body Temp]])</f>
        <v>255.3411606659738</v>
      </c>
      <c r="H76" s="2">
        <f>Table83[[#This Row],[Weight]]-Table7[[#This Row],[Weight v Morning Temp]]</f>
        <v>-1.941160665973797</v>
      </c>
      <c r="I76" s="2">
        <f>Table7[[#This Row],[WMT Res]]^2</f>
        <v>3.7681047311238349</v>
      </c>
      <c r="J76">
        <f>Regression!$E$10+(Regression!$E$9*Table83[[#This Row],[Morning Systolic Pressure]])</f>
        <v>254.87410060943841</v>
      </c>
      <c r="K76" s="2">
        <f>Table83[[#This Row],[Weight]]-Table7[[#This Row],[Weight v Morning Sys]]</f>
        <v>-1.474100609438409</v>
      </c>
      <c r="L76" s="2">
        <f>Table7[[#This Row],[WMS Res]]^2</f>
        <v>2.172972606746689</v>
      </c>
      <c r="M76">
        <f>Regression!$F$10+(Regression!$F$9*Table83[[#This Row],[Morning Diastolic Pressure]])</f>
        <v>254.8993513991569</v>
      </c>
      <c r="N76" s="2">
        <f>Table83[[#This Row],[Weight]]-Table7[[#This Row],[Weight v Morning Dia]]</f>
        <v>-1.4993513991568932</v>
      </c>
      <c r="O76" s="2">
        <f>Table7[[#This Row],[WMD Res]]^2</f>
        <v>2.2480546181537333</v>
      </c>
      <c r="P76">
        <f>Regression!$G$10+(Regression!$G$9*Table83[[#This Row],[Morning Pulse]])</f>
        <v>255.13009525621317</v>
      </c>
      <c r="Q76" s="2">
        <f>Table83[[#This Row],[Weight]]-Table7[[#This Row],[Weight v Morning Pulse]]</f>
        <v>-1.7300952562131613</v>
      </c>
      <c r="R76" s="2">
        <f>Table7[[#This Row],[WMP Res]]^2</f>
        <v>2.9932295955712842</v>
      </c>
      <c r="S76">
        <f>Regression!$H$10+(Regression!$H$9*Table83[[#This Row],[Night Body Temp]])</f>
        <v>254.54339696608002</v>
      </c>
      <c r="T76" s="2">
        <f>Table83[[#This Row],[Weight]]-Table7[[#This Row],[Weight v Night Temp]]</f>
        <v>-1.1433969660800187</v>
      </c>
      <c r="U76" s="2">
        <f>Table7[[#This Row],[WNT Res]]^2</f>
        <v>1.3073566220409916</v>
      </c>
      <c r="V76">
        <f>Regression!$I$10+(Regression!$I$9*Table83[[#This Row],[Night Systolic Pressure]])</f>
        <v>255.34122622719568</v>
      </c>
      <c r="W76" s="2">
        <f>Table83[[#This Row],[Weight]]-Table7[[#This Row],[Weight v Night Sys]]</f>
        <v>-1.9412262271956706</v>
      </c>
      <c r="X76" s="2">
        <f>Table7[[#This Row],[WNS Res]]^2</f>
        <v>3.7683592651523372</v>
      </c>
      <c r="Y76">
        <f>Regression!$J$10+(Regression!$J$9*Table83[[#This Row],[Night Diastolic Pressure]])</f>
        <v>254.8477211637495</v>
      </c>
      <c r="Z76" s="2">
        <f>Table83[[#This Row],[Weight]]-Table7[[#This Row],[Weight v Night Dia]]</f>
        <v>-1.4477211637494918</v>
      </c>
      <c r="AA76" s="2">
        <f>Table7[[#This Row],[WND Res]]^2</f>
        <v>2.0958965679681829</v>
      </c>
      <c r="AB76">
        <f>Regression!$K$10+(Regression!$K$9*Table83[[#This Row],[Night Pulse]])</f>
        <v>254.89515854008414</v>
      </c>
      <c r="AC76" s="2">
        <f>Table83[[#This Row],[Weight]]-Table7[[#This Row],[Weight v Night Pulse]]</f>
        <v>-1.4951585400841338</v>
      </c>
      <c r="AD76" s="2">
        <f>Table7[[#This Row],[WNP Res ]]^2</f>
        <v>2.2354990599865183</v>
      </c>
      <c r="AE76">
        <f>Regression!$L$10+(Regression!$L$9*Table83[[#This Row],[Sleep]])</f>
        <v>255.61024100244205</v>
      </c>
      <c r="AF76" s="2">
        <f>Table83[[#This Row],[Weight]]-Table7[[#This Row],[Weight v Sleep]]</f>
        <v>-2.2102410024420465</v>
      </c>
      <c r="AG76" s="2">
        <f>Table7[[#This Row],[WS Res]]^2</f>
        <v>4.8851652888760224</v>
      </c>
      <c r="AH76">
        <f>Regression!$M$10+(Regression!$M$9*Table83[[#This Row],[BMI]])</f>
        <v>253.40000000000387</v>
      </c>
      <c r="AI76" s="2">
        <f>Table83[[#This Row],[Weight]]-Table7[[#This Row],[Weight v BMI]]</f>
        <v>-3.865352482534945E-12</v>
      </c>
      <c r="AJ76" s="2">
        <f>Table7[[#This Row],[WBMI Res]]^2</f>
        <v>1.4940949814239062E-23</v>
      </c>
      <c r="AK76">
        <f>Regression!$N$10+(Regression!$N$9*Table83[[#This Row],[CBF]])</f>
        <v>253.17965033701802</v>
      </c>
      <c r="AL76" s="2">
        <f>Table83[[#This Row],[Weight]]-Table7[[#This Row],[Weight v CBF]]</f>
        <v>0.2203496629819881</v>
      </c>
      <c r="AM76" s="2">
        <f>Table7[[#This Row],[WCBF Res]]^2</f>
        <v>4.8553973976275741E-2</v>
      </c>
      <c r="AN76">
        <f>Regression!$O$10+(Regression!$O$9*Table83[[#This Row],[Gym]])</f>
        <v>255.46779661016953</v>
      </c>
      <c r="AO76" s="2">
        <f>Table83[[#This Row],[Weight]]-Table7[[#This Row],[Weight v Gym]]</f>
        <v>-2.0677966101695233</v>
      </c>
      <c r="AP76" s="2">
        <f>Table7[[#This Row],[WG Res]]^2</f>
        <v>4.2757828210285718</v>
      </c>
      <c r="AQ76">
        <f>Regression!$P$10+(Regression!$P$9*Table83[[#This Row],[Cardio]])</f>
        <v>256.41063829787231</v>
      </c>
      <c r="AR76" s="2">
        <f>Table83[[#This Row],[Weight]]-Table7[[#This Row],[Weight v Cardio]]</f>
        <v>-3.0106382978723047</v>
      </c>
      <c r="AS76" s="2">
        <f>Table7[[#This Row],[WC Res]]^2</f>
        <v>9.0639429606154476</v>
      </c>
      <c r="AT76">
        <f>Regression!$Q$10+(Regression!$Q$9*Table83[[#This Row],[Calories]])</f>
        <v>255.87594031401017</v>
      </c>
      <c r="AU76" s="2">
        <f>Table83[[#This Row],[Weight]]-Table7[[#This Row],[Weight v Calories]]</f>
        <v>-2.4759403140101597</v>
      </c>
      <c r="AV76" s="2">
        <f>Table7[[#This Row],[WCAL Res]]^2</f>
        <v>6.1302804385407281</v>
      </c>
      <c r="AW76">
        <f>Regression!$R$10+(Regression!$R$9*Table83[[#This Row],[Carbs]])</f>
        <v>256.07567396495165</v>
      </c>
      <c r="AX76" s="2">
        <f>Table83[[#This Row],[Weight]]-Table7[[#This Row],[Weight v Carbs]]</f>
        <v>-2.6756739649516419</v>
      </c>
      <c r="AY76" s="2">
        <f>Table7[[#This Row],[Wcarb Res]]^2</f>
        <v>7.1592311667200406</v>
      </c>
      <c r="AZ76">
        <f>Regression!$S$10+(Regression!$S$9*Table83[[#This Row],[Fat ]])</f>
        <v>255.4658999966768</v>
      </c>
      <c r="BA76" s="2">
        <f>Table83[[#This Row],[Weight]]-Table7[[#This Row],[Weight v Fat]]</f>
        <v>-2.0658999966767908</v>
      </c>
      <c r="BB76" s="2">
        <f>Table7[[#This Row],[WF Res]]^2</f>
        <v>4.2679427962691641</v>
      </c>
      <c r="BC76">
        <f>Regression!$T$10+(Regression!$T$9*Table83[[#This Row],[Protein]])</f>
        <v>255.58328561042305</v>
      </c>
      <c r="BD76" s="2">
        <f>Table83[[#This Row],[Weight]]-Table7[[#This Row],[Weight v Protein]]</f>
        <v>-2.1832856104230416</v>
      </c>
      <c r="BE76" s="2">
        <f>Table7[[#This Row],[WP Res]]^2</f>
        <v>4.7667360566803136</v>
      </c>
      <c r="BF76">
        <f>Regression!$U$10+(Regression!$U$9*Table83[[#This Row],[Fiber]])</f>
        <v>254.98403692561027</v>
      </c>
      <c r="BG76" s="2">
        <f>Table83[[#This Row],[Weight]]-Table7[[#This Row],[Weight v Fiber]]</f>
        <v>-1.5840369256102633</v>
      </c>
      <c r="BH76" s="2">
        <f>Table7[[#This Row],[Wfib Res]]^2</f>
        <v>2.5091729816968149</v>
      </c>
      <c r="BI76">
        <f>Regression!$V$10+(Regression!$V$9*Table83[[#This Row],[Sugar]])</f>
        <v>256.50481707323837</v>
      </c>
      <c r="BJ76" s="2">
        <f>Table83[[#This Row],[Weight]]-Table7[[#This Row],[Weight v Sugar]]</f>
        <v>-3.1048170732383653</v>
      </c>
      <c r="BK76" s="2">
        <f>Table7[[#This Row],[Wsugar Res]]^2</f>
        <v>9.6398890582724484</v>
      </c>
      <c r="BL76">
        <f>Regression!$W$10+(Regression!$W$9*Table83[[#This Row],[Servings]])</f>
        <v>256.81355797597826</v>
      </c>
      <c r="BM76" s="2">
        <f>Table83[[#This Row],[Weight]]-Table7[[#This Row],[Weight v Servings]]</f>
        <v>-3.4135579759782502</v>
      </c>
      <c r="BN76" s="2">
        <f>Table7[[#This Row],[Wserv Res]]^2</f>
        <v>11.652378055364728</v>
      </c>
      <c r="BO76">
        <f>Regression!$X$10+(Regression!$X$9*Table83[[#This Row],[Water]])</f>
        <v>255.1490819770581</v>
      </c>
      <c r="BP76" s="2">
        <f>Table83[[#This Row],[Weight]]-Table7[[#This Row],[Weight v Water]]</f>
        <v>-1.749081977058097</v>
      </c>
      <c r="BQ76" s="2">
        <f>Table7[[#This Row],[Wwater Res]]^2</f>
        <v>3.0592877624694612</v>
      </c>
      <c r="BR76">
        <f>Regression!$Y$10+(Regression!$Y$9*Table83[[#This Row],[Fat Calories]])</f>
        <v>255.48358142405667</v>
      </c>
      <c r="BS76" s="2">
        <f>Table83[[#This Row],[Weight]]-Table7[[#This Row],[Weight v Fat Calories]]</f>
        <v>-2.0835814240566606</v>
      </c>
      <c r="BT76" s="2">
        <f>Table7[[#This Row],[WFC Res]]^2</f>
        <v>4.3413115506739812</v>
      </c>
      <c r="BU76">
        <f>Regression!$B$29+(Regression!$B$28*Table83[[#This Row],[Weight]])</f>
        <v>44.219843588066681</v>
      </c>
      <c r="BV76" s="2">
        <f>Table83[[#This Row],[Waist]]-Table7[[#This Row],[Waist v Weight]]</f>
        <v>-0.2198435880666807</v>
      </c>
      <c r="BW76" s="2">
        <f>Table7[[#This Row],[WaistW Res]]^2</f>
        <v>4.8331203214032392E-2</v>
      </c>
      <c r="BX76">
        <f>Regression!$C$29+(Regression!$C$28*Table83[[#This Row],[Neck]])</f>
        <v>44.175585585585594</v>
      </c>
      <c r="BY76" s="2">
        <f>Table83[[#This Row],[Waist]]-Table7[[#This Row],[Waist v Neck]]</f>
        <v>-0.17558558558559412</v>
      </c>
      <c r="BZ76" s="2">
        <f>Table7[[#This Row],[WaistN Res]]^2</f>
        <v>3.0830297865435997E-2</v>
      </c>
      <c r="CA76">
        <f>Regression!$D$29+(Regression!$D$28*Table83[[#This Row],[Morning Body Temp]])</f>
        <v>44.515038370284842</v>
      </c>
      <c r="CB76" s="2">
        <f>Table83[[#This Row],[Waist]]-Table7[[#This Row],[Waist v Morning Temp]]</f>
        <v>-0.51503837028484156</v>
      </c>
      <c r="CC76" s="2">
        <f>Table7[[#This Row],[WaistMT Res]]^2</f>
        <v>0.26526452286566554</v>
      </c>
      <c r="CD76">
        <f>Regression!$E$29+(Regression!$E$28*Table83[[#This Row],[Morning Systolic Pressure]])</f>
        <v>44.396932701182067</v>
      </c>
      <c r="CE76" s="2">
        <f>Table83[[#This Row],[Waist]]-Table7[[#This Row],[Waist v Morning Sys]]</f>
        <v>-0.39693270118206669</v>
      </c>
      <c r="CF76" s="2">
        <f>Table7[[#This Row],[WaistMS Res]]^2</f>
        <v>0.15755556926769185</v>
      </c>
      <c r="CG76">
        <f>Regression!$F$29+(Regression!$F$28*Table83[[#This Row],[Morning Diastolic Pressure]])</f>
        <v>44.441545426806556</v>
      </c>
      <c r="CH76" s="2">
        <f>Table83[[#This Row],[Waist]]-Table7[[#This Row],[Waist v Morning Dia]]</f>
        <v>-0.44154542680655595</v>
      </c>
      <c r="CI76" s="2">
        <f>Table7[[#This Row],[WaistMD Res]]^2</f>
        <v>0.19496236393378366</v>
      </c>
      <c r="CJ76">
        <f>Regression!$G$29+(Regression!$G$28*Table83[[#This Row],[Morning Pulse]])</f>
        <v>44.460452718095105</v>
      </c>
      <c r="CK76" s="2">
        <f>Table83[[#This Row],[Waist]]-Table7[[#This Row],[Waist v Morning Pulse]]</f>
        <v>-0.46045271809510524</v>
      </c>
      <c r="CL76" s="2">
        <f>Table7[[#This Row],[WaistMP Res]]^2</f>
        <v>0.21201670560117045</v>
      </c>
      <c r="CM76">
        <f>Regression!$H$29+(Regression!$H$28*Table83[[#This Row],[Night Body Temp]])</f>
        <v>44.408469335634749</v>
      </c>
      <c r="CN76" s="2">
        <f>Table83[[#This Row],[Waist]]-Table7[[#This Row],[Waist v Night Temp]]</f>
        <v>-0.40846933563474863</v>
      </c>
      <c r="CO76" s="2">
        <f>Table7[[#This Row],[WaistNT Res]]^2</f>
        <v>0.16684719815389293</v>
      </c>
      <c r="CP76">
        <f>Regression!$I$29+(Regression!$I$28*Table83[[#This Row],[Night Systolic Pressure]])</f>
        <v>44.48557954395644</v>
      </c>
      <c r="CQ76" s="2">
        <f>Table83[[#This Row],[Waist]]-Table7[[#This Row],[Waist v  Night Sys]]</f>
        <v>-0.48557954395644032</v>
      </c>
      <c r="CR76" s="2">
        <f>Table7[[#This Row],[WaistNS Res]]^2</f>
        <v>0.23578749350894457</v>
      </c>
      <c r="CS76">
        <f>Regression!$J$29+(Regression!$J$28*Table83[[#This Row],[Night Diastolic Pressure]])</f>
        <v>44.341616394701639</v>
      </c>
      <c r="CT76" s="2">
        <f>Table83[[#This Row],[Waist]]-Table7[[#This Row],[Waist v Night Dia]]</f>
        <v>-0.34161639470163863</v>
      </c>
      <c r="CU76" s="2">
        <f>Table7[[#This Row],[WaistND Res]]^2</f>
        <v>0.11670176112894576</v>
      </c>
      <c r="CV76">
        <f>Regression!$K$29+(Regression!$K$28*Table83[[#This Row],[Night Pulse]])</f>
        <v>44.473992104120093</v>
      </c>
      <c r="CW76" s="2">
        <f>Table83[[#This Row],[Waist]]-Table7[[#This Row],[Waist v Night Pulse]]</f>
        <v>-0.47399210412009296</v>
      </c>
      <c r="CX76" s="2">
        <f>Table7[[#This Row],[WaistNP Res]]^2</f>
        <v>0.22466851476819305</v>
      </c>
      <c r="CY76">
        <f>Regression!$L$29+(Regression!$L$28*Table83[[#This Row],[Sleep]])</f>
        <v>44.529040304851584</v>
      </c>
      <c r="CZ76" s="2">
        <f>Table83[[#This Row],[Waist]]-Table7[[#This Row],[Waist v  Sleep]]</f>
        <v>-0.52904030485158415</v>
      </c>
      <c r="DA76" s="2">
        <f>Table7[[#This Row],[WaistS Res]]^2</f>
        <v>0.27988364415745709</v>
      </c>
      <c r="DB76">
        <f>Regression!$M$29+(Regression!$M$28*Table83[[#This Row],[BMI]])</f>
        <v>44.21984358806742</v>
      </c>
      <c r="DC76" s="2">
        <f>Table83[[#This Row],[Waist]]-Table7[[#This Row],[Waist v BMI]]</f>
        <v>-0.21984358806741966</v>
      </c>
      <c r="DD76" s="2">
        <f>Table7[[#This Row],[WaistBMI Res]]^2</f>
        <v>4.8331203214357306E-2</v>
      </c>
      <c r="DE76">
        <f>Regression!$N$29+(Regression!$N$28*Table83[[#This Row],[CBF]])</f>
        <v>44.105031770433015</v>
      </c>
      <c r="DF76" s="2">
        <f>Table83[[#This Row],[Waist]]-Table7[[#This Row],[Waist v  CBF]]</f>
        <v>-0.10503177043301548</v>
      </c>
      <c r="DG76" s="2">
        <f>Table7[[#This Row],[WaistCBF Res]]^2</f>
        <v>1.1031672800293666E-2</v>
      </c>
      <c r="DH76">
        <f>Regression!$O$29+(Regression!$O$28*Table83[[#This Row],[Gym]])</f>
        <v>44.550847457627107</v>
      </c>
      <c r="DI76" s="2">
        <f>Table83[[#This Row],[Waist]]-Table7[[#This Row],[Waist v  Gym]]</f>
        <v>-0.55084745762710696</v>
      </c>
      <c r="DJ76" s="2">
        <f>Table7[[#This Row],[WaistGYM Res]]^2</f>
        <v>0.30343292157424739</v>
      </c>
      <c r="DK76">
        <f>Regression!$P$29+(Regression!$P$28*Table83[[#This Row],[Cardio]])</f>
        <v>44.680851063829778</v>
      </c>
      <c r="DL76" s="2">
        <f>Table83[[#This Row],[Waist]]-Table7[[#This Row],[Waist v Cardio]]</f>
        <v>-0.68085106382977756</v>
      </c>
      <c r="DM76" s="2">
        <f>Table7[[#This Row],[WaistC Res]]^2</f>
        <v>0.46355817111813985</v>
      </c>
      <c r="DN76">
        <f>Regression!$Q$29+(Regression!$Q$28*Table83[[#This Row],[Calories]])</f>
        <v>44.624496292670784</v>
      </c>
      <c r="DO76" s="2">
        <f>Table83[[#This Row],[Waist]]-Table7[[#This Row],[Waist v Calories]]</f>
        <v>-0.62449629267078421</v>
      </c>
      <c r="DP76" s="2">
        <f>Table7[[#This Row],[WaistCal Res]]^2</f>
        <v>0.38999561955955375</v>
      </c>
      <c r="DQ76">
        <f>Regression!$R$29+(Regression!$R$28*Table83[[#This Row],[Carbs]])</f>
        <v>44.653537047456823</v>
      </c>
      <c r="DR76" s="2">
        <f>Table83[[#This Row],[Waist]]-Table7[[#This Row],[Waist v Carbs]]</f>
        <v>-0.65353704745682251</v>
      </c>
      <c r="DS76" s="2">
        <f>Table7[[#This Row],[WaistCarb Res]]^2</f>
        <v>0.42711067239858108</v>
      </c>
      <c r="DT76">
        <f>Regression!$S$29+(Regression!$S$28*Table83[[#This Row],[Fat ]])</f>
        <v>44.560789000385661</v>
      </c>
      <c r="DU76" s="2">
        <f>Table83[[#This Row],[Waist]]-Table7[[#This Row],[Waist v Fat]]</f>
        <v>-0.56078900038566104</v>
      </c>
      <c r="DV76" s="2">
        <f>Table7[[#This Row],[WaistF Res]]^2</f>
        <v>0.31448430295354896</v>
      </c>
      <c r="DW76">
        <f>Regression!$T$29+(Regression!$T$28*Table83[[#This Row],[Protein]])</f>
        <v>44.539245385876256</v>
      </c>
      <c r="DX76" s="2">
        <f>Table83[[#This Row],[Waist]]-Table7[[#This Row],[Waist v Protein]]</f>
        <v>-0.53924538587625648</v>
      </c>
      <c r="DY76" s="2">
        <f>Table7[[#This Row],[WaistP Res]]^2</f>
        <v>0.29078558618883277</v>
      </c>
      <c r="DZ76">
        <f>Regression!$U$29+(Regression!$U$28*Table83[[#This Row],[Fiber]])</f>
        <v>44.402989343909546</v>
      </c>
      <c r="EA76" s="2">
        <f>Table83[[#This Row],[Waist]]-Table7[[#This Row],[Waist v Fiber]]</f>
        <v>-0.40298934390954599</v>
      </c>
      <c r="EB76" s="2">
        <f>Table7[[#This Row],[WaistFib Res]]^2</f>
        <v>0.16240041130464633</v>
      </c>
      <c r="EC76">
        <f>Regression!$V$29+(Regression!$V$28*Table83[[#This Row],[Sugar]])</f>
        <v>44.703197010927312</v>
      </c>
      <c r="ED76" s="2">
        <f>Table83[[#This Row],[Waist]]-Table7[[#This Row],[Waist v Sugar]]</f>
        <v>-0.70319701092731179</v>
      </c>
      <c r="EE76" s="2">
        <f>Table7[[#This Row],[WaistSugar Res]]^2</f>
        <v>0.49448603617710585</v>
      </c>
      <c r="EF76">
        <f>Regression!$W$29+(Regression!$W$28*Table83[[#This Row],[Servings]])</f>
        <v>44.712704720699875</v>
      </c>
      <c r="EG76" s="2">
        <f>Table83[[#This Row],[Waist]]-Table7[[#This Row],[Waist v Servings]]</f>
        <v>-0.71270472069987534</v>
      </c>
      <c r="EH76" s="2">
        <f>Table7[[#This Row],[WaistServ Res]]^2</f>
        <v>0.50794801890788732</v>
      </c>
      <c r="EI76">
        <f>Regression!$X$29+(Regression!$X$28*Table83[[#This Row],[Water]])</f>
        <v>44.497966229663206</v>
      </c>
      <c r="EJ76" s="2">
        <f>Table83[[#This Row],[Waist]]-Table7[[#This Row],[Waist v Water]]</f>
        <v>-0.4979662296632057</v>
      </c>
      <c r="EK76" s="2">
        <f>Table7[[#This Row],[WaistWat Res]]^2</f>
        <v>0.24797036588498853</v>
      </c>
      <c r="EL76">
        <f>Regression!$Y$29+(Regression!$Y$28*Table83[[#This Row],[Fat Calories]])</f>
        <v>44.565622580260325</v>
      </c>
      <c r="EM76" s="2">
        <f>Table83[[#This Row],[Waist]]-Table7[[#This Row],[Waist v Fat Calories]]</f>
        <v>-0.56562258026032453</v>
      </c>
      <c r="EN76" s="2">
        <f>Table7[[#This Row],[WaistFatCal Res]]^2</f>
        <v>0.31992890330034723</v>
      </c>
    </row>
    <row r="77" spans="1:144" x14ac:dyDescent="0.25">
      <c r="A77">
        <f>Regression!$B$10+(Regression!$B$9*Table83[[#This Row],[Waist]])</f>
        <v>249.67228149328892</v>
      </c>
      <c r="B77" s="2">
        <f>Table83[[#This Row],[Weight]]-Table7[[#This Row],[Weight v Waist]]</f>
        <v>-7.2281493288926413E-2</v>
      </c>
      <c r="C77" s="2">
        <f>Table7[[#This Row],[Weight v Waist Res]]^2</f>
        <v>5.2246142720771141E-3</v>
      </c>
      <c r="D77">
        <f>Regression!$C$10+(Regression!$C$9*Table83[[#This Row],[Neck]])</f>
        <v>253.29286486487842</v>
      </c>
      <c r="E77" s="2">
        <f>Table83[[#This Row],[Weight]]-Table7[[#This Row],[Weight v Neck]]</f>
        <v>-3.6928648648784304</v>
      </c>
      <c r="F77" s="2">
        <f>Table7[[#This Row],[WN Res]]^2</f>
        <v>13.637250910253588</v>
      </c>
      <c r="G77">
        <f>Regression!$D$10+(Regression!$D$9*Table83[[#This Row],[Morning Body Temp]])</f>
        <v>254.98916789486196</v>
      </c>
      <c r="H77" s="2">
        <f>Table83[[#This Row],[Weight]]-Table7[[#This Row],[Weight v Morning Temp]]</f>
        <v>-5.3891678948619699</v>
      </c>
      <c r="I77" s="2">
        <f>Table7[[#This Row],[WMT Res]]^2</f>
        <v>29.043130599010997</v>
      </c>
      <c r="J77">
        <f>Regression!$E$10+(Regression!$E$9*Table83[[#This Row],[Morning Systolic Pressure]])</f>
        <v>255.05440942489196</v>
      </c>
      <c r="K77" s="2">
        <f>Table83[[#This Row],[Weight]]-Table7[[#This Row],[Weight v Morning Sys]]</f>
        <v>-5.4544094248919635</v>
      </c>
      <c r="L77" s="2">
        <f>Table7[[#This Row],[WMS Res]]^2</f>
        <v>29.750582174350278</v>
      </c>
      <c r="M77">
        <f>Regression!$F$10+(Regression!$F$9*Table83[[#This Row],[Morning Diastolic Pressure]])</f>
        <v>255.20338414629154</v>
      </c>
      <c r="N77" s="2">
        <f>Table83[[#This Row],[Weight]]-Table7[[#This Row],[Weight v Morning Dia]]</f>
        <v>-5.6033841462915461</v>
      </c>
      <c r="O77" s="2">
        <f>Table7[[#This Row],[WMD Res]]^2</f>
        <v>31.39791389091144</v>
      </c>
      <c r="P77">
        <f>Regression!$G$10+(Regression!$G$9*Table83[[#This Row],[Morning Pulse]])</f>
        <v>255.12095627742721</v>
      </c>
      <c r="Q77" s="2">
        <f>Table83[[#This Row],[Weight]]-Table7[[#This Row],[Weight v Morning Pulse]]</f>
        <v>-5.5209562774272172</v>
      </c>
      <c r="R77" s="2">
        <f>Table7[[#This Row],[WMP Res]]^2</f>
        <v>30.480958217262994</v>
      </c>
      <c r="S77">
        <f>Regression!$H$10+(Regression!$H$9*Table83[[#This Row],[Night Body Temp]])</f>
        <v>254.64609353656169</v>
      </c>
      <c r="T77" s="2">
        <f>Table83[[#This Row],[Weight]]-Table7[[#This Row],[Weight v Night Temp]]</f>
        <v>-5.046093536561699</v>
      </c>
      <c r="U77" s="2">
        <f>Table7[[#This Row],[WNT Res]]^2</f>
        <v>25.463059979729756</v>
      </c>
      <c r="V77">
        <f>Regression!$I$10+(Regression!$I$9*Table83[[#This Row],[Night Systolic Pressure]])</f>
        <v>255.34122622719568</v>
      </c>
      <c r="W77" s="2">
        <f>Table83[[#This Row],[Weight]]-Table7[[#This Row],[Weight v Night Sys]]</f>
        <v>-5.741226227195682</v>
      </c>
      <c r="X77" s="2">
        <f>Table7[[#This Row],[WNS Res]]^2</f>
        <v>32.961678591839565</v>
      </c>
      <c r="Y77">
        <f>Regression!$J$10+(Regression!$J$9*Table83[[#This Row],[Night Diastolic Pressure]])</f>
        <v>255.2146139794944</v>
      </c>
      <c r="Z77" s="2">
        <f>Table83[[#This Row],[Weight]]-Table7[[#This Row],[Weight v Night Dia]]</f>
        <v>-5.6146139794944077</v>
      </c>
      <c r="AA77" s="2">
        <f>Table7[[#This Row],[WND Res]]^2</f>
        <v>31.523890138734028</v>
      </c>
      <c r="AB77">
        <f>Regression!$K$10+(Regression!$K$9*Table83[[#This Row],[Night Pulse]])</f>
        <v>254.92587187132088</v>
      </c>
      <c r="AC77" s="2">
        <f>Table83[[#This Row],[Weight]]-Table7[[#This Row],[Weight v Night Pulse]]</f>
        <v>-5.325871871320885</v>
      </c>
      <c r="AD77" s="2">
        <f>Table7[[#This Row],[WNP Res ]]^2</f>
        <v>28.364911189727025</v>
      </c>
      <c r="AE77">
        <f>Regression!$L$10+(Regression!$L$9*Table83[[#This Row],[Sleep]])</f>
        <v>255.37363536491171</v>
      </c>
      <c r="AF77" s="2">
        <f>Table83[[#This Row],[Weight]]-Table7[[#This Row],[Weight v Sleep]]</f>
        <v>-5.773635364911712</v>
      </c>
      <c r="AG77" s="2">
        <f>Table7[[#This Row],[WS Res]]^2</f>
        <v>33.334865326959196</v>
      </c>
      <c r="AH77">
        <f>Regression!$M$10+(Regression!$M$9*Table83[[#This Row],[BMI]])</f>
        <v>249.60000000001236</v>
      </c>
      <c r="AI77" s="2">
        <f>Table83[[#This Row],[Weight]]-Table7[[#This Row],[Weight v BMI]]</f>
        <v>-1.2363443602225743E-11</v>
      </c>
      <c r="AJ77" s="2">
        <f>Table7[[#This Row],[WBMI Res]]^2</f>
        <v>1.5285473770541666E-22</v>
      </c>
      <c r="AK77">
        <f>Regression!$N$10+(Regression!$N$9*Table83[[#This Row],[CBF]])</f>
        <v>250.04675133427031</v>
      </c>
      <c r="AL77" s="2">
        <f>Table83[[#This Row],[Weight]]-Table7[[#This Row],[Weight v CBF]]</f>
        <v>-0.4467513342703171</v>
      </c>
      <c r="AM77" s="2">
        <f>Table7[[#This Row],[WCBF Res]]^2</f>
        <v>0.1995867546723086</v>
      </c>
      <c r="AN77">
        <f>Regression!$O$10+(Regression!$O$9*Table83[[#This Row],[Gym]])</f>
        <v>255.46779661016953</v>
      </c>
      <c r="AO77" s="2">
        <f>Table83[[#This Row],[Weight]]-Table7[[#This Row],[Weight v Gym]]</f>
        <v>-5.8677966101695347</v>
      </c>
      <c r="AP77" s="2">
        <f>Table7[[#This Row],[WG Res]]^2</f>
        <v>34.431037058317081</v>
      </c>
      <c r="AQ77">
        <f>Regression!$P$10+(Regression!$P$9*Table83[[#This Row],[Cardio]])</f>
        <v>256.41063829787231</v>
      </c>
      <c r="AR77" s="2">
        <f>Table83[[#This Row],[Weight]]-Table7[[#This Row],[Weight v Cardio]]</f>
        <v>-6.8106382978723161</v>
      </c>
      <c r="AS77" s="2">
        <f>Table7[[#This Row],[WC Res]]^2</f>
        <v>46.384794024445121</v>
      </c>
      <c r="AT77">
        <f>Regression!$Q$10+(Regression!$Q$9*Table83[[#This Row],[Calories]])</f>
        <v>255.79252224952904</v>
      </c>
      <c r="AU77" s="2">
        <f>Table83[[#This Row],[Weight]]-Table7[[#This Row],[Weight v Calories]]</f>
        <v>-6.1925222495290484</v>
      </c>
      <c r="AV77" s="2">
        <f>Table7[[#This Row],[WCAL Res]]^2</f>
        <v>38.347331810912308</v>
      </c>
      <c r="AW77">
        <f>Regression!$R$10+(Regression!$R$9*Table83[[#This Row],[Carbs]])</f>
        <v>256.15903109563641</v>
      </c>
      <c r="AX77" s="2">
        <f>Table83[[#This Row],[Weight]]-Table7[[#This Row],[Weight v Carbs]]</f>
        <v>-6.5590310956364135</v>
      </c>
      <c r="AY77" s="2">
        <f>Table7[[#This Row],[Wcarb Res]]^2</f>
        <v>43.020888913525411</v>
      </c>
      <c r="AZ77">
        <f>Regression!$S$10+(Regression!$S$9*Table83[[#This Row],[Fat ]])</f>
        <v>255.34113499747099</v>
      </c>
      <c r="BA77" s="2">
        <f>Table83[[#This Row],[Weight]]-Table7[[#This Row],[Weight v Fat]]</f>
        <v>-5.7411349974709935</v>
      </c>
      <c r="BB77" s="2">
        <f>Table7[[#This Row],[WF Res]]^2</f>
        <v>32.960631059186262</v>
      </c>
      <c r="BC77">
        <f>Regression!$T$10+(Regression!$T$9*Table83[[#This Row],[Protein]])</f>
        <v>255.09064950836611</v>
      </c>
      <c r="BD77" s="2">
        <f>Table83[[#This Row],[Weight]]-Table7[[#This Row],[Weight v Protein]]</f>
        <v>-5.4906495083661184</v>
      </c>
      <c r="BE77" s="2">
        <f>Table7[[#This Row],[WP Res]]^2</f>
        <v>30.147232023721099</v>
      </c>
      <c r="BF77">
        <f>Regression!$U$10+(Regression!$U$9*Table83[[#This Row],[Fiber]])</f>
        <v>254.89650333864944</v>
      </c>
      <c r="BG77" s="2">
        <f>Table83[[#This Row],[Weight]]-Table7[[#This Row],[Weight v Fiber]]</f>
        <v>-5.296503338649444</v>
      </c>
      <c r="BH77" s="2">
        <f>Table7[[#This Row],[Wfib Res]]^2</f>
        <v>28.052947616324708</v>
      </c>
      <c r="BI77">
        <f>Regression!$V$10+(Regression!$V$9*Table83[[#This Row],[Sugar]])</f>
        <v>256.6117743215533</v>
      </c>
      <c r="BJ77" s="2">
        <f>Table83[[#This Row],[Weight]]-Table7[[#This Row],[Weight v Sugar]]</f>
        <v>-7.0117743215533039</v>
      </c>
      <c r="BK77" s="2">
        <f>Table7[[#This Row],[Wsugar Res]]^2</f>
        <v>49.164979136394294</v>
      </c>
      <c r="BL77">
        <f>Regression!$W$10+(Regression!$W$9*Table83[[#This Row],[Servings]])</f>
        <v>256.66065843766495</v>
      </c>
      <c r="BM77" s="2">
        <f>Table83[[#This Row],[Weight]]-Table7[[#This Row],[Weight v Servings]]</f>
        <v>-7.060658437664955</v>
      </c>
      <c r="BN77" s="2">
        <f>Table7[[#This Row],[Wserv Res]]^2</f>
        <v>49.852897573369326</v>
      </c>
      <c r="BO77">
        <f>Regression!$X$10+(Regression!$X$9*Table83[[#This Row],[Water]])</f>
        <v>255.23471394386095</v>
      </c>
      <c r="BP77" s="2">
        <f>Table83[[#This Row],[Weight]]-Table7[[#This Row],[Weight v Water]]</f>
        <v>-5.6347139438609588</v>
      </c>
      <c r="BQ77" s="2">
        <f>Table7[[#This Row],[Wwater Res]]^2</f>
        <v>31.75000122914112</v>
      </c>
      <c r="BR77">
        <f>Regression!$Y$10+(Regression!$Y$9*Table83[[#This Row],[Fat Calories]])</f>
        <v>255.35080007793775</v>
      </c>
      <c r="BS77" s="2">
        <f>Table83[[#This Row],[Weight]]-Table7[[#This Row],[Weight v Fat Calories]]</f>
        <v>-5.7508000779377539</v>
      </c>
      <c r="BT77" s="2">
        <f>Table7[[#This Row],[WFC Res]]^2</f>
        <v>33.071701536408874</v>
      </c>
      <c r="BU77">
        <f>Regression!$B$29+(Regression!$B$28*Table83[[#This Row],[Weight]])</f>
        <v>43.702046047900744</v>
      </c>
      <c r="BV77" s="2">
        <f>Table83[[#This Row],[Waist]]-Table7[[#This Row],[Waist v Weight]]</f>
        <v>-0.20204604790074399</v>
      </c>
      <c r="BW77" s="2">
        <f>Table7[[#This Row],[WaistW Res]]^2</f>
        <v>4.0822605472309731E-2</v>
      </c>
      <c r="BX77">
        <f>Regression!$C$29+(Regression!$C$28*Table83[[#This Row],[Neck]])</f>
        <v>44.175585585585594</v>
      </c>
      <c r="BY77" s="2">
        <f>Table83[[#This Row],[Waist]]-Table7[[#This Row],[Waist v Neck]]</f>
        <v>-0.67558558558559412</v>
      </c>
      <c r="BZ77" s="2">
        <f>Table7[[#This Row],[WaistN Res]]^2</f>
        <v>0.45641588345103012</v>
      </c>
      <c r="CA77">
        <f>Regression!$D$29+(Regression!$D$28*Table83[[#This Row],[Morning Body Temp]])</f>
        <v>44.419304304405451</v>
      </c>
      <c r="CB77" s="2">
        <f>Table83[[#This Row],[Waist]]-Table7[[#This Row],[Waist v Morning Temp]]</f>
        <v>-0.91930430440545052</v>
      </c>
      <c r="CC77" s="2">
        <f>Table7[[#This Row],[WaistMT Res]]^2</f>
        <v>0.84512040409838929</v>
      </c>
      <c r="CD77">
        <f>Regression!$E$29+(Regression!$E$28*Table83[[#This Row],[Morning Systolic Pressure]])</f>
        <v>44.439294322151774</v>
      </c>
      <c r="CE77" s="2">
        <f>Table83[[#This Row],[Waist]]-Table7[[#This Row],[Waist v Morning Sys]]</f>
        <v>-0.939294322151774</v>
      </c>
      <c r="CF77" s="2">
        <f>Table7[[#This Row],[WaistMS Res]]^2</f>
        <v>0.88227382362656059</v>
      </c>
      <c r="CG77">
        <f>Regression!$F$29+(Regression!$F$28*Table83[[#This Row],[Morning Diastolic Pressure]])</f>
        <v>44.458452288813113</v>
      </c>
      <c r="CH77" s="2">
        <f>Table83[[#This Row],[Waist]]-Table7[[#This Row],[Waist v Morning Dia]]</f>
        <v>-0.95845228881311328</v>
      </c>
      <c r="CI77" s="2">
        <f>Table7[[#This Row],[WaistMD Res]]^2</f>
        <v>0.91863078993109548</v>
      </c>
      <c r="CJ77">
        <f>Regression!$G$29+(Regression!$G$28*Table83[[#This Row],[Morning Pulse]])</f>
        <v>44.456255205227038</v>
      </c>
      <c r="CK77" s="2">
        <f>Table83[[#This Row],[Waist]]-Table7[[#This Row],[Waist v Morning Pulse]]</f>
        <v>-0.95625520522703766</v>
      </c>
      <c r="CL77" s="2">
        <f>Table7[[#This Row],[WaistMP Res]]^2</f>
        <v>0.91442401752380387</v>
      </c>
      <c r="CM77">
        <f>Regression!$H$29+(Regression!$H$28*Table83[[#This Row],[Night Body Temp]])</f>
        <v>44.416566259439634</v>
      </c>
      <c r="CN77" s="2">
        <f>Table83[[#This Row],[Waist]]-Table7[[#This Row],[Waist v Night Temp]]</f>
        <v>-0.91656625943963377</v>
      </c>
      <c r="CO77" s="2">
        <f>Table7[[#This Row],[WaistNT Res]]^2</f>
        <v>0.84009370794316207</v>
      </c>
      <c r="CP77">
        <f>Regression!$I$29+(Regression!$I$28*Table83[[#This Row],[Night Systolic Pressure]])</f>
        <v>44.48557954395644</v>
      </c>
      <c r="CQ77" s="2">
        <f>Table83[[#This Row],[Waist]]-Table7[[#This Row],[Waist v  Night Sys]]</f>
        <v>-0.98557954395644032</v>
      </c>
      <c r="CR77" s="2">
        <f>Table7[[#This Row],[WaistNS Res]]^2</f>
        <v>0.97136703746538489</v>
      </c>
      <c r="CS77">
        <f>Regression!$J$29+(Regression!$J$28*Table83[[#This Row],[Night Diastolic Pressure]])</f>
        <v>44.495227901568619</v>
      </c>
      <c r="CT77" s="2">
        <f>Table83[[#This Row],[Waist]]-Table7[[#This Row],[Waist v Night Dia]]</f>
        <v>-0.99522790156861873</v>
      </c>
      <c r="CU77" s="2">
        <f>Table7[[#This Row],[WaistND Res]]^2</f>
        <v>0.99047857606067624</v>
      </c>
      <c r="CV77">
        <f>Regression!$K$29+(Regression!$K$28*Table83[[#This Row],[Night Pulse]])</f>
        <v>44.471135357809125</v>
      </c>
      <c r="CW77" s="2">
        <f>Table83[[#This Row],[Waist]]-Table7[[#This Row],[Waist v Night Pulse]]</f>
        <v>-0.97113535780912486</v>
      </c>
      <c r="CX77" s="2">
        <f>Table7[[#This Row],[WaistNP Res]]^2</f>
        <v>0.94310388318705696</v>
      </c>
      <c r="CY77">
        <f>Regression!$L$29+(Regression!$L$28*Table83[[#This Row],[Sleep]])</f>
        <v>44.492966078854842</v>
      </c>
      <c r="CZ77" s="2">
        <f>Table83[[#This Row],[Waist]]-Table7[[#This Row],[Waist v  Sleep]]</f>
        <v>-0.99296607885484178</v>
      </c>
      <c r="DA77" s="2">
        <f>Table7[[#This Row],[WaistS Res]]^2</f>
        <v>0.98598163375635983</v>
      </c>
      <c r="DB77">
        <f>Regression!$M$29+(Regression!$M$28*Table83[[#This Row],[BMI]])</f>
        <v>43.702046047903131</v>
      </c>
      <c r="DC77" s="2">
        <f>Table83[[#This Row],[Waist]]-Table7[[#This Row],[Waist v BMI]]</f>
        <v>-0.20204604790313141</v>
      </c>
      <c r="DD77" s="2">
        <f>Table7[[#This Row],[WaistBMI Res]]^2</f>
        <v>4.0822605473274473E-2</v>
      </c>
      <c r="DE77">
        <f>Regression!$N$29+(Regression!$N$28*Table83[[#This Row],[CBF]])</f>
        <v>43.540887941991329</v>
      </c>
      <c r="DF77" s="2">
        <f>Table83[[#This Row],[Waist]]-Table7[[#This Row],[Waist v  CBF]]</f>
        <v>-4.0887941991329058E-2</v>
      </c>
      <c r="DG77" s="2">
        <f>Table7[[#This Row],[WaistCBF Res]]^2</f>
        <v>1.6718238002862899E-3</v>
      </c>
      <c r="DH77">
        <f>Regression!$O$29+(Regression!$O$28*Table83[[#This Row],[Gym]])</f>
        <v>44.550847457627107</v>
      </c>
      <c r="DI77" s="2">
        <f>Table83[[#This Row],[Waist]]-Table7[[#This Row],[Waist v  Gym]]</f>
        <v>-1.050847457627107</v>
      </c>
      <c r="DJ77" s="2">
        <f>Table7[[#This Row],[WaistGYM Res]]^2</f>
        <v>1.1042803792013545</v>
      </c>
      <c r="DK77">
        <f>Regression!$P$29+(Regression!$P$28*Table83[[#This Row],[Cardio]])</f>
        <v>44.680851063829778</v>
      </c>
      <c r="DL77" s="2">
        <f>Table83[[#This Row],[Waist]]-Table7[[#This Row],[Waist v Cardio]]</f>
        <v>-1.1808510638297776</v>
      </c>
      <c r="DM77" s="2">
        <f>Table7[[#This Row],[WaistC Res]]^2</f>
        <v>1.3944092349479174</v>
      </c>
      <c r="DN77">
        <f>Regression!$Q$29+(Regression!$Q$28*Table83[[#This Row],[Calories]])</f>
        <v>44.605754103766422</v>
      </c>
      <c r="DO77" s="2">
        <f>Table83[[#This Row],[Waist]]-Table7[[#This Row],[Waist v Calories]]</f>
        <v>-1.1057541037664222</v>
      </c>
      <c r="DP77" s="2">
        <f>Table7[[#This Row],[WaistCal Res]]^2</f>
        <v>1.2226921379962836</v>
      </c>
      <c r="DQ77">
        <f>Regression!$R$29+(Regression!$R$28*Table83[[#This Row],[Carbs]])</f>
        <v>44.670891491606348</v>
      </c>
      <c r="DR77" s="2">
        <f>Table83[[#This Row],[Waist]]-Table7[[#This Row],[Waist v Carbs]]</f>
        <v>-1.1708914916063478</v>
      </c>
      <c r="DS77" s="2">
        <f>Table7[[#This Row],[WaistCarb Res]]^2</f>
        <v>1.370986885116138</v>
      </c>
      <c r="DT77">
        <f>Regression!$S$29+(Regression!$S$28*Table83[[#This Row],[Fat ]])</f>
        <v>44.522650980493971</v>
      </c>
      <c r="DU77" s="2">
        <f>Table83[[#This Row],[Waist]]-Table7[[#This Row],[Waist v Fat]]</f>
        <v>-1.022650980493971</v>
      </c>
      <c r="DV77" s="2">
        <f>Table7[[#This Row],[WaistF Res]]^2</f>
        <v>1.0458150279052802</v>
      </c>
      <c r="DW77">
        <f>Regression!$T$29+(Regression!$T$28*Table83[[#This Row],[Protein]])</f>
        <v>44.44907467951667</v>
      </c>
      <c r="DX77" s="2">
        <f>Table83[[#This Row],[Waist]]-Table7[[#This Row],[Waist v Protein]]</f>
        <v>-0.94907467951667002</v>
      </c>
      <c r="DY77" s="2">
        <f>Table7[[#This Row],[WaistP Res]]^2</f>
        <v>0.90074274729966985</v>
      </c>
      <c r="DZ77">
        <f>Regression!$U$29+(Regression!$U$28*Table83[[#This Row],[Fiber]])</f>
        <v>44.369213638211555</v>
      </c>
      <c r="EA77" s="2">
        <f>Table83[[#This Row],[Waist]]-Table7[[#This Row],[Waist v Fiber]]</f>
        <v>-0.86921363821155495</v>
      </c>
      <c r="EB77" s="2">
        <f>Table7[[#This Row],[WaistFib Res]]^2</f>
        <v>0.75553234885296794</v>
      </c>
      <c r="EC77">
        <f>Regression!$V$29+(Regression!$V$28*Table83[[#This Row],[Sugar]])</f>
        <v>44.722410687690015</v>
      </c>
      <c r="ED77" s="2">
        <f>Table83[[#This Row],[Waist]]-Table7[[#This Row],[Waist v Sugar]]</f>
        <v>-1.2224106876900152</v>
      </c>
      <c r="EE77" s="2">
        <f>Table7[[#This Row],[WaistSugar Res]]^2</f>
        <v>1.4942878893787757</v>
      </c>
      <c r="EF77">
        <f>Regression!$W$29+(Regression!$W$28*Table83[[#This Row],[Servings]])</f>
        <v>44.689374798458864</v>
      </c>
      <c r="EG77" s="2">
        <f>Table83[[#This Row],[Waist]]-Table7[[#This Row],[Waist v Servings]]</f>
        <v>-1.1893747984588643</v>
      </c>
      <c r="EH77" s="2">
        <f>Table7[[#This Row],[WaistServ Res]]^2</f>
        <v>1.4146124112090641</v>
      </c>
      <c r="EI77">
        <f>Regression!$X$29+(Regression!$X$28*Table83[[#This Row],[Water]])</f>
        <v>44.609733984485779</v>
      </c>
      <c r="EJ77" s="2">
        <f>Table83[[#This Row],[Waist]]-Table7[[#This Row],[Waist v Water]]</f>
        <v>-1.1097339844857785</v>
      </c>
      <c r="EK77" s="2">
        <f>Table7[[#This Row],[WaistWat Res]]^2</f>
        <v>1.2315095163226821</v>
      </c>
      <c r="EL77">
        <f>Regression!$Y$29+(Regression!$Y$28*Table83[[#This Row],[Fat Calories]])</f>
        <v>44.525239953098414</v>
      </c>
      <c r="EM77" s="2">
        <f>Table83[[#This Row],[Waist]]-Table7[[#This Row],[Waist v Fat Calories]]</f>
        <v>-1.0252399530984135</v>
      </c>
      <c r="EN77" s="2">
        <f>Table7[[#This Row],[WaistFatCal Res]]^2</f>
        <v>1.0511169614292373</v>
      </c>
    </row>
    <row r="78" spans="1:144" x14ac:dyDescent="0.25">
      <c r="A78">
        <f>Regression!$B$10+(Regression!$B$9*Table83[[#This Row],[Waist]])</f>
        <v>246.8183038076352</v>
      </c>
      <c r="B78" s="2">
        <f>Table83[[#This Row],[Weight]]-Table7[[#This Row],[Weight v Waist]]</f>
        <v>1.981696192364808</v>
      </c>
      <c r="C78" s="2">
        <f>Table7[[#This Row],[Weight v Waist Res]]^2</f>
        <v>3.9271197988331781</v>
      </c>
      <c r="D78">
        <f>Regression!$C$10+(Regression!$C$9*Table83[[#This Row],[Neck]])</f>
        <v>253.29286486487842</v>
      </c>
      <c r="E78" s="2">
        <f>Table83[[#This Row],[Weight]]-Table7[[#This Row],[Weight v Neck]]</f>
        <v>-4.4928648648784133</v>
      </c>
      <c r="F78" s="2">
        <f>Table7[[#This Row],[WN Res]]^2</f>
        <v>20.185834694058922</v>
      </c>
      <c r="G78">
        <f>Regression!$D$10+(Regression!$D$9*Table83[[#This Row],[Morning Body Temp]])</f>
        <v>254.49637801530542</v>
      </c>
      <c r="H78" s="2">
        <f>Table83[[#This Row],[Weight]]-Table7[[#This Row],[Weight v Morning Temp]]</f>
        <v>-5.6963780153054131</v>
      </c>
      <c r="I78" s="2">
        <f>Table7[[#This Row],[WMT Res]]^2</f>
        <v>32.448722493254834</v>
      </c>
      <c r="J78">
        <f>Regression!$E$10+(Regression!$E$9*Table83[[#This Row],[Morning Systolic Pressure]])</f>
        <v>255.05440942489196</v>
      </c>
      <c r="K78" s="2">
        <f>Table83[[#This Row],[Weight]]-Table7[[#This Row],[Weight v Morning Sys]]</f>
        <v>-6.2544094248919464</v>
      </c>
      <c r="L78" s="2">
        <f>Table7[[#This Row],[WMS Res]]^2</f>
        <v>39.117637254177211</v>
      </c>
      <c r="M78">
        <f>Regression!$F$10+(Regression!$F$9*Table83[[#This Row],[Morning Diastolic Pressure]])</f>
        <v>254.79800715011203</v>
      </c>
      <c r="N78" s="2">
        <f>Table83[[#This Row],[Weight]]-Table7[[#This Row],[Weight v Morning Dia]]</f>
        <v>-5.9980071501120165</v>
      </c>
      <c r="O78" s="2">
        <f>Table7[[#This Row],[WMD Res]]^2</f>
        <v>35.976089772794872</v>
      </c>
      <c r="P78">
        <f>Regression!$G$10+(Regression!$G$9*Table83[[#This Row],[Morning Pulse]])</f>
        <v>255.13375084772755</v>
      </c>
      <c r="Q78" s="2">
        <f>Table83[[#This Row],[Weight]]-Table7[[#This Row],[Weight v Morning Pulse]]</f>
        <v>-6.3337508477275435</v>
      </c>
      <c r="R78" s="2">
        <f>Table7[[#This Row],[WMP Res]]^2</f>
        <v>40.116399801089379</v>
      </c>
      <c r="S78">
        <f>Regression!$H$10+(Regression!$H$9*Table83[[#This Row],[Night Body Temp]])</f>
        <v>255.26227295945182</v>
      </c>
      <c r="T78" s="2">
        <f>Table83[[#This Row],[Weight]]-Table7[[#This Row],[Weight v Night Temp]]</f>
        <v>-6.4622729594518091</v>
      </c>
      <c r="U78" s="2">
        <f>Table7[[#This Row],[WNT Res]]^2</f>
        <v>41.760971802462045</v>
      </c>
      <c r="V78">
        <f>Regression!$I$10+(Regression!$I$9*Table83[[#This Row],[Night Systolic Pressure]])</f>
        <v>255.95709523136651</v>
      </c>
      <c r="W78" s="2">
        <f>Table83[[#This Row],[Weight]]-Table7[[#This Row],[Weight v Night Sys]]</f>
        <v>-7.1570952313664975</v>
      </c>
      <c r="X78" s="2">
        <f>Table7[[#This Row],[WNS Res]]^2</f>
        <v>51.224012150849056</v>
      </c>
      <c r="Y78">
        <f>Regression!$J$10+(Regression!$J$9*Table83[[#This Row],[Night Diastolic Pressure]])</f>
        <v>255.17384811107831</v>
      </c>
      <c r="Z78" s="2">
        <f>Table83[[#This Row],[Weight]]-Table7[[#This Row],[Weight v Night Dia]]</f>
        <v>-6.3738481110783027</v>
      </c>
      <c r="AA78" s="2">
        <f>Table7[[#This Row],[WND Res]]^2</f>
        <v>40.625939743096446</v>
      </c>
      <c r="AB78">
        <f>Regression!$K$10+(Regression!$K$9*Table83[[#This Row],[Night Pulse]])</f>
        <v>254.92587187132088</v>
      </c>
      <c r="AC78" s="2">
        <f>Table83[[#This Row],[Weight]]-Table7[[#This Row],[Weight v Night Pulse]]</f>
        <v>-6.125871871320868</v>
      </c>
      <c r="AD78" s="2">
        <f>Table7[[#This Row],[WNP Res ]]^2</f>
        <v>37.526306183840234</v>
      </c>
      <c r="AE78">
        <f>Regression!$L$10+(Regression!$L$9*Table83[[#This Row],[Sleep]])</f>
        <v>254.34834426894676</v>
      </c>
      <c r="AF78" s="2">
        <f>Table83[[#This Row],[Weight]]-Table7[[#This Row],[Weight v Sleep]]</f>
        <v>-5.5483442689467495</v>
      </c>
      <c r="AG78" s="2">
        <f>Table7[[#This Row],[WS Res]]^2</f>
        <v>30.784124126754239</v>
      </c>
      <c r="AH78">
        <f>Regression!$M$10+(Regression!$M$9*Table83[[#This Row],[BMI]])</f>
        <v>248.80000000001414</v>
      </c>
      <c r="AI78" s="2">
        <f>Table83[[#This Row],[Weight]]-Table7[[#This Row],[Weight v BMI]]</f>
        <v>-1.4125589586910792E-11</v>
      </c>
      <c r="AJ78" s="2">
        <f>Table7[[#This Row],[WBMI Res]]^2</f>
        <v>1.9953228117784259E-22</v>
      </c>
      <c r="AK78">
        <f>Regression!$N$10+(Regression!$N$9*Table83[[#This Row],[CBF]])</f>
        <v>246.85529009284974</v>
      </c>
      <c r="AL78" s="2">
        <f>Table83[[#This Row],[Weight]]-Table7[[#This Row],[Weight v CBF]]</f>
        <v>1.9447099071502691</v>
      </c>
      <c r="AM78" s="2">
        <f>Table7[[#This Row],[WCBF Res]]^2</f>
        <v>3.7818966229684086</v>
      </c>
      <c r="AN78">
        <f>Regression!$O$10+(Regression!$O$9*Table83[[#This Row],[Gym]])</f>
        <v>255.46779661016953</v>
      </c>
      <c r="AO78" s="2">
        <f>Table83[[#This Row],[Weight]]-Table7[[#This Row],[Weight v Gym]]</f>
        <v>-6.6677966101695176</v>
      </c>
      <c r="AP78" s="2">
        <f>Table7[[#This Row],[WG Res]]^2</f>
        <v>44.459511634588111</v>
      </c>
      <c r="AQ78">
        <f>Regression!$P$10+(Regression!$P$9*Table83[[#This Row],[Cardio]])</f>
        <v>254.19242424242461</v>
      </c>
      <c r="AR78" s="2">
        <f>Table83[[#This Row],[Weight]]-Table7[[#This Row],[Weight v Cardio]]</f>
        <v>-5.3924242424245961</v>
      </c>
      <c r="AS78" s="2">
        <f>Table7[[#This Row],[WC Res]]^2</f>
        <v>29.07823921028848</v>
      </c>
      <c r="AT78">
        <f>Regression!$Q$10+(Regression!$Q$9*Table83[[#This Row],[Calories]])</f>
        <v>255.49637211255813</v>
      </c>
      <c r="AU78" s="2">
        <f>Table83[[#This Row],[Weight]]-Table7[[#This Row],[Weight v Calories]]</f>
        <v>-6.696372112558123</v>
      </c>
      <c r="AV78" s="2">
        <f>Table7[[#This Row],[WCAL Res]]^2</f>
        <v>44.841399469846138</v>
      </c>
      <c r="AW78">
        <f>Regression!$R$10+(Regression!$R$9*Table83[[#This Row],[Carbs]])</f>
        <v>255.98115818360364</v>
      </c>
      <c r="AX78" s="2">
        <f>Table83[[#This Row],[Weight]]-Table7[[#This Row],[Weight v Carbs]]</f>
        <v>-7.1811581836036282</v>
      </c>
      <c r="AY78" s="2">
        <f>Table7[[#This Row],[Wcarb Res]]^2</f>
        <v>51.569032857937358</v>
      </c>
      <c r="AZ78">
        <f>Regression!$S$10+(Regression!$S$9*Table83[[#This Row],[Fat ]])</f>
        <v>255.1350488042651</v>
      </c>
      <c r="BA78" s="2">
        <f>Table83[[#This Row],[Weight]]-Table7[[#This Row],[Weight v Fat]]</f>
        <v>-6.3350488042650852</v>
      </c>
      <c r="BB78" s="2">
        <f>Table7[[#This Row],[WF Res]]^2</f>
        <v>40.132843352420487</v>
      </c>
      <c r="BC78">
        <f>Regression!$T$10+(Regression!$T$9*Table83[[#This Row],[Protein]])</f>
        <v>254.16903852936395</v>
      </c>
      <c r="BD78" s="2">
        <f>Table83[[#This Row],[Weight]]-Table7[[#This Row],[Weight v Protein]]</f>
        <v>-5.3690385293639338</v>
      </c>
      <c r="BE78" s="2">
        <f>Table7[[#This Row],[WP Res]]^2</f>
        <v>28.826574729794434</v>
      </c>
      <c r="BF78">
        <f>Regression!$U$10+(Regression!$U$9*Table83[[#This Row],[Fiber]])</f>
        <v>255.0025459794569</v>
      </c>
      <c r="BG78" s="2">
        <f>Table83[[#This Row],[Weight]]-Table7[[#This Row],[Weight v Fiber]]</f>
        <v>-6.202545979456886</v>
      </c>
      <c r="BH78" s="2">
        <f>Table7[[#This Row],[Wfib Res]]^2</f>
        <v>38.471576627276782</v>
      </c>
      <c r="BI78">
        <f>Regression!$V$10+(Regression!$V$9*Table83[[#This Row],[Sugar]])</f>
        <v>256.44879633138328</v>
      </c>
      <c r="BJ78" s="2">
        <f>Table83[[#This Row],[Weight]]-Table7[[#This Row],[Weight v Sugar]]</f>
        <v>-7.6487963313832665</v>
      </c>
      <c r="BK78" s="2">
        <f>Table7[[#This Row],[Wsugar Res]]^2</f>
        <v>58.504085318982114</v>
      </c>
      <c r="BL78">
        <f>Regression!$W$10+(Regression!$W$9*Table83[[#This Row],[Servings]])</f>
        <v>256.58420866850832</v>
      </c>
      <c r="BM78" s="2">
        <f>Table83[[#This Row],[Weight]]-Table7[[#This Row],[Weight v Servings]]</f>
        <v>-7.7842086685083132</v>
      </c>
      <c r="BN78" s="2">
        <f>Table7[[#This Row],[Wserv Res]]^2</f>
        <v>60.593904594879966</v>
      </c>
      <c r="BO78">
        <f>Regression!$X$10+(Regression!$X$9*Table83[[#This Row],[Water]])</f>
        <v>255.19189796045953</v>
      </c>
      <c r="BP78" s="2">
        <f>Table83[[#This Row],[Weight]]-Table7[[#This Row],[Weight v Water]]</f>
        <v>-6.3918979604595165</v>
      </c>
      <c r="BQ78" s="2">
        <f>Table7[[#This Row],[Wwater Res]]^2</f>
        <v>40.856359536926526</v>
      </c>
      <c r="BR78">
        <f>Regression!$Y$10+(Regression!$Y$9*Table83[[#This Row],[Fat Calories]])</f>
        <v>255.1314725235388</v>
      </c>
      <c r="BS78" s="2">
        <f>Table83[[#This Row],[Weight]]-Table7[[#This Row],[Weight v Fat Calories]]</f>
        <v>-6.3314725235387925</v>
      </c>
      <c r="BT78" s="2">
        <f>Table7[[#This Row],[WFC Res]]^2</f>
        <v>40.087544316326685</v>
      </c>
      <c r="BU78">
        <f>Regression!$B$29+(Regression!$B$28*Table83[[#This Row],[Weight]])</f>
        <v>43.593036039444762</v>
      </c>
      <c r="BV78" s="2">
        <f>Table83[[#This Row],[Waist]]-Table7[[#This Row],[Waist v Weight]]</f>
        <v>-0.5930360394447618</v>
      </c>
      <c r="BW78" s="2">
        <f>Table7[[#This Row],[WaistW Res]]^2</f>
        <v>0.35169174408032905</v>
      </c>
      <c r="BX78">
        <f>Regression!$C$29+(Regression!$C$28*Table83[[#This Row],[Neck]])</f>
        <v>44.175585585585594</v>
      </c>
      <c r="BY78" s="2">
        <f>Table83[[#This Row],[Waist]]-Table7[[#This Row],[Waist v Neck]]</f>
        <v>-1.1755855855855941</v>
      </c>
      <c r="BZ78" s="2">
        <f>Table7[[#This Row],[WaistN Res]]^2</f>
        <v>1.3820014690366242</v>
      </c>
      <c r="CA78">
        <f>Regression!$D$29+(Regression!$D$28*Table83[[#This Row],[Morning Body Temp]])</f>
        <v>44.2852766121743</v>
      </c>
      <c r="CB78" s="2">
        <f>Table83[[#This Row],[Waist]]-Table7[[#This Row],[Waist v Morning Temp]]</f>
        <v>-1.2852766121743002</v>
      </c>
      <c r="CC78" s="2">
        <f>Table7[[#This Row],[WaistMT Res]]^2</f>
        <v>1.6519359698022467</v>
      </c>
      <c r="CD78">
        <f>Regression!$E$29+(Regression!$E$28*Table83[[#This Row],[Morning Systolic Pressure]])</f>
        <v>44.439294322151774</v>
      </c>
      <c r="CE78" s="2">
        <f>Table83[[#This Row],[Waist]]-Table7[[#This Row],[Waist v Morning Sys]]</f>
        <v>-1.439294322151774</v>
      </c>
      <c r="CF78" s="2">
        <f>Table7[[#This Row],[WaistMS Res]]^2</f>
        <v>2.0715681457783344</v>
      </c>
      <c r="CG78">
        <f>Regression!$F$29+(Regression!$F$28*Table83[[#This Row],[Morning Diastolic Pressure]])</f>
        <v>44.435909806137701</v>
      </c>
      <c r="CH78" s="2">
        <f>Table83[[#This Row],[Waist]]-Table7[[#This Row],[Waist v Morning Dia]]</f>
        <v>-1.4359098061377011</v>
      </c>
      <c r="CI78" s="2">
        <f>Table7[[#This Row],[WaistMD Res]]^2</f>
        <v>2.0618369713624105</v>
      </c>
      <c r="CJ78">
        <f>Regression!$G$29+(Regression!$G$28*Table83[[#This Row],[Morning Pulse]])</f>
        <v>44.462131723242337</v>
      </c>
      <c r="CK78" s="2">
        <f>Table83[[#This Row],[Waist]]-Table7[[#This Row],[Waist v Morning Pulse]]</f>
        <v>-1.4621317232423365</v>
      </c>
      <c r="CL78" s="2">
        <f>Table7[[#This Row],[WaistMP Res]]^2</f>
        <v>2.1378291761116044</v>
      </c>
      <c r="CM78">
        <f>Regression!$H$29+(Regression!$H$28*Table83[[#This Row],[Night Body Temp]])</f>
        <v>44.465147802268952</v>
      </c>
      <c r="CN78" s="2">
        <f>Table83[[#This Row],[Waist]]-Table7[[#This Row],[Waist v Night Temp]]</f>
        <v>-1.4651478022689517</v>
      </c>
      <c r="CO78" s="2">
        <f>Table7[[#This Row],[WaistNT Res]]^2</f>
        <v>2.1466580824935391</v>
      </c>
      <c r="CP78">
        <f>Regression!$I$29+(Regression!$I$28*Table83[[#This Row],[Night Systolic Pressure]])</f>
        <v>44.572820229910121</v>
      </c>
      <c r="CQ78" s="2">
        <f>Table83[[#This Row],[Waist]]-Table7[[#This Row],[Waist v  Night Sys]]</f>
        <v>-1.5728202299101213</v>
      </c>
      <c r="CR78" s="2">
        <f>Table7[[#This Row],[WaistNS Res]]^2</f>
        <v>2.4737634756145268</v>
      </c>
      <c r="CS78">
        <f>Regression!$J$29+(Regression!$J$28*Table83[[#This Row],[Night Diastolic Pressure]])</f>
        <v>44.478159956361175</v>
      </c>
      <c r="CT78" s="2">
        <f>Table83[[#This Row],[Waist]]-Table7[[#This Row],[Waist v Night Dia]]</f>
        <v>-1.4781599563611749</v>
      </c>
      <c r="CU78" s="2">
        <f>Table7[[#This Row],[WaistND Res]]^2</f>
        <v>2.1849568565896704</v>
      </c>
      <c r="CV78">
        <f>Regression!$K$29+(Regression!$K$28*Table83[[#This Row],[Night Pulse]])</f>
        <v>44.471135357809125</v>
      </c>
      <c r="CW78" s="2">
        <f>Table83[[#This Row],[Waist]]-Table7[[#This Row],[Waist v Night Pulse]]</f>
        <v>-1.4711353578091249</v>
      </c>
      <c r="CX78" s="2">
        <f>Table7[[#This Row],[WaistNP Res]]^2</f>
        <v>2.1642392409961819</v>
      </c>
      <c r="CY78">
        <f>Regression!$L$29+(Regression!$L$28*Table83[[#This Row],[Sleep]])</f>
        <v>44.336644432868965</v>
      </c>
      <c r="CZ78" s="2">
        <f>Table83[[#This Row],[Waist]]-Table7[[#This Row],[Waist v  Sleep]]</f>
        <v>-1.3366444328689653</v>
      </c>
      <c r="DA78" s="2">
        <f>Table7[[#This Row],[WaistS Res]]^2</f>
        <v>1.7866183399195978</v>
      </c>
      <c r="DB78">
        <f>Regression!$M$29+(Regression!$M$28*Table83[[#This Row],[BMI]])</f>
        <v>43.59303603944749</v>
      </c>
      <c r="DC78" s="2">
        <f>Table83[[#This Row],[Waist]]-Table7[[#This Row],[Waist v BMI]]</f>
        <v>-0.59303603944749028</v>
      </c>
      <c r="DD78" s="2">
        <f>Table7[[#This Row],[WaistBMI Res]]^2</f>
        <v>0.35169174408356524</v>
      </c>
      <c r="DE78">
        <f>Regression!$N$29+(Regression!$N$28*Table83[[#This Row],[CBF]])</f>
        <v>42.966198760667851</v>
      </c>
      <c r="DF78" s="2">
        <f>Table83[[#This Row],[Waist]]-Table7[[#This Row],[Waist v  CBF]]</f>
        <v>3.380123933214918E-2</v>
      </c>
      <c r="DG78" s="2">
        <f>Table7[[#This Row],[WaistCBF Res]]^2</f>
        <v>1.1425237803892288E-3</v>
      </c>
      <c r="DH78">
        <f>Regression!$O$29+(Regression!$O$28*Table83[[#This Row],[Gym]])</f>
        <v>44.550847457627107</v>
      </c>
      <c r="DI78" s="2">
        <f>Table83[[#This Row],[Waist]]-Table7[[#This Row],[Waist v  Gym]]</f>
        <v>-1.550847457627107</v>
      </c>
      <c r="DJ78" s="2">
        <f>Table7[[#This Row],[WaistGYM Res]]^2</f>
        <v>2.4051278368284614</v>
      </c>
      <c r="DK78">
        <f>Regression!$P$29+(Regression!$P$28*Table83[[#This Row],[Cardio]])</f>
        <v>44.291666666666664</v>
      </c>
      <c r="DL78" s="2">
        <f>Table83[[#This Row],[Waist]]-Table7[[#This Row],[Waist v Cardio]]</f>
        <v>-1.2916666666666643</v>
      </c>
      <c r="DM78" s="2">
        <f>Table7[[#This Row],[WaistC Res]]^2</f>
        <v>1.6684027777777717</v>
      </c>
      <c r="DN78">
        <f>Regression!$Q$29+(Regression!$Q$28*Table83[[#This Row],[Calories]])</f>
        <v>44.539215736499258</v>
      </c>
      <c r="DO78" s="2">
        <f>Table83[[#This Row],[Waist]]-Table7[[#This Row],[Waist v Calories]]</f>
        <v>-1.5392157364992585</v>
      </c>
      <c r="DP78" s="2">
        <f>Table7[[#This Row],[WaistCal Res]]^2</f>
        <v>2.3691850834869546</v>
      </c>
      <c r="DQ78">
        <f>Regression!$R$29+(Regression!$R$28*Table83[[#This Row],[Carbs]])</f>
        <v>44.633859440572103</v>
      </c>
      <c r="DR78" s="2">
        <f>Table83[[#This Row],[Waist]]-Table7[[#This Row],[Waist v Carbs]]</f>
        <v>-1.6338594405721025</v>
      </c>
      <c r="DS78" s="2">
        <f>Table7[[#This Row],[WaistCarb Res]]^2</f>
        <v>2.6694966715465838</v>
      </c>
      <c r="DT78">
        <f>Regression!$S$29+(Regression!$S$28*Table83[[#This Row],[Fat ]])</f>
        <v>44.459654792573325</v>
      </c>
      <c r="DU78" s="2">
        <f>Table83[[#This Row],[Waist]]-Table7[[#This Row],[Waist v Fat]]</f>
        <v>-1.4596547925733248</v>
      </c>
      <c r="DV78" s="2">
        <f>Table7[[#This Row],[WaistF Res]]^2</f>
        <v>2.1305921134822756</v>
      </c>
      <c r="DW78">
        <f>Regression!$T$29+(Regression!$T$28*Table83[[#This Row],[Protein]])</f>
        <v>44.280385635781563</v>
      </c>
      <c r="DX78" s="2">
        <f>Table83[[#This Row],[Waist]]-Table7[[#This Row],[Waist v Protein]]</f>
        <v>-1.2803856357815633</v>
      </c>
      <c r="DY78" s="2">
        <f>Table7[[#This Row],[WaistP Res]]^2</f>
        <v>1.639387376315758</v>
      </c>
      <c r="DZ78">
        <f>Regression!$U$29+(Regression!$U$28*Table83[[#This Row],[Fiber]])</f>
        <v>44.410131246545745</v>
      </c>
      <c r="EA78" s="2">
        <f>Table83[[#This Row],[Waist]]-Table7[[#This Row],[Waist v Fiber]]</f>
        <v>-1.4101312465457454</v>
      </c>
      <c r="EB78" s="2">
        <f>Table7[[#This Row],[WaistFib Res]]^2</f>
        <v>1.9884701324846579</v>
      </c>
      <c r="EC78">
        <f>Regression!$V$29+(Regression!$V$28*Table83[[#This Row],[Sugar]])</f>
        <v>44.693133509453887</v>
      </c>
      <c r="ED78" s="2">
        <f>Table83[[#This Row],[Waist]]-Table7[[#This Row],[Waist v Sugar]]</f>
        <v>-1.6931335094538866</v>
      </c>
      <c r="EE78" s="2">
        <f>Table7[[#This Row],[WaistSugar Res]]^2</f>
        <v>2.8667010808356346</v>
      </c>
      <c r="EF78">
        <f>Regression!$W$29+(Regression!$W$28*Table83[[#This Row],[Servings]])</f>
        <v>44.677709837338362</v>
      </c>
      <c r="EG78" s="2">
        <f>Table83[[#This Row],[Waist]]-Table7[[#This Row],[Waist v Servings]]</f>
        <v>-1.6777098373383623</v>
      </c>
      <c r="EH78" s="2">
        <f>Table7[[#This Row],[WaistServ Res]]^2</f>
        <v>2.8147102983019141</v>
      </c>
      <c r="EI78">
        <f>Regression!$X$29+(Regression!$X$28*Table83[[#This Row],[Water]])</f>
        <v>44.553850107074496</v>
      </c>
      <c r="EJ78" s="2">
        <f>Table83[[#This Row],[Waist]]-Table7[[#This Row],[Waist v Water]]</f>
        <v>-1.5538501070744957</v>
      </c>
      <c r="EK78" s="2">
        <f>Table7[[#This Row],[WaistWat Res]]^2</f>
        <v>2.4144501552554218</v>
      </c>
      <c r="EL78">
        <f>Regression!$Y$29+(Regression!$Y$28*Table83[[#This Row],[Fat Calories]])</f>
        <v>44.458536134267604</v>
      </c>
      <c r="EM78" s="2">
        <f>Table83[[#This Row],[Waist]]-Table7[[#This Row],[Waist v Fat Calories]]</f>
        <v>-1.4585361342676038</v>
      </c>
      <c r="EN78" s="2">
        <f>Table7[[#This Row],[WaistFatCal Res]]^2</f>
        <v>2.1273276549642857</v>
      </c>
    </row>
    <row r="79" spans="1:144" x14ac:dyDescent="0.25">
      <c r="A79">
        <f>Regression!$B$10+(Regression!$B$9*Table83[[#This Row],[Waist]])</f>
        <v>249.67228149328892</v>
      </c>
      <c r="B79" s="2">
        <f>Table83[[#This Row],[Weight]]-Table7[[#This Row],[Weight v Waist]]</f>
        <v>-1.6722814932889207</v>
      </c>
      <c r="C79" s="2">
        <f>Table7[[#This Row],[Weight v Waist Res]]^2</f>
        <v>2.7965253927966227</v>
      </c>
      <c r="D79">
        <f>Regression!$C$10+(Regression!$C$9*Table83[[#This Row],[Neck]])</f>
        <v>253.29286486487842</v>
      </c>
      <c r="E79" s="2">
        <f>Table83[[#This Row],[Weight]]-Table7[[#This Row],[Weight v Neck]]</f>
        <v>-5.2928648648784247</v>
      </c>
      <c r="F79" s="2">
        <f>Table7[[#This Row],[WN Res]]^2</f>
        <v>28.014418477864506</v>
      </c>
      <c r="G79">
        <f>Regression!$D$10+(Regression!$D$9*Table83[[#This Row],[Morning Body Temp]])</f>
        <v>254.35558090686067</v>
      </c>
      <c r="H79" s="2">
        <f>Table83[[#This Row],[Weight]]-Table7[[#This Row],[Weight v Morning Temp]]</f>
        <v>-6.3555809068606663</v>
      </c>
      <c r="I79" s="2">
        <f>Table7[[#This Row],[WMT Res]]^2</f>
        <v>40.393408663651847</v>
      </c>
      <c r="J79">
        <f>Regression!$E$10+(Regression!$E$9*Table83[[#This Row],[Morning Systolic Pressure]])</f>
        <v>255.27979544420887</v>
      </c>
      <c r="K79" s="2">
        <f>Table83[[#This Row],[Weight]]-Table7[[#This Row],[Weight v Morning Sys]]</f>
        <v>-7.2797954442088724</v>
      </c>
      <c r="L79" s="2">
        <f>Table7[[#This Row],[WMS Res]]^2</f>
        <v>52.995421709524251</v>
      </c>
      <c r="M79">
        <f>Regression!$F$10+(Regression!$F$9*Table83[[#This Row],[Morning Diastolic Pressure]])</f>
        <v>254.59531865202226</v>
      </c>
      <c r="N79" s="2">
        <f>Table83[[#This Row],[Weight]]-Table7[[#This Row],[Weight v Morning Dia]]</f>
        <v>-6.5953186520222573</v>
      </c>
      <c r="O79" s="2">
        <f>Table7[[#This Row],[WMD Res]]^2</f>
        <v>43.498228121712685</v>
      </c>
      <c r="P79">
        <f>Regression!$G$10+(Regression!$G$9*Table83[[#This Row],[Morning Pulse]])</f>
        <v>255.13375084772755</v>
      </c>
      <c r="Q79" s="2">
        <f>Table83[[#This Row],[Weight]]-Table7[[#This Row],[Weight v Morning Pulse]]</f>
        <v>-7.1337508477275549</v>
      </c>
      <c r="R79" s="2">
        <f>Table7[[#This Row],[WMP Res]]^2</f>
        <v>50.89040115745361</v>
      </c>
      <c r="S79">
        <f>Regression!$H$10+(Regression!$H$9*Table83[[#This Row],[Night Body Temp]])</f>
        <v>255.36496952993349</v>
      </c>
      <c r="T79" s="2">
        <f>Table83[[#This Row],[Weight]]-Table7[[#This Row],[Weight v Night Temp]]</f>
        <v>-7.3649695299334894</v>
      </c>
      <c r="U79" s="2">
        <f>Table7[[#This Row],[WNT Res]]^2</f>
        <v>54.242776176848722</v>
      </c>
      <c r="V79">
        <f>Regression!$I$10+(Regression!$I$9*Table83[[#This Row],[Night Systolic Pressure]])</f>
        <v>255.23858139316721</v>
      </c>
      <c r="W79" s="2">
        <f>Table83[[#This Row],[Weight]]-Table7[[#This Row],[Weight v Night Sys]]</f>
        <v>-7.2385813931672089</v>
      </c>
      <c r="X79" s="2">
        <f>Table7[[#This Row],[WNS Res]]^2</f>
        <v>52.39706058550653</v>
      </c>
      <c r="Y79">
        <f>Regression!$J$10+(Regression!$J$9*Table83[[#This Row],[Night Diastolic Pressure]])</f>
        <v>255.17384811107831</v>
      </c>
      <c r="Z79" s="2">
        <f>Table83[[#This Row],[Weight]]-Table7[[#This Row],[Weight v Night Dia]]</f>
        <v>-7.1738481110783141</v>
      </c>
      <c r="AA79" s="2">
        <f>Table7[[#This Row],[WND Res]]^2</f>
        <v>51.464096720821892</v>
      </c>
      <c r="AB79">
        <f>Regression!$K$10+(Regression!$K$9*Table83[[#This Row],[Night Pulse]])</f>
        <v>254.98729853379433</v>
      </c>
      <c r="AC79" s="2">
        <f>Table83[[#This Row],[Weight]]-Table7[[#This Row],[Weight v Night Pulse]]</f>
        <v>-6.9872985337943305</v>
      </c>
      <c r="AD79" s="2">
        <f>Table7[[#This Row],[WNP Res ]]^2</f>
        <v>48.822340800364401</v>
      </c>
      <c r="AE79">
        <f>Regression!$L$10+(Regression!$L$9*Table83[[#This Row],[Sleep]])</f>
        <v>254.19060717725986</v>
      </c>
      <c r="AF79" s="2">
        <f>Table83[[#This Row],[Weight]]-Table7[[#This Row],[Weight v Sleep]]</f>
        <v>-6.1906071772598636</v>
      </c>
      <c r="AG79" s="2">
        <f>Table7[[#This Row],[WS Res]]^2</f>
        <v>38.323617223141333</v>
      </c>
      <c r="AH79">
        <f>Regression!$M$10+(Regression!$M$9*Table83[[#This Row],[BMI]])</f>
        <v>248.00000000001594</v>
      </c>
      <c r="AI79" s="2">
        <f>Table83[[#This Row],[Weight]]-Table7[[#This Row],[Weight v BMI]]</f>
        <v>-1.5944578990456648E-11</v>
      </c>
      <c r="AJ79" s="2">
        <f>Table7[[#This Row],[WBMI Res]]^2</f>
        <v>2.5422959918291155E-22</v>
      </c>
      <c r="AK79">
        <f>Regression!$N$10+(Regression!$N$9*Table83[[#This Row],[CBF]])</f>
        <v>250.04675133427031</v>
      </c>
      <c r="AL79" s="2">
        <f>Table83[[#This Row],[Weight]]-Table7[[#This Row],[Weight v CBF]]</f>
        <v>-2.0467513342703114</v>
      </c>
      <c r="AM79" s="2">
        <f>Table7[[#This Row],[WCBF Res]]^2</f>
        <v>4.1891910243373003</v>
      </c>
      <c r="AN79">
        <f>Regression!$O$10+(Regression!$O$9*Table83[[#This Row],[Gym]])</f>
        <v>255.46779661016953</v>
      </c>
      <c r="AO79" s="2">
        <f>Table83[[#This Row],[Weight]]-Table7[[#This Row],[Weight v Gym]]</f>
        <v>-7.467796610169529</v>
      </c>
      <c r="AP79" s="2">
        <f>Table7[[#This Row],[WG Res]]^2</f>
        <v>55.767986210859512</v>
      </c>
      <c r="AQ79">
        <f>Regression!$P$10+(Regression!$P$9*Table83[[#This Row],[Cardio]])</f>
        <v>256.41063829787231</v>
      </c>
      <c r="AR79" s="2">
        <f>Table83[[#This Row],[Weight]]-Table7[[#This Row],[Weight v Cardio]]</f>
        <v>-8.4106382978723104</v>
      </c>
      <c r="AS79" s="2">
        <f>Table7[[#This Row],[WC Res]]^2</f>
        <v>70.738836577636434</v>
      </c>
      <c r="AT79">
        <f>Regression!$Q$10+(Regression!$Q$9*Table83[[#This Row],[Calories]])</f>
        <v>255.71486611456103</v>
      </c>
      <c r="AU79" s="2">
        <f>Table83[[#This Row],[Weight]]-Table7[[#This Row],[Weight v Calories]]</f>
        <v>-7.7148661145610333</v>
      </c>
      <c r="AV79" s="2">
        <f>Table7[[#This Row],[WCAL Res]]^2</f>
        <v>59.519159165602055</v>
      </c>
      <c r="AW79">
        <f>Regression!$R$10+(Regression!$R$9*Table83[[#This Row],[Carbs]])</f>
        <v>255.92462077052511</v>
      </c>
      <c r="AX79" s="2">
        <f>Table83[[#This Row],[Weight]]-Table7[[#This Row],[Weight v Carbs]]</f>
        <v>-7.9246207705251095</v>
      </c>
      <c r="AY79" s="2">
        <f>Table7[[#This Row],[Wcarb Res]]^2</f>
        <v>62.799614356637981</v>
      </c>
      <c r="AZ79">
        <f>Regression!$S$10+(Regression!$S$9*Table83[[#This Row],[Fat ]])</f>
        <v>255.37118506036032</v>
      </c>
      <c r="BA79" s="2">
        <f>Table83[[#This Row],[Weight]]-Table7[[#This Row],[Weight v Fat]]</f>
        <v>-7.3711850603603182</v>
      </c>
      <c r="BB79" s="2">
        <f>Table7[[#This Row],[WF Res]]^2</f>
        <v>54.334369194079144</v>
      </c>
      <c r="BC79">
        <f>Regression!$T$10+(Regression!$T$9*Table83[[#This Row],[Protein]])</f>
        <v>255.52744510649694</v>
      </c>
      <c r="BD79" s="2">
        <f>Table83[[#This Row],[Weight]]-Table7[[#This Row],[Weight v Protein]]</f>
        <v>-7.5274451064969412</v>
      </c>
      <c r="BE79" s="2">
        <f>Table7[[#This Row],[WP Res]]^2</f>
        <v>56.662429831324744</v>
      </c>
      <c r="BF79">
        <f>Regression!$U$10+(Regression!$U$9*Table83[[#This Row],[Fiber]])</f>
        <v>254.91700567521801</v>
      </c>
      <c r="BG79" s="2">
        <f>Table83[[#This Row],[Weight]]-Table7[[#This Row],[Weight v Fiber]]</f>
        <v>-6.9170056752180074</v>
      </c>
      <c r="BH79" s="2">
        <f>Table7[[#This Row],[Wfib Res]]^2</f>
        <v>47.844967510998124</v>
      </c>
      <c r="BI79">
        <f>Regression!$V$10+(Regression!$V$9*Table83[[#This Row],[Sugar]])</f>
        <v>256.18397956556902</v>
      </c>
      <c r="BJ79" s="2">
        <f>Table83[[#This Row],[Weight]]-Table7[[#This Row],[Weight v Sugar]]</f>
        <v>-8.1839795655690182</v>
      </c>
      <c r="BK79" s="2">
        <f>Table7[[#This Row],[Wsugar Res]]^2</f>
        <v>66.977521529651256</v>
      </c>
      <c r="BL79">
        <f>Regression!$W$10+(Regression!$W$9*Table83[[#This Row],[Servings]])</f>
        <v>256.69888332224326</v>
      </c>
      <c r="BM79" s="2">
        <f>Table83[[#This Row],[Weight]]-Table7[[#This Row],[Weight v Servings]]</f>
        <v>-8.6988833222432618</v>
      </c>
      <c r="BN79" s="2">
        <f>Table7[[#This Row],[Wserv Res]]^2</f>
        <v>75.670571054001968</v>
      </c>
      <c r="BO79">
        <f>Regression!$X$10+(Regression!$X$9*Table83[[#This Row],[Water]])</f>
        <v>255.1490819770581</v>
      </c>
      <c r="BP79" s="2">
        <f>Table83[[#This Row],[Weight]]-Table7[[#This Row],[Weight v Water]]</f>
        <v>-7.1490819770581027</v>
      </c>
      <c r="BQ79" s="2">
        <f>Table7[[#This Row],[Wwater Res]]^2</f>
        <v>51.109373114696993</v>
      </c>
      <c r="BR79">
        <f>Regression!$Y$10+(Regression!$Y$9*Table83[[#This Row],[Fat Calories]])</f>
        <v>255.38278090450615</v>
      </c>
      <c r="BS79" s="2">
        <f>Table83[[#This Row],[Weight]]-Table7[[#This Row],[Weight v Fat Calories]]</f>
        <v>-7.3827809045061485</v>
      </c>
      <c r="BT79" s="2">
        <f>Table7[[#This Row],[WFC Res]]^2</f>
        <v>54.505453883940625</v>
      </c>
      <c r="BU79">
        <f>Regression!$B$29+(Regression!$B$28*Table83[[#This Row],[Weight]])</f>
        <v>43.484026030988773</v>
      </c>
      <c r="BV79" s="2">
        <f>Table83[[#This Row],[Waist]]-Table7[[#This Row],[Waist v Weight]]</f>
        <v>1.5973969011227496E-2</v>
      </c>
      <c r="BW79" s="2">
        <f>Table7[[#This Row],[WaistW Res]]^2</f>
        <v>2.5516768597165631E-4</v>
      </c>
      <c r="BX79">
        <f>Regression!$C$29+(Regression!$C$28*Table83[[#This Row],[Neck]])</f>
        <v>44.175585585585594</v>
      </c>
      <c r="BY79" s="2">
        <f>Table83[[#This Row],[Waist]]-Table7[[#This Row],[Waist v Neck]]</f>
        <v>-0.67558558558559412</v>
      </c>
      <c r="BZ79" s="2">
        <f>Table7[[#This Row],[WaistN Res]]^2</f>
        <v>0.45641588345103012</v>
      </c>
      <c r="CA79">
        <f>Regression!$D$29+(Regression!$D$28*Table83[[#This Row],[Morning Body Temp]])</f>
        <v>44.246982985822548</v>
      </c>
      <c r="CB79" s="2">
        <f>Table83[[#This Row],[Waist]]-Table7[[#This Row],[Waist v Morning Temp]]</f>
        <v>-0.74698298582254807</v>
      </c>
      <c r="CC79" s="2">
        <f>Table7[[#This Row],[WaistMT Res]]^2</f>
        <v>0.5579835811083691</v>
      </c>
      <c r="CD79">
        <f>Regression!$E$29+(Regression!$E$28*Table83[[#This Row],[Morning Systolic Pressure]])</f>
        <v>44.492246348363913</v>
      </c>
      <c r="CE79" s="2">
        <f>Table83[[#This Row],[Waist]]-Table7[[#This Row],[Waist v Morning Sys]]</f>
        <v>-0.99224634836391346</v>
      </c>
      <c r="CF79" s="2">
        <f>Table7[[#This Row],[WaistMS Res]]^2</f>
        <v>0.98455281584152066</v>
      </c>
      <c r="CG79">
        <f>Regression!$F$29+(Regression!$F$28*Table83[[#This Row],[Morning Diastolic Pressure]])</f>
        <v>44.424638564799992</v>
      </c>
      <c r="CH79" s="2">
        <f>Table83[[#This Row],[Waist]]-Table7[[#This Row],[Waist v Morning Dia]]</f>
        <v>-0.92463856479999151</v>
      </c>
      <c r="CI79" s="2">
        <f>Table7[[#This Row],[WaistMD Res]]^2</f>
        <v>0.85495647551538811</v>
      </c>
      <c r="CJ79">
        <f>Regression!$G$29+(Regression!$G$28*Table83[[#This Row],[Morning Pulse]])</f>
        <v>44.462131723242337</v>
      </c>
      <c r="CK79" s="2">
        <f>Table83[[#This Row],[Waist]]-Table7[[#This Row],[Waist v Morning Pulse]]</f>
        <v>-0.96213172324233653</v>
      </c>
      <c r="CL79" s="2">
        <f>Table7[[#This Row],[WaistMP Res]]^2</f>
        <v>0.92569745286926808</v>
      </c>
      <c r="CM79">
        <f>Regression!$H$29+(Regression!$H$28*Table83[[#This Row],[Night Body Temp]])</f>
        <v>44.473244726073837</v>
      </c>
      <c r="CN79" s="2">
        <f>Table83[[#This Row],[Waist]]-Table7[[#This Row],[Waist v Night Temp]]</f>
        <v>-0.97324472607383683</v>
      </c>
      <c r="CO79" s="2">
        <f>Table7[[#This Row],[WaistNT Res]]^2</f>
        <v>0.94720529683053767</v>
      </c>
      <c r="CP79">
        <f>Regression!$I$29+(Regression!$I$28*Table83[[#This Row],[Night Systolic Pressure]])</f>
        <v>44.471039429630828</v>
      </c>
      <c r="CQ79" s="2">
        <f>Table83[[#This Row],[Waist]]-Table7[[#This Row],[Waist v  Night Sys]]</f>
        <v>-0.97103942963082801</v>
      </c>
      <c r="CR79" s="2">
        <f>Table7[[#This Row],[WaistNS Res]]^2</f>
        <v>0.94291757389776376</v>
      </c>
      <c r="CS79">
        <f>Regression!$J$29+(Regression!$J$28*Table83[[#This Row],[Night Diastolic Pressure]])</f>
        <v>44.478159956361175</v>
      </c>
      <c r="CT79" s="2">
        <f>Table83[[#This Row],[Waist]]-Table7[[#This Row],[Waist v Night Dia]]</f>
        <v>-0.97815995636117492</v>
      </c>
      <c r="CU79" s="2">
        <f>Table7[[#This Row],[WaistND Res]]^2</f>
        <v>0.95679690022849562</v>
      </c>
      <c r="CV79">
        <f>Regression!$K$29+(Regression!$K$28*Table83[[#This Row],[Night Pulse]])</f>
        <v>44.465421865187196</v>
      </c>
      <c r="CW79" s="2">
        <f>Table83[[#This Row],[Waist]]-Table7[[#This Row],[Waist v Night Pulse]]</f>
        <v>-0.96542186518719575</v>
      </c>
      <c r="CX79" s="2">
        <f>Table7[[#This Row],[WaistNP Res]]^2</f>
        <v>0.93203937778152401</v>
      </c>
      <c r="CY79">
        <f>Regression!$L$29+(Regression!$L$28*Table83[[#This Row],[Sleep]])</f>
        <v>44.312594948871137</v>
      </c>
      <c r="CZ79" s="2">
        <f>Table83[[#This Row],[Waist]]-Table7[[#This Row],[Waist v  Sleep]]</f>
        <v>-0.81259494887113703</v>
      </c>
      <c r="DA79" s="2">
        <f>Table7[[#This Row],[WaistS Res]]^2</f>
        <v>0.66031055093088586</v>
      </c>
      <c r="DB79">
        <f>Regression!$M$29+(Regression!$M$28*Table83[[#This Row],[BMI]])</f>
        <v>43.484026030991856</v>
      </c>
      <c r="DC79" s="2">
        <f>Table83[[#This Row],[Waist]]-Table7[[#This Row],[Waist v BMI]]</f>
        <v>1.597396900814374E-2</v>
      </c>
      <c r="DD79" s="2">
        <f>Table7[[#This Row],[WaistBMI Res]]^2</f>
        <v>2.5516768587313671E-4</v>
      </c>
      <c r="DE79">
        <f>Regression!$N$29+(Regression!$N$28*Table83[[#This Row],[CBF]])</f>
        <v>43.540887941991329</v>
      </c>
      <c r="DF79" s="2">
        <f>Table83[[#This Row],[Waist]]-Table7[[#This Row],[Waist v  CBF]]</f>
        <v>-4.0887941991329058E-2</v>
      </c>
      <c r="DG79" s="2">
        <f>Table7[[#This Row],[WaistCBF Res]]^2</f>
        <v>1.6718238002862899E-3</v>
      </c>
      <c r="DH79">
        <f>Regression!$O$29+(Regression!$O$28*Table83[[#This Row],[Gym]])</f>
        <v>44.550847457627107</v>
      </c>
      <c r="DI79" s="2">
        <f>Table83[[#This Row],[Waist]]-Table7[[#This Row],[Waist v  Gym]]</f>
        <v>-1.050847457627107</v>
      </c>
      <c r="DJ79" s="2">
        <f>Table7[[#This Row],[WaistGYM Res]]^2</f>
        <v>1.1042803792013545</v>
      </c>
      <c r="DK79">
        <f>Regression!$P$29+(Regression!$P$28*Table83[[#This Row],[Cardio]])</f>
        <v>44.680851063829778</v>
      </c>
      <c r="DL79" s="2">
        <f>Table83[[#This Row],[Waist]]-Table7[[#This Row],[Waist v Cardio]]</f>
        <v>-1.1808510638297776</v>
      </c>
      <c r="DM79" s="2">
        <f>Table7[[#This Row],[WaistC Res]]^2</f>
        <v>1.3944092349479174</v>
      </c>
      <c r="DN79">
        <f>Regression!$Q$29+(Regression!$Q$28*Table83[[#This Row],[Calories]])</f>
        <v>44.588306492626003</v>
      </c>
      <c r="DO79" s="2">
        <f>Table83[[#This Row],[Waist]]-Table7[[#This Row],[Waist v Calories]]</f>
        <v>-1.0883064926260033</v>
      </c>
      <c r="DP79" s="2">
        <f>Table7[[#This Row],[WaistCal Res]]^2</f>
        <v>1.1844110218919131</v>
      </c>
      <c r="DQ79">
        <f>Regression!$R$29+(Regression!$R$28*Table83[[#This Row],[Carbs]])</f>
        <v>44.62208869739068</v>
      </c>
      <c r="DR79" s="2">
        <f>Table83[[#This Row],[Waist]]-Table7[[#This Row],[Waist v Carbs]]</f>
        <v>-1.1220886973906801</v>
      </c>
      <c r="DS79" s="2">
        <f>Table7[[#This Row],[WaistCarb Res]]^2</f>
        <v>1.2590830448119132</v>
      </c>
      <c r="DT79">
        <f>Regression!$S$29+(Regression!$S$28*Table83[[#This Row],[Fat ]])</f>
        <v>44.531836648778473</v>
      </c>
      <c r="DU79" s="2">
        <f>Table83[[#This Row],[Waist]]-Table7[[#This Row],[Waist v Fat]]</f>
        <v>-1.0318366487784729</v>
      </c>
      <c r="DV79" s="2">
        <f>Table7[[#This Row],[WaistF Res]]^2</f>
        <v>1.0646868697623897</v>
      </c>
      <c r="DW79">
        <f>Regression!$T$29+(Regression!$T$28*Table83[[#This Row],[Protein]])</f>
        <v>44.529024499381194</v>
      </c>
      <c r="DX79" s="2">
        <f>Table83[[#This Row],[Waist]]-Table7[[#This Row],[Waist v Protein]]</f>
        <v>-1.0290244993811939</v>
      </c>
      <c r="DY79" s="2">
        <f>Table7[[#This Row],[WaistP Res]]^2</f>
        <v>1.0588914203267168</v>
      </c>
      <c r="DZ79">
        <f>Regression!$U$29+(Regression!$U$28*Table83[[#This Row],[Fiber]])</f>
        <v>44.377124668823967</v>
      </c>
      <c r="EA79" s="2">
        <f>Table83[[#This Row],[Waist]]-Table7[[#This Row],[Waist v Fiber]]</f>
        <v>-0.87712466882396711</v>
      </c>
      <c r="EB79" s="2">
        <f>Table7[[#This Row],[WaistFib Res]]^2</f>
        <v>0.76934768465955394</v>
      </c>
      <c r="EC79">
        <f>Regression!$V$29+(Regression!$V$28*Table83[[#This Row],[Sugar]])</f>
        <v>44.645562130983869</v>
      </c>
      <c r="ED79" s="2">
        <f>Table83[[#This Row],[Waist]]-Table7[[#This Row],[Waist v Sugar]]</f>
        <v>-1.1455621309838691</v>
      </c>
      <c r="EE79" s="2">
        <f>Table7[[#This Row],[WaistSugar Res]]^2</f>
        <v>1.3123125959443032</v>
      </c>
      <c r="EF79">
        <f>Regression!$W$29+(Regression!$W$28*Table83[[#This Row],[Servings]])</f>
        <v>44.695207279019115</v>
      </c>
      <c r="EG79" s="2">
        <f>Table83[[#This Row],[Waist]]-Table7[[#This Row],[Waist v Servings]]</f>
        <v>-1.1952072790191153</v>
      </c>
      <c r="EH79" s="2">
        <f>Table7[[#This Row],[WaistServ Res]]^2</f>
        <v>1.4285204398202773</v>
      </c>
      <c r="EI79">
        <f>Regression!$X$29+(Regression!$X$28*Table83[[#This Row],[Water]])</f>
        <v>44.497966229663206</v>
      </c>
      <c r="EJ79" s="2">
        <f>Table83[[#This Row],[Waist]]-Table7[[#This Row],[Waist v Water]]</f>
        <v>-0.9979662296632057</v>
      </c>
      <c r="EK79" s="2">
        <f>Table7[[#This Row],[WaistWat Res]]^2</f>
        <v>0.99593659554819425</v>
      </c>
      <c r="EL79">
        <f>Regression!$Y$29+(Regression!$Y$28*Table83[[#This Row],[Fat Calories]])</f>
        <v>44.53496624247105</v>
      </c>
      <c r="EM79" s="2">
        <f>Table83[[#This Row],[Waist]]-Table7[[#This Row],[Waist v Fat Calories]]</f>
        <v>-1.0349662424710502</v>
      </c>
      <c r="EN79" s="2">
        <f>Table7[[#This Row],[WaistFatCal Res]]^2</f>
        <v>1.0711551230546446</v>
      </c>
    </row>
    <row r="80" spans="1:144" x14ac:dyDescent="0.25">
      <c r="A80">
        <f>Regression!$B$10+(Regression!$B$9*Table83[[#This Row],[Waist]])</f>
        <v>249.67228149328892</v>
      </c>
      <c r="B80" s="2">
        <f>Table83[[#This Row],[Weight]]-Table7[[#This Row],[Weight v Waist]]</f>
        <v>-3.0722814932889264</v>
      </c>
      <c r="C80" s="2">
        <f>Table7[[#This Row],[Weight v Waist Res]]^2</f>
        <v>9.4389135740056354</v>
      </c>
      <c r="D80">
        <f>Regression!$C$10+(Regression!$C$9*Table83[[#This Row],[Neck]])</f>
        <v>253.29286486487842</v>
      </c>
      <c r="E80" s="2">
        <f>Table83[[#This Row],[Weight]]-Table7[[#This Row],[Weight v Neck]]</f>
        <v>-6.6928648648784304</v>
      </c>
      <c r="F80" s="2">
        <f>Table7[[#This Row],[WN Res]]^2</f>
        <v>44.794440099524166</v>
      </c>
      <c r="G80">
        <f>Regression!$D$10+(Regression!$D$9*Table83[[#This Row],[Morning Body Temp]])</f>
        <v>255.20036355752904</v>
      </c>
      <c r="H80" s="2">
        <f>Table83[[#This Row],[Weight]]-Table7[[#This Row],[Weight v Morning Temp]]</f>
        <v>-8.6003635575290502</v>
      </c>
      <c r="I80" s="2">
        <f>Table7[[#This Row],[WMT Res]]^2</f>
        <v>73.966253321673747</v>
      </c>
      <c r="J80">
        <f>Regression!$E$10+(Regression!$E$9*Table83[[#This Row],[Morning Systolic Pressure]])</f>
        <v>254.6487145901215</v>
      </c>
      <c r="K80" s="2">
        <f>Table83[[#This Row],[Weight]]-Table7[[#This Row],[Weight v Morning Sys]]</f>
        <v>-8.0487145901215058</v>
      </c>
      <c r="L80" s="2">
        <f>Table7[[#This Row],[WMS Res]]^2</f>
        <v>64.781806553234802</v>
      </c>
      <c r="M80">
        <f>Regression!$F$10+(Regression!$F$9*Table83[[#This Row],[Morning Diastolic Pressure]])</f>
        <v>254.49397440297739</v>
      </c>
      <c r="N80" s="2">
        <f>Table83[[#This Row],[Weight]]-Table7[[#This Row],[Weight v Morning Dia]]</f>
        <v>-7.8939744029773919</v>
      </c>
      <c r="O80" s="2">
        <f>Table7[[#This Row],[WMD Res]]^2</f>
        <v>62.314831874862271</v>
      </c>
      <c r="P80">
        <f>Regression!$G$10+(Regression!$G$9*Table83[[#This Row],[Morning Pulse]])</f>
        <v>255.11730068591285</v>
      </c>
      <c r="Q80" s="2">
        <f>Table83[[#This Row],[Weight]]-Table7[[#This Row],[Weight v Morning Pulse]]</f>
        <v>-8.5173006859128577</v>
      </c>
      <c r="R80" s="2">
        <f>Table7[[#This Row],[WMP Res]]^2</f>
        <v>72.544410974251633</v>
      </c>
      <c r="S80">
        <f>Regression!$H$10+(Regression!$H$9*Table83[[#This Row],[Night Body Temp]])</f>
        <v>255.05687981848845</v>
      </c>
      <c r="T80" s="2">
        <f>Table83[[#This Row],[Weight]]-Table7[[#This Row],[Weight v Night Temp]]</f>
        <v>-8.4568798184884599</v>
      </c>
      <c r="U80" s="2">
        <f>Table7[[#This Row],[WNT Res]]^2</f>
        <v>71.518816264357412</v>
      </c>
      <c r="V80">
        <f>Regression!$I$10+(Regression!$I$9*Table83[[#This Row],[Night Systolic Pressure]])</f>
        <v>255.23858139316721</v>
      </c>
      <c r="W80" s="2">
        <f>Table83[[#This Row],[Weight]]-Table7[[#This Row],[Weight v Night Sys]]</f>
        <v>-8.6385813931672146</v>
      </c>
      <c r="X80" s="2">
        <f>Table7[[#This Row],[WNS Res]]^2</f>
        <v>74.625088486374821</v>
      </c>
      <c r="Y80">
        <f>Regression!$J$10+(Regression!$J$9*Table83[[#This Row],[Night Diastolic Pressure]])</f>
        <v>255.25537984791052</v>
      </c>
      <c r="Z80" s="2">
        <f>Table83[[#This Row],[Weight]]-Table7[[#This Row],[Weight v Night Dia]]</f>
        <v>-8.6553798479105239</v>
      </c>
      <c r="AA80" s="2">
        <f>Table7[[#This Row],[WND Res]]^2</f>
        <v>74.915600311615606</v>
      </c>
      <c r="AB80">
        <f>Regression!$K$10+(Regression!$K$9*Table83[[#This Row],[Night Pulse]])</f>
        <v>254.77230521513724</v>
      </c>
      <c r="AC80" s="2">
        <f>Table83[[#This Row],[Weight]]-Table7[[#This Row],[Weight v Night Pulse]]</f>
        <v>-8.1723052151372428</v>
      </c>
      <c r="AD80" s="2">
        <f>Table7[[#This Row],[WNP Res ]]^2</f>
        <v>66.786572529359375</v>
      </c>
      <c r="AE80">
        <f>Regression!$L$10+(Regression!$L$9*Table83[[#This Row],[Sleep]])</f>
        <v>253.95400153972949</v>
      </c>
      <c r="AF80" s="2">
        <f>Table83[[#This Row],[Weight]]-Table7[[#This Row],[Weight v Sleep]]</f>
        <v>-7.3540015397294951</v>
      </c>
      <c r="AG80" s="2">
        <f>Table7[[#This Row],[WS Res]]^2</f>
        <v>54.081338646343788</v>
      </c>
      <c r="AH80">
        <f>Regression!$M$10+(Regression!$M$9*Table83[[#This Row],[BMI]])</f>
        <v>246.60000000001901</v>
      </c>
      <c r="AI80" s="2">
        <f>Table83[[#This Row],[Weight]]-Table7[[#This Row],[Weight v BMI]]</f>
        <v>-1.9014123608940281E-11</v>
      </c>
      <c r="AJ80" s="2">
        <f>Table7[[#This Row],[WBMI Res]]^2</f>
        <v>3.6153689661606017E-22</v>
      </c>
      <c r="AK80">
        <f>Regression!$N$10+(Regression!$N$9*Table83[[#This Row],[CBF]])</f>
        <v>250.04675133427031</v>
      </c>
      <c r="AL80" s="2">
        <f>Table83[[#This Row],[Weight]]-Table7[[#This Row],[Weight v CBF]]</f>
        <v>-3.4467513342703171</v>
      </c>
      <c r="AM80" s="2">
        <f>Table7[[#This Row],[WCBF Res]]^2</f>
        <v>11.880094760294211</v>
      </c>
      <c r="AN80">
        <f>Regression!$O$10+(Regression!$O$9*Table83[[#This Row],[Gym]])</f>
        <v>255.46779661016953</v>
      </c>
      <c r="AO80" s="2">
        <f>Table83[[#This Row],[Weight]]-Table7[[#This Row],[Weight v Gym]]</f>
        <v>-8.8677966101695347</v>
      </c>
      <c r="AP80" s="2">
        <f>Table7[[#This Row],[WG Res]]^2</f>
        <v>78.637816719334296</v>
      </c>
      <c r="AQ80">
        <f>Regression!$P$10+(Regression!$P$9*Table83[[#This Row],[Cardio]])</f>
        <v>254.19242424242461</v>
      </c>
      <c r="AR80" s="2">
        <f>Table83[[#This Row],[Weight]]-Table7[[#This Row],[Weight v Cardio]]</f>
        <v>-7.5924242424246131</v>
      </c>
      <c r="AS80" s="2">
        <f>Table7[[#This Row],[WC Res]]^2</f>
        <v>57.644905876956962</v>
      </c>
      <c r="AT80">
        <f>Regression!$Q$10+(Regression!$Q$9*Table83[[#This Row],[Calories]])</f>
        <v>253.54274227620547</v>
      </c>
      <c r="AU80" s="2">
        <f>Table83[[#This Row],[Weight]]-Table7[[#This Row],[Weight v Calories]]</f>
        <v>-6.9427422762054789</v>
      </c>
      <c r="AV80" s="2">
        <f>Table7[[#This Row],[WCAL Res]]^2</f>
        <v>48.201670313810837</v>
      </c>
      <c r="AW80">
        <f>Regression!$R$10+(Regression!$R$9*Table83[[#This Row],[Carbs]])</f>
        <v>253.41910477205394</v>
      </c>
      <c r="AX80" s="2">
        <f>Table83[[#This Row],[Weight]]-Table7[[#This Row],[Weight v Carbs]]</f>
        <v>-6.8191047720539473</v>
      </c>
      <c r="AY80" s="2">
        <f>Table7[[#This Row],[Wcarb Res]]^2</f>
        <v>46.500189892248919</v>
      </c>
      <c r="AZ80">
        <f>Regression!$S$10+(Regression!$S$9*Table83[[#This Row],[Fat ]])</f>
        <v>254.30500882904636</v>
      </c>
      <c r="BA80" s="2">
        <f>Table83[[#This Row],[Weight]]-Table7[[#This Row],[Weight v Fat]]</f>
        <v>-7.7050088290463634</v>
      </c>
      <c r="BB80" s="2">
        <f>Table7[[#This Row],[WF Res]]^2</f>
        <v>59.367161055682409</v>
      </c>
      <c r="BC80">
        <f>Regression!$T$10+(Regression!$T$9*Table83[[#This Row],[Protein]])</f>
        <v>253.21592280118867</v>
      </c>
      <c r="BD80" s="2">
        <f>Table83[[#This Row],[Weight]]-Table7[[#This Row],[Weight v Protein]]</f>
        <v>-6.6159228011886739</v>
      </c>
      <c r="BE80" s="2">
        <f>Table7[[#This Row],[WP Res]]^2</f>
        <v>43.770434511288187</v>
      </c>
      <c r="BF80">
        <f>Regression!$U$10+(Regression!$U$9*Table83[[#This Row],[Fiber]])</f>
        <v>254.99286432052173</v>
      </c>
      <c r="BG80" s="2">
        <f>Table83[[#This Row],[Weight]]-Table7[[#This Row],[Weight v Fiber]]</f>
        <v>-8.3928643205217384</v>
      </c>
      <c r="BH80" s="2">
        <f>Table7[[#This Row],[Wfib Res]]^2</f>
        <v>70.440171502686823</v>
      </c>
      <c r="BI80">
        <f>Regression!$V$10+(Regression!$V$9*Table83[[#This Row],[Sugar]])</f>
        <v>252.58475175303565</v>
      </c>
      <c r="BJ80" s="2">
        <f>Table83[[#This Row],[Weight]]-Table7[[#This Row],[Weight v Sugar]]</f>
        <v>-5.9847517530356527</v>
      </c>
      <c r="BK80" s="2">
        <f>Table7[[#This Row],[Wsugar Res]]^2</f>
        <v>35.817253545463316</v>
      </c>
      <c r="BL80">
        <f>Regression!$W$10+(Regression!$W$9*Table83[[#This Row],[Servings]])</f>
        <v>251.97811007682043</v>
      </c>
      <c r="BM80" s="2">
        <f>Table83[[#This Row],[Weight]]-Table7[[#This Row],[Weight v Servings]]</f>
        <v>-5.378110076820434</v>
      </c>
      <c r="BN80" s="2">
        <f>Table7[[#This Row],[Wserv Res]]^2</f>
        <v>28.924067998397494</v>
      </c>
      <c r="BO80">
        <f>Regression!$X$10+(Regression!$X$9*Table83[[#This Row],[Water]])</f>
        <v>255.06345001025522</v>
      </c>
      <c r="BP80" s="2">
        <f>Table83[[#This Row],[Weight]]-Table7[[#This Row],[Weight v Water]]</f>
        <v>-8.4634500102552295</v>
      </c>
      <c r="BQ80" s="2">
        <f>Table7[[#This Row],[Wwater Res]]^2</f>
        <v>71.629986076089239</v>
      </c>
      <c r="BR80">
        <f>Regression!$Y$10+(Regression!$Y$9*Table83[[#This Row],[Fat Calories]])</f>
        <v>254.24810117786006</v>
      </c>
      <c r="BS80" s="2">
        <f>Table83[[#This Row],[Weight]]-Table7[[#This Row],[Weight v Fat Calories]]</f>
        <v>-7.6481011778600703</v>
      </c>
      <c r="BT80" s="2">
        <f>Table7[[#This Row],[WFC Res]]^2</f>
        <v>58.493451626784591</v>
      </c>
      <c r="BU80">
        <f>Regression!$B$29+(Regression!$B$28*Table83[[#This Row],[Weight]])</f>
        <v>43.293258516190797</v>
      </c>
      <c r="BV80" s="2">
        <f>Table83[[#This Row],[Waist]]-Table7[[#This Row],[Waist v Weight]]</f>
        <v>0.20674148380920343</v>
      </c>
      <c r="BW80" s="2">
        <f>Table7[[#This Row],[WaistW Res]]^2</f>
        <v>4.2742041127631122E-2</v>
      </c>
      <c r="BX80">
        <f>Regression!$C$29+(Regression!$C$28*Table83[[#This Row],[Neck]])</f>
        <v>44.175585585585594</v>
      </c>
      <c r="BY80" s="2">
        <f>Table83[[#This Row],[Waist]]-Table7[[#This Row],[Waist v Neck]]</f>
        <v>-0.67558558558559412</v>
      </c>
      <c r="BZ80" s="2">
        <f>Table7[[#This Row],[WaistN Res]]^2</f>
        <v>0.45641588345103012</v>
      </c>
      <c r="CA80">
        <f>Regression!$D$29+(Regression!$D$28*Table83[[#This Row],[Morning Body Temp]])</f>
        <v>44.476744743933082</v>
      </c>
      <c r="CB80" s="2">
        <f>Table83[[#This Row],[Waist]]-Table7[[#This Row],[Waist v Morning Temp]]</f>
        <v>-0.9767447439330823</v>
      </c>
      <c r="CC80" s="2">
        <f>Table7[[#This Row],[WaistMT Res]]^2</f>
        <v>0.95403029480090251</v>
      </c>
      <c r="CD80">
        <f>Regression!$E$29+(Regression!$E$28*Table83[[#This Row],[Morning Systolic Pressure]])</f>
        <v>44.343980674969934</v>
      </c>
      <c r="CE80" s="2">
        <f>Table83[[#This Row],[Waist]]-Table7[[#This Row],[Waist v Morning Sys]]</f>
        <v>-0.84398067496993434</v>
      </c>
      <c r="CF80" s="2">
        <f>Table7[[#This Row],[WaistMS Res]]^2</f>
        <v>0.71230337972270596</v>
      </c>
      <c r="CG80">
        <f>Regression!$F$29+(Regression!$F$28*Table83[[#This Row],[Morning Diastolic Pressure]])</f>
        <v>44.419002944131137</v>
      </c>
      <c r="CH80" s="2">
        <f>Table83[[#This Row],[Waist]]-Table7[[#This Row],[Waist v Morning Dia]]</f>
        <v>-0.9190029441311367</v>
      </c>
      <c r="CI80" s="2">
        <f>Table7[[#This Row],[WaistMD Res]]^2</f>
        <v>0.84456641132169719</v>
      </c>
      <c r="CJ80">
        <f>Regression!$G$29+(Regression!$G$28*Table83[[#This Row],[Morning Pulse]])</f>
        <v>44.454576200079806</v>
      </c>
      <c r="CK80" s="2">
        <f>Table83[[#This Row],[Waist]]-Table7[[#This Row],[Waist v Morning Pulse]]</f>
        <v>-0.95457620007980637</v>
      </c>
      <c r="CL80" s="2">
        <f>Table7[[#This Row],[WaistMP Res]]^2</f>
        <v>0.9112157217588025</v>
      </c>
      <c r="CM80">
        <f>Regression!$H$29+(Regression!$H$28*Table83[[#This Row],[Night Body Temp]])</f>
        <v>44.448953954659181</v>
      </c>
      <c r="CN80" s="2">
        <f>Table83[[#This Row],[Waist]]-Table7[[#This Row],[Waist v Night Temp]]</f>
        <v>-0.94895395465918142</v>
      </c>
      <c r="CO80" s="2">
        <f>Table7[[#This Row],[WaistNT Res]]^2</f>
        <v>0.90051360806329972</v>
      </c>
      <c r="CP80">
        <f>Regression!$I$29+(Regression!$I$28*Table83[[#This Row],[Night Systolic Pressure]])</f>
        <v>44.471039429630828</v>
      </c>
      <c r="CQ80" s="2">
        <f>Table83[[#This Row],[Waist]]-Table7[[#This Row],[Waist v  Night Sys]]</f>
        <v>-0.97103942963082801</v>
      </c>
      <c r="CR80" s="2">
        <f>Table7[[#This Row],[WaistNS Res]]^2</f>
        <v>0.94291757389776376</v>
      </c>
      <c r="CS80">
        <f>Regression!$J$29+(Regression!$J$28*Table83[[#This Row],[Night Diastolic Pressure]])</f>
        <v>44.512295846776055</v>
      </c>
      <c r="CT80" s="2">
        <f>Table83[[#This Row],[Waist]]-Table7[[#This Row],[Waist v Night Dia]]</f>
        <v>-1.0122958467760554</v>
      </c>
      <c r="CU80" s="2">
        <f>Table7[[#This Row],[WaistND Res]]^2</f>
        <v>1.0247428814000512</v>
      </c>
      <c r="CV80">
        <f>Regression!$K$29+(Regression!$K$28*Table83[[#This Row],[Night Pulse]])</f>
        <v>44.485419089363951</v>
      </c>
      <c r="CW80" s="2">
        <f>Table83[[#This Row],[Waist]]-Table7[[#This Row],[Waist v Night Pulse]]</f>
        <v>-0.98541908936395117</v>
      </c>
      <c r="CX80" s="2">
        <f>Table7[[#This Row],[WaistNP Res]]^2</f>
        <v>0.97105078168287884</v>
      </c>
      <c r="CY80">
        <f>Regression!$L$29+(Regression!$L$28*Table83[[#This Row],[Sleep]])</f>
        <v>44.276520722874395</v>
      </c>
      <c r="CZ80" s="2">
        <f>Table83[[#This Row],[Waist]]-Table7[[#This Row],[Waist v  Sleep]]</f>
        <v>-0.77652072287439466</v>
      </c>
      <c r="DA80" s="2">
        <f>Table7[[#This Row],[WaistS Res]]^2</f>
        <v>0.60298443305337246</v>
      </c>
      <c r="DB80">
        <f>Regression!$M$29+(Regression!$M$28*Table83[[#This Row],[BMI]])</f>
        <v>43.293258516194477</v>
      </c>
      <c r="DC80" s="2">
        <f>Table83[[#This Row],[Waist]]-Table7[[#This Row],[Waist v BMI]]</f>
        <v>0.20674148380552282</v>
      </c>
      <c r="DD80" s="2">
        <f>Table7[[#This Row],[WaistBMI Res]]^2</f>
        <v>4.2742041126109256E-2</v>
      </c>
      <c r="DE80">
        <f>Regression!$N$29+(Regression!$N$28*Table83[[#This Row],[CBF]])</f>
        <v>43.540887941991329</v>
      </c>
      <c r="DF80" s="2">
        <f>Table83[[#This Row],[Waist]]-Table7[[#This Row],[Waist v  CBF]]</f>
        <v>-4.0887941991329058E-2</v>
      </c>
      <c r="DG80" s="2">
        <f>Table7[[#This Row],[WaistCBF Res]]^2</f>
        <v>1.6718238002862899E-3</v>
      </c>
      <c r="DH80">
        <f>Regression!$O$29+(Regression!$O$28*Table83[[#This Row],[Gym]])</f>
        <v>44.550847457627107</v>
      </c>
      <c r="DI80" s="2">
        <f>Table83[[#This Row],[Waist]]-Table7[[#This Row],[Waist v  Gym]]</f>
        <v>-1.050847457627107</v>
      </c>
      <c r="DJ80" s="2">
        <f>Table7[[#This Row],[WaistGYM Res]]^2</f>
        <v>1.1042803792013545</v>
      </c>
      <c r="DK80">
        <f>Regression!$P$29+(Regression!$P$28*Table83[[#This Row],[Cardio]])</f>
        <v>44.291666666666664</v>
      </c>
      <c r="DL80" s="2">
        <f>Table83[[#This Row],[Waist]]-Table7[[#This Row],[Waist v Cardio]]</f>
        <v>-0.7916666666666643</v>
      </c>
      <c r="DM80" s="2">
        <f>Table7[[#This Row],[WaistC Res]]^2</f>
        <v>0.62673611111110739</v>
      </c>
      <c r="DN80">
        <f>Regression!$Q$29+(Regression!$Q$28*Table83[[#This Row],[Calories]])</f>
        <v>44.100278443121987</v>
      </c>
      <c r="DO80" s="2">
        <f>Table83[[#This Row],[Waist]]-Table7[[#This Row],[Waist v Calories]]</f>
        <v>-0.60027844312198653</v>
      </c>
      <c r="DP80" s="2">
        <f>Table7[[#This Row],[WaistCal Res]]^2</f>
        <v>0.36033420927695603</v>
      </c>
      <c r="DQ80">
        <f>Regression!$R$29+(Regression!$R$28*Table83[[#This Row],[Carbs]])</f>
        <v>44.100455609686854</v>
      </c>
      <c r="DR80" s="2">
        <f>Table83[[#This Row],[Waist]]-Table7[[#This Row],[Waist v Carbs]]</f>
        <v>-0.60045560968685407</v>
      </c>
      <c r="DS80" s="2">
        <f>Table7[[#This Row],[WaistCarb Res]]^2</f>
        <v>0.36054693920441166</v>
      </c>
      <c r="DT80">
        <f>Regression!$S$29+(Regression!$S$28*Table83[[#This Row],[Fat ]])</f>
        <v>44.205929138044425</v>
      </c>
      <c r="DU80" s="2">
        <f>Table83[[#This Row],[Waist]]-Table7[[#This Row],[Waist v Fat]]</f>
        <v>-0.70592913804442503</v>
      </c>
      <c r="DV80" s="2">
        <f>Table7[[#This Row],[WaistF Res]]^2</f>
        <v>0.49833594794014491</v>
      </c>
      <c r="DW80">
        <f>Regression!$T$29+(Regression!$T$28*Table83[[#This Row],[Protein]])</f>
        <v>44.105930052658131</v>
      </c>
      <c r="DX80" s="2">
        <f>Table83[[#This Row],[Waist]]-Table7[[#This Row],[Waist v Protein]]</f>
        <v>-0.60593005265813105</v>
      </c>
      <c r="DY80" s="2">
        <f>Table7[[#This Row],[WaistP Res]]^2</f>
        <v>0.36715122871428546</v>
      </c>
      <c r="DZ80">
        <f>Regression!$U$29+(Regression!$U$28*Table83[[#This Row],[Fiber]])</f>
        <v>44.406395482089891</v>
      </c>
      <c r="EA80" s="2">
        <f>Table83[[#This Row],[Waist]]-Table7[[#This Row],[Waist v Fiber]]</f>
        <v>-0.9063954820898914</v>
      </c>
      <c r="EB80" s="2">
        <f>Table7[[#This Row],[WaistFib Res]]^2</f>
        <v>0.82155276995296667</v>
      </c>
      <c r="EC80">
        <f>Regression!$V$29+(Regression!$V$28*Table83[[#This Row],[Sugar]])</f>
        <v>43.999000996746929</v>
      </c>
      <c r="ED80" s="2">
        <f>Table83[[#This Row],[Waist]]-Table7[[#This Row],[Waist v Sugar]]</f>
        <v>-0.4990009967469291</v>
      </c>
      <c r="EE80" s="2">
        <f>Table7[[#This Row],[WaistSugar Res]]^2</f>
        <v>0.24900199475442875</v>
      </c>
      <c r="EF80">
        <f>Regression!$W$29+(Regression!$W$28*Table83[[#This Row],[Servings]])</f>
        <v>43.974895929827959</v>
      </c>
      <c r="EG80" s="2">
        <f>Table83[[#This Row],[Waist]]-Table7[[#This Row],[Waist v Servings]]</f>
        <v>-0.4748959298279587</v>
      </c>
      <c r="EH80" s="2">
        <f>Table7[[#This Row],[WaistServ Res]]^2</f>
        <v>0.22552614416716146</v>
      </c>
      <c r="EI80">
        <f>Regression!$X$29+(Regression!$X$28*Table83[[#This Row],[Water]])</f>
        <v>44.386198474840633</v>
      </c>
      <c r="EJ80" s="2">
        <f>Table83[[#This Row],[Waist]]-Table7[[#This Row],[Waist v Water]]</f>
        <v>-0.88619847484063285</v>
      </c>
      <c r="EK80" s="2">
        <f>Table7[[#This Row],[WaistWat Res]]^2</f>
        <v>0.78534773680986381</v>
      </c>
      <c r="EL80">
        <f>Regression!$Y$29+(Regression!$Y$28*Table83[[#This Row],[Fat Calories]])</f>
        <v>44.189877495529913</v>
      </c>
      <c r="EM80" s="2">
        <f>Table83[[#This Row],[Waist]]-Table7[[#This Row],[Waist v Fat Calories]]</f>
        <v>-0.68987749552991318</v>
      </c>
      <c r="EN80" s="2">
        <f>Table7[[#This Row],[WaistFatCal Res]]^2</f>
        <v>0.47593095883862535</v>
      </c>
    </row>
    <row r="81" spans="1:144" x14ac:dyDescent="0.25">
      <c r="A81">
        <f>Regression!$B$10+(Regression!$B$9*Table83[[#This Row],[Waist]])</f>
        <v>249.67228149328892</v>
      </c>
      <c r="B81" s="2">
        <f>Table83[[#This Row],[Weight]]-Table7[[#This Row],[Weight v Waist]]</f>
        <v>1.1277185067110906</v>
      </c>
      <c r="C81" s="2">
        <f>Table7[[#This Row],[Weight v Waist Res]]^2</f>
        <v>1.2717490303786922</v>
      </c>
      <c r="D81">
        <f>Regression!$C$10+(Regression!$C$9*Table83[[#This Row],[Neck]])</f>
        <v>253.29286486487842</v>
      </c>
      <c r="E81" s="2">
        <f>Table83[[#This Row],[Weight]]-Table7[[#This Row],[Weight v Neck]]</f>
        <v>-2.4928648648784133</v>
      </c>
      <c r="F81" s="2">
        <f>Table7[[#This Row],[WN Res]]^2</f>
        <v>6.2143752345452699</v>
      </c>
      <c r="G81">
        <f>Regression!$D$10+(Regression!$D$9*Table83[[#This Row],[Morning Body Temp]])</f>
        <v>254.7075736779725</v>
      </c>
      <c r="H81" s="2">
        <f>Table83[[#This Row],[Weight]]-Table7[[#This Row],[Weight v Morning Temp]]</f>
        <v>-3.9075736779724934</v>
      </c>
      <c r="I81" s="2">
        <f>Table7[[#This Row],[WMT Res]]^2</f>
        <v>15.269132048783479</v>
      </c>
      <c r="J81">
        <f>Regression!$E$10+(Regression!$E$9*Table83[[#This Row],[Morning Systolic Pressure]])</f>
        <v>256.00103070602302</v>
      </c>
      <c r="K81" s="2">
        <f>Table83[[#This Row],[Weight]]-Table7[[#This Row],[Weight v Morning Sys]]</f>
        <v>-5.2010307060230048</v>
      </c>
      <c r="L81" s="2">
        <f>Table7[[#This Row],[WMS Res]]^2</f>
        <v>27.050720404994156</v>
      </c>
      <c r="M81">
        <f>Regression!$F$10+(Regression!$F$9*Table83[[#This Row],[Morning Diastolic Pressure]])</f>
        <v>255.00069564820177</v>
      </c>
      <c r="N81" s="2">
        <f>Table83[[#This Row],[Weight]]-Table7[[#This Row],[Weight v Morning Dia]]</f>
        <v>-4.2006956482017586</v>
      </c>
      <c r="O81" s="2">
        <f>Table7[[#This Row],[WMD Res]]^2</f>
        <v>17.645843928821193</v>
      </c>
      <c r="P81">
        <f>Regression!$G$10+(Regression!$G$9*Table83[[#This Row],[Morning Pulse]])</f>
        <v>255.13557864348473</v>
      </c>
      <c r="Q81" s="2">
        <f>Table83[[#This Row],[Weight]]-Table7[[#This Row],[Weight v Morning Pulse]]</f>
        <v>-4.3355786434847232</v>
      </c>
      <c r="R81" s="2">
        <f>Table7[[#This Row],[WMP Res]]^2</f>
        <v>18.797242173840832</v>
      </c>
      <c r="S81">
        <f>Regression!$H$10+(Regression!$H$9*Table83[[#This Row],[Night Body Temp]])</f>
        <v>255.05687981848845</v>
      </c>
      <c r="T81" s="2">
        <f>Table83[[#This Row],[Weight]]-Table7[[#This Row],[Weight v Night Temp]]</f>
        <v>-4.2568798184884429</v>
      </c>
      <c r="U81" s="2">
        <f>Table7[[#This Row],[WNT Res]]^2</f>
        <v>18.121025789054197</v>
      </c>
      <c r="V81">
        <f>Regression!$I$10+(Regression!$I$9*Table83[[#This Row],[Night Systolic Pressure]])</f>
        <v>255.03329172511027</v>
      </c>
      <c r="W81" s="2">
        <f>Table83[[#This Row],[Weight]]-Table7[[#This Row],[Weight v Night Sys]]</f>
        <v>-4.2332917251102629</v>
      </c>
      <c r="X81" s="2">
        <f>Table7[[#This Row],[WNS Res]]^2</f>
        <v>17.920758829887024</v>
      </c>
      <c r="Y81">
        <f>Regression!$J$10+(Regression!$J$9*Table83[[#This Row],[Night Diastolic Pressure]])</f>
        <v>255.1330822426622</v>
      </c>
      <c r="Z81" s="2">
        <f>Table83[[#This Row],[Weight]]-Table7[[#This Row],[Weight v Night Dia]]</f>
        <v>-4.3330822426621864</v>
      </c>
      <c r="AA81" s="2">
        <f>Table7[[#This Row],[WND Res]]^2</f>
        <v>18.775601721674363</v>
      </c>
      <c r="AB81">
        <f>Regression!$K$10+(Regression!$K$9*Table83[[#This Row],[Night Pulse]])</f>
        <v>255.07943852750452</v>
      </c>
      <c r="AC81" s="2">
        <f>Table83[[#This Row],[Weight]]-Table7[[#This Row],[Weight v Night Pulse]]</f>
        <v>-4.2794385275045101</v>
      </c>
      <c r="AD81" s="2">
        <f>Table7[[#This Row],[WNP Res ]]^2</f>
        <v>18.313594110689969</v>
      </c>
      <c r="AE81">
        <f>Regression!$L$10+(Regression!$L$9*Table83[[#This Row],[Sleep]])</f>
        <v>254.34834426894676</v>
      </c>
      <c r="AF81" s="2">
        <f>Table83[[#This Row],[Weight]]-Table7[[#This Row],[Weight v Sleep]]</f>
        <v>-3.5483442689467495</v>
      </c>
      <c r="AG81" s="2">
        <f>Table7[[#This Row],[WS Res]]^2</f>
        <v>12.590747050967241</v>
      </c>
      <c r="AH81">
        <f>Regression!$M$10+(Regression!$M$9*Table83[[#This Row],[BMI]])</f>
        <v>250.8000000000097</v>
      </c>
      <c r="AI81" s="2">
        <f>Table83[[#This Row],[Weight]]-Table7[[#This Row],[Weight v BMI]]</f>
        <v>-9.6918029157677665E-12</v>
      </c>
      <c r="AJ81" s="2">
        <f>Table7[[#This Row],[WBMI Res]]^2</f>
        <v>9.3931043758084581E-23</v>
      </c>
      <c r="AK81">
        <f>Regression!$N$10+(Regression!$N$9*Table83[[#This Row],[CBF]])</f>
        <v>250.04675133427031</v>
      </c>
      <c r="AL81" s="2">
        <f>Table83[[#This Row],[Weight]]-Table7[[#This Row],[Weight v CBF]]</f>
        <v>0.75324866572969995</v>
      </c>
      <c r="AM81" s="2">
        <f>Table7[[#This Row],[WCBF Res]]^2</f>
        <v>0.5673835524235733</v>
      </c>
      <c r="AN81">
        <f>Regression!$O$10+(Regression!$O$9*Table83[[#This Row],[Gym]])</f>
        <v>254.72962962962998</v>
      </c>
      <c r="AO81" s="2">
        <f>Table83[[#This Row],[Weight]]-Table7[[#This Row],[Weight v Gym]]</f>
        <v>-3.9296296296299715</v>
      </c>
      <c r="AP81" s="2">
        <f>Table7[[#This Row],[WG Res]]^2</f>
        <v>15.441989026065787</v>
      </c>
      <c r="AQ81">
        <f>Regression!$P$10+(Regression!$P$9*Table83[[#This Row],[Cardio]])</f>
        <v>254.19242424242461</v>
      </c>
      <c r="AR81" s="2">
        <f>Table83[[#This Row],[Weight]]-Table7[[#This Row],[Weight v Cardio]]</f>
        <v>-3.3924242424245961</v>
      </c>
      <c r="AS81" s="2">
        <f>Table7[[#This Row],[WC Res]]^2</f>
        <v>11.508542240590094</v>
      </c>
      <c r="AT81">
        <f>Regression!$Q$10+(Regression!$Q$9*Table83[[#This Row],[Calories]])</f>
        <v>254.8858995245262</v>
      </c>
      <c r="AU81" s="2">
        <f>Table83[[#This Row],[Weight]]-Table7[[#This Row],[Weight v Calories]]</f>
        <v>-4.0858995245261838</v>
      </c>
      <c r="AV81" s="2">
        <f>Table7[[#This Row],[WCAL Res]]^2</f>
        <v>16.694574924523295</v>
      </c>
      <c r="AW81">
        <f>Regression!$R$10+(Regression!$R$9*Table83[[#This Row],[Carbs]])</f>
        <v>255.28886985282762</v>
      </c>
      <c r="AX81" s="2">
        <f>Table83[[#This Row],[Weight]]-Table7[[#This Row],[Weight v Carbs]]</f>
        <v>-4.4888698528276052</v>
      </c>
      <c r="AY81" s="2">
        <f>Table7[[#This Row],[Wcarb Res]]^2</f>
        <v>20.149952555624527</v>
      </c>
      <c r="AZ81">
        <f>Regression!$S$10+(Regression!$S$9*Table83[[#This Row],[Fat ]])</f>
        <v>254.98239448478722</v>
      </c>
      <c r="BA81" s="2">
        <f>Table83[[#This Row],[Weight]]-Table7[[#This Row],[Weight v Fat]]</f>
        <v>-4.1823944847872099</v>
      </c>
      <c r="BB81" s="2">
        <f>Table7[[#This Row],[WF Res]]^2</f>
        <v>17.492423626378471</v>
      </c>
      <c r="BC81">
        <f>Regression!$T$10+(Regression!$T$9*Table83[[#This Row],[Protein]])</f>
        <v>255.27655803484674</v>
      </c>
      <c r="BD81" s="2">
        <f>Table83[[#This Row],[Weight]]-Table7[[#This Row],[Weight v Protein]]</f>
        <v>-4.4765580348467324</v>
      </c>
      <c r="BE81" s="2">
        <f>Table7[[#This Row],[WP Res]]^2</f>
        <v>20.039571839350838</v>
      </c>
      <c r="BF81">
        <f>Regression!$U$10+(Regression!$U$9*Table83[[#This Row],[Fiber]])</f>
        <v>254.9357994837392</v>
      </c>
      <c r="BG81" s="2">
        <f>Table83[[#This Row],[Weight]]-Table7[[#This Row],[Weight v Fiber]]</f>
        <v>-4.1357994837391914</v>
      </c>
      <c r="BH81" s="2">
        <f>Table7[[#This Row],[Wfib Res]]^2</f>
        <v>17.104837369697361</v>
      </c>
      <c r="BI81">
        <f>Regression!$V$10+(Regression!$V$9*Table83[[#This Row],[Sugar]])</f>
        <v>255.71675202765556</v>
      </c>
      <c r="BJ81" s="2">
        <f>Table83[[#This Row],[Weight]]-Table7[[#This Row],[Weight v Sugar]]</f>
        <v>-4.9167520276555479</v>
      </c>
      <c r="BK81" s="2">
        <f>Table7[[#This Row],[Wsugar Res]]^2</f>
        <v>24.174450501454942</v>
      </c>
      <c r="BL81">
        <f>Regression!$W$10+(Regression!$W$9*Table83[[#This Row],[Servings]])</f>
        <v>256.48864645706249</v>
      </c>
      <c r="BM81" s="2">
        <f>Table83[[#This Row],[Weight]]-Table7[[#This Row],[Weight v Servings]]</f>
        <v>-5.6886464570624753</v>
      </c>
      <c r="BN81" s="2">
        <f>Table7[[#This Row],[Wserv Res]]^2</f>
        <v>32.360698513449449</v>
      </c>
      <c r="BO81">
        <f>Regression!$X$10+(Regression!$X$9*Table83[[#This Row],[Water]])</f>
        <v>255.06345001025522</v>
      </c>
      <c r="BP81" s="2">
        <f>Table83[[#This Row],[Weight]]-Table7[[#This Row],[Weight v Water]]</f>
        <v>-4.2634500102552124</v>
      </c>
      <c r="BQ81" s="2">
        <f>Table7[[#This Row],[Wwater Res]]^2</f>
        <v>18.177005989945172</v>
      </c>
      <c r="BR81">
        <f>Regression!$Y$10+(Regression!$Y$9*Table83[[#This Row],[Fat Calories]])</f>
        <v>254.96900992457145</v>
      </c>
      <c r="BS81" s="2">
        <f>Table83[[#This Row],[Weight]]-Table7[[#This Row],[Weight v Fat Calories]]</f>
        <v>-4.1690099245714407</v>
      </c>
      <c r="BT81" s="2">
        <f>Table7[[#This Row],[WFC Res]]^2</f>
        <v>17.380643751175171</v>
      </c>
      <c r="BU81">
        <f>Regression!$B$29+(Regression!$B$28*Table83[[#This Row],[Weight]])</f>
        <v>43.865561060584724</v>
      </c>
      <c r="BV81" s="2">
        <f>Table83[[#This Row],[Waist]]-Table7[[#This Row],[Waist v Weight]]</f>
        <v>-0.36556106058472437</v>
      </c>
      <c r="BW81" s="2">
        <f>Table7[[#This Row],[WaistW Res]]^2</f>
        <v>0.13363488901582851</v>
      </c>
      <c r="BX81">
        <f>Regression!$C$29+(Regression!$C$28*Table83[[#This Row],[Neck]])</f>
        <v>44.175585585585594</v>
      </c>
      <c r="BY81" s="2">
        <f>Table83[[#This Row],[Waist]]-Table7[[#This Row],[Waist v Neck]]</f>
        <v>-0.67558558558559412</v>
      </c>
      <c r="BZ81" s="2">
        <f>Table7[[#This Row],[WaistN Res]]^2</f>
        <v>0.45641588345103012</v>
      </c>
      <c r="CA81">
        <f>Regression!$D$29+(Regression!$D$28*Table83[[#This Row],[Morning Body Temp]])</f>
        <v>44.342717051701939</v>
      </c>
      <c r="CB81" s="2">
        <f>Table83[[#This Row],[Waist]]-Table7[[#This Row],[Waist v Morning Temp]]</f>
        <v>-0.84271705170193911</v>
      </c>
      <c r="CC81" s="2">
        <f>Table7[[#This Row],[WaistMT Res]]^2</f>
        <v>0.71017202922920875</v>
      </c>
      <c r="CD81">
        <f>Regression!$E$29+(Regression!$E$28*Table83[[#This Row],[Morning Systolic Pressure]])</f>
        <v>44.661692832242743</v>
      </c>
      <c r="CE81" s="2">
        <f>Table83[[#This Row],[Waist]]-Table7[[#This Row],[Waist v Morning Sys]]</f>
        <v>-1.1616928322427427</v>
      </c>
      <c r="CF81" s="2">
        <f>Table7[[#This Row],[WaistMS Res]]^2</f>
        <v>1.349530236484165</v>
      </c>
      <c r="CG81">
        <f>Regression!$F$29+(Regression!$F$28*Table83[[#This Row],[Morning Diastolic Pressure]])</f>
        <v>44.447181047475404</v>
      </c>
      <c r="CH81" s="2">
        <f>Table83[[#This Row],[Waist]]-Table7[[#This Row],[Waist v Morning Dia]]</f>
        <v>-0.94718104747540366</v>
      </c>
      <c r="CI81" s="2">
        <f>Table7[[#This Row],[WaistMD Res]]^2</f>
        <v>0.89715193669660287</v>
      </c>
      <c r="CJ81">
        <f>Regression!$G$29+(Regression!$G$28*Table83[[#This Row],[Morning Pulse]])</f>
        <v>44.462971225815949</v>
      </c>
      <c r="CK81" s="2">
        <f>Table83[[#This Row],[Waist]]-Table7[[#This Row],[Waist v Morning Pulse]]</f>
        <v>-0.96297122581594863</v>
      </c>
      <c r="CL81" s="2">
        <f>Table7[[#This Row],[WaistMP Res]]^2</f>
        <v>0.92731358174947076</v>
      </c>
      <c r="CM81">
        <f>Regression!$H$29+(Regression!$H$28*Table83[[#This Row],[Night Body Temp]])</f>
        <v>44.448953954659181</v>
      </c>
      <c r="CN81" s="2">
        <f>Table83[[#This Row],[Waist]]-Table7[[#This Row],[Waist v Night Temp]]</f>
        <v>-0.94895395465918142</v>
      </c>
      <c r="CO81" s="2">
        <f>Table7[[#This Row],[WaistNT Res]]^2</f>
        <v>0.90051360806329972</v>
      </c>
      <c r="CP81">
        <f>Regression!$I$29+(Regression!$I$28*Table83[[#This Row],[Night Systolic Pressure]])</f>
        <v>44.441959200979596</v>
      </c>
      <c r="CQ81" s="2">
        <f>Table83[[#This Row],[Waist]]-Table7[[#This Row],[Waist v  Night Sys]]</f>
        <v>-0.94195920097959629</v>
      </c>
      <c r="CR81" s="2">
        <f>Table7[[#This Row],[WaistNS Res]]^2</f>
        <v>0.88728713631011946</v>
      </c>
      <c r="CS81">
        <f>Regression!$J$29+(Regression!$J$28*Table83[[#This Row],[Night Diastolic Pressure]])</f>
        <v>44.461092011153731</v>
      </c>
      <c r="CT81" s="2">
        <f>Table83[[#This Row],[Waist]]-Table7[[#This Row],[Waist v Night Dia]]</f>
        <v>-0.96109201115373111</v>
      </c>
      <c r="CU81" s="2">
        <f>Table7[[#This Row],[WaistND Res]]^2</f>
        <v>0.92369785390352355</v>
      </c>
      <c r="CV81">
        <f>Regression!$K$29+(Regression!$K$28*Table83[[#This Row],[Night Pulse]])</f>
        <v>44.456851626254306</v>
      </c>
      <c r="CW81" s="2">
        <f>Table83[[#This Row],[Waist]]-Table7[[#This Row],[Waist v Night Pulse]]</f>
        <v>-0.95685162625430564</v>
      </c>
      <c r="CX81" s="2">
        <f>Table7[[#This Row],[WaistNP Res]]^2</f>
        <v>0.91556503466550943</v>
      </c>
      <c r="CY81">
        <f>Regression!$L$29+(Regression!$L$28*Table83[[#This Row],[Sleep]])</f>
        <v>44.336644432868965</v>
      </c>
      <c r="CZ81" s="2">
        <f>Table83[[#This Row],[Waist]]-Table7[[#This Row],[Waist v  Sleep]]</f>
        <v>-0.83664443286896528</v>
      </c>
      <c r="DA81" s="2">
        <f>Table7[[#This Row],[WaistS Res]]^2</f>
        <v>0.69997390705063256</v>
      </c>
      <c r="DB81">
        <f>Regression!$M$29+(Regression!$M$28*Table83[[#This Row],[BMI]])</f>
        <v>43.865561060586593</v>
      </c>
      <c r="DC81" s="2">
        <f>Table83[[#This Row],[Waist]]-Table7[[#This Row],[Waist v BMI]]</f>
        <v>-0.3655610605865931</v>
      </c>
      <c r="DD81" s="2">
        <f>Table7[[#This Row],[WaistBMI Res]]^2</f>
        <v>0.13363488901719478</v>
      </c>
      <c r="DE81">
        <f>Regression!$N$29+(Regression!$N$28*Table83[[#This Row],[CBF]])</f>
        <v>43.540887941991329</v>
      </c>
      <c r="DF81" s="2">
        <f>Table83[[#This Row],[Waist]]-Table7[[#This Row],[Waist v  CBF]]</f>
        <v>-4.0887941991329058E-2</v>
      </c>
      <c r="DG81" s="2">
        <f>Table7[[#This Row],[WaistCBF Res]]^2</f>
        <v>1.6718238002862899E-3</v>
      </c>
      <c r="DH81">
        <f>Regression!$O$29+(Regression!$O$28*Table83[[#This Row],[Gym]])</f>
        <v>44.347222222222221</v>
      </c>
      <c r="DI81" s="2">
        <f>Table83[[#This Row],[Waist]]-Table7[[#This Row],[Waist v  Gym]]</f>
        <v>-0.84722222222222143</v>
      </c>
      <c r="DJ81" s="2">
        <f>Table7[[#This Row],[WaistGYM Res]]^2</f>
        <v>0.71778549382715917</v>
      </c>
      <c r="DK81">
        <f>Regression!$P$29+(Regression!$P$28*Table83[[#This Row],[Cardio]])</f>
        <v>44.291666666666664</v>
      </c>
      <c r="DL81" s="2">
        <f>Table83[[#This Row],[Waist]]-Table7[[#This Row],[Waist v Cardio]]</f>
        <v>-0.7916666666666643</v>
      </c>
      <c r="DM81" s="2">
        <f>Table7[[#This Row],[WaistC Res]]^2</f>
        <v>0.62673611111110739</v>
      </c>
      <c r="DN81">
        <f>Regression!$Q$29+(Regression!$Q$28*Table83[[#This Row],[Calories]])</f>
        <v>44.402056086044681</v>
      </c>
      <c r="DO81" s="2">
        <f>Table83[[#This Row],[Waist]]-Table7[[#This Row],[Waist v Calories]]</f>
        <v>-0.90205608604468068</v>
      </c>
      <c r="DP81" s="2">
        <f>Table7[[#This Row],[WaistCal Res]]^2</f>
        <v>0.81370518237024836</v>
      </c>
      <c r="DQ81">
        <f>Regression!$R$29+(Regression!$R$28*Table83[[#This Row],[Carbs]])</f>
        <v>44.489729249511903</v>
      </c>
      <c r="DR81" s="2">
        <f>Table83[[#This Row],[Waist]]-Table7[[#This Row],[Waist v Carbs]]</f>
        <v>-0.98972924951190322</v>
      </c>
      <c r="DS81" s="2">
        <f>Table7[[#This Row],[WaistCarb Res]]^2</f>
        <v>0.9795639873393952</v>
      </c>
      <c r="DT81">
        <f>Regression!$S$29+(Regression!$S$28*Table83[[#This Row],[Fat ]])</f>
        <v>44.412991597688062</v>
      </c>
      <c r="DU81" s="2">
        <f>Table83[[#This Row],[Waist]]-Table7[[#This Row],[Waist v Fat]]</f>
        <v>-0.91299159768806248</v>
      </c>
      <c r="DV81" s="2">
        <f>Table7[[#This Row],[WaistF Res]]^2</f>
        <v>0.8335536574490009</v>
      </c>
      <c r="DW81">
        <f>Regression!$T$29+(Regression!$T$28*Table83[[#This Row],[Protein]])</f>
        <v>44.483102845704721</v>
      </c>
      <c r="DX81" s="2">
        <f>Table83[[#This Row],[Waist]]-Table7[[#This Row],[Waist v Protein]]</f>
        <v>-0.98310284570472106</v>
      </c>
      <c r="DY81" s="2">
        <f>Table7[[#This Row],[WaistP Res]]^2</f>
        <v>0.96649120523272058</v>
      </c>
      <c r="DZ81">
        <f>Regression!$U$29+(Regression!$U$28*Table83[[#This Row],[Fiber]])</f>
        <v>44.384376446885341</v>
      </c>
      <c r="EA81" s="2">
        <f>Table83[[#This Row],[Waist]]-Table7[[#This Row],[Waist v Fiber]]</f>
        <v>-0.88437644688534078</v>
      </c>
      <c r="EB81" s="2">
        <f>Table7[[#This Row],[WaistFib Res]]^2</f>
        <v>0.78212169980554003</v>
      </c>
      <c r="EC81">
        <f>Regression!$V$29+(Regression!$V$28*Table83[[#This Row],[Sugar]])</f>
        <v>44.56162991479902</v>
      </c>
      <c r="ED81" s="2">
        <f>Table83[[#This Row],[Waist]]-Table7[[#This Row],[Waist v Sugar]]</f>
        <v>-1.0616299147990205</v>
      </c>
      <c r="EE81" s="2">
        <f>Table7[[#This Row],[WaistSugar Res]]^2</f>
        <v>1.1270580759961755</v>
      </c>
      <c r="EF81">
        <f>Regression!$W$29+(Regression!$W$28*Table83[[#This Row],[Servings]])</f>
        <v>44.663128635937731</v>
      </c>
      <c r="EG81" s="2">
        <f>Table83[[#This Row],[Waist]]-Table7[[#This Row],[Waist v Servings]]</f>
        <v>-1.1631286359377313</v>
      </c>
      <c r="EH81" s="2">
        <f>Table7[[#This Row],[WaistServ Res]]^2</f>
        <v>1.3528682237383676</v>
      </c>
      <c r="EI81">
        <f>Regression!$X$29+(Regression!$X$28*Table83[[#This Row],[Water]])</f>
        <v>44.386198474840633</v>
      </c>
      <c r="EJ81" s="2">
        <f>Table83[[#This Row],[Waist]]-Table7[[#This Row],[Waist v Water]]</f>
        <v>-0.88619847484063285</v>
      </c>
      <c r="EK81" s="2">
        <f>Table7[[#This Row],[WaistWat Res]]^2</f>
        <v>0.78534773680986381</v>
      </c>
      <c r="EL81">
        <f>Regression!$Y$29+(Regression!$Y$28*Table83[[#This Row],[Fat Calories]])</f>
        <v>44.409126584254608</v>
      </c>
      <c r="EM81" s="2">
        <f>Table83[[#This Row],[Waist]]-Table7[[#This Row],[Waist v Fat Calories]]</f>
        <v>-0.90912658425460791</v>
      </c>
      <c r="EN81" s="2">
        <f>Table7[[#This Row],[WaistFatCal Res]]^2</f>
        <v>0.82651114619845067</v>
      </c>
    </row>
    <row r="82" spans="1:144" x14ac:dyDescent="0.25">
      <c r="A82">
        <f>Regression!$B$10+(Regression!$B$9*Table83[[#This Row],[Waist]])</f>
        <v>249.67228149328892</v>
      </c>
      <c r="B82" s="2">
        <f>Table83[[#This Row],[Weight]]-Table7[[#This Row],[Weight v Waist]]</f>
        <v>2.1277185067110906</v>
      </c>
      <c r="C82" s="2">
        <f>Table7[[#This Row],[Weight v Waist Res]]^2</f>
        <v>4.5271860438008735</v>
      </c>
      <c r="D82">
        <f>Regression!$C$10+(Regression!$C$9*Table83[[#This Row],[Neck]])</f>
        <v>253.29286486487842</v>
      </c>
      <c r="E82" s="2">
        <f>Table83[[#This Row],[Weight]]-Table7[[#This Row],[Weight v Neck]]</f>
        <v>-1.4928648648784133</v>
      </c>
      <c r="F82" s="2">
        <f>Table7[[#This Row],[WN Res]]^2</f>
        <v>2.2286455047884433</v>
      </c>
      <c r="G82">
        <f>Regression!$D$10+(Regression!$D$9*Table83[[#This Row],[Morning Body Temp]])</f>
        <v>255.76355199130799</v>
      </c>
      <c r="H82" s="2">
        <f>Table83[[#This Row],[Weight]]-Table7[[#This Row],[Weight v Morning Temp]]</f>
        <v>-3.9635519913079804</v>
      </c>
      <c r="I82" s="2">
        <f>Table7[[#This Row],[WMT Res]]^2</f>
        <v>15.709744387801457</v>
      </c>
      <c r="J82">
        <f>Regression!$E$10+(Regression!$E$9*Table83[[#This Row],[Morning Systolic Pressure]])</f>
        <v>255.32487264807224</v>
      </c>
      <c r="K82" s="2">
        <f>Table83[[#This Row],[Weight]]-Table7[[#This Row],[Weight v Morning Sys]]</f>
        <v>-3.5248726480722326</v>
      </c>
      <c r="L82" s="2">
        <f>Table7[[#This Row],[WMS Res]]^2</f>
        <v>12.424727185127754</v>
      </c>
      <c r="M82">
        <f>Regression!$F$10+(Regression!$F$9*Table83[[#This Row],[Morning Diastolic Pressure]])</f>
        <v>254.39263015393252</v>
      </c>
      <c r="N82" s="2">
        <f>Table83[[#This Row],[Weight]]-Table7[[#This Row],[Weight v Morning Dia]]</f>
        <v>-2.5926301539325038</v>
      </c>
      <c r="O82" s="2">
        <f>Table7[[#This Row],[WMD Res]]^2</f>
        <v>6.7217311150800789</v>
      </c>
      <c r="P82">
        <f>Regression!$G$10+(Regression!$G$9*Table83[[#This Row],[Morning Pulse]])</f>
        <v>255.08805595379781</v>
      </c>
      <c r="Q82" s="2">
        <f>Table83[[#This Row],[Weight]]-Table7[[#This Row],[Weight v Morning Pulse]]</f>
        <v>-3.2880559537977945</v>
      </c>
      <c r="R82" s="2">
        <f>Table7[[#This Row],[WMP Res]]^2</f>
        <v>10.811311955305124</v>
      </c>
      <c r="S82">
        <f>Regression!$H$10+(Regression!$H$9*Table83[[#This Row],[Night Body Temp]])</f>
        <v>255.36496952993349</v>
      </c>
      <c r="T82" s="2">
        <f>Table83[[#This Row],[Weight]]-Table7[[#This Row],[Weight v Night Temp]]</f>
        <v>-3.564969529933478</v>
      </c>
      <c r="U82" s="2">
        <f>Table7[[#This Row],[WNT Res]]^2</f>
        <v>12.709007749354123</v>
      </c>
      <c r="V82">
        <f>Regression!$I$10+(Regression!$I$9*Table83[[#This Row],[Night Systolic Pressure]])</f>
        <v>255.13593655913874</v>
      </c>
      <c r="W82" s="2">
        <f>Table83[[#This Row],[Weight]]-Table7[[#This Row],[Weight v Night Sys]]</f>
        <v>-3.3359365591387302</v>
      </c>
      <c r="X82" s="2">
        <f>Table7[[#This Row],[WNS Res]]^2</f>
        <v>11.128472726598352</v>
      </c>
      <c r="Y82">
        <f>Regression!$J$10+(Regression!$J$9*Table83[[#This Row],[Night Diastolic Pressure]])</f>
        <v>255.2146139794944</v>
      </c>
      <c r="Z82" s="2">
        <f>Table83[[#This Row],[Weight]]-Table7[[#This Row],[Weight v Night Dia]]</f>
        <v>-3.4146139794943906</v>
      </c>
      <c r="AA82" s="2">
        <f>Table7[[#This Row],[WND Res]]^2</f>
        <v>11.659588628958518</v>
      </c>
      <c r="AB82">
        <f>Regression!$K$10+(Regression!$K$9*Table83[[#This Row],[Night Pulse]])</f>
        <v>255.01801186503107</v>
      </c>
      <c r="AC82" s="2">
        <f>Table83[[#This Row],[Weight]]-Table7[[#This Row],[Weight v Night Pulse]]</f>
        <v>-3.218011865031059</v>
      </c>
      <c r="AD82" s="2">
        <f>Table7[[#This Row],[WNP Res ]]^2</f>
        <v>10.355600363480674</v>
      </c>
      <c r="AE82">
        <f>Regression!$L$10+(Regression!$L$9*Table83[[#This Row],[Sleep]])</f>
        <v>254.97929263569441</v>
      </c>
      <c r="AF82" s="2">
        <f>Table83[[#This Row],[Weight]]-Table7[[#This Row],[Weight v Sleep]]</f>
        <v>-3.1792926356943951</v>
      </c>
      <c r="AG82" s="2">
        <f>Table7[[#This Row],[WS Res]]^2</f>
        <v>10.107901663380614</v>
      </c>
      <c r="AH82">
        <f>Regression!$M$10+(Regression!$M$9*Table83[[#This Row],[BMI]])</f>
        <v>251.80000000000746</v>
      </c>
      <c r="AI82" s="2">
        <f>Table83[[#This Row],[Weight]]-Table7[[#This Row],[Weight v BMI]]</f>
        <v>-7.4464878707658499E-12</v>
      </c>
      <c r="AJ82" s="2">
        <f>Table7[[#This Row],[WBMI Res]]^2</f>
        <v>5.5450181609462922E-23</v>
      </c>
      <c r="AK82">
        <f>Regression!$N$10+(Regression!$N$9*Table83[[#This Row],[CBF]])</f>
        <v>250.04675133427031</v>
      </c>
      <c r="AL82" s="2">
        <f>Table83[[#This Row],[Weight]]-Table7[[#This Row],[Weight v CBF]]</f>
        <v>1.7532486657297</v>
      </c>
      <c r="AM82" s="2">
        <f>Table7[[#This Row],[WCBF Res]]^2</f>
        <v>3.073880883882973</v>
      </c>
      <c r="AN82">
        <f>Regression!$O$10+(Regression!$O$9*Table83[[#This Row],[Gym]])</f>
        <v>255.46779661016953</v>
      </c>
      <c r="AO82" s="2">
        <f>Table83[[#This Row],[Weight]]-Table7[[#This Row],[Weight v Gym]]</f>
        <v>-3.6677966101695176</v>
      </c>
      <c r="AP82" s="2">
        <f>Table7[[#This Row],[WG Res]]^2</f>
        <v>13.452731973571005</v>
      </c>
      <c r="AQ82">
        <f>Regression!$P$10+(Regression!$P$9*Table83[[#This Row],[Cardio]])</f>
        <v>254.19242424242461</v>
      </c>
      <c r="AR82" s="2">
        <f>Table83[[#This Row],[Weight]]-Table7[[#This Row],[Weight v Cardio]]</f>
        <v>-2.3924242424245961</v>
      </c>
      <c r="AS82" s="2">
        <f>Table7[[#This Row],[WC Res]]^2</f>
        <v>5.7236937557409027</v>
      </c>
      <c r="AT82">
        <f>Regression!$Q$10+(Regression!$Q$9*Table83[[#This Row],[Calories]])</f>
        <v>255.61231817161874</v>
      </c>
      <c r="AU82" s="2">
        <f>Table83[[#This Row],[Weight]]-Table7[[#This Row],[Weight v Calories]]</f>
        <v>-3.8123181716187275</v>
      </c>
      <c r="AV82" s="2">
        <f>Table7[[#This Row],[WCAL Res]]^2</f>
        <v>14.533769841654358</v>
      </c>
      <c r="AW82">
        <f>Regression!$R$10+(Regression!$R$9*Table83[[#This Row],[Carbs]])</f>
        <v>255.60590938053403</v>
      </c>
      <c r="AX82" s="2">
        <f>Table83[[#This Row],[Weight]]-Table7[[#This Row],[Weight v Carbs]]</f>
        <v>-3.8059093805340183</v>
      </c>
      <c r="AY82" s="2">
        <f>Table7[[#This Row],[Wcarb Res]]^2</f>
        <v>14.484946212836835</v>
      </c>
      <c r="AZ82">
        <f>Regression!$S$10+(Regression!$S$9*Table83[[#This Row],[Fat ]])</f>
        <v>255.42142590360055</v>
      </c>
      <c r="BA82" s="2">
        <f>Table83[[#This Row],[Weight]]-Table7[[#This Row],[Weight v Fat]]</f>
        <v>-3.6214259036005387</v>
      </c>
      <c r="BB82" s="2">
        <f>Table7[[#This Row],[WF Res]]^2</f>
        <v>13.114725575268979</v>
      </c>
      <c r="BC82">
        <f>Regression!$T$10+(Regression!$T$9*Table83[[#This Row],[Protein]])</f>
        <v>255.59202152238566</v>
      </c>
      <c r="BD82" s="2">
        <f>Table83[[#This Row],[Weight]]-Table7[[#This Row],[Weight v Protein]]</f>
        <v>-3.792021522385653</v>
      </c>
      <c r="BE82" s="2">
        <f>Table7[[#This Row],[WP Res]]^2</f>
        <v>14.379427226236006</v>
      </c>
      <c r="BF82">
        <f>Regression!$U$10+(Regression!$U$9*Table83[[#This Row],[Fiber]])</f>
        <v>254.9102285139634</v>
      </c>
      <c r="BG82" s="2">
        <f>Table83[[#This Row],[Weight]]-Table7[[#This Row],[Weight v Fiber]]</f>
        <v>-3.1102285139633921</v>
      </c>
      <c r="BH82" s="2">
        <f>Table7[[#This Row],[Wfib Res]]^2</f>
        <v>9.6735214090709309</v>
      </c>
      <c r="BI82">
        <f>Regression!$V$10+(Regression!$V$9*Table83[[#This Row],[Sugar]])</f>
        <v>255.3846418970644</v>
      </c>
      <c r="BJ82" s="2">
        <f>Table83[[#This Row],[Weight]]-Table7[[#This Row],[Weight v Sugar]]</f>
        <v>-3.5846418970643867</v>
      </c>
      <c r="BK82" s="2">
        <f>Table7[[#This Row],[Wsugar Res]]^2</f>
        <v>12.849657530189365</v>
      </c>
      <c r="BL82">
        <f>Regression!$W$10+(Regression!$W$9*Table83[[#This Row],[Servings]])</f>
        <v>254.78763909332716</v>
      </c>
      <c r="BM82" s="2">
        <f>Table83[[#This Row],[Weight]]-Table7[[#This Row],[Weight v Servings]]</f>
        <v>-2.9876390933271466</v>
      </c>
      <c r="BN82" s="2">
        <f>Table7[[#This Row],[Wserv Res]]^2</f>
        <v>8.925987351976655</v>
      </c>
      <c r="BO82">
        <f>Regression!$X$10+(Regression!$X$9*Table83[[#This Row],[Water]])</f>
        <v>255.06345001025522</v>
      </c>
      <c r="BP82" s="2">
        <f>Table83[[#This Row],[Weight]]-Table7[[#This Row],[Weight v Water]]</f>
        <v>-3.2634500102552124</v>
      </c>
      <c r="BQ82" s="2">
        <f>Table7[[#This Row],[Wwater Res]]^2</f>
        <v>10.650105969434746</v>
      </c>
      <c r="BR82">
        <f>Regression!$Y$10+(Regression!$Y$9*Table83[[#This Row],[Fat Calories]])</f>
        <v>255.43624980073545</v>
      </c>
      <c r="BS82" s="2">
        <f>Table83[[#This Row],[Weight]]-Table7[[#This Row],[Weight v Fat Calories]]</f>
        <v>-3.6362498007354418</v>
      </c>
      <c r="BT82" s="2">
        <f>Table7[[#This Row],[WFC Res]]^2</f>
        <v>13.22231261334854</v>
      </c>
      <c r="BU82">
        <f>Regression!$B$29+(Regression!$B$28*Table83[[#This Row],[Weight]])</f>
        <v>44.001823571154709</v>
      </c>
      <c r="BV82" s="2">
        <f>Table83[[#This Row],[Waist]]-Table7[[#This Row],[Waist v Weight]]</f>
        <v>-0.50182357115470921</v>
      </c>
      <c r="BW82" s="2">
        <f>Table7[[#This Row],[WaistW Res]]^2</f>
        <v>0.25182689656646551</v>
      </c>
      <c r="BX82">
        <f>Regression!$C$29+(Regression!$C$28*Table83[[#This Row],[Neck]])</f>
        <v>44.175585585585594</v>
      </c>
      <c r="BY82" s="2">
        <f>Table83[[#This Row],[Waist]]-Table7[[#This Row],[Waist v Neck]]</f>
        <v>-0.67558558558559412</v>
      </c>
      <c r="BZ82" s="2">
        <f>Table7[[#This Row],[WaistN Res]]^2</f>
        <v>0.45641588345103012</v>
      </c>
      <c r="CA82">
        <f>Regression!$D$29+(Regression!$D$28*Table83[[#This Row],[Morning Body Temp]])</f>
        <v>44.629919249340105</v>
      </c>
      <c r="CB82" s="2">
        <f>Table83[[#This Row],[Waist]]-Table7[[#This Row],[Waist v Morning Temp]]</f>
        <v>-1.1299192493401051</v>
      </c>
      <c r="CC82" s="2">
        <f>Table7[[#This Row],[WaistMT Res]]^2</f>
        <v>1.2767175100293067</v>
      </c>
      <c r="CD82">
        <f>Regression!$E$29+(Regression!$E$28*Table83[[#This Row],[Morning Systolic Pressure]])</f>
        <v>44.502836753606339</v>
      </c>
      <c r="CE82" s="2">
        <f>Table83[[#This Row],[Waist]]-Table7[[#This Row],[Waist v Morning Sys]]</f>
        <v>-1.0028367536063385</v>
      </c>
      <c r="CF82" s="2">
        <f>Table7[[#This Row],[WaistMS Res]]^2</f>
        <v>1.0056815543837001</v>
      </c>
      <c r="CG82">
        <f>Regression!$F$29+(Regression!$F$28*Table83[[#This Row],[Morning Diastolic Pressure]])</f>
        <v>44.413367323462282</v>
      </c>
      <c r="CH82" s="2">
        <f>Table83[[#This Row],[Waist]]-Table7[[#This Row],[Waist v Morning Dia]]</f>
        <v>-0.91336732346228189</v>
      </c>
      <c r="CI82" s="2">
        <f>Table7[[#This Row],[WaistMD Res]]^2</f>
        <v>0.83423986756865265</v>
      </c>
      <c r="CJ82">
        <f>Regression!$G$29+(Regression!$G$28*Table83[[#This Row],[Morning Pulse]])</f>
        <v>44.441144158901992</v>
      </c>
      <c r="CK82" s="2">
        <f>Table83[[#This Row],[Waist]]-Table7[[#This Row],[Waist v Morning Pulse]]</f>
        <v>-0.94114415890199155</v>
      </c>
      <c r="CL82" s="2">
        <f>Table7[[#This Row],[WaistMP Res]]^2</f>
        <v>0.88575232783533708</v>
      </c>
      <c r="CM82">
        <f>Regression!$H$29+(Regression!$H$28*Table83[[#This Row],[Night Body Temp]])</f>
        <v>44.473244726073837</v>
      </c>
      <c r="CN82" s="2">
        <f>Table83[[#This Row],[Waist]]-Table7[[#This Row],[Waist v Night Temp]]</f>
        <v>-0.97324472607383683</v>
      </c>
      <c r="CO82" s="2">
        <f>Table7[[#This Row],[WaistNT Res]]^2</f>
        <v>0.94720529683053767</v>
      </c>
      <c r="CP82">
        <f>Regression!$I$29+(Regression!$I$28*Table83[[#This Row],[Night Systolic Pressure]])</f>
        <v>44.456499315305209</v>
      </c>
      <c r="CQ82" s="2">
        <f>Table83[[#This Row],[Waist]]-Table7[[#This Row],[Waist v  Night Sys]]</f>
        <v>-0.9564993153052086</v>
      </c>
      <c r="CR82" s="2">
        <f>Table7[[#This Row],[WaistNS Res]]^2</f>
        <v>0.91489094017933281</v>
      </c>
      <c r="CS82">
        <f>Regression!$J$29+(Regression!$J$28*Table83[[#This Row],[Night Diastolic Pressure]])</f>
        <v>44.495227901568619</v>
      </c>
      <c r="CT82" s="2">
        <f>Table83[[#This Row],[Waist]]-Table7[[#This Row],[Waist v Night Dia]]</f>
        <v>-0.99522790156861873</v>
      </c>
      <c r="CU82" s="2">
        <f>Table7[[#This Row],[WaistND Res]]^2</f>
        <v>0.99047857606067624</v>
      </c>
      <c r="CV82">
        <f>Regression!$K$29+(Regression!$K$28*Table83[[#This Row],[Night Pulse]])</f>
        <v>44.462565118876235</v>
      </c>
      <c r="CW82" s="2">
        <f>Table83[[#This Row],[Waist]]-Table7[[#This Row],[Waist v Night Pulse]]</f>
        <v>-0.96256511887623475</v>
      </c>
      <c r="CX82" s="2">
        <f>Table7[[#This Row],[WaistNP Res]]^2</f>
        <v>0.9265316080772199</v>
      </c>
      <c r="CY82">
        <f>Regression!$L$29+(Regression!$L$28*Table83[[#This Row],[Sleep]])</f>
        <v>44.432842368860271</v>
      </c>
      <c r="CZ82" s="2">
        <f>Table83[[#This Row],[Waist]]-Table7[[#This Row],[Waist v  Sleep]]</f>
        <v>-0.93284236886027116</v>
      </c>
      <c r="DA82" s="2">
        <f>Table7[[#This Row],[WaistS Res]]^2</f>
        <v>0.8701948851408422</v>
      </c>
      <c r="DB82">
        <f>Regression!$M$29+(Regression!$M$28*Table83[[#This Row],[BMI]])</f>
        <v>44.001823571156145</v>
      </c>
      <c r="DC82" s="2">
        <f>Table83[[#This Row],[Waist]]-Table7[[#This Row],[Waist v BMI]]</f>
        <v>-0.50182357115614451</v>
      </c>
      <c r="DD82" s="2">
        <f>Table7[[#This Row],[WaistBMI Res]]^2</f>
        <v>0.25182689656790602</v>
      </c>
      <c r="DE82">
        <f>Regression!$N$29+(Regression!$N$28*Table83[[#This Row],[CBF]])</f>
        <v>43.540887941991329</v>
      </c>
      <c r="DF82" s="2">
        <f>Table83[[#This Row],[Waist]]-Table7[[#This Row],[Waist v  CBF]]</f>
        <v>-4.0887941991329058E-2</v>
      </c>
      <c r="DG82" s="2">
        <f>Table7[[#This Row],[WaistCBF Res]]^2</f>
        <v>1.6718238002862899E-3</v>
      </c>
      <c r="DH82">
        <f>Regression!$O$29+(Regression!$O$28*Table83[[#This Row],[Gym]])</f>
        <v>44.550847457627107</v>
      </c>
      <c r="DI82" s="2">
        <f>Table83[[#This Row],[Waist]]-Table7[[#This Row],[Waist v  Gym]]</f>
        <v>-1.050847457627107</v>
      </c>
      <c r="DJ82" s="2">
        <f>Table7[[#This Row],[WaistGYM Res]]^2</f>
        <v>1.1042803792013545</v>
      </c>
      <c r="DK82">
        <f>Regression!$P$29+(Regression!$P$28*Table83[[#This Row],[Cardio]])</f>
        <v>44.291666666666664</v>
      </c>
      <c r="DL82" s="2">
        <f>Table83[[#This Row],[Waist]]-Table7[[#This Row],[Waist v Cardio]]</f>
        <v>-0.7916666666666643</v>
      </c>
      <c r="DM82" s="2">
        <f>Table7[[#This Row],[WaistC Res]]^2</f>
        <v>0.62673611111110739</v>
      </c>
      <c r="DN82">
        <f>Regression!$Q$29+(Regression!$Q$28*Table83[[#This Row],[Calories]])</f>
        <v>44.56526624432567</v>
      </c>
      <c r="DO82" s="2">
        <f>Table83[[#This Row],[Waist]]-Table7[[#This Row],[Waist v Calories]]</f>
        <v>-1.0652662443256702</v>
      </c>
      <c r="DP82" s="2">
        <f>Table7[[#This Row],[WaistCal Res]]^2</f>
        <v>1.1347921712997184</v>
      </c>
      <c r="DQ82">
        <f>Regression!$R$29+(Regression!$R$28*Table83[[#This Row],[Carbs]])</f>
        <v>44.555734937706504</v>
      </c>
      <c r="DR82" s="2">
        <f>Table83[[#This Row],[Waist]]-Table7[[#This Row],[Waist v Carbs]]</f>
        <v>-1.0557349377065037</v>
      </c>
      <c r="DS82" s="2">
        <f>Table7[[#This Row],[WaistCarb Res]]^2</f>
        <v>1.1145762586941552</v>
      </c>
      <c r="DT82">
        <f>Regression!$S$29+(Regression!$S$28*Table83[[#This Row],[Fat ]])</f>
        <v>44.547194211324602</v>
      </c>
      <c r="DU82" s="2">
        <f>Table83[[#This Row],[Waist]]-Table7[[#This Row],[Waist v Fat]]</f>
        <v>-1.0471942113246016</v>
      </c>
      <c r="DV82" s="2">
        <f>Table7[[#This Row],[WaistF Res]]^2</f>
        <v>1.0966157162317542</v>
      </c>
      <c r="DW82">
        <f>Regression!$T$29+(Regression!$T$28*Table83[[#This Row],[Protein]])</f>
        <v>44.540844382273548</v>
      </c>
      <c r="DX82" s="2">
        <f>Table83[[#This Row],[Waist]]-Table7[[#This Row],[Waist v Protein]]</f>
        <v>-1.0408443822735478</v>
      </c>
      <c r="DY82" s="2">
        <f>Table7[[#This Row],[WaistP Res]]^2</f>
        <v>1.0833570281104032</v>
      </c>
      <c r="DZ82">
        <f>Regression!$U$29+(Regression!$U$28*Table83[[#This Row],[Fiber]])</f>
        <v>44.374509633704861</v>
      </c>
      <c r="EA82" s="2">
        <f>Table83[[#This Row],[Waist]]-Table7[[#This Row],[Waist v Fiber]]</f>
        <v>-0.87450963370486079</v>
      </c>
      <c r="EB82" s="2">
        <f>Table7[[#This Row],[WaistFib Res]]^2</f>
        <v>0.76476709944260979</v>
      </c>
      <c r="EC82">
        <f>Regression!$V$29+(Regression!$V$28*Table83[[#This Row],[Sugar]])</f>
        <v>44.501970033871544</v>
      </c>
      <c r="ED82" s="2">
        <f>Table83[[#This Row],[Waist]]-Table7[[#This Row],[Waist v Sugar]]</f>
        <v>-1.0019700338715438</v>
      </c>
      <c r="EE82" s="2">
        <f>Table7[[#This Row],[WaistSugar Res]]^2</f>
        <v>1.0039439487765427</v>
      </c>
      <c r="EF82">
        <f>Regression!$W$29+(Regression!$W$28*Table83[[#This Row],[Servings]])</f>
        <v>44.403583251006502</v>
      </c>
      <c r="EG82" s="2">
        <f>Table83[[#This Row],[Waist]]-Table7[[#This Row],[Waist v Servings]]</f>
        <v>-0.90358325100650205</v>
      </c>
      <c r="EH82" s="2">
        <f>Table7[[#This Row],[WaistServ Res]]^2</f>
        <v>0.81646269149947925</v>
      </c>
      <c r="EI82">
        <f>Regression!$X$29+(Regression!$X$28*Table83[[#This Row],[Water]])</f>
        <v>44.386198474840633</v>
      </c>
      <c r="EJ82" s="2">
        <f>Table83[[#This Row],[Waist]]-Table7[[#This Row],[Waist v Water]]</f>
        <v>-0.88619847484063285</v>
      </c>
      <c r="EK82" s="2">
        <f>Table7[[#This Row],[WaistWat Res]]^2</f>
        <v>0.78534773680986381</v>
      </c>
      <c r="EL82">
        <f>Regression!$Y$29+(Regression!$Y$28*Table83[[#This Row],[Fat Calories]])</f>
        <v>44.551227671988826</v>
      </c>
      <c r="EM82" s="2">
        <f>Table83[[#This Row],[Waist]]-Table7[[#This Row],[Waist v Fat Calories]]</f>
        <v>-1.0512276719888263</v>
      </c>
      <c r="EN82" s="2">
        <f>Table7[[#This Row],[WaistFatCal Res]]^2</f>
        <v>1.1050796183550473</v>
      </c>
    </row>
    <row r="83" spans="1:144" x14ac:dyDescent="0.25">
      <c r="A83">
        <f>Regression!$B$10+(Regression!$B$9*Table83[[#This Row],[Waist]])</f>
        <v>246.8183038076352</v>
      </c>
      <c r="B83" s="2">
        <f>Table83[[#This Row],[Weight]]-Table7[[#This Row],[Weight v Waist]]</f>
        <v>5.7816961923647909</v>
      </c>
      <c r="C83" s="2">
        <f>Table7[[#This Row],[Weight v Waist Res]]^2</f>
        <v>33.428010860805522</v>
      </c>
      <c r="D83">
        <f>Regression!$C$10+(Regression!$C$9*Table83[[#This Row],[Neck]])</f>
        <v>253.29286486487842</v>
      </c>
      <c r="E83" s="2">
        <f>Table83[[#This Row],[Weight]]-Table7[[#This Row],[Weight v Neck]]</f>
        <v>-0.69286486487843035</v>
      </c>
      <c r="F83" s="2">
        <f>Table7[[#This Row],[WN Res]]^2</f>
        <v>0.48006172098300554</v>
      </c>
      <c r="G83">
        <f>Regression!$D$10+(Regression!$D$9*Table83[[#This Row],[Morning Body Temp]])</f>
        <v>254.84837078641723</v>
      </c>
      <c r="H83" s="2">
        <f>Table83[[#This Row],[Weight]]-Table7[[#This Row],[Weight v Morning Temp]]</f>
        <v>-2.2483707864172402</v>
      </c>
      <c r="I83" s="2">
        <f>Table7[[#This Row],[WMT Res]]^2</f>
        <v>5.0551711932144787</v>
      </c>
      <c r="J83">
        <f>Regression!$E$10+(Regression!$E$9*Table83[[#This Row],[Morning Systolic Pressure]])</f>
        <v>254.6937917939849</v>
      </c>
      <c r="K83" s="2">
        <f>Table83[[#This Row],[Weight]]-Table7[[#This Row],[Weight v Morning Sys]]</f>
        <v>-2.0937917939849058</v>
      </c>
      <c r="L83" s="2">
        <f>Table7[[#This Row],[WMS Res]]^2</f>
        <v>4.3839640765585299</v>
      </c>
      <c r="M83">
        <f>Regression!$F$10+(Regression!$F$9*Table83[[#This Row],[Morning Diastolic Pressure]])</f>
        <v>255.40607264438131</v>
      </c>
      <c r="N83" s="2">
        <f>Table83[[#This Row],[Weight]]-Table7[[#This Row],[Weight v Morning Dia]]</f>
        <v>-2.8060726443813166</v>
      </c>
      <c r="O83" s="2">
        <f>Table7[[#This Row],[WMD Res]]^2</f>
        <v>7.8740436855451552</v>
      </c>
      <c r="P83">
        <f>Regression!$G$10+(Regression!$G$9*Table83[[#This Row],[Morning Pulse]])</f>
        <v>255.1246118689416</v>
      </c>
      <c r="Q83" s="2">
        <f>Table83[[#This Row],[Weight]]-Table7[[#This Row],[Weight v Morning Pulse]]</f>
        <v>-2.5246118689416051</v>
      </c>
      <c r="R83" s="2">
        <f>Table7[[#This Row],[WMP Res]]^2</f>
        <v>6.3736650888008244</v>
      </c>
      <c r="S83">
        <f>Regression!$H$10+(Regression!$H$9*Table83[[#This Row],[Night Body Temp]])</f>
        <v>255.15957638897012</v>
      </c>
      <c r="T83" s="2">
        <f>Table83[[#This Row],[Weight]]-Table7[[#This Row],[Weight v Night Temp]]</f>
        <v>-2.5595763889701288</v>
      </c>
      <c r="U83" s="2">
        <f>Table7[[#This Row],[WNT Res]]^2</f>
        <v>6.5514312909733645</v>
      </c>
      <c r="V83">
        <f>Regression!$I$10+(Regression!$I$9*Table83[[#This Row],[Night Systolic Pressure]])</f>
        <v>254.72535722302487</v>
      </c>
      <c r="W83" s="2">
        <f>Table83[[#This Row],[Weight]]-Table7[[#This Row],[Weight v Night Sys]]</f>
        <v>-2.1253572230248778</v>
      </c>
      <c r="X83" s="2">
        <f>Table7[[#This Row],[WNS Res]]^2</f>
        <v>4.5171433254640201</v>
      </c>
      <c r="Y83">
        <f>Regression!$J$10+(Regression!$J$9*Table83[[#This Row],[Night Diastolic Pressure]])</f>
        <v>254.9292529005817</v>
      </c>
      <c r="Z83" s="2">
        <f>Table83[[#This Row],[Weight]]-Table7[[#This Row],[Weight v Night Dia]]</f>
        <v>-2.3292529005817073</v>
      </c>
      <c r="AA83" s="2">
        <f>Table7[[#This Row],[WND Res]]^2</f>
        <v>5.4254190748682971</v>
      </c>
      <c r="AB83">
        <f>Regression!$K$10+(Regression!$K$9*Table83[[#This Row],[Night Pulse]])</f>
        <v>255.26371851492488</v>
      </c>
      <c r="AC83" s="2">
        <f>Table83[[#This Row],[Weight]]-Table7[[#This Row],[Weight v Night Pulse]]</f>
        <v>-2.6637185149248808</v>
      </c>
      <c r="AD83" s="2">
        <f>Table7[[#This Row],[WNP Res ]]^2</f>
        <v>7.0953963267536126</v>
      </c>
      <c r="AE83">
        <f>Regression!$L$10+(Regression!$L$9*Table83[[#This Row],[Sleep]])</f>
        <v>254.97929263569441</v>
      </c>
      <c r="AF83" s="2">
        <f>Table83[[#This Row],[Weight]]-Table7[[#This Row],[Weight v Sleep]]</f>
        <v>-2.3792926356944122</v>
      </c>
      <c r="AG83" s="2">
        <f>Table7[[#This Row],[WS Res]]^2</f>
        <v>5.6610334462696628</v>
      </c>
      <c r="AH83">
        <f>Regression!$M$10+(Regression!$M$9*Table83[[#This Row],[BMI]])</f>
        <v>252.60000000000565</v>
      </c>
      <c r="AI83" s="2">
        <f>Table83[[#This Row],[Weight]]-Table7[[#This Row],[Weight v BMI]]</f>
        <v>-5.6559201766503975E-12</v>
      </c>
      <c r="AJ83" s="2">
        <f>Table7[[#This Row],[WBMI Res]]^2</f>
        <v>3.1989433044641063E-23</v>
      </c>
      <c r="AK83">
        <f>Regression!$N$10+(Regression!$N$9*Table83[[#This Row],[CBF]])</f>
        <v>246.85529009284974</v>
      </c>
      <c r="AL83" s="2">
        <f>Table83[[#This Row],[Weight]]-Table7[[#This Row],[Weight v CBF]]</f>
        <v>5.7447099071502521</v>
      </c>
      <c r="AM83" s="2">
        <f>Table7[[#This Row],[WCBF Res]]^2</f>
        <v>33.001691917310261</v>
      </c>
      <c r="AN83">
        <f>Regression!$O$10+(Regression!$O$9*Table83[[#This Row],[Gym]])</f>
        <v>255.46779661016953</v>
      </c>
      <c r="AO83" s="2">
        <f>Table83[[#This Row],[Weight]]-Table7[[#This Row],[Weight v Gym]]</f>
        <v>-2.8677966101695347</v>
      </c>
      <c r="AP83" s="2">
        <f>Table7[[#This Row],[WG Res]]^2</f>
        <v>8.2242573972998745</v>
      </c>
      <c r="AQ83">
        <f>Regression!$P$10+(Regression!$P$9*Table83[[#This Row],[Cardio]])</f>
        <v>254.19242424242461</v>
      </c>
      <c r="AR83" s="2">
        <f>Table83[[#This Row],[Weight]]-Table7[[#This Row],[Weight v Cardio]]</f>
        <v>-1.5924242424246131</v>
      </c>
      <c r="AS83" s="2">
        <f>Table7[[#This Row],[WC Res]]^2</f>
        <v>2.5358149678616031</v>
      </c>
      <c r="AT83">
        <f>Regression!$Q$10+(Regression!$Q$9*Table83[[#This Row],[Calories]])</f>
        <v>255.23774409654084</v>
      </c>
      <c r="AU83" s="2">
        <f>Table83[[#This Row],[Weight]]-Table7[[#This Row],[Weight v Calories]]</f>
        <v>-2.6377440965408425</v>
      </c>
      <c r="AV83" s="2">
        <f>Table7[[#This Row],[WCAL Res]]^2</f>
        <v>6.9576939188360658</v>
      </c>
      <c r="AW83">
        <f>Regression!$R$10+(Regression!$R$9*Table83[[#This Row],[Carbs]])</f>
        <v>255.06985689240798</v>
      </c>
      <c r="AX83" s="2">
        <f>Table83[[#This Row],[Weight]]-Table7[[#This Row],[Weight v Carbs]]</f>
        <v>-2.4698568924079893</v>
      </c>
      <c r="AY83" s="2">
        <f>Table7[[#This Row],[Wcarb Res]]^2</f>
        <v>6.1001930689752504</v>
      </c>
      <c r="AZ83">
        <f>Regression!$S$10+(Regression!$S$9*Table83[[#This Row],[Fat ]])</f>
        <v>255.30618677433068</v>
      </c>
      <c r="BA83" s="2">
        <f>Table83[[#This Row],[Weight]]-Table7[[#This Row],[Weight v Fat]]</f>
        <v>-2.7061867743306891</v>
      </c>
      <c r="BB83" s="2">
        <f>Table7[[#This Row],[WF Res]]^2</f>
        <v>7.3234468575623399</v>
      </c>
      <c r="BC83">
        <f>Regression!$T$10+(Regression!$T$9*Table83[[#This Row],[Protein]])</f>
        <v>255.10002605387265</v>
      </c>
      <c r="BD83" s="2">
        <f>Table83[[#This Row],[Weight]]-Table7[[#This Row],[Weight v Protein]]</f>
        <v>-2.5000260538726593</v>
      </c>
      <c r="BE83" s="2">
        <f>Table7[[#This Row],[WP Res]]^2</f>
        <v>6.2501302700421011</v>
      </c>
      <c r="BF83">
        <f>Regression!$U$10+(Regression!$U$9*Table83[[#This Row],[Fiber]])</f>
        <v>254.88997676150842</v>
      </c>
      <c r="BG83" s="2">
        <f>Table83[[#This Row],[Weight]]-Table7[[#This Row],[Weight v Fiber]]</f>
        <v>-2.2899767615084272</v>
      </c>
      <c r="BH83" s="2">
        <f>Table7[[#This Row],[Wfib Res]]^2</f>
        <v>5.2439935682486238</v>
      </c>
      <c r="BI83">
        <f>Regression!$V$10+(Regression!$V$9*Table83[[#This Row],[Sugar]])</f>
        <v>254.05683305243068</v>
      </c>
      <c r="BJ83" s="2">
        <f>Table83[[#This Row],[Weight]]-Table7[[#This Row],[Weight v Sugar]]</f>
        <v>-1.4568330524306816</v>
      </c>
      <c r="BK83" s="2">
        <f>Table7[[#This Row],[Wsugar Res]]^2</f>
        <v>2.1223625426544972</v>
      </c>
      <c r="BL83">
        <f>Regression!$W$10+(Regression!$W$9*Table83[[#This Row],[Servings]])</f>
        <v>254.96156231815851</v>
      </c>
      <c r="BM83" s="2">
        <f>Table83[[#This Row],[Weight]]-Table7[[#This Row],[Weight v Servings]]</f>
        <v>-2.3615623181585192</v>
      </c>
      <c r="BN83" s="2">
        <f>Table7[[#This Row],[Wserv Res]]^2</f>
        <v>5.576976582546239</v>
      </c>
      <c r="BO83">
        <f>Regression!$X$10+(Regression!$X$9*Table83[[#This Row],[Water]])</f>
        <v>255.06345001025522</v>
      </c>
      <c r="BP83" s="2">
        <f>Table83[[#This Row],[Weight]]-Table7[[#This Row],[Weight v Water]]</f>
        <v>-2.4634500102552295</v>
      </c>
      <c r="BQ83" s="2">
        <f>Table7[[#This Row],[Wwater Res]]^2</f>
        <v>6.0685859530264903</v>
      </c>
      <c r="BR83">
        <f>Regression!$Y$10+(Regression!$Y$9*Table83[[#This Row],[Fat Calories]])</f>
        <v>255.31360637663875</v>
      </c>
      <c r="BS83" s="2">
        <f>Table83[[#This Row],[Weight]]-Table7[[#This Row],[Weight v Fat Calories]]</f>
        <v>-2.7136063766387508</v>
      </c>
      <c r="BT83" s="2">
        <f>Table7[[#This Row],[WFC Res]]^2</f>
        <v>7.3636595673344898</v>
      </c>
      <c r="BU83">
        <f>Regression!$B$29+(Regression!$B$28*Table83[[#This Row],[Weight]])</f>
        <v>44.110833579610691</v>
      </c>
      <c r="BV83" s="2">
        <f>Table83[[#This Row],[Waist]]-Table7[[#This Row],[Waist v Weight]]</f>
        <v>-1.1108335796106914</v>
      </c>
      <c r="BW83" s="2">
        <f>Table7[[#This Row],[WaistW Res]]^2</f>
        <v>1.2339512415907024</v>
      </c>
      <c r="BX83">
        <f>Regression!$C$29+(Regression!$C$28*Table83[[#This Row],[Neck]])</f>
        <v>44.175585585585594</v>
      </c>
      <c r="BY83" s="2">
        <f>Table83[[#This Row],[Waist]]-Table7[[#This Row],[Waist v Neck]]</f>
        <v>-1.1755855855855941</v>
      </c>
      <c r="BZ83" s="2">
        <f>Table7[[#This Row],[WaistN Res]]^2</f>
        <v>1.3820014690366242</v>
      </c>
      <c r="CA83">
        <f>Regression!$D$29+(Regression!$D$28*Table83[[#This Row],[Morning Body Temp]])</f>
        <v>44.381010678053698</v>
      </c>
      <c r="CB83" s="2">
        <f>Table83[[#This Row],[Waist]]-Table7[[#This Row],[Waist v Morning Temp]]</f>
        <v>-1.3810106780536984</v>
      </c>
      <c r="CC83" s="2">
        <f>Table7[[#This Row],[WaistMT Res]]^2</f>
        <v>1.9071904928983356</v>
      </c>
      <c r="CD83">
        <f>Regression!$E$29+(Regression!$E$28*Table83[[#This Row],[Morning Systolic Pressure]])</f>
        <v>44.354571080212359</v>
      </c>
      <c r="CE83" s="2">
        <f>Table83[[#This Row],[Waist]]-Table7[[#This Row],[Waist v Morning Sys]]</f>
        <v>-1.3545710802123594</v>
      </c>
      <c r="CF83" s="2">
        <f>Table7[[#This Row],[WaistMS Res]]^2</f>
        <v>1.8348628113476781</v>
      </c>
      <c r="CG83">
        <f>Regression!$F$29+(Regression!$F$28*Table83[[#This Row],[Morning Diastolic Pressure]])</f>
        <v>44.469723530150823</v>
      </c>
      <c r="CH83" s="2">
        <f>Table83[[#This Row],[Waist]]-Table7[[#This Row],[Waist v Morning Dia]]</f>
        <v>-1.4697235301508229</v>
      </c>
      <c r="CI83" s="2">
        <f>Table7[[#This Row],[WaistMD Res]]^2</f>
        <v>2.1600872550789969</v>
      </c>
      <c r="CJ83">
        <f>Regression!$G$29+(Regression!$G$28*Table83[[#This Row],[Morning Pulse]])</f>
        <v>44.457934210374262</v>
      </c>
      <c r="CK83" s="2">
        <f>Table83[[#This Row],[Waist]]-Table7[[#This Row],[Waist v Morning Pulse]]</f>
        <v>-1.4579342103742619</v>
      </c>
      <c r="CL83" s="2">
        <f>Table7[[#This Row],[WaistMP Res]]^2</f>
        <v>2.1255721617796226</v>
      </c>
      <c r="CM83">
        <f>Regression!$H$29+(Regression!$H$28*Table83[[#This Row],[Night Body Temp]])</f>
        <v>44.457050878464067</v>
      </c>
      <c r="CN83" s="2">
        <f>Table83[[#This Row],[Waist]]-Table7[[#This Row],[Waist v Night Temp]]</f>
        <v>-1.4570508784640666</v>
      </c>
      <c r="CO83" s="2">
        <f>Table7[[#This Row],[WaistNT Res]]^2</f>
        <v>2.1229972624329081</v>
      </c>
      <c r="CP83">
        <f>Regression!$I$29+(Regression!$I$28*Table83[[#This Row],[Night Systolic Pressure]])</f>
        <v>44.398338858002759</v>
      </c>
      <c r="CQ83" s="2">
        <f>Table83[[#This Row],[Waist]]-Table7[[#This Row],[Waist v  Night Sys]]</f>
        <v>-1.3983388580027594</v>
      </c>
      <c r="CR83" s="2">
        <f>Table7[[#This Row],[WaistNS Res]]^2</f>
        <v>1.9553515618004613</v>
      </c>
      <c r="CS83">
        <f>Regression!$J$29+(Regression!$J$28*Table83[[#This Row],[Night Diastolic Pressure]])</f>
        <v>44.375752285116519</v>
      </c>
      <c r="CT83" s="2">
        <f>Table83[[#This Row],[Waist]]-Table7[[#This Row],[Waist v Night Dia]]</f>
        <v>-1.3757522851165191</v>
      </c>
      <c r="CU83" s="2">
        <f>Table7[[#This Row],[WaistND Res]]^2</f>
        <v>1.8926943500033242</v>
      </c>
      <c r="CV83">
        <f>Regression!$K$29+(Regression!$K$28*Table83[[#This Row],[Night Pulse]])</f>
        <v>44.439711148388511</v>
      </c>
      <c r="CW83" s="2">
        <f>Table83[[#This Row],[Waist]]-Table7[[#This Row],[Waist v Night Pulse]]</f>
        <v>-1.4397111483885112</v>
      </c>
      <c r="CX83" s="2">
        <f>Table7[[#This Row],[WaistNP Res]]^2</f>
        <v>2.0727681907941657</v>
      </c>
      <c r="CY83">
        <f>Regression!$L$29+(Regression!$L$28*Table83[[#This Row],[Sleep]])</f>
        <v>44.432842368860271</v>
      </c>
      <c r="CZ83" s="2">
        <f>Table83[[#This Row],[Waist]]-Table7[[#This Row],[Waist v  Sleep]]</f>
        <v>-1.4328423688602712</v>
      </c>
      <c r="DA83" s="2">
        <f>Table7[[#This Row],[WaistS Res]]^2</f>
        <v>2.0530372540011133</v>
      </c>
      <c r="DB83">
        <f>Regression!$M$29+(Regression!$M$28*Table83[[#This Row],[BMI]])</f>
        <v>44.110833579611779</v>
      </c>
      <c r="DC83" s="2">
        <f>Table83[[#This Row],[Waist]]-Table7[[#This Row],[Waist v BMI]]</f>
        <v>-1.1108335796117785</v>
      </c>
      <c r="DD83" s="2">
        <f>Table7[[#This Row],[WaistBMI Res]]^2</f>
        <v>1.2339512415931175</v>
      </c>
      <c r="DE83">
        <f>Regression!$N$29+(Regression!$N$28*Table83[[#This Row],[CBF]])</f>
        <v>42.966198760667851</v>
      </c>
      <c r="DF83" s="2">
        <f>Table83[[#This Row],[Waist]]-Table7[[#This Row],[Waist v  CBF]]</f>
        <v>3.380123933214918E-2</v>
      </c>
      <c r="DG83" s="2">
        <f>Table7[[#This Row],[WaistCBF Res]]^2</f>
        <v>1.1425237803892288E-3</v>
      </c>
      <c r="DH83">
        <f>Regression!$O$29+(Regression!$O$28*Table83[[#This Row],[Gym]])</f>
        <v>44.550847457627107</v>
      </c>
      <c r="DI83" s="2">
        <f>Table83[[#This Row],[Waist]]-Table7[[#This Row],[Waist v  Gym]]</f>
        <v>-1.550847457627107</v>
      </c>
      <c r="DJ83" s="2">
        <f>Table7[[#This Row],[WaistGYM Res]]^2</f>
        <v>2.4051278368284614</v>
      </c>
      <c r="DK83">
        <f>Regression!$P$29+(Regression!$P$28*Table83[[#This Row],[Cardio]])</f>
        <v>44.291666666666664</v>
      </c>
      <c r="DL83" s="2">
        <f>Table83[[#This Row],[Waist]]-Table7[[#This Row],[Waist v Cardio]]</f>
        <v>-1.2916666666666643</v>
      </c>
      <c r="DM83" s="2">
        <f>Table7[[#This Row],[WaistC Res]]^2</f>
        <v>1.6684027777777717</v>
      </c>
      <c r="DN83">
        <f>Regression!$Q$29+(Regression!$Q$28*Table83[[#This Row],[Calories]])</f>
        <v>44.481107757582379</v>
      </c>
      <c r="DO83" s="2">
        <f>Table83[[#This Row],[Waist]]-Table7[[#This Row],[Waist v Calories]]</f>
        <v>-1.4811077575823788</v>
      </c>
      <c r="DP83" s="2">
        <f>Table7[[#This Row],[WaistCal Res]]^2</f>
        <v>2.1936801895707023</v>
      </c>
      <c r="DQ83">
        <f>Regression!$R$29+(Regression!$R$28*Table83[[#This Row],[Carbs]])</f>
        <v>44.444132092335273</v>
      </c>
      <c r="DR83" s="2">
        <f>Table83[[#This Row],[Waist]]-Table7[[#This Row],[Waist v Carbs]]</f>
        <v>-1.4441320923352734</v>
      </c>
      <c r="DS83" s="2">
        <f>Table7[[#This Row],[WaistCarb Res]]^2</f>
        <v>2.0855175001126547</v>
      </c>
      <c r="DT83">
        <f>Regression!$S$29+(Regression!$S$28*Table83[[#This Row],[Fat ]])</f>
        <v>44.511968048279101</v>
      </c>
      <c r="DU83" s="2">
        <f>Table83[[#This Row],[Waist]]-Table7[[#This Row],[Waist v Fat]]</f>
        <v>-1.5119680482791011</v>
      </c>
      <c r="DV83" s="2">
        <f>Table7[[#This Row],[WaistF Res]]^2</f>
        <v>2.2860473790169142</v>
      </c>
      <c r="DW83">
        <f>Regression!$T$29+(Regression!$T$28*Table83[[#This Row],[Protein]])</f>
        <v>44.450790935649763</v>
      </c>
      <c r="DX83" s="2">
        <f>Table83[[#This Row],[Waist]]-Table7[[#This Row],[Waist v Protein]]</f>
        <v>-1.4507909356497635</v>
      </c>
      <c r="DY83" s="2">
        <f>Table7[[#This Row],[WaistP Res]]^2</f>
        <v>2.104794338963516</v>
      </c>
      <c r="DZ83">
        <f>Regression!$U$29+(Regression!$U$28*Table83[[#This Row],[Fiber]])</f>
        <v>44.366695293466606</v>
      </c>
      <c r="EA83" s="2">
        <f>Table83[[#This Row],[Waist]]-Table7[[#This Row],[Waist v Fiber]]</f>
        <v>-1.3666952934666057</v>
      </c>
      <c r="EB83" s="2">
        <f>Table7[[#This Row],[WaistFib Res]]^2</f>
        <v>1.8678560251837715</v>
      </c>
      <c r="EC83">
        <f>Regression!$V$29+(Regression!$V$28*Table83[[#This Row],[Sugar]])</f>
        <v>44.263443984020881</v>
      </c>
      <c r="ED83" s="2">
        <f>Table83[[#This Row],[Waist]]-Table7[[#This Row],[Waist v Sugar]]</f>
        <v>-1.2634439840208813</v>
      </c>
      <c r="EE83" s="2">
        <f>Table7[[#This Row],[WaistSugar Res]]^2</f>
        <v>1.5962907007585569</v>
      </c>
      <c r="EF83">
        <f>Regression!$W$29+(Regression!$W$28*Table83[[#This Row],[Servings]])</f>
        <v>44.430121037555651</v>
      </c>
      <c r="EG83" s="2">
        <f>Table83[[#This Row],[Waist]]-Table7[[#This Row],[Waist v Servings]]</f>
        <v>-1.4301210375556508</v>
      </c>
      <c r="EH83" s="2">
        <f>Table7[[#This Row],[WaistServ Res]]^2</f>
        <v>2.0452461820592513</v>
      </c>
      <c r="EI83">
        <f>Regression!$X$29+(Regression!$X$28*Table83[[#This Row],[Water]])</f>
        <v>44.386198474840633</v>
      </c>
      <c r="EJ83" s="2">
        <f>Table83[[#This Row],[Waist]]-Table7[[#This Row],[Waist v Water]]</f>
        <v>-1.3861984748406329</v>
      </c>
      <c r="EK83" s="2">
        <f>Table7[[#This Row],[WaistWat Res]]^2</f>
        <v>1.9215462116504967</v>
      </c>
      <c r="EL83">
        <f>Regression!$Y$29+(Regression!$Y$28*Table83[[#This Row],[Fat Calories]])</f>
        <v>44.513928278558041</v>
      </c>
      <c r="EM83" s="2">
        <f>Table83[[#This Row],[Waist]]-Table7[[#This Row],[Waist v Fat Calories]]</f>
        <v>-1.5139282785580406</v>
      </c>
      <c r="EN83" s="2">
        <f>Table7[[#This Row],[WaistFatCal Res]]^2</f>
        <v>2.291978832617712</v>
      </c>
    </row>
    <row r="84" spans="1:144" x14ac:dyDescent="0.25">
      <c r="A84">
        <f>Regression!$B$10+(Regression!$B$9*Table83[[#This Row],[Waist]])</f>
        <v>249.67228149328892</v>
      </c>
      <c r="B84" s="2">
        <f>Table83[[#This Row],[Weight]]-Table7[[#This Row],[Weight v Waist]]</f>
        <v>-0.4722814932889321</v>
      </c>
      <c r="C84" s="2">
        <f>Table7[[#This Row],[Weight v Waist Res]]^2</f>
        <v>0.22304980890322362</v>
      </c>
      <c r="D84">
        <f>Regression!$C$10+(Regression!$C$9*Table83[[#This Row],[Neck]])</f>
        <v>253.29286486487842</v>
      </c>
      <c r="E84" s="2">
        <f>Table83[[#This Row],[Weight]]-Table7[[#This Row],[Weight v Neck]]</f>
        <v>-4.092864864878436</v>
      </c>
      <c r="F84" s="2">
        <f>Table7[[#This Row],[WN Res]]^2</f>
        <v>16.751542802156379</v>
      </c>
      <c r="G84">
        <f>Regression!$D$10+(Regression!$D$9*Table83[[#This Row],[Morning Body Temp]])</f>
        <v>254.91876934063959</v>
      </c>
      <c r="H84" s="2">
        <f>Table83[[#This Row],[Weight]]-Table7[[#This Row],[Weight v Morning Temp]]</f>
        <v>-5.7187693406395965</v>
      </c>
      <c r="I84" s="2">
        <f>Table7[[#This Row],[WMT Res]]^2</f>
        <v>32.704322771439443</v>
      </c>
      <c r="J84">
        <f>Regression!$E$10+(Regression!$E$9*Table83[[#This Row],[Morning Systolic Pressure]])</f>
        <v>255.46010425966242</v>
      </c>
      <c r="K84" s="2">
        <f>Table83[[#This Row],[Weight]]-Table7[[#This Row],[Weight v Morning Sys]]</f>
        <v>-6.2601042596624268</v>
      </c>
      <c r="L84" s="2">
        <f>Table7[[#This Row],[WMS Res]]^2</f>
        <v>39.188905341843657</v>
      </c>
      <c r="M84">
        <f>Regression!$F$10+(Regression!$F$9*Table83[[#This Row],[Morning Diastolic Pressure]])</f>
        <v>254.08859740679787</v>
      </c>
      <c r="N84" s="2">
        <f>Table83[[#This Row],[Weight]]-Table7[[#This Row],[Weight v Morning Dia]]</f>
        <v>-4.888597406797885</v>
      </c>
      <c r="O84" s="2">
        <f>Table7[[#This Row],[WMD Res]]^2</f>
        <v>23.898384605751005</v>
      </c>
      <c r="P84">
        <f>Regression!$G$10+(Regression!$G$9*Table83[[#This Row],[Morning Pulse]])</f>
        <v>255.12643966469878</v>
      </c>
      <c r="Q84" s="2">
        <f>Table83[[#This Row],[Weight]]-Table7[[#This Row],[Weight v Morning Pulse]]</f>
        <v>-5.9264396646987905</v>
      </c>
      <c r="R84" s="2">
        <f>Table7[[#This Row],[WMP Res]]^2</f>
        <v>35.122687099315115</v>
      </c>
      <c r="S84">
        <f>Regression!$H$10+(Regression!$H$9*Table83[[#This Row],[Night Body Temp]])</f>
        <v>254.95418324800676</v>
      </c>
      <c r="T84" s="2">
        <f>Table83[[#This Row],[Weight]]-Table7[[#This Row],[Weight v Night Temp]]</f>
        <v>-5.7541832480067683</v>
      </c>
      <c r="U84" s="2">
        <f>Table7[[#This Row],[WNT Res]]^2</f>
        <v>33.110624851641724</v>
      </c>
      <c r="V84">
        <f>Regression!$I$10+(Regression!$I$9*Table83[[#This Row],[Night Systolic Pressure]])</f>
        <v>255.34122622719568</v>
      </c>
      <c r="W84" s="2">
        <f>Table83[[#This Row],[Weight]]-Table7[[#This Row],[Weight v Night Sys]]</f>
        <v>-6.1412262271956877</v>
      </c>
      <c r="X84" s="2">
        <f>Table7[[#This Row],[WNS Res]]^2</f>
        <v>37.71465957359618</v>
      </c>
      <c r="Y84">
        <f>Regression!$J$10+(Regression!$J$9*Table83[[#This Row],[Night Diastolic Pressure]])</f>
        <v>254.88848703216559</v>
      </c>
      <c r="Z84" s="2">
        <f>Table83[[#This Row],[Weight]]-Table7[[#This Row],[Weight v Night Dia]]</f>
        <v>-5.6884870321655967</v>
      </c>
      <c r="AA84" s="2">
        <f>Table7[[#This Row],[WND Res]]^2</f>
        <v>32.358884715116162</v>
      </c>
      <c r="AB84">
        <f>Regression!$K$10+(Regression!$K$9*Table83[[#This Row],[Night Pulse]])</f>
        <v>254.98729853379433</v>
      </c>
      <c r="AC84" s="2">
        <f>Table83[[#This Row],[Weight]]-Table7[[#This Row],[Weight v Night Pulse]]</f>
        <v>-5.7872985337943419</v>
      </c>
      <c r="AD84" s="2">
        <f>Table7[[#This Row],[WNP Res ]]^2</f>
        <v>33.492824319258141</v>
      </c>
      <c r="AE84">
        <f>Regression!$L$10+(Regression!$L$9*Table83[[#This Row],[Sleep]])</f>
        <v>255.13702972738133</v>
      </c>
      <c r="AF84" s="2">
        <f>Table83[[#This Row],[Weight]]-Table7[[#This Row],[Weight v Sleep]]</f>
        <v>-5.9370297273813435</v>
      </c>
      <c r="AG84" s="2">
        <f>Table7[[#This Row],[WS Res]]^2</f>
        <v>35.248321983809788</v>
      </c>
      <c r="AH84">
        <f>Regression!$M$10+(Regression!$M$9*Table83[[#This Row],[BMI]])</f>
        <v>249.20000000001323</v>
      </c>
      <c r="AI84" s="2">
        <f>Table83[[#This Row],[Weight]]-Table7[[#This Row],[Weight v BMI]]</f>
        <v>-1.3244516594568267E-11</v>
      </c>
      <c r="AJ84" s="2">
        <f>Table7[[#This Row],[WBMI Res]]^2</f>
        <v>1.7541721982379422E-22</v>
      </c>
      <c r="AK84">
        <f>Regression!$N$10+(Regression!$N$9*Table83[[#This Row],[CBF]])</f>
        <v>250.04675133427031</v>
      </c>
      <c r="AL84" s="2">
        <f>Table83[[#This Row],[Weight]]-Table7[[#This Row],[Weight v CBF]]</f>
        <v>-0.84675133427032279</v>
      </c>
      <c r="AM84" s="2">
        <f>Table7[[#This Row],[WCBF Res]]^2</f>
        <v>0.71698782208857192</v>
      </c>
      <c r="AN84">
        <f>Regression!$O$10+(Regression!$O$9*Table83[[#This Row],[Gym]])</f>
        <v>255.46779661016953</v>
      </c>
      <c r="AO84" s="2">
        <f>Table83[[#This Row],[Weight]]-Table7[[#This Row],[Weight v Gym]]</f>
        <v>-6.2677966101695404</v>
      </c>
      <c r="AP84" s="2">
        <f>Table7[[#This Row],[WG Res]]^2</f>
        <v>39.28527434645278</v>
      </c>
      <c r="AQ84">
        <f>Regression!$P$10+(Regression!$P$9*Table83[[#This Row],[Cardio]])</f>
        <v>254.19242424242461</v>
      </c>
      <c r="AR84" s="2">
        <f>Table83[[#This Row],[Weight]]-Table7[[#This Row],[Weight v Cardio]]</f>
        <v>-4.9924242424246188</v>
      </c>
      <c r="AS84" s="2">
        <f>Table7[[#This Row],[WC Res]]^2</f>
        <v>24.924299816349031</v>
      </c>
      <c r="AT84">
        <f>Regression!$Q$10+(Regression!$Q$9*Table83[[#This Row],[Calories]])</f>
        <v>255.3314277571094</v>
      </c>
      <c r="AU84" s="2">
        <f>Table83[[#This Row],[Weight]]-Table7[[#This Row],[Weight v Calories]]</f>
        <v>-6.1314277571094067</v>
      </c>
      <c r="AV84" s="2">
        <f>Table7[[#This Row],[WCAL Res]]^2</f>
        <v>37.594406340651688</v>
      </c>
      <c r="AW84">
        <f>Regression!$R$10+(Regression!$R$9*Table83[[#This Row],[Carbs]])</f>
        <v>255.13763586253938</v>
      </c>
      <c r="AX84" s="2">
        <f>Table83[[#This Row],[Weight]]-Table7[[#This Row],[Weight v Carbs]]</f>
        <v>-5.9376358625393948</v>
      </c>
      <c r="AY84" s="2">
        <f>Table7[[#This Row],[Wcarb Res]]^2</f>
        <v>35.255519636113945</v>
      </c>
      <c r="AZ84">
        <f>Regression!$S$10+(Regression!$S$9*Table83[[#This Row],[Fat ]])</f>
        <v>255.36934914461332</v>
      </c>
      <c r="BA84" s="2">
        <f>Table83[[#This Row],[Weight]]-Table7[[#This Row],[Weight v Fat]]</f>
        <v>-6.1693491446133351</v>
      </c>
      <c r="BB84" s="2">
        <f>Table7[[#This Row],[WF Res]]^2</f>
        <v>38.060868868141291</v>
      </c>
      <c r="BC84">
        <f>Regression!$T$10+(Regression!$T$9*Table83[[#This Row],[Protein]])</f>
        <v>255.59801047536448</v>
      </c>
      <c r="BD84" s="2">
        <f>Table83[[#This Row],[Weight]]-Table7[[#This Row],[Weight v Protein]]</f>
        <v>-6.3980104753644866</v>
      </c>
      <c r="BE84" s="2">
        <f>Table7[[#This Row],[WP Res]]^2</f>
        <v>40.934538042873704</v>
      </c>
      <c r="BF84">
        <f>Regression!$U$10+(Regression!$U$9*Table83[[#This Row],[Fiber]])</f>
        <v>255.2622650230328</v>
      </c>
      <c r="BG84" s="2">
        <f>Table83[[#This Row],[Weight]]-Table7[[#This Row],[Weight v Fiber]]</f>
        <v>-6.0622650230328077</v>
      </c>
      <c r="BH84" s="2">
        <f>Table7[[#This Row],[Wfib Res]]^2</f>
        <v>36.751057209486966</v>
      </c>
      <c r="BI84">
        <f>Regression!$V$10+(Regression!$V$9*Table83[[#This Row],[Sugar]])</f>
        <v>254.92561932219789</v>
      </c>
      <c r="BJ84" s="2">
        <f>Table83[[#This Row],[Weight]]-Table7[[#This Row],[Weight v Sugar]]</f>
        <v>-5.7256193221979004</v>
      </c>
      <c r="BK84" s="2">
        <f>Table7[[#This Row],[Wsugar Res]]^2</f>
        <v>32.782716622725943</v>
      </c>
      <c r="BL84">
        <f>Regression!$W$10+(Regression!$W$9*Table83[[#This Row],[Servings]])</f>
        <v>254.76661540680908</v>
      </c>
      <c r="BM84" s="2">
        <f>Table83[[#This Row],[Weight]]-Table7[[#This Row],[Weight v Servings]]</f>
        <v>-5.5666154068090918</v>
      </c>
      <c r="BN84" s="2">
        <f>Table7[[#This Row],[Wserv Res]]^2</f>
        <v>30.98720708732435</v>
      </c>
      <c r="BO84">
        <f>Regression!$X$10+(Regression!$X$9*Table83[[#This Row],[Water]])</f>
        <v>255.06345001025522</v>
      </c>
      <c r="BP84" s="2">
        <f>Table83[[#This Row],[Weight]]-Table7[[#This Row],[Weight v Water]]</f>
        <v>-5.8634500102552352</v>
      </c>
      <c r="BQ84" s="2">
        <f>Table7[[#This Row],[Wwater Res]]^2</f>
        <v>34.380046022762116</v>
      </c>
      <c r="BR84">
        <f>Regression!$Y$10+(Regression!$Y$9*Table83[[#This Row],[Fat Calories]])</f>
        <v>255.38082702829246</v>
      </c>
      <c r="BS84" s="2">
        <f>Table83[[#This Row],[Weight]]-Table7[[#This Row],[Weight v Fat Calories]]</f>
        <v>-6.1808270282924695</v>
      </c>
      <c r="BT84" s="2">
        <f>Table7[[#This Row],[WFC Res]]^2</f>
        <v>38.202622753670717</v>
      </c>
      <c r="BU84">
        <f>Regression!$B$29+(Regression!$B$28*Table83[[#This Row],[Weight]])</f>
        <v>43.647541043672753</v>
      </c>
      <c r="BV84" s="2">
        <f>Table83[[#This Row],[Waist]]-Table7[[#This Row],[Waist v Weight]]</f>
        <v>-0.14754104367275289</v>
      </c>
      <c r="BW84" s="2">
        <f>Table7[[#This Row],[WaistW Res]]^2</f>
        <v>2.1768359568045174E-2</v>
      </c>
      <c r="BX84">
        <f>Regression!$C$29+(Regression!$C$28*Table83[[#This Row],[Neck]])</f>
        <v>44.175585585585594</v>
      </c>
      <c r="BY84" s="2">
        <f>Table83[[#This Row],[Waist]]-Table7[[#This Row],[Waist v Neck]]</f>
        <v>-0.67558558558559412</v>
      </c>
      <c r="BZ84" s="2">
        <f>Table7[[#This Row],[WaistN Res]]^2</f>
        <v>0.45641588345103012</v>
      </c>
      <c r="CA84">
        <f>Regression!$D$29+(Regression!$D$28*Table83[[#This Row],[Morning Body Temp]])</f>
        <v>44.400157491229571</v>
      </c>
      <c r="CB84" s="2">
        <f>Table83[[#This Row],[Waist]]-Table7[[#This Row],[Waist v Morning Temp]]</f>
        <v>-0.90015749122957089</v>
      </c>
      <c r="CC84" s="2">
        <f>Table7[[#This Row],[WaistMT Res]]^2</f>
        <v>0.81028350901671498</v>
      </c>
      <c r="CD84">
        <f>Regression!$E$29+(Regression!$E$28*Table83[[#This Row],[Morning Systolic Pressure]])</f>
        <v>44.534607969333621</v>
      </c>
      <c r="CE84" s="2">
        <f>Table83[[#This Row],[Waist]]-Table7[[#This Row],[Waist v Morning Sys]]</f>
        <v>-1.0346079693336208</v>
      </c>
      <c r="CF84" s="2">
        <f>Table7[[#This Row],[WaistMS Res]]^2</f>
        <v>1.0704136502086383</v>
      </c>
      <c r="CG84">
        <f>Regression!$F$29+(Regression!$F$28*Table83[[#This Row],[Morning Diastolic Pressure]])</f>
        <v>44.396460461455717</v>
      </c>
      <c r="CH84" s="2">
        <f>Table83[[#This Row],[Waist]]-Table7[[#This Row],[Waist v Morning Dia]]</f>
        <v>-0.89646046145571745</v>
      </c>
      <c r="CI84" s="2">
        <f>Table7[[#This Row],[WaistMD Res]]^2</f>
        <v>0.80364135895339783</v>
      </c>
      <c r="CJ84">
        <f>Regression!$G$29+(Regression!$G$28*Table83[[#This Row],[Morning Pulse]])</f>
        <v>44.458773712947881</v>
      </c>
      <c r="CK84" s="2">
        <f>Table83[[#This Row],[Waist]]-Table7[[#This Row],[Waist v Morning Pulse]]</f>
        <v>-0.95877371294788105</v>
      </c>
      <c r="CL84" s="2">
        <f>Table7[[#This Row],[WaistMP Res]]^2</f>
        <v>0.91924703263986585</v>
      </c>
      <c r="CM84">
        <f>Regression!$H$29+(Regression!$H$28*Table83[[#This Row],[Night Body Temp]])</f>
        <v>44.440857030854289</v>
      </c>
      <c r="CN84" s="2">
        <f>Table83[[#This Row],[Waist]]-Table7[[#This Row],[Waist v Night Temp]]</f>
        <v>-0.94085703085428918</v>
      </c>
      <c r="CO84" s="2">
        <f>Table7[[#This Row],[WaistNT Res]]^2</f>
        <v>0.88521195250794882</v>
      </c>
      <c r="CP84">
        <f>Regression!$I$29+(Regression!$I$28*Table83[[#This Row],[Night Systolic Pressure]])</f>
        <v>44.48557954395644</v>
      </c>
      <c r="CQ84" s="2">
        <f>Table83[[#This Row],[Waist]]-Table7[[#This Row],[Waist v  Night Sys]]</f>
        <v>-0.98557954395644032</v>
      </c>
      <c r="CR84" s="2">
        <f>Table7[[#This Row],[WaistNS Res]]^2</f>
        <v>0.97136703746538489</v>
      </c>
      <c r="CS84">
        <f>Regression!$J$29+(Regression!$J$28*Table83[[#This Row],[Night Diastolic Pressure]])</f>
        <v>44.358684339909082</v>
      </c>
      <c r="CT84" s="2">
        <f>Table83[[#This Row],[Waist]]-Table7[[#This Row],[Waist v Night Dia]]</f>
        <v>-0.85868433990908244</v>
      </c>
      <c r="CU84" s="2">
        <f>Table7[[#This Row],[WaistND Res]]^2</f>
        <v>0.73733879560509663</v>
      </c>
      <c r="CV84">
        <f>Regression!$K$29+(Regression!$K$28*Table83[[#This Row],[Night Pulse]])</f>
        <v>44.465421865187196</v>
      </c>
      <c r="CW84" s="2">
        <f>Table83[[#This Row],[Waist]]-Table7[[#This Row],[Waist v Night Pulse]]</f>
        <v>-0.96542186518719575</v>
      </c>
      <c r="CX84" s="2">
        <f>Table7[[#This Row],[WaistNP Res]]^2</f>
        <v>0.93203937778152401</v>
      </c>
      <c r="CY84">
        <f>Regression!$L$29+(Regression!$L$28*Table83[[#This Row],[Sleep]])</f>
        <v>44.456891852858099</v>
      </c>
      <c r="CZ84" s="2">
        <f>Table83[[#This Row],[Waist]]-Table7[[#This Row],[Waist v  Sleep]]</f>
        <v>-0.95689185285809941</v>
      </c>
      <c r="DA84" s="2">
        <f>Table7[[#This Row],[WaistS Res]]^2</f>
        <v>0.9156420180662066</v>
      </c>
      <c r="DB84">
        <f>Regression!$M$29+(Regression!$M$28*Table83[[#This Row],[BMI]])</f>
        <v>43.647541043675311</v>
      </c>
      <c r="DC84" s="2">
        <f>Table83[[#This Row],[Waist]]-Table7[[#This Row],[Waist v BMI]]</f>
        <v>-0.14754104367531085</v>
      </c>
      <c r="DD84" s="2">
        <f>Table7[[#This Row],[WaistBMI Res]]^2</f>
        <v>2.1768359568799984E-2</v>
      </c>
      <c r="DE84">
        <f>Regression!$N$29+(Regression!$N$28*Table83[[#This Row],[CBF]])</f>
        <v>43.540887941991329</v>
      </c>
      <c r="DF84" s="2">
        <f>Table83[[#This Row],[Waist]]-Table7[[#This Row],[Waist v  CBF]]</f>
        <v>-4.0887941991329058E-2</v>
      </c>
      <c r="DG84" s="2">
        <f>Table7[[#This Row],[WaistCBF Res]]^2</f>
        <v>1.6718238002862899E-3</v>
      </c>
      <c r="DH84">
        <f>Regression!$O$29+(Regression!$O$28*Table83[[#This Row],[Gym]])</f>
        <v>44.550847457627107</v>
      </c>
      <c r="DI84" s="2">
        <f>Table83[[#This Row],[Waist]]-Table7[[#This Row],[Waist v  Gym]]</f>
        <v>-1.050847457627107</v>
      </c>
      <c r="DJ84" s="2">
        <f>Table7[[#This Row],[WaistGYM Res]]^2</f>
        <v>1.1042803792013545</v>
      </c>
      <c r="DK84">
        <f>Regression!$P$29+(Regression!$P$28*Table83[[#This Row],[Cardio]])</f>
        <v>44.291666666666664</v>
      </c>
      <c r="DL84" s="2">
        <f>Table83[[#This Row],[Waist]]-Table7[[#This Row],[Waist v Cardio]]</f>
        <v>-0.7916666666666643</v>
      </c>
      <c r="DM84" s="2">
        <f>Table7[[#This Row],[WaistC Res]]^2</f>
        <v>0.62673611111110739</v>
      </c>
      <c r="DN84">
        <f>Regression!$Q$29+(Regression!$Q$28*Table83[[#This Row],[Calories]])</f>
        <v>44.502156398240125</v>
      </c>
      <c r="DO84" s="2">
        <f>Table83[[#This Row],[Waist]]-Table7[[#This Row],[Waist v Calories]]</f>
        <v>-1.0021563982401247</v>
      </c>
      <c r="DP84" s="2">
        <f>Table7[[#This Row],[WaistCal Res]]^2</f>
        <v>1.0043174465336193</v>
      </c>
      <c r="DQ84">
        <f>Regression!$R$29+(Regression!$R$28*Table83[[#This Row],[Carbs]])</f>
        <v>44.458243258854509</v>
      </c>
      <c r="DR84" s="2">
        <f>Table83[[#This Row],[Waist]]-Table7[[#This Row],[Waist v Carbs]]</f>
        <v>-0.95824325885450889</v>
      </c>
      <c r="DS84" s="2">
        <f>Table7[[#This Row],[WaistCarb Res]]^2</f>
        <v>0.91823014314010931</v>
      </c>
      <c r="DT84">
        <f>Regression!$S$29+(Regression!$S$28*Table83[[#This Row],[Fat ]])</f>
        <v>44.531275448187564</v>
      </c>
      <c r="DU84" s="2">
        <f>Table83[[#This Row],[Waist]]-Table7[[#This Row],[Waist v Fat]]</f>
        <v>-1.0312754481875643</v>
      </c>
      <c r="DV84" s="2">
        <f>Table7[[#This Row],[WaistF Res]]^2</f>
        <v>1.0635290500344616</v>
      </c>
      <c r="DW84">
        <f>Regression!$T$29+(Regression!$T$28*Table83[[#This Row],[Protein]])</f>
        <v>44.54194058313702</v>
      </c>
      <c r="DX84" s="2">
        <f>Table83[[#This Row],[Waist]]-Table7[[#This Row],[Waist v Protein]]</f>
        <v>-1.0419405831370199</v>
      </c>
      <c r="DY84" s="2">
        <f>Table7[[#This Row],[WaistP Res]]^2</f>
        <v>1.0856401787879131</v>
      </c>
      <c r="DZ84">
        <f>Regression!$U$29+(Regression!$U$28*Table83[[#This Row],[Fiber]])</f>
        <v>44.510346424336973</v>
      </c>
      <c r="EA84" s="2">
        <f>Table83[[#This Row],[Waist]]-Table7[[#This Row],[Waist v Fiber]]</f>
        <v>-1.0103464243369729</v>
      </c>
      <c r="EB84" s="2">
        <f>Table7[[#This Row],[WaistFib Res]]^2</f>
        <v>1.0207998971705063</v>
      </c>
      <c r="EC84">
        <f>Regression!$V$29+(Regression!$V$28*Table83[[#This Row],[Sugar]])</f>
        <v>44.419511747787915</v>
      </c>
      <c r="ED84" s="2">
        <f>Table83[[#This Row],[Waist]]-Table7[[#This Row],[Waist v Sugar]]</f>
        <v>-0.91951174778791511</v>
      </c>
      <c r="EE84" s="2">
        <f>Table7[[#This Row],[WaistSugar Res]]^2</f>
        <v>0.84550185431998637</v>
      </c>
      <c r="EF84">
        <f>Regression!$W$29+(Regression!$W$28*Table83[[#This Row],[Servings]])</f>
        <v>44.400375386698364</v>
      </c>
      <c r="EG84" s="2">
        <f>Table83[[#This Row],[Waist]]-Table7[[#This Row],[Waist v Servings]]</f>
        <v>-0.90037538669836437</v>
      </c>
      <c r="EH84" s="2">
        <f>Table7[[#This Row],[WaistServ Res]]^2</f>
        <v>0.81067583697222911</v>
      </c>
      <c r="EI84">
        <f>Regression!$X$29+(Regression!$X$28*Table83[[#This Row],[Water]])</f>
        <v>44.386198474840633</v>
      </c>
      <c r="EJ84" s="2">
        <f>Table83[[#This Row],[Waist]]-Table7[[#This Row],[Waist v Water]]</f>
        <v>-0.88619847484063285</v>
      </c>
      <c r="EK84" s="2">
        <f>Table7[[#This Row],[WaistWat Res]]^2</f>
        <v>0.78534773680986381</v>
      </c>
      <c r="EL84">
        <f>Regression!$Y$29+(Regression!$Y$28*Table83[[#This Row],[Fat Calories]])</f>
        <v>44.534372012506047</v>
      </c>
      <c r="EM84" s="2">
        <f>Table83[[#This Row],[Waist]]-Table7[[#This Row],[Waist v Fat Calories]]</f>
        <v>-1.0343720125060472</v>
      </c>
      <c r="EN84" s="2">
        <f>Table7[[#This Row],[WaistFatCal Res]]^2</f>
        <v>1.0699254602558101</v>
      </c>
    </row>
    <row r="85" spans="1:144" x14ac:dyDescent="0.25">
      <c r="A85">
        <f>Regression!$B$10+(Regression!$B$9*Table83[[#This Row],[Waist]])</f>
        <v>249.67228149328892</v>
      </c>
      <c r="B85" s="2">
        <f>Table83[[#This Row],[Weight]]-Table7[[#This Row],[Weight v Waist]]</f>
        <v>-1.0722814932889264</v>
      </c>
      <c r="C85" s="2">
        <f>Table7[[#This Row],[Weight v Waist Res]]^2</f>
        <v>1.1497876008499299</v>
      </c>
      <c r="D85">
        <f>Regression!$C$10+(Regression!$C$9*Table83[[#This Row],[Neck]])</f>
        <v>253.29286486487842</v>
      </c>
      <c r="E85" s="2">
        <f>Table83[[#This Row],[Weight]]-Table7[[#This Row],[Weight v Neck]]</f>
        <v>-4.6928648648784304</v>
      </c>
      <c r="F85" s="2">
        <f>Table7[[#This Row],[WN Res]]^2</f>
        <v>22.022980640010449</v>
      </c>
      <c r="G85">
        <f>Regression!$D$10+(Regression!$D$9*Table83[[#This Row],[Morning Body Temp]])</f>
        <v>255.27076211175142</v>
      </c>
      <c r="H85" s="2">
        <f>Table83[[#This Row],[Weight]]-Table7[[#This Row],[Weight v Morning Temp]]</f>
        <v>-6.6707621117514293</v>
      </c>
      <c r="I85" s="2">
        <f>Table7[[#This Row],[WMT Res]]^2</f>
        <v>44.499067151578387</v>
      </c>
      <c r="J85">
        <f>Regression!$E$10+(Regression!$E$9*Table83[[#This Row],[Morning Systolic Pressure]])</f>
        <v>254.91917781330181</v>
      </c>
      <c r="K85" s="2">
        <f>Table83[[#This Row],[Weight]]-Table7[[#This Row],[Weight v Morning Sys]]</f>
        <v>-6.3191778133018204</v>
      </c>
      <c r="L85" s="2">
        <f>Table7[[#This Row],[WMS Res]]^2</f>
        <v>39.932008236125974</v>
      </c>
      <c r="M85">
        <f>Regression!$F$10+(Regression!$F$9*Table83[[#This Row],[Morning Diastolic Pressure]])</f>
        <v>255.00069564820177</v>
      </c>
      <c r="N85" s="2">
        <f>Table83[[#This Row],[Weight]]-Table7[[#This Row],[Weight v Morning Dia]]</f>
        <v>-6.4006956482017756</v>
      </c>
      <c r="O85" s="2">
        <f>Table7[[#This Row],[WMD Res]]^2</f>
        <v>40.968904780909149</v>
      </c>
      <c r="P85">
        <f>Regression!$G$10+(Regression!$G$9*Table83[[#This Row],[Morning Pulse]])</f>
        <v>255.1081617071269</v>
      </c>
      <c r="Q85" s="2">
        <f>Table83[[#This Row],[Weight]]-Table7[[#This Row],[Weight v Morning Pulse]]</f>
        <v>-6.5081617071269022</v>
      </c>
      <c r="R85" s="2">
        <f>Table7[[#This Row],[WMP Res]]^2</f>
        <v>42.356168806112954</v>
      </c>
      <c r="S85">
        <f>Regression!$H$10+(Regression!$H$9*Table83[[#This Row],[Night Body Temp]])</f>
        <v>255.05687981848845</v>
      </c>
      <c r="T85" s="2">
        <f>Table83[[#This Row],[Weight]]-Table7[[#This Row],[Weight v Night Temp]]</f>
        <v>-6.4568798184884599</v>
      </c>
      <c r="U85" s="2">
        <f>Table7[[#This Row],[WNT Res]]^2</f>
        <v>41.691296990403565</v>
      </c>
      <c r="V85">
        <f>Regression!$I$10+(Regression!$I$9*Table83[[#This Row],[Night Systolic Pressure]])</f>
        <v>255.03329172511027</v>
      </c>
      <c r="W85" s="2">
        <f>Table83[[#This Row],[Weight]]-Table7[[#This Row],[Weight v Night Sys]]</f>
        <v>-6.4332917251102799</v>
      </c>
      <c r="X85" s="2">
        <f>Table7[[#This Row],[WNS Res]]^2</f>
        <v>41.387242420372402</v>
      </c>
      <c r="Y85">
        <f>Regression!$J$10+(Regression!$J$9*Table83[[#This Row],[Night Diastolic Pressure]])</f>
        <v>255.1330822426622</v>
      </c>
      <c r="Z85" s="2">
        <f>Table83[[#This Row],[Weight]]-Table7[[#This Row],[Weight v Night Dia]]</f>
        <v>-6.5330822426622035</v>
      </c>
      <c r="AA85" s="2">
        <f>Table7[[#This Row],[WND Res]]^2</f>
        <v>42.681163589388206</v>
      </c>
      <c r="AB85">
        <f>Regression!$K$10+(Regression!$K$9*Table83[[#This Row],[Night Pulse]])</f>
        <v>255.07943852750452</v>
      </c>
      <c r="AC85" s="2">
        <f>Table83[[#This Row],[Weight]]-Table7[[#This Row],[Weight v Night Pulse]]</f>
        <v>-6.4794385275045272</v>
      </c>
      <c r="AD85" s="2">
        <f>Table7[[#This Row],[WNP Res ]]^2</f>
        <v>41.983123631710036</v>
      </c>
      <c r="AE85">
        <f>Regression!$L$10+(Regression!$L$9*Table83[[#This Row],[Sleep]])</f>
        <v>254.19060717725986</v>
      </c>
      <c r="AF85" s="2">
        <f>Table83[[#This Row],[Weight]]-Table7[[#This Row],[Weight v Sleep]]</f>
        <v>-5.5906071772598693</v>
      </c>
      <c r="AG85" s="2">
        <f>Table7[[#This Row],[WS Res]]^2</f>
        <v>31.254888610429564</v>
      </c>
      <c r="AH85">
        <f>Regression!$M$10+(Regression!$M$9*Table83[[#This Row],[BMI]])</f>
        <v>248.60000000001457</v>
      </c>
      <c r="AI85" s="2">
        <f>Table83[[#This Row],[Weight]]-Table7[[#This Row],[Weight v BMI]]</f>
        <v>-1.4580336937797256E-11</v>
      </c>
      <c r="AJ85" s="2">
        <f>Table7[[#This Row],[WBMI Res]]^2</f>
        <v>2.1258622521969506E-22</v>
      </c>
      <c r="AK85">
        <f>Regression!$N$10+(Regression!$N$9*Table83[[#This Row],[CBF]])</f>
        <v>250.04675133427031</v>
      </c>
      <c r="AL85" s="2">
        <f>Table83[[#This Row],[Weight]]-Table7[[#This Row],[Weight v CBF]]</f>
        <v>-1.4467513342703171</v>
      </c>
      <c r="AM85" s="2">
        <f>Table7[[#This Row],[WCBF Res]]^2</f>
        <v>2.0930894232129429</v>
      </c>
      <c r="AN85">
        <f>Regression!$O$10+(Regression!$O$9*Table83[[#This Row],[Gym]])</f>
        <v>254.72962962962998</v>
      </c>
      <c r="AO85" s="2">
        <f>Table83[[#This Row],[Weight]]-Table7[[#This Row],[Weight v Gym]]</f>
        <v>-6.1296296296299886</v>
      </c>
      <c r="AP85" s="2">
        <f>Table7[[#This Row],[WG Res]]^2</f>
        <v>37.572359396437868</v>
      </c>
      <c r="AQ85">
        <f>Regression!$P$10+(Regression!$P$9*Table83[[#This Row],[Cardio]])</f>
        <v>254.19242424242461</v>
      </c>
      <c r="AR85" s="2">
        <f>Table83[[#This Row],[Weight]]-Table7[[#This Row],[Weight v Cardio]]</f>
        <v>-5.5924242424246131</v>
      </c>
      <c r="AS85" s="2">
        <f>Table7[[#This Row],[WC Res]]^2</f>
        <v>31.275208907258509</v>
      </c>
      <c r="AT85">
        <f>Regression!$Q$10+(Regression!$Q$9*Table83[[#This Row],[Calories]])</f>
        <v>255.55951199984048</v>
      </c>
      <c r="AU85" s="2">
        <f>Table83[[#This Row],[Weight]]-Table7[[#This Row],[Weight v Calories]]</f>
        <v>-6.9595119998404869</v>
      </c>
      <c r="AV85" s="2">
        <f>Table7[[#This Row],[WCAL Res]]^2</f>
        <v>48.434807275923731</v>
      </c>
      <c r="AW85">
        <f>Regression!$R$10+(Regression!$R$9*Table83[[#This Row],[Carbs]])</f>
        <v>255.35551160700018</v>
      </c>
      <c r="AX85" s="2">
        <f>Table83[[#This Row],[Weight]]-Table7[[#This Row],[Weight v Carbs]]</f>
        <v>-6.7555116070001873</v>
      </c>
      <c r="AY85" s="2">
        <f>Table7[[#This Row],[Wcarb Res]]^2</f>
        <v>45.636937072314254</v>
      </c>
      <c r="AZ85">
        <f>Regression!$S$10+(Regression!$S$9*Table83[[#This Row],[Fat ]])</f>
        <v>255.51596340145045</v>
      </c>
      <c r="BA85" s="2">
        <f>Table83[[#This Row],[Weight]]-Table7[[#This Row],[Weight v Fat]]</f>
        <v>-6.9159634014504547</v>
      </c>
      <c r="BB85" s="2">
        <f>Table7[[#This Row],[WF Res]]^2</f>
        <v>47.830549770202147</v>
      </c>
      <c r="BC85">
        <f>Regression!$T$10+(Regression!$T$9*Table83[[#This Row],[Protein]])</f>
        <v>255.59067230931589</v>
      </c>
      <c r="BD85" s="2">
        <f>Table83[[#This Row],[Weight]]-Table7[[#This Row],[Weight v Protein]]</f>
        <v>-6.9906723093158973</v>
      </c>
      <c r="BE85" s="2">
        <f>Table7[[#This Row],[WP Res]]^2</f>
        <v>48.869499336236061</v>
      </c>
      <c r="BF85">
        <f>Regression!$U$10+(Regression!$U$9*Table83[[#This Row],[Fiber]])</f>
        <v>255.34155780971176</v>
      </c>
      <c r="BG85" s="2">
        <f>Table83[[#This Row],[Weight]]-Table7[[#This Row],[Weight v Fiber]]</f>
        <v>-6.7415578097117645</v>
      </c>
      <c r="BH85" s="2">
        <f>Table7[[#This Row],[Wfib Res]]^2</f>
        <v>45.448601701685682</v>
      </c>
      <c r="BI85">
        <f>Regression!$V$10+(Regression!$V$9*Table83[[#This Row],[Sugar]])</f>
        <v>255.17424356861699</v>
      </c>
      <c r="BJ85" s="2">
        <f>Table83[[#This Row],[Weight]]-Table7[[#This Row],[Weight v Sugar]]</f>
        <v>-6.5742435686169927</v>
      </c>
      <c r="BK85" s="2">
        <f>Table7[[#This Row],[Wsugar Res]]^2</f>
        <v>43.220678499501894</v>
      </c>
      <c r="BL85">
        <f>Regression!$W$10+(Regression!$W$9*Table83[[#This Row],[Servings]])</f>
        <v>254.44743762058008</v>
      </c>
      <c r="BM85" s="2">
        <f>Table83[[#This Row],[Weight]]-Table7[[#This Row],[Weight v Servings]]</f>
        <v>-5.8474376205800809</v>
      </c>
      <c r="BN85" s="2">
        <f>Table7[[#This Row],[Wserv Res]]^2</f>
        <v>34.192526726575238</v>
      </c>
      <c r="BO85">
        <f>Regression!$X$10+(Regression!$X$9*Table83[[#This Row],[Water]])</f>
        <v>255.06345001025522</v>
      </c>
      <c r="BP85" s="2">
        <f>Table83[[#This Row],[Weight]]-Table7[[#This Row],[Weight v Water]]</f>
        <v>-6.4634500102552295</v>
      </c>
      <c r="BQ85" s="2">
        <f>Table7[[#This Row],[Wwater Res]]^2</f>
        <v>41.776186035068328</v>
      </c>
      <c r="BR85">
        <f>Regression!$Y$10+(Regression!$Y$9*Table83[[#This Row],[Fat Calories]])</f>
        <v>255.53686148111959</v>
      </c>
      <c r="BS85" s="2">
        <f>Table83[[#This Row],[Weight]]-Table7[[#This Row],[Weight v Fat Calories]]</f>
        <v>-6.9368614811195926</v>
      </c>
      <c r="BT85" s="2">
        <f>Table7[[#This Row],[WFC Res]]^2</f>
        <v>48.120047208240706</v>
      </c>
      <c r="BU85">
        <f>Regression!$B$29+(Regression!$B$28*Table83[[#This Row],[Weight]])</f>
        <v>43.565783537330759</v>
      </c>
      <c r="BV85" s="2">
        <f>Table83[[#This Row],[Waist]]-Table7[[#This Row],[Waist v Weight]]</f>
        <v>-6.5783537330759145E-2</v>
      </c>
      <c r="BW85" s="2">
        <f>Table7[[#This Row],[WaistW Res]]^2</f>
        <v>4.3274737837473822E-3</v>
      </c>
      <c r="BX85">
        <f>Regression!$C$29+(Regression!$C$28*Table83[[#This Row],[Neck]])</f>
        <v>44.175585585585594</v>
      </c>
      <c r="BY85" s="2">
        <f>Table83[[#This Row],[Waist]]-Table7[[#This Row],[Waist v Neck]]</f>
        <v>-0.67558558558559412</v>
      </c>
      <c r="BZ85" s="2">
        <f>Table7[[#This Row],[WaistN Res]]^2</f>
        <v>0.45641588345103012</v>
      </c>
      <c r="CA85">
        <f>Regression!$D$29+(Regression!$D$28*Table83[[#This Row],[Morning Body Temp]])</f>
        <v>44.495891557108962</v>
      </c>
      <c r="CB85" s="2">
        <f>Table83[[#This Row],[Waist]]-Table7[[#This Row],[Waist v Morning Temp]]</f>
        <v>-0.99589155710896193</v>
      </c>
      <c r="CC85" s="2">
        <f>Table7[[#This Row],[WaistMT Res]]^2</f>
        <v>0.99179999352091275</v>
      </c>
      <c r="CD85">
        <f>Regression!$E$29+(Regression!$E$28*Table83[[#This Row],[Morning Systolic Pressure]])</f>
        <v>44.407523106424492</v>
      </c>
      <c r="CE85" s="2">
        <f>Table83[[#This Row],[Waist]]-Table7[[#This Row],[Waist v Morning Sys]]</f>
        <v>-0.90752310642449174</v>
      </c>
      <c r="CF85" s="2">
        <f>Table7[[#This Row],[WaistMS Res]]^2</f>
        <v>0.82359818869435941</v>
      </c>
      <c r="CG85">
        <f>Regression!$F$29+(Regression!$F$28*Table83[[#This Row],[Morning Diastolic Pressure]])</f>
        <v>44.447181047475404</v>
      </c>
      <c r="CH85" s="2">
        <f>Table83[[#This Row],[Waist]]-Table7[[#This Row],[Waist v Morning Dia]]</f>
        <v>-0.94718104747540366</v>
      </c>
      <c r="CI85" s="2">
        <f>Table7[[#This Row],[WaistMD Res]]^2</f>
        <v>0.89715193669660287</v>
      </c>
      <c r="CJ85">
        <f>Regression!$G$29+(Regression!$G$28*Table83[[#This Row],[Morning Pulse]])</f>
        <v>44.450378687211739</v>
      </c>
      <c r="CK85" s="2">
        <f>Table83[[#This Row],[Waist]]-Table7[[#This Row],[Waist v Morning Pulse]]</f>
        <v>-0.95037868721173879</v>
      </c>
      <c r="CL85" s="2">
        <f>Table7[[#This Row],[WaistMP Res]]^2</f>
        <v>0.90321964910630803</v>
      </c>
      <c r="CM85">
        <f>Regression!$H$29+(Regression!$H$28*Table83[[#This Row],[Night Body Temp]])</f>
        <v>44.448953954659181</v>
      </c>
      <c r="CN85" s="2">
        <f>Table83[[#This Row],[Waist]]-Table7[[#This Row],[Waist v Night Temp]]</f>
        <v>-0.94895395465918142</v>
      </c>
      <c r="CO85" s="2">
        <f>Table7[[#This Row],[WaistNT Res]]^2</f>
        <v>0.90051360806329972</v>
      </c>
      <c r="CP85">
        <f>Regression!$I$29+(Regression!$I$28*Table83[[#This Row],[Night Systolic Pressure]])</f>
        <v>44.441959200979596</v>
      </c>
      <c r="CQ85" s="2">
        <f>Table83[[#This Row],[Waist]]-Table7[[#This Row],[Waist v  Night Sys]]</f>
        <v>-0.94195920097959629</v>
      </c>
      <c r="CR85" s="2">
        <f>Table7[[#This Row],[WaistNS Res]]^2</f>
        <v>0.88728713631011946</v>
      </c>
      <c r="CS85">
        <f>Regression!$J$29+(Regression!$J$28*Table83[[#This Row],[Night Diastolic Pressure]])</f>
        <v>44.461092011153731</v>
      </c>
      <c r="CT85" s="2">
        <f>Table83[[#This Row],[Waist]]-Table7[[#This Row],[Waist v Night Dia]]</f>
        <v>-0.96109201115373111</v>
      </c>
      <c r="CU85" s="2">
        <f>Table7[[#This Row],[WaistND Res]]^2</f>
        <v>0.92369785390352355</v>
      </c>
      <c r="CV85">
        <f>Regression!$K$29+(Regression!$K$28*Table83[[#This Row],[Night Pulse]])</f>
        <v>44.456851626254306</v>
      </c>
      <c r="CW85" s="2">
        <f>Table83[[#This Row],[Waist]]-Table7[[#This Row],[Waist v Night Pulse]]</f>
        <v>-0.95685162625430564</v>
      </c>
      <c r="CX85" s="2">
        <f>Table7[[#This Row],[WaistNP Res]]^2</f>
        <v>0.91556503466550943</v>
      </c>
      <c r="CY85">
        <f>Regression!$L$29+(Regression!$L$28*Table83[[#This Row],[Sleep]])</f>
        <v>44.312594948871137</v>
      </c>
      <c r="CZ85" s="2">
        <f>Table83[[#This Row],[Waist]]-Table7[[#This Row],[Waist v  Sleep]]</f>
        <v>-0.81259494887113703</v>
      </c>
      <c r="DA85" s="2">
        <f>Table7[[#This Row],[WaistS Res]]^2</f>
        <v>0.66031055093088586</v>
      </c>
      <c r="DB85">
        <f>Regression!$M$29+(Regression!$M$28*Table83[[#This Row],[BMI]])</f>
        <v>43.56578353733358</v>
      </c>
      <c r="DC85" s="2">
        <f>Table83[[#This Row],[Waist]]-Table7[[#This Row],[Waist v BMI]]</f>
        <v>-6.578353733358E-2</v>
      </c>
      <c r="DD85" s="2">
        <f>Table7[[#This Row],[WaistBMI Res]]^2</f>
        <v>4.3274737841185133E-3</v>
      </c>
      <c r="DE85">
        <f>Regression!$N$29+(Regression!$N$28*Table83[[#This Row],[CBF]])</f>
        <v>43.540887941991329</v>
      </c>
      <c r="DF85" s="2">
        <f>Table83[[#This Row],[Waist]]-Table7[[#This Row],[Waist v  CBF]]</f>
        <v>-4.0887941991329058E-2</v>
      </c>
      <c r="DG85" s="2">
        <f>Table7[[#This Row],[WaistCBF Res]]^2</f>
        <v>1.6718238002862899E-3</v>
      </c>
      <c r="DH85">
        <f>Regression!$O$29+(Regression!$O$28*Table83[[#This Row],[Gym]])</f>
        <v>44.347222222222221</v>
      </c>
      <c r="DI85" s="2">
        <f>Table83[[#This Row],[Waist]]-Table7[[#This Row],[Waist v  Gym]]</f>
        <v>-0.84722222222222143</v>
      </c>
      <c r="DJ85" s="2">
        <f>Table7[[#This Row],[WaistGYM Res]]^2</f>
        <v>0.71778549382715917</v>
      </c>
      <c r="DK85">
        <f>Regression!$P$29+(Regression!$P$28*Table83[[#This Row],[Cardio]])</f>
        <v>44.291666666666664</v>
      </c>
      <c r="DL85" s="2">
        <f>Table83[[#This Row],[Waist]]-Table7[[#This Row],[Waist v Cardio]]</f>
        <v>-0.7916666666666643</v>
      </c>
      <c r="DM85" s="2">
        <f>Table7[[#This Row],[WaistC Res]]^2</f>
        <v>0.62673611111110739</v>
      </c>
      <c r="DN85">
        <f>Regression!$Q$29+(Regression!$Q$28*Table83[[#This Row],[Calories]])</f>
        <v>44.553401868750186</v>
      </c>
      <c r="DO85" s="2">
        <f>Table83[[#This Row],[Waist]]-Table7[[#This Row],[Waist v Calories]]</f>
        <v>-1.0534018687501856</v>
      </c>
      <c r="DP85" s="2">
        <f>Table7[[#This Row],[WaistCal Res]]^2</f>
        <v>1.1096554970863832</v>
      </c>
      <c r="DQ85">
        <f>Regression!$R$29+(Regression!$R$28*Table83[[#This Row],[Carbs]])</f>
        <v>44.503603654632549</v>
      </c>
      <c r="DR85" s="2">
        <f>Table83[[#This Row],[Waist]]-Table7[[#This Row],[Waist v Carbs]]</f>
        <v>-1.0036036546325491</v>
      </c>
      <c r="DS85" s="2">
        <f>Table7[[#This Row],[WaistCarb Res]]^2</f>
        <v>1.0072202955918088</v>
      </c>
      <c r="DT85">
        <f>Regression!$S$29+(Regression!$S$28*Table83[[#This Row],[Fat ]])</f>
        <v>44.576092323747638</v>
      </c>
      <c r="DU85" s="2">
        <f>Table83[[#This Row],[Waist]]-Table7[[#This Row],[Waist v Fat]]</f>
        <v>-1.0760923237476376</v>
      </c>
      <c r="DV85" s="2">
        <f>Table7[[#This Row],[WaistF Res]]^2</f>
        <v>1.1579746892285905</v>
      </c>
      <c r="DW85">
        <f>Regression!$T$29+(Regression!$T$28*Table83[[#This Row],[Protein]])</f>
        <v>44.540597426163295</v>
      </c>
      <c r="DX85" s="2">
        <f>Table83[[#This Row],[Waist]]-Table7[[#This Row],[Waist v Protein]]</f>
        <v>-1.0405974261632949</v>
      </c>
      <c r="DY85" s="2">
        <f>Table7[[#This Row],[WaistP Res]]^2</f>
        <v>1.0828430033376739</v>
      </c>
      <c r="DZ85">
        <f>Regression!$U$29+(Regression!$U$28*Table83[[#This Row],[Fiber]])</f>
        <v>44.540942335230476</v>
      </c>
      <c r="EA85" s="2">
        <f>Table83[[#This Row],[Waist]]-Table7[[#This Row],[Waist v Fiber]]</f>
        <v>-1.0409423352304756</v>
      </c>
      <c r="EB85" s="2">
        <f>Table7[[#This Row],[WaistFib Res]]^2</f>
        <v>1.0835609452750758</v>
      </c>
      <c r="EC85">
        <f>Regression!$V$29+(Regression!$V$28*Table83[[#This Row],[Sugar]])</f>
        <v>44.464174320744192</v>
      </c>
      <c r="ED85" s="2">
        <f>Table83[[#This Row],[Waist]]-Table7[[#This Row],[Waist v Sugar]]</f>
        <v>-0.96417432074419196</v>
      </c>
      <c r="EE85" s="2">
        <f>Table7[[#This Row],[WaistSugar Res]]^2</f>
        <v>0.929632120782524</v>
      </c>
      <c r="EF85">
        <f>Regression!$W$29+(Regression!$W$28*Table83[[#This Row],[Servings]])</f>
        <v>44.35167417402026</v>
      </c>
      <c r="EG85" s="2">
        <f>Table83[[#This Row],[Waist]]-Table7[[#This Row],[Waist v Servings]]</f>
        <v>-0.85167417402026047</v>
      </c>
      <c r="EH85" s="2">
        <f>Table7[[#This Row],[WaistServ Res]]^2</f>
        <v>0.72534889869309294</v>
      </c>
      <c r="EI85">
        <f>Regression!$X$29+(Regression!$X$28*Table83[[#This Row],[Water]])</f>
        <v>44.386198474840633</v>
      </c>
      <c r="EJ85" s="2">
        <f>Table83[[#This Row],[Waist]]-Table7[[#This Row],[Waist v Water]]</f>
        <v>-0.88619847484063285</v>
      </c>
      <c r="EK85" s="2">
        <f>Table7[[#This Row],[WaistWat Res]]^2</f>
        <v>0.78534773680986381</v>
      </c>
      <c r="EL85">
        <f>Regression!$Y$29+(Regression!$Y$28*Table83[[#This Row],[Fat Calories]])</f>
        <v>44.581826578355141</v>
      </c>
      <c r="EM85" s="2">
        <f>Table83[[#This Row],[Waist]]-Table7[[#This Row],[Waist v Fat Calories]]</f>
        <v>-1.0818265783551411</v>
      </c>
      <c r="EN85" s="2">
        <f>Table7[[#This Row],[WaistFatCal Res]]^2</f>
        <v>1.1703487456355921</v>
      </c>
    </row>
    <row r="86" spans="1:144" x14ac:dyDescent="0.25">
      <c r="A86">
        <f>Regression!$B$10+(Regression!$B$9*Table83[[#This Row],[Waist]])</f>
        <v>249.67228149328892</v>
      </c>
      <c r="B86" s="2">
        <f>Table83[[#This Row],[Weight]]-Table7[[#This Row],[Weight v Waist]]</f>
        <v>0.32771850671107927</v>
      </c>
      <c r="C86" s="2">
        <f>Table7[[#This Row],[Weight v Waist Res]]^2</f>
        <v>0.10739941964093971</v>
      </c>
      <c r="D86">
        <f>Regression!$C$10+(Regression!$C$9*Table83[[#This Row],[Neck]])</f>
        <v>253.29286486487842</v>
      </c>
      <c r="E86" s="2">
        <f>Table83[[#This Row],[Weight]]-Table7[[#This Row],[Weight v Neck]]</f>
        <v>-3.2928648648784247</v>
      </c>
      <c r="F86" s="2">
        <f>Table7[[#This Row],[WN Res]]^2</f>
        <v>10.842959018350806</v>
      </c>
      <c r="G86">
        <f>Regression!$D$10+(Regression!$D$9*Table83[[#This Row],[Morning Body Temp]])</f>
        <v>255.3411606659738</v>
      </c>
      <c r="H86" s="2">
        <f>Table83[[#This Row],[Weight]]-Table7[[#This Row],[Weight v Morning Temp]]</f>
        <v>-5.3411606659738027</v>
      </c>
      <c r="I86" s="2">
        <f>Table7[[#This Row],[WMT Res]]^2</f>
        <v>28.527997259745714</v>
      </c>
      <c r="J86">
        <f>Regression!$E$10+(Regression!$E$9*Table83[[#This Row],[Morning Systolic Pressure]])</f>
        <v>255.14456383261873</v>
      </c>
      <c r="K86" s="2">
        <f>Table83[[#This Row],[Weight]]-Table7[[#This Row],[Weight v Morning Sys]]</f>
        <v>-5.1445638326187293</v>
      </c>
      <c r="L86" s="2">
        <f>Table7[[#This Row],[WMS Res]]^2</f>
        <v>26.466537027888709</v>
      </c>
      <c r="M86">
        <f>Regression!$F$10+(Regression!$F$9*Table83[[#This Row],[Morning Diastolic Pressure]])</f>
        <v>254.79800715011203</v>
      </c>
      <c r="N86" s="2">
        <f>Table83[[#This Row],[Weight]]-Table7[[#This Row],[Weight v Morning Dia]]</f>
        <v>-4.7980071501120278</v>
      </c>
      <c r="O86" s="2">
        <f>Table7[[#This Row],[WMD Res]]^2</f>
        <v>23.020872612526144</v>
      </c>
      <c r="P86">
        <f>Regression!$G$10+(Regression!$G$9*Table83[[#This Row],[Morning Pulse]])</f>
        <v>255.1246118689416</v>
      </c>
      <c r="Q86" s="2">
        <f>Table83[[#This Row],[Weight]]-Table7[[#This Row],[Weight v Morning Pulse]]</f>
        <v>-5.1246118689415994</v>
      </c>
      <c r="R86" s="2">
        <f>Table7[[#This Row],[WMP Res]]^2</f>
        <v>26.261646807297112</v>
      </c>
      <c r="S86">
        <f>Regression!$H$10+(Regression!$H$9*Table83[[#This Row],[Night Body Temp]])</f>
        <v>255.15957638897012</v>
      </c>
      <c r="T86" s="2">
        <f>Table83[[#This Row],[Weight]]-Table7[[#This Row],[Weight v Night Temp]]</f>
        <v>-5.1595763889701232</v>
      </c>
      <c r="U86" s="2">
        <f>Table7[[#This Row],[WNT Res]]^2</f>
        <v>26.621228513617975</v>
      </c>
      <c r="V86">
        <f>Regression!$I$10+(Regression!$I$9*Table83[[#This Row],[Night Systolic Pressure]])</f>
        <v>254.93064689108181</v>
      </c>
      <c r="W86" s="2">
        <f>Table83[[#This Row],[Weight]]-Table7[[#This Row],[Weight v Night Sys]]</f>
        <v>-4.9306468910818069</v>
      </c>
      <c r="X86" s="2">
        <f>Table7[[#This Row],[WNS Res]]^2</f>
        <v>24.311278764534688</v>
      </c>
      <c r="Y86">
        <f>Regression!$J$10+(Regression!$J$9*Table83[[#This Row],[Night Diastolic Pressure]])</f>
        <v>255.09231637424611</v>
      </c>
      <c r="Z86" s="2">
        <f>Table83[[#This Row],[Weight]]-Table7[[#This Row],[Weight v Night Dia]]</f>
        <v>-5.0923163742461099</v>
      </c>
      <c r="AA86" s="2">
        <f>Table7[[#This Row],[WND Res]]^2</f>
        <v>25.931686055415046</v>
      </c>
      <c r="AB86">
        <f>Regression!$K$10+(Regression!$K$9*Table83[[#This Row],[Night Pulse]])</f>
        <v>255.11015185874123</v>
      </c>
      <c r="AC86" s="2">
        <f>Table83[[#This Row],[Weight]]-Table7[[#This Row],[Weight v Night Pulse]]</f>
        <v>-5.1101518587412329</v>
      </c>
      <c r="AD86" s="2">
        <f>Table7[[#This Row],[WNP Res ]]^2</f>
        <v>26.113652019396479</v>
      </c>
      <c r="AE86">
        <f>Regression!$L$10+(Regression!$L$9*Table83[[#This Row],[Sleep]])</f>
        <v>255.29476681906823</v>
      </c>
      <c r="AF86" s="2">
        <f>Table83[[#This Row],[Weight]]-Table7[[#This Row],[Weight v Sleep]]</f>
        <v>-5.2947668190682293</v>
      </c>
      <c r="AG86" s="2">
        <f>Table7[[#This Row],[WS Res]]^2</f>
        <v>28.034555668305895</v>
      </c>
      <c r="AH86">
        <f>Regression!$M$10+(Regression!$M$9*Table83[[#This Row],[BMI]])</f>
        <v>250.00000000001145</v>
      </c>
      <c r="AI86" s="2">
        <f>Table83[[#This Row],[Weight]]-Table7[[#This Row],[Weight v BMI]]</f>
        <v>-1.1453948900452815E-11</v>
      </c>
      <c r="AJ86" s="2">
        <f>Table7[[#This Row],[WBMI Res]]^2</f>
        <v>1.3119294541418425E-22</v>
      </c>
      <c r="AK86">
        <f>Regression!$N$10+(Regression!$N$9*Table83[[#This Row],[CBF]])</f>
        <v>250.04675133427031</v>
      </c>
      <c r="AL86" s="2">
        <f>Table83[[#This Row],[Weight]]-Table7[[#This Row],[Weight v CBF]]</f>
        <v>-4.6751334270311418E-2</v>
      </c>
      <c r="AM86" s="2">
        <f>Table7[[#This Row],[WCBF Res]]^2</f>
        <v>2.1856872560543947E-3</v>
      </c>
      <c r="AN86">
        <f>Regression!$O$10+(Regression!$O$9*Table83[[#This Row],[Gym]])</f>
        <v>255.46779661016953</v>
      </c>
      <c r="AO86" s="2">
        <f>Table83[[#This Row],[Weight]]-Table7[[#This Row],[Weight v Gym]]</f>
        <v>-5.467796610169529</v>
      </c>
      <c r="AP86" s="2">
        <f>Table7[[#This Row],[WG Res]]^2</f>
        <v>29.896799770181392</v>
      </c>
      <c r="AQ86">
        <f>Regression!$P$10+(Regression!$P$9*Table83[[#This Row],[Cardio]])</f>
        <v>256.41063829787231</v>
      </c>
      <c r="AR86" s="2">
        <f>Table83[[#This Row],[Weight]]-Table7[[#This Row],[Weight v Cardio]]</f>
        <v>-6.4106382978723104</v>
      </c>
      <c r="AS86" s="2">
        <f>Table7[[#This Row],[WC Res]]^2</f>
        <v>41.096283386147192</v>
      </c>
      <c r="AT86">
        <f>Regression!$Q$10+(Regression!$Q$9*Table83[[#This Row],[Calories]])</f>
        <v>254.98712497765118</v>
      </c>
      <c r="AU86" s="2">
        <f>Table83[[#This Row],[Weight]]-Table7[[#This Row],[Weight v Calories]]</f>
        <v>-4.9871249776511775</v>
      </c>
      <c r="AV86" s="2">
        <f>Table7[[#This Row],[WCAL Res]]^2</f>
        <v>24.871415542712256</v>
      </c>
      <c r="AW86">
        <f>Regression!$R$10+(Regression!$R$9*Table83[[#This Row],[Carbs]])</f>
        <v>254.89831707961369</v>
      </c>
      <c r="AX86" s="2">
        <f>Table83[[#This Row],[Weight]]-Table7[[#This Row],[Weight v Carbs]]</f>
        <v>-4.8983170796136903</v>
      </c>
      <c r="AY86" s="2">
        <f>Table7[[#This Row],[Wcarb Res]]^2</f>
        <v>23.993510212435194</v>
      </c>
      <c r="AZ86">
        <f>Regression!$S$10+(Regression!$S$9*Table83[[#This Row],[Fat ]])</f>
        <v>255.30888841807996</v>
      </c>
      <c r="BA86" s="2">
        <f>Table83[[#This Row],[Weight]]-Table7[[#This Row],[Weight v Fat]]</f>
        <v>-5.3088884180799596</v>
      </c>
      <c r="BB86" s="2">
        <f>Table7[[#This Row],[WF Res]]^2</f>
        <v>28.184296235623535</v>
      </c>
      <c r="BC86">
        <f>Regression!$T$10+(Regression!$T$9*Table83[[#This Row],[Protein]])</f>
        <v>255.30378496046356</v>
      </c>
      <c r="BD86" s="2">
        <f>Table83[[#This Row],[Weight]]-Table7[[#This Row],[Weight v Protein]]</f>
        <v>-5.3037849604635596</v>
      </c>
      <c r="BE86" s="2">
        <f>Table7[[#This Row],[WP Res]]^2</f>
        <v>28.130134906839444</v>
      </c>
      <c r="BF86">
        <f>Regression!$U$10+(Regression!$U$9*Table83[[#This Row],[Fiber]])</f>
        <v>255.31782635513363</v>
      </c>
      <c r="BG86" s="2">
        <f>Table83[[#This Row],[Weight]]-Table7[[#This Row],[Weight v Fiber]]</f>
        <v>-5.3178263551336329</v>
      </c>
      <c r="BH86" s="2">
        <f>Table7[[#This Row],[Wfib Res]]^2</f>
        <v>28.279277143353859</v>
      </c>
      <c r="BI86">
        <f>Regression!$V$10+(Regression!$V$9*Table83[[#This Row],[Sugar]])</f>
        <v>254.48675223135282</v>
      </c>
      <c r="BJ86" s="2">
        <f>Table83[[#This Row],[Weight]]-Table7[[#This Row],[Weight v Sugar]]</f>
        <v>-4.4867522313528241</v>
      </c>
      <c r="BK86" s="2">
        <f>Table7[[#This Row],[Wsugar Res]]^2</f>
        <v>20.130945585549547</v>
      </c>
      <c r="BL86">
        <f>Regression!$W$10+(Regression!$W$9*Table83[[#This Row],[Servings]])</f>
        <v>254.26204693037522</v>
      </c>
      <c r="BM86" s="2">
        <f>Table83[[#This Row],[Weight]]-Table7[[#This Row],[Weight v Servings]]</f>
        <v>-4.2620469303752202</v>
      </c>
      <c r="BN86" s="2">
        <f>Table7[[#This Row],[Wserv Res]]^2</f>
        <v>18.165044036720836</v>
      </c>
      <c r="BO86">
        <f>Regression!$X$10+(Regression!$X$9*Table83[[#This Row],[Water]])</f>
        <v>255.0206340268538</v>
      </c>
      <c r="BP86" s="2">
        <f>Table83[[#This Row],[Weight]]-Table7[[#This Row],[Weight v Water]]</f>
        <v>-5.0206340268537986</v>
      </c>
      <c r="BQ86" s="2">
        <f>Table7[[#This Row],[Wwater Res]]^2</f>
        <v>25.206766031602189</v>
      </c>
      <c r="BR86">
        <f>Regression!$Y$10+(Regression!$Y$9*Table83[[#This Row],[Fat Calories]])</f>
        <v>255.31648160523687</v>
      </c>
      <c r="BS86" s="2">
        <f>Table83[[#This Row],[Weight]]-Table7[[#This Row],[Weight v Fat Calories]]</f>
        <v>-5.3164816052368735</v>
      </c>
      <c r="BT86" s="2">
        <f>Table7[[#This Row],[WFC Res]]^2</f>
        <v>28.264976658822043</v>
      </c>
      <c r="BU86">
        <f>Regression!$B$29+(Regression!$B$28*Table83[[#This Row],[Weight]])</f>
        <v>43.756551052128735</v>
      </c>
      <c r="BV86" s="2">
        <f>Table83[[#This Row],[Waist]]-Table7[[#This Row],[Waist v Weight]]</f>
        <v>-0.25655105212873508</v>
      </c>
      <c r="BW86" s="2">
        <f>Table7[[#This Row],[WaistW Res]]^2</f>
        <v>6.5818442348360942E-2</v>
      </c>
      <c r="BX86">
        <f>Regression!$C$29+(Regression!$C$28*Table83[[#This Row],[Neck]])</f>
        <v>44.175585585585594</v>
      </c>
      <c r="BY86" s="2">
        <f>Table83[[#This Row],[Waist]]-Table7[[#This Row],[Waist v Neck]]</f>
        <v>-0.67558558558559412</v>
      </c>
      <c r="BZ86" s="2">
        <f>Table7[[#This Row],[WaistN Res]]^2</f>
        <v>0.45641588345103012</v>
      </c>
      <c r="CA86">
        <f>Regression!$D$29+(Regression!$D$28*Table83[[#This Row],[Morning Body Temp]])</f>
        <v>44.515038370284842</v>
      </c>
      <c r="CB86" s="2">
        <f>Table83[[#This Row],[Waist]]-Table7[[#This Row],[Waist v Morning Temp]]</f>
        <v>-1.0150383702848416</v>
      </c>
      <c r="CC86" s="2">
        <f>Table7[[#This Row],[WaistMT Res]]^2</f>
        <v>1.0303028931505072</v>
      </c>
      <c r="CD86">
        <f>Regression!$E$29+(Regression!$E$28*Table83[[#This Row],[Morning Systolic Pressure]])</f>
        <v>44.460475132636631</v>
      </c>
      <c r="CE86" s="2">
        <f>Table83[[#This Row],[Waist]]-Table7[[#This Row],[Waist v Morning Sys]]</f>
        <v>-0.9604751326366312</v>
      </c>
      <c r="CF86" s="2">
        <f>Table7[[#This Row],[WaistMS Res]]^2</f>
        <v>0.92251248041335432</v>
      </c>
      <c r="CG86">
        <f>Regression!$F$29+(Regression!$F$28*Table83[[#This Row],[Morning Diastolic Pressure]])</f>
        <v>44.435909806137701</v>
      </c>
      <c r="CH86" s="2">
        <f>Table83[[#This Row],[Waist]]-Table7[[#This Row],[Waist v Morning Dia]]</f>
        <v>-0.93590980613770114</v>
      </c>
      <c r="CI86" s="2">
        <f>Table7[[#This Row],[WaistMD Res]]^2</f>
        <v>0.87592716522470937</v>
      </c>
      <c r="CJ86">
        <f>Regression!$G$29+(Regression!$G$28*Table83[[#This Row],[Morning Pulse]])</f>
        <v>44.457934210374262</v>
      </c>
      <c r="CK86" s="2">
        <f>Table83[[#This Row],[Waist]]-Table7[[#This Row],[Waist v Morning Pulse]]</f>
        <v>-0.95793421037426185</v>
      </c>
      <c r="CL86" s="2">
        <f>Table7[[#This Row],[WaistMP Res]]^2</f>
        <v>0.91763795140536053</v>
      </c>
      <c r="CM86">
        <f>Regression!$H$29+(Regression!$H$28*Table83[[#This Row],[Night Body Temp]])</f>
        <v>44.457050878464067</v>
      </c>
      <c r="CN86" s="2">
        <f>Table83[[#This Row],[Waist]]-Table7[[#This Row],[Waist v Night Temp]]</f>
        <v>-0.95705087846406656</v>
      </c>
      <c r="CO86" s="2">
        <f>Table7[[#This Row],[WaistNT Res]]^2</f>
        <v>0.91594638396884154</v>
      </c>
      <c r="CP86">
        <f>Regression!$I$29+(Regression!$I$28*Table83[[#This Row],[Night Systolic Pressure]])</f>
        <v>44.427419086653984</v>
      </c>
      <c r="CQ86" s="2">
        <f>Table83[[#This Row],[Waist]]-Table7[[#This Row],[Waist v  Night Sys]]</f>
        <v>-0.92741908665398398</v>
      </c>
      <c r="CR86" s="2">
        <f>Table7[[#This Row],[WaistNS Res]]^2</f>
        <v>0.86010616229010983</v>
      </c>
      <c r="CS86">
        <f>Regression!$J$29+(Regression!$J$28*Table83[[#This Row],[Night Diastolic Pressure]])</f>
        <v>44.444024065946287</v>
      </c>
      <c r="CT86" s="2">
        <f>Table83[[#This Row],[Waist]]-Table7[[#This Row],[Waist v Night Dia]]</f>
        <v>-0.94402406594628729</v>
      </c>
      <c r="CU86" s="2">
        <f>Table7[[#This Row],[WaistND Res]]^2</f>
        <v>0.89118143708576014</v>
      </c>
      <c r="CV86">
        <f>Regression!$K$29+(Regression!$K$28*Table83[[#This Row],[Night Pulse]])</f>
        <v>44.453994879943338</v>
      </c>
      <c r="CW86" s="2">
        <f>Table83[[#This Row],[Waist]]-Table7[[#This Row],[Waist v Night Pulse]]</f>
        <v>-0.95399487994333754</v>
      </c>
      <c r="CX86" s="2">
        <f>Table7[[#This Row],[WaistNP Res]]^2</f>
        <v>0.91010623095810295</v>
      </c>
      <c r="CY86">
        <f>Regression!$L$29+(Regression!$L$28*Table83[[#This Row],[Sleep]])</f>
        <v>44.480941336855928</v>
      </c>
      <c r="CZ86" s="2">
        <f>Table83[[#This Row],[Waist]]-Table7[[#This Row],[Waist v  Sleep]]</f>
        <v>-0.98094133685592766</v>
      </c>
      <c r="DA86" s="2">
        <f>Table7[[#This Row],[WaistS Res]]^2</f>
        <v>0.96224590635269458</v>
      </c>
      <c r="DB86">
        <f>Regression!$M$29+(Regression!$M$28*Table83[[#This Row],[BMI]])</f>
        <v>43.756551052130952</v>
      </c>
      <c r="DC86" s="2">
        <f>Table83[[#This Row],[Waist]]-Table7[[#This Row],[Waist v BMI]]</f>
        <v>-0.25655105213095197</v>
      </c>
      <c r="DD86" s="2">
        <f>Table7[[#This Row],[WaistBMI Res]]^2</f>
        <v>6.5818442349498435E-2</v>
      </c>
      <c r="DE86">
        <f>Regression!$N$29+(Regression!$N$28*Table83[[#This Row],[CBF]])</f>
        <v>43.540887941991329</v>
      </c>
      <c r="DF86" s="2">
        <f>Table83[[#This Row],[Waist]]-Table7[[#This Row],[Waist v  CBF]]</f>
        <v>-4.0887941991329058E-2</v>
      </c>
      <c r="DG86" s="2">
        <f>Table7[[#This Row],[WaistCBF Res]]^2</f>
        <v>1.6718238002862899E-3</v>
      </c>
      <c r="DH86">
        <f>Regression!$O$29+(Regression!$O$28*Table83[[#This Row],[Gym]])</f>
        <v>44.550847457627107</v>
      </c>
      <c r="DI86" s="2">
        <f>Table83[[#This Row],[Waist]]-Table7[[#This Row],[Waist v  Gym]]</f>
        <v>-1.050847457627107</v>
      </c>
      <c r="DJ86" s="2">
        <f>Table7[[#This Row],[WaistGYM Res]]^2</f>
        <v>1.1042803792013545</v>
      </c>
      <c r="DK86">
        <f>Regression!$P$29+(Regression!$P$28*Table83[[#This Row],[Cardio]])</f>
        <v>44.680851063829778</v>
      </c>
      <c r="DL86" s="2">
        <f>Table83[[#This Row],[Waist]]-Table7[[#This Row],[Waist v Cardio]]</f>
        <v>-1.1808510638297776</v>
      </c>
      <c r="DM86" s="2">
        <f>Table7[[#This Row],[WaistC Res]]^2</f>
        <v>1.3944092349479174</v>
      </c>
      <c r="DN86">
        <f>Regression!$Q$29+(Regression!$Q$28*Table83[[#This Row],[Calories]])</f>
        <v>44.424799200215439</v>
      </c>
      <c r="DO86" s="2">
        <f>Table83[[#This Row],[Waist]]-Table7[[#This Row],[Waist v Calories]]</f>
        <v>-0.92479920021543904</v>
      </c>
      <c r="DP86" s="2">
        <f>Table7[[#This Row],[WaistCal Res]]^2</f>
        <v>0.85525356071911574</v>
      </c>
      <c r="DQ86">
        <f>Regression!$R$29+(Regression!$R$28*Table83[[#This Row],[Carbs]])</f>
        <v>44.408418553780095</v>
      </c>
      <c r="DR86" s="2">
        <f>Table83[[#This Row],[Waist]]-Table7[[#This Row],[Waist v Carbs]]</f>
        <v>-0.90841855378009484</v>
      </c>
      <c r="DS86" s="2">
        <f>Table7[[#This Row],[WaistCarb Res]]^2</f>
        <v>0.82522426885191902</v>
      </c>
      <c r="DT86">
        <f>Regression!$S$29+(Regression!$S$28*Table83[[#This Row],[Fat ]])</f>
        <v>44.512793883599151</v>
      </c>
      <c r="DU86" s="2">
        <f>Table83[[#This Row],[Waist]]-Table7[[#This Row],[Waist v Fat]]</f>
        <v>-1.0127938835991515</v>
      </c>
      <c r="DV86" s="2">
        <f>Table7[[#This Row],[WaistF Res]]^2</f>
        <v>1.0257514506558516</v>
      </c>
      <c r="DW86">
        <f>Regression!$T$29+(Regression!$T$28*Table83[[#This Row],[Protein]])</f>
        <v>44.488086384476276</v>
      </c>
      <c r="DX86" s="2">
        <f>Table83[[#This Row],[Waist]]-Table7[[#This Row],[Waist v Protein]]</f>
        <v>-0.98808638447627573</v>
      </c>
      <c r="DY86" s="2">
        <f>Table7[[#This Row],[WaistP Res]]^2</f>
        <v>0.97631470318739855</v>
      </c>
      <c r="DZ86">
        <f>Regression!$U$29+(Regression!$U$28*Table83[[#This Row],[Fiber]])</f>
        <v>44.53178531729661</v>
      </c>
      <c r="EA86" s="2">
        <f>Table83[[#This Row],[Waist]]-Table7[[#This Row],[Waist v Fiber]]</f>
        <v>-1.0317853172966096</v>
      </c>
      <c r="EB86" s="2">
        <f>Table7[[#This Row],[WaistFib Res]]^2</f>
        <v>1.0645809409888654</v>
      </c>
      <c r="EC86">
        <f>Regression!$V$29+(Regression!$V$28*Table83[[#This Row],[Sugar]])</f>
        <v>44.340674169614076</v>
      </c>
      <c r="ED86" s="2">
        <f>Table83[[#This Row],[Waist]]-Table7[[#This Row],[Waist v Sugar]]</f>
        <v>-0.84067416961407559</v>
      </c>
      <c r="EE86" s="2">
        <f>Table7[[#This Row],[WaistSugar Res]]^2</f>
        <v>0.70673305945631559</v>
      </c>
      <c r="EF86">
        <f>Regression!$W$29+(Regression!$W$28*Table83[[#This Row],[Servings]])</f>
        <v>44.323386643303031</v>
      </c>
      <c r="EG86" s="2">
        <f>Table83[[#This Row],[Waist]]-Table7[[#This Row],[Waist v Servings]]</f>
        <v>-0.82338664330303146</v>
      </c>
      <c r="EH86" s="2">
        <f>Table7[[#This Row],[WaistServ Res]]^2</f>
        <v>0.67796556436983357</v>
      </c>
      <c r="EI86">
        <f>Regression!$X$29+(Regression!$X$28*Table83[[#This Row],[Water]])</f>
        <v>44.33031459742935</v>
      </c>
      <c r="EJ86" s="2">
        <f>Table83[[#This Row],[Waist]]-Table7[[#This Row],[Waist v Water]]</f>
        <v>-0.83031459742934999</v>
      </c>
      <c r="EK86" s="2">
        <f>Table7[[#This Row],[WaistWat Res]]^2</f>
        <v>0.68942233070426351</v>
      </c>
      <c r="EL86">
        <f>Regression!$Y$29+(Regression!$Y$28*Table83[[#This Row],[Fat Calories]])</f>
        <v>44.514802718288301</v>
      </c>
      <c r="EM86" s="2">
        <f>Table83[[#This Row],[Waist]]-Table7[[#This Row],[Waist v Fat Calories]]</f>
        <v>-1.0148027182883013</v>
      </c>
      <c r="EN86" s="2">
        <f>Table7[[#This Row],[WaistFatCal Res]]^2</f>
        <v>1.0298245570453253</v>
      </c>
    </row>
    <row r="87" spans="1:144" x14ac:dyDescent="0.25">
      <c r="A87">
        <f>Regression!$B$10+(Regression!$B$9*Table83[[#This Row],[Waist]])</f>
        <v>249.67228149328892</v>
      </c>
      <c r="B87" s="2">
        <f>Table83[[#This Row],[Weight]]-Table7[[#This Row],[Weight v Waist]]</f>
        <v>1.3277185067110793</v>
      </c>
      <c r="C87" s="2">
        <f>Table7[[#This Row],[Weight v Waist Res]]^2</f>
        <v>1.7628364330630983</v>
      </c>
      <c r="D87">
        <f>Regression!$C$10+(Regression!$C$9*Table83[[#This Row],[Neck]])</f>
        <v>253.29286486487842</v>
      </c>
      <c r="E87" s="2">
        <f>Table83[[#This Row],[Weight]]-Table7[[#This Row],[Weight v Neck]]</f>
        <v>-2.2928648648784247</v>
      </c>
      <c r="F87" s="2">
        <f>Table7[[#This Row],[WN Res]]^2</f>
        <v>5.2572292885939564</v>
      </c>
      <c r="G87">
        <f>Regression!$D$10+(Regression!$D$9*Table83[[#This Row],[Morning Body Temp]])</f>
        <v>255.27076211175142</v>
      </c>
      <c r="H87" s="2">
        <f>Table83[[#This Row],[Weight]]-Table7[[#This Row],[Weight v Morning Temp]]</f>
        <v>-4.2707621117514236</v>
      </c>
      <c r="I87" s="2">
        <f>Table7[[#This Row],[WMT Res]]^2</f>
        <v>18.239409015171479</v>
      </c>
      <c r="J87">
        <f>Regression!$E$10+(Regression!$E$9*Table83[[#This Row],[Morning Systolic Pressure]])</f>
        <v>254.91917781330181</v>
      </c>
      <c r="K87" s="2">
        <f>Table83[[#This Row],[Weight]]-Table7[[#This Row],[Weight v Morning Sys]]</f>
        <v>-3.9191778133018147</v>
      </c>
      <c r="L87" s="2">
        <f>Table7[[#This Row],[WMS Res]]^2</f>
        <v>15.359954732277194</v>
      </c>
      <c r="M87">
        <f>Regression!$F$10+(Regression!$F$9*Table83[[#This Row],[Morning Diastolic Pressure]])</f>
        <v>255.10203989724667</v>
      </c>
      <c r="N87" s="2">
        <f>Table83[[#This Row],[Weight]]-Table7[[#This Row],[Weight v Morning Dia]]</f>
        <v>-4.1020398972466694</v>
      </c>
      <c r="O87" s="2">
        <f>Table7[[#This Row],[WMD Res]]^2</f>
        <v>16.826731318603468</v>
      </c>
      <c r="P87">
        <f>Regression!$G$10+(Regression!$G$9*Table83[[#This Row],[Morning Pulse]])</f>
        <v>255.10633391136972</v>
      </c>
      <c r="Q87" s="2">
        <f>Table83[[#This Row],[Weight]]-Table7[[#This Row],[Weight v Morning Pulse]]</f>
        <v>-4.1063339113697168</v>
      </c>
      <c r="R87" s="2">
        <f>Table7[[#This Row],[WMP Res]]^2</f>
        <v>16.861978191664917</v>
      </c>
      <c r="S87">
        <f>Regression!$H$10+(Regression!$H$9*Table83[[#This Row],[Night Body Temp]])</f>
        <v>255.15957638897012</v>
      </c>
      <c r="T87" s="2">
        <f>Table83[[#This Row],[Weight]]-Table7[[#This Row],[Weight v Night Temp]]</f>
        <v>-4.1595763889701232</v>
      </c>
      <c r="U87" s="2">
        <f>Table7[[#This Row],[WNT Res]]^2</f>
        <v>17.302075735677729</v>
      </c>
      <c r="V87">
        <f>Regression!$I$10+(Regression!$I$9*Table83[[#This Row],[Night Systolic Pressure]])</f>
        <v>255.03329172511027</v>
      </c>
      <c r="W87" s="2">
        <f>Table83[[#This Row],[Weight]]-Table7[[#This Row],[Weight v Night Sys]]</f>
        <v>-4.0332917251102742</v>
      </c>
      <c r="X87" s="2">
        <f>Table7[[#This Row],[WNS Res]]^2</f>
        <v>16.267442139843013</v>
      </c>
      <c r="Y87">
        <f>Regression!$J$10+(Regression!$J$9*Table83[[#This Row],[Night Diastolic Pressure]])</f>
        <v>255.1330822426622</v>
      </c>
      <c r="Z87" s="2">
        <f>Table83[[#This Row],[Weight]]-Table7[[#This Row],[Weight v Night Dia]]</f>
        <v>-4.1330822426621978</v>
      </c>
      <c r="AA87" s="2">
        <f>Table7[[#This Row],[WND Res]]^2</f>
        <v>17.082368824609581</v>
      </c>
      <c r="AB87">
        <f>Regression!$K$10+(Regression!$K$9*Table83[[#This Row],[Night Pulse]])</f>
        <v>255.07943852750452</v>
      </c>
      <c r="AC87" s="2">
        <f>Table83[[#This Row],[Weight]]-Table7[[#This Row],[Weight v Night Pulse]]</f>
        <v>-4.0794385275045215</v>
      </c>
      <c r="AD87" s="2">
        <f>Table7[[#This Row],[WNP Res ]]^2</f>
        <v>16.641818699688258</v>
      </c>
      <c r="AE87">
        <f>Regression!$L$10+(Regression!$L$9*Table83[[#This Row],[Sleep]])</f>
        <v>255.45250391075515</v>
      </c>
      <c r="AF87" s="2">
        <f>Table83[[#This Row],[Weight]]-Table7[[#This Row],[Weight v Sleep]]</f>
        <v>-4.4525039107551549</v>
      </c>
      <c r="AG87" s="2">
        <f>Table7[[#This Row],[WS Res]]^2</f>
        <v>19.824791075289948</v>
      </c>
      <c r="AH87">
        <f>Regression!$M$10+(Regression!$M$9*Table83[[#This Row],[BMI]])</f>
        <v>251.00000000000921</v>
      </c>
      <c r="AI87" s="2">
        <f>Table83[[#This Row],[Weight]]-Table7[[#This Row],[Weight v BMI]]</f>
        <v>-9.2086338554508984E-12</v>
      </c>
      <c r="AJ87" s="2">
        <f>Table7[[#This Row],[WBMI Res]]^2</f>
        <v>8.4798937483756478E-23</v>
      </c>
      <c r="AK87">
        <f>Regression!$N$10+(Regression!$N$9*Table83[[#This Row],[CBF]])</f>
        <v>250.04675133427031</v>
      </c>
      <c r="AL87" s="2">
        <f>Table83[[#This Row],[Weight]]-Table7[[#This Row],[Weight v CBF]]</f>
        <v>0.95324866572968858</v>
      </c>
      <c r="AM87" s="2">
        <f>Table7[[#This Row],[WCBF Res]]^2</f>
        <v>0.90868301871543156</v>
      </c>
      <c r="AN87">
        <f>Regression!$O$10+(Regression!$O$9*Table83[[#This Row],[Gym]])</f>
        <v>254.72962962962998</v>
      </c>
      <c r="AO87" s="2">
        <f>Table83[[#This Row],[Weight]]-Table7[[#This Row],[Weight v Gym]]</f>
        <v>-3.7296296296299829</v>
      </c>
      <c r="AP87" s="2">
        <f>Table7[[#This Row],[WG Res]]^2</f>
        <v>13.910137174213883</v>
      </c>
      <c r="AQ87">
        <f>Regression!$P$10+(Regression!$P$9*Table83[[#This Row],[Cardio]])</f>
        <v>254.19242424242461</v>
      </c>
      <c r="AR87" s="2">
        <f>Table83[[#This Row],[Weight]]-Table7[[#This Row],[Weight v Cardio]]</f>
        <v>-3.1924242424246074</v>
      </c>
      <c r="AS87" s="2">
        <f>Table7[[#This Row],[WC Res]]^2</f>
        <v>10.191572543620328</v>
      </c>
      <c r="AT87">
        <f>Regression!$Q$10+(Regression!$Q$9*Table83[[#This Row],[Calories]])</f>
        <v>254.20159468497923</v>
      </c>
      <c r="AU87" s="2">
        <f>Table83[[#This Row],[Weight]]-Table7[[#This Row],[Weight v Calories]]</f>
        <v>-3.2015946849792272</v>
      </c>
      <c r="AV87" s="2">
        <f>Table7[[#This Row],[WCAL Res]]^2</f>
        <v>10.250208526887237</v>
      </c>
      <c r="AW87">
        <f>Regression!$R$10+(Regression!$R$9*Table83[[#This Row],[Carbs]])</f>
        <v>253.85891071430439</v>
      </c>
      <c r="AX87" s="2">
        <f>Table83[[#This Row],[Weight]]-Table7[[#This Row],[Weight v Carbs]]</f>
        <v>-2.8589107143043861</v>
      </c>
      <c r="AY87" s="2">
        <f>Table7[[#This Row],[Wcarb Res]]^2</f>
        <v>8.1733704723644163</v>
      </c>
      <c r="AZ87">
        <f>Regression!$S$10+(Regression!$S$9*Table83[[#This Row],[Fat ]])</f>
        <v>254.94196963768533</v>
      </c>
      <c r="BA87" s="2">
        <f>Table83[[#This Row],[Weight]]-Table7[[#This Row],[Weight v Fat]]</f>
        <v>-3.9419696376853324</v>
      </c>
      <c r="BB87" s="2">
        <f>Table7[[#This Row],[WF Res]]^2</f>
        <v>15.539124624433031</v>
      </c>
      <c r="BC87">
        <f>Regression!$T$10+(Regression!$T$9*Table83[[#This Row],[Protein]])</f>
        <v>254.50378532923924</v>
      </c>
      <c r="BD87" s="2">
        <f>Table83[[#This Row],[Weight]]-Table7[[#This Row],[Weight v Protein]]</f>
        <v>-3.5037853292392356</v>
      </c>
      <c r="BE87" s="2">
        <f>Table7[[#This Row],[WP Res]]^2</f>
        <v>12.276511633392099</v>
      </c>
      <c r="BF87">
        <f>Regression!$U$10+(Regression!$U$9*Table83[[#This Row],[Fiber]])</f>
        <v>255.00744375985937</v>
      </c>
      <c r="BG87" s="2">
        <f>Table83[[#This Row],[Weight]]-Table7[[#This Row],[Weight v Fiber]]</f>
        <v>-4.0074437598593704</v>
      </c>
      <c r="BH87" s="2">
        <f>Table7[[#This Row],[Wfib Res]]^2</f>
        <v>16.059605488435807</v>
      </c>
      <c r="BI87">
        <f>Regression!$V$10+(Regression!$V$9*Table83[[#This Row],[Sugar]])</f>
        <v>252.24182285740457</v>
      </c>
      <c r="BJ87" s="2">
        <f>Table83[[#This Row],[Weight]]-Table7[[#This Row],[Weight v Sugar]]</f>
        <v>-1.2418228574045713</v>
      </c>
      <c r="BK87" s="2">
        <f>Table7[[#This Row],[Wsugar Res]]^2</f>
        <v>1.5421240091724542</v>
      </c>
      <c r="BL87">
        <f>Regression!$W$10+(Regression!$W$9*Table83[[#This Row],[Servings]])</f>
        <v>253.33509347935089</v>
      </c>
      <c r="BM87" s="2">
        <f>Table83[[#This Row],[Weight]]-Table7[[#This Row],[Weight v Servings]]</f>
        <v>-2.3350934793508884</v>
      </c>
      <c r="BN87" s="2">
        <f>Table7[[#This Row],[Wserv Res]]^2</f>
        <v>5.4526615573070378</v>
      </c>
      <c r="BO87">
        <f>Regression!$X$10+(Regression!$X$9*Table83[[#This Row],[Water]])</f>
        <v>255.06345001025522</v>
      </c>
      <c r="BP87" s="2">
        <f>Table83[[#This Row],[Weight]]-Table7[[#This Row],[Weight v Water]]</f>
        <v>-4.0634500102552238</v>
      </c>
      <c r="BQ87" s="2">
        <f>Table7[[#This Row],[Wwater Res]]^2</f>
        <v>16.511625985843178</v>
      </c>
      <c r="BR87">
        <f>Regression!$Y$10+(Regression!$Y$9*Table83[[#This Row],[Fat Calories]])</f>
        <v>254.92598771763033</v>
      </c>
      <c r="BS87" s="2">
        <f>Table83[[#This Row],[Weight]]-Table7[[#This Row],[Weight v Fat Calories]]</f>
        <v>-3.9259877176303348</v>
      </c>
      <c r="BT87" s="2">
        <f>Table7[[#This Row],[WFC Res]]^2</f>
        <v>15.413379558984246</v>
      </c>
      <c r="BU87">
        <f>Regression!$B$29+(Regression!$B$28*Table83[[#This Row],[Weight]])</f>
        <v>43.89281356269872</v>
      </c>
      <c r="BV87" s="2">
        <f>Table83[[#This Row],[Waist]]-Table7[[#This Row],[Waist v Weight]]</f>
        <v>-0.39281356269871992</v>
      </c>
      <c r="BW87" s="2">
        <f>Table7[[#This Row],[WaistW Res]]^2</f>
        <v>0.15430249504006116</v>
      </c>
      <c r="BX87">
        <f>Regression!$C$29+(Regression!$C$28*Table83[[#This Row],[Neck]])</f>
        <v>44.175585585585594</v>
      </c>
      <c r="BY87" s="2">
        <f>Table83[[#This Row],[Waist]]-Table7[[#This Row],[Waist v Neck]]</f>
        <v>-0.67558558558559412</v>
      </c>
      <c r="BZ87" s="2">
        <f>Table7[[#This Row],[WaistN Res]]^2</f>
        <v>0.45641588345103012</v>
      </c>
      <c r="CA87">
        <f>Regression!$D$29+(Regression!$D$28*Table83[[#This Row],[Morning Body Temp]])</f>
        <v>44.495891557108962</v>
      </c>
      <c r="CB87" s="2">
        <f>Table83[[#This Row],[Waist]]-Table7[[#This Row],[Waist v Morning Temp]]</f>
        <v>-0.99589155710896193</v>
      </c>
      <c r="CC87" s="2">
        <f>Table7[[#This Row],[WaistMT Res]]^2</f>
        <v>0.99179999352091275</v>
      </c>
      <c r="CD87">
        <f>Regression!$E$29+(Regression!$E$28*Table83[[#This Row],[Morning Systolic Pressure]])</f>
        <v>44.407523106424492</v>
      </c>
      <c r="CE87" s="2">
        <f>Table83[[#This Row],[Waist]]-Table7[[#This Row],[Waist v Morning Sys]]</f>
        <v>-0.90752310642449174</v>
      </c>
      <c r="CF87" s="2">
        <f>Table7[[#This Row],[WaistMS Res]]^2</f>
        <v>0.82359818869435941</v>
      </c>
      <c r="CG87">
        <f>Regression!$F$29+(Regression!$F$28*Table83[[#This Row],[Morning Diastolic Pressure]])</f>
        <v>44.452816668144258</v>
      </c>
      <c r="CH87" s="2">
        <f>Table83[[#This Row],[Waist]]-Table7[[#This Row],[Waist v Morning Dia]]</f>
        <v>-0.95281666814425847</v>
      </c>
      <c r="CI87" s="2">
        <f>Table7[[#This Row],[WaistMD Res]]^2</f>
        <v>0.90785960309352598</v>
      </c>
      <c r="CJ87">
        <f>Regression!$G$29+(Regression!$G$28*Table83[[#This Row],[Morning Pulse]])</f>
        <v>44.449539184638127</v>
      </c>
      <c r="CK87" s="2">
        <f>Table83[[#This Row],[Waist]]-Table7[[#This Row],[Waist v Morning Pulse]]</f>
        <v>-0.9495391846381267</v>
      </c>
      <c r="CL87" s="2">
        <f>Table7[[#This Row],[WaistMP Res]]^2</f>
        <v>0.90162466316323842</v>
      </c>
      <c r="CM87">
        <f>Regression!$H$29+(Regression!$H$28*Table83[[#This Row],[Night Body Temp]])</f>
        <v>44.457050878464067</v>
      </c>
      <c r="CN87" s="2">
        <f>Table83[[#This Row],[Waist]]-Table7[[#This Row],[Waist v Night Temp]]</f>
        <v>-0.95705087846406656</v>
      </c>
      <c r="CO87" s="2">
        <f>Table7[[#This Row],[WaistNT Res]]^2</f>
        <v>0.91594638396884154</v>
      </c>
      <c r="CP87">
        <f>Regression!$I$29+(Regression!$I$28*Table83[[#This Row],[Night Systolic Pressure]])</f>
        <v>44.441959200979596</v>
      </c>
      <c r="CQ87" s="2">
        <f>Table83[[#This Row],[Waist]]-Table7[[#This Row],[Waist v  Night Sys]]</f>
        <v>-0.94195920097959629</v>
      </c>
      <c r="CR87" s="2">
        <f>Table7[[#This Row],[WaistNS Res]]^2</f>
        <v>0.88728713631011946</v>
      </c>
      <c r="CS87">
        <f>Regression!$J$29+(Regression!$J$28*Table83[[#This Row],[Night Diastolic Pressure]])</f>
        <v>44.461092011153731</v>
      </c>
      <c r="CT87" s="2">
        <f>Table83[[#This Row],[Waist]]-Table7[[#This Row],[Waist v Night Dia]]</f>
        <v>-0.96109201115373111</v>
      </c>
      <c r="CU87" s="2">
        <f>Table7[[#This Row],[WaistND Res]]^2</f>
        <v>0.92369785390352355</v>
      </c>
      <c r="CV87">
        <f>Regression!$K$29+(Regression!$K$28*Table83[[#This Row],[Night Pulse]])</f>
        <v>44.456851626254306</v>
      </c>
      <c r="CW87" s="2">
        <f>Table83[[#This Row],[Waist]]-Table7[[#This Row],[Waist v Night Pulse]]</f>
        <v>-0.95685162625430564</v>
      </c>
      <c r="CX87" s="2">
        <f>Table7[[#This Row],[WaistNP Res]]^2</f>
        <v>0.91556503466550943</v>
      </c>
      <c r="CY87">
        <f>Regression!$L$29+(Regression!$L$28*Table83[[#This Row],[Sleep]])</f>
        <v>44.504990820853756</v>
      </c>
      <c r="CZ87" s="2">
        <f>Table83[[#This Row],[Waist]]-Table7[[#This Row],[Waist v  Sleep]]</f>
        <v>-1.0049908208537559</v>
      </c>
      <c r="DA87" s="2">
        <f>Table7[[#This Row],[WaistS Res]]^2</f>
        <v>1.0100065500003061</v>
      </c>
      <c r="DB87">
        <f>Regression!$M$29+(Regression!$M$28*Table83[[#This Row],[BMI]])</f>
        <v>43.892813562700496</v>
      </c>
      <c r="DC87" s="2">
        <f>Table83[[#This Row],[Waist]]-Table7[[#This Row],[Waist v BMI]]</f>
        <v>-0.39281356270049628</v>
      </c>
      <c r="DD87" s="2">
        <f>Table7[[#This Row],[WaistBMI Res]]^2</f>
        <v>0.15430249504145671</v>
      </c>
      <c r="DE87">
        <f>Regression!$N$29+(Regression!$N$28*Table83[[#This Row],[CBF]])</f>
        <v>43.540887941991329</v>
      </c>
      <c r="DF87" s="2">
        <f>Table83[[#This Row],[Waist]]-Table7[[#This Row],[Waist v  CBF]]</f>
        <v>-4.0887941991329058E-2</v>
      </c>
      <c r="DG87" s="2">
        <f>Table7[[#This Row],[WaistCBF Res]]^2</f>
        <v>1.6718238002862899E-3</v>
      </c>
      <c r="DH87">
        <f>Regression!$O$29+(Regression!$O$28*Table83[[#This Row],[Gym]])</f>
        <v>44.347222222222221</v>
      </c>
      <c r="DI87" s="2">
        <f>Table83[[#This Row],[Waist]]-Table7[[#This Row],[Waist v  Gym]]</f>
        <v>-0.84722222222222143</v>
      </c>
      <c r="DJ87" s="2">
        <f>Table7[[#This Row],[WaistGYM Res]]^2</f>
        <v>0.71778549382715917</v>
      </c>
      <c r="DK87">
        <f>Regression!$P$29+(Regression!$P$28*Table83[[#This Row],[Cardio]])</f>
        <v>44.291666666666664</v>
      </c>
      <c r="DL87" s="2">
        <f>Table83[[#This Row],[Waist]]-Table7[[#This Row],[Waist v Cardio]]</f>
        <v>-0.7916666666666643</v>
      </c>
      <c r="DM87" s="2">
        <f>Table7[[#This Row],[WaistC Res]]^2</f>
        <v>0.62673611111110739</v>
      </c>
      <c r="DN87">
        <f>Regression!$Q$29+(Regression!$Q$28*Table83[[#This Row],[Calories]])</f>
        <v>44.248307966249129</v>
      </c>
      <c r="DO87" s="2">
        <f>Table83[[#This Row],[Waist]]-Table7[[#This Row],[Waist v Calories]]</f>
        <v>-0.74830796624912921</v>
      </c>
      <c r="DP87" s="2">
        <f>Table7[[#This Row],[WaistCal Res]]^2</f>
        <v>0.55996481235190787</v>
      </c>
      <c r="DQ87">
        <f>Regression!$R$29+(Regression!$R$28*Table83[[#This Row],[Carbs]])</f>
        <v>44.192020513597505</v>
      </c>
      <c r="DR87" s="2">
        <f>Table83[[#This Row],[Waist]]-Table7[[#This Row],[Waist v Carbs]]</f>
        <v>-0.69202051359750527</v>
      </c>
      <c r="DS87" s="2">
        <f>Table7[[#This Row],[WaistCarb Res]]^2</f>
        <v>0.47889239123975497</v>
      </c>
      <c r="DT87">
        <f>Regression!$S$29+(Regression!$S$28*Table83[[#This Row],[Fat ]])</f>
        <v>44.400634577428342</v>
      </c>
      <c r="DU87" s="2">
        <f>Table83[[#This Row],[Waist]]-Table7[[#This Row],[Waist v Fat]]</f>
        <v>-0.90063457742834174</v>
      </c>
      <c r="DV87" s="2">
        <f>Table7[[#This Row],[WaistF Res]]^2</f>
        <v>0.81114264205952769</v>
      </c>
      <c r="DW87">
        <f>Regression!$T$29+(Regression!$T$28*Table83[[#This Row],[Protein]])</f>
        <v>44.34165673481457</v>
      </c>
      <c r="DX87" s="2">
        <f>Table83[[#This Row],[Waist]]-Table7[[#This Row],[Waist v Protein]]</f>
        <v>-0.84165673481457048</v>
      </c>
      <c r="DY87" s="2">
        <f>Table7[[#This Row],[WaistP Res]]^2</f>
        <v>0.70838605925872422</v>
      </c>
      <c r="DZ87">
        <f>Regression!$U$29+(Regression!$U$28*Table83[[#This Row],[Fiber]])</f>
        <v>44.412021103858713</v>
      </c>
      <c r="EA87" s="2">
        <f>Table83[[#This Row],[Waist]]-Table7[[#This Row],[Waist v Fiber]]</f>
        <v>-0.91202110385871293</v>
      </c>
      <c r="EB87" s="2">
        <f>Table7[[#This Row],[WaistFib Res]]^2</f>
        <v>0.83178249388366521</v>
      </c>
      <c r="EC87">
        <f>Regression!$V$29+(Regression!$V$28*Table83[[#This Row],[Sugar]])</f>
        <v>43.93739764534201</v>
      </c>
      <c r="ED87" s="2">
        <f>Table83[[#This Row],[Waist]]-Table7[[#This Row],[Waist v Sugar]]</f>
        <v>-0.43739764534200987</v>
      </c>
      <c r="EE87" s="2">
        <f>Table7[[#This Row],[WaistSugar Res]]^2</f>
        <v>0.19131670015073465</v>
      </c>
      <c r="EF87">
        <f>Regression!$W$29+(Regression!$W$28*Table83[[#This Row],[Servings]])</f>
        <v>44.181948989716915</v>
      </c>
      <c r="EG87" s="2">
        <f>Table83[[#This Row],[Waist]]-Table7[[#This Row],[Waist v Servings]]</f>
        <v>-0.68194898971691487</v>
      </c>
      <c r="EH87" s="2">
        <f>Table7[[#This Row],[WaistServ Res]]^2</f>
        <v>0.46505442457592083</v>
      </c>
      <c r="EI87">
        <f>Regression!$X$29+(Regression!$X$28*Table83[[#This Row],[Water]])</f>
        <v>44.386198474840633</v>
      </c>
      <c r="EJ87" s="2">
        <f>Table83[[#This Row],[Waist]]-Table7[[#This Row],[Waist v Water]]</f>
        <v>-0.88619847484063285</v>
      </c>
      <c r="EK87" s="2">
        <f>Table7[[#This Row],[WaistWat Res]]^2</f>
        <v>0.78534773680986381</v>
      </c>
      <c r="EL87">
        <f>Regression!$Y$29+(Regression!$Y$28*Table83[[#This Row],[Fat Calories]])</f>
        <v>44.396042293476071</v>
      </c>
      <c r="EM87" s="2">
        <f>Table83[[#This Row],[Waist]]-Table7[[#This Row],[Waist v Fat Calories]]</f>
        <v>-0.89604229347607145</v>
      </c>
      <c r="EN87" s="2">
        <f>Table7[[#This Row],[WaistFatCal Res]]^2</f>
        <v>0.80289179169785818</v>
      </c>
    </row>
    <row r="88" spans="1:144" x14ac:dyDescent="0.25">
      <c r="A88">
        <f>Regression!$B$10+(Regression!$B$9*Table83[[#This Row],[Waist]])</f>
        <v>249.67228149328892</v>
      </c>
      <c r="B88" s="2">
        <f>Table83[[#This Row],[Weight]]-Table7[[#This Row],[Weight v Waist]]</f>
        <v>5.1277185067110906</v>
      </c>
      <c r="C88" s="2">
        <f>Table7[[#This Row],[Weight v Waist Res]]^2</f>
        <v>26.293497084067418</v>
      </c>
      <c r="D88">
        <f>Regression!$C$10+(Regression!$C$9*Table83[[#This Row],[Neck]])</f>
        <v>253.29286486487842</v>
      </c>
      <c r="E88" s="2">
        <f>Table83[[#This Row],[Weight]]-Table7[[#This Row],[Weight v Neck]]</f>
        <v>1.5071351351215867</v>
      </c>
      <c r="F88" s="2">
        <f>Table7[[#This Row],[WN Res]]^2</f>
        <v>2.2714563155179635</v>
      </c>
      <c r="G88">
        <f>Regression!$D$10+(Regression!$D$9*Table83[[#This Row],[Morning Body Temp]])</f>
        <v>255.05956644908434</v>
      </c>
      <c r="H88" s="2">
        <f>Table83[[#This Row],[Weight]]-Table7[[#This Row],[Weight v Morning Temp]]</f>
        <v>-0.25956644908433191</v>
      </c>
      <c r="I88" s="2">
        <f>Table7[[#This Row],[WMT Res]]^2</f>
        <v>6.7374741490249065E-2</v>
      </c>
      <c r="J88">
        <f>Regression!$E$10+(Regression!$E$9*Table83[[#This Row],[Morning Systolic Pressure]])</f>
        <v>255.14456383261873</v>
      </c>
      <c r="K88" s="2">
        <f>Table83[[#This Row],[Weight]]-Table7[[#This Row],[Weight v Morning Sys]]</f>
        <v>-0.34456383261871792</v>
      </c>
      <c r="L88" s="2">
        <f>Table7[[#This Row],[WMS Res]]^2</f>
        <v>0.11872423474889986</v>
      </c>
      <c r="M88">
        <f>Regression!$F$10+(Regression!$F$9*Table83[[#This Row],[Morning Diastolic Pressure]])</f>
        <v>255.00069564820177</v>
      </c>
      <c r="N88" s="2">
        <f>Table83[[#This Row],[Weight]]-Table7[[#This Row],[Weight v Morning Dia]]</f>
        <v>-0.20069564820175856</v>
      </c>
      <c r="O88" s="2">
        <f>Table7[[#This Row],[WMD Res]]^2</f>
        <v>4.0278743207124032E-2</v>
      </c>
      <c r="P88">
        <f>Regression!$G$10+(Regression!$G$9*Table83[[#This Row],[Morning Pulse]])</f>
        <v>255.12095627742721</v>
      </c>
      <c r="Q88" s="2">
        <f>Table83[[#This Row],[Weight]]-Table7[[#This Row],[Weight v Morning Pulse]]</f>
        <v>-0.32095627742720012</v>
      </c>
      <c r="R88" s="2">
        <f>Table7[[#This Row],[WMP Res]]^2</f>
        <v>0.10301293201992585</v>
      </c>
      <c r="S88">
        <f>Regression!$H$10+(Regression!$H$9*Table83[[#This Row],[Night Body Temp]])</f>
        <v>255.05687981848845</v>
      </c>
      <c r="T88" s="2">
        <f>Table83[[#This Row],[Weight]]-Table7[[#This Row],[Weight v Night Temp]]</f>
        <v>-0.25687981848844288</v>
      </c>
      <c r="U88" s="2">
        <f>Table7[[#This Row],[WNT Res]]^2</f>
        <v>6.5987241146655357E-2</v>
      </c>
      <c r="V88">
        <f>Regression!$I$10+(Regression!$I$9*Table83[[#This Row],[Night Systolic Pressure]])</f>
        <v>254.93064689108181</v>
      </c>
      <c r="W88" s="2">
        <f>Table83[[#This Row],[Weight]]-Table7[[#This Row],[Weight v Night Sys]]</f>
        <v>-0.1306468910817955</v>
      </c>
      <c r="X88" s="2">
        <f>Table7[[#This Row],[WNS Res]]^2</f>
        <v>1.7068610149338536E-2</v>
      </c>
      <c r="Y88">
        <f>Regression!$J$10+(Regression!$J$9*Table83[[#This Row],[Night Diastolic Pressure]])</f>
        <v>255.09231637424611</v>
      </c>
      <c r="Z88" s="2">
        <f>Table83[[#This Row],[Weight]]-Table7[[#This Row],[Weight v Night Dia]]</f>
        <v>-0.29231637424609858</v>
      </c>
      <c r="AA88" s="2">
        <f>Table7[[#This Row],[WND Res]]^2</f>
        <v>8.544886265238516E-2</v>
      </c>
      <c r="AB88">
        <f>Regression!$K$10+(Regression!$K$9*Table83[[#This Row],[Night Pulse]])</f>
        <v>255.11015185874123</v>
      </c>
      <c r="AC88" s="2">
        <f>Table83[[#This Row],[Weight]]-Table7[[#This Row],[Weight v Night Pulse]]</f>
        <v>-0.31015185874122153</v>
      </c>
      <c r="AD88" s="2">
        <f>Table7[[#This Row],[WNP Res ]]^2</f>
        <v>9.6194175480634636E-2</v>
      </c>
      <c r="AE88">
        <f>Regression!$L$10+(Regression!$L$9*Table83[[#This Row],[Sleep]])</f>
        <v>255.45250391075515</v>
      </c>
      <c r="AF88" s="2">
        <f>Table83[[#This Row],[Weight]]-Table7[[#This Row],[Weight v Sleep]]</f>
        <v>-0.65250391075514358</v>
      </c>
      <c r="AG88" s="2">
        <f>Table7[[#This Row],[WS Res]]^2</f>
        <v>0.42576135355075639</v>
      </c>
      <c r="AH88">
        <f>Regression!$M$10+(Regression!$M$9*Table83[[#This Row],[BMI]])</f>
        <v>254.80000000000075</v>
      </c>
      <c r="AI88" s="2">
        <f>Table83[[#This Row],[Weight]]-Table7[[#This Row],[Weight v BMI]]</f>
        <v>-7.3896444519050419E-13</v>
      </c>
      <c r="AJ88" s="2">
        <f>Table7[[#This Row],[WBMI Res]]^2</f>
        <v>5.4606845125570968E-25</v>
      </c>
      <c r="AK88">
        <f>Regression!$N$10+(Regression!$N$9*Table83[[#This Row],[CBF]])</f>
        <v>250.04675133427031</v>
      </c>
      <c r="AL88" s="2">
        <f>Table83[[#This Row],[Weight]]-Table7[[#This Row],[Weight v CBF]]</f>
        <v>4.7532486657297</v>
      </c>
      <c r="AM88" s="2">
        <f>Table7[[#This Row],[WCBF Res]]^2</f>
        <v>22.593372878261174</v>
      </c>
      <c r="AN88">
        <f>Regression!$O$10+(Regression!$O$9*Table83[[#This Row],[Gym]])</f>
        <v>254.72962962962998</v>
      </c>
      <c r="AO88" s="2">
        <f>Table83[[#This Row],[Weight]]-Table7[[#This Row],[Weight v Gym]]</f>
        <v>7.0370370370028468E-2</v>
      </c>
      <c r="AP88" s="2">
        <f>Table7[[#This Row],[WG Res]]^2</f>
        <v>4.9519890260149805E-3</v>
      </c>
      <c r="AQ88">
        <f>Regression!$P$10+(Regression!$P$9*Table83[[#This Row],[Cardio]])</f>
        <v>254.19242424242461</v>
      </c>
      <c r="AR88" s="2">
        <f>Table83[[#This Row],[Weight]]-Table7[[#This Row],[Weight v Cardio]]</f>
        <v>0.60757575757540394</v>
      </c>
      <c r="AS88" s="2">
        <f>Table7[[#This Row],[WC Res]]^2</f>
        <v>0.36914830119332603</v>
      </c>
      <c r="AT88">
        <f>Regression!$Q$10+(Regression!$Q$9*Table83[[#This Row],[Calories]])</f>
        <v>253.47060522503023</v>
      </c>
      <c r="AU88" s="2">
        <f>Table83[[#This Row],[Weight]]-Table7[[#This Row],[Weight v Calories]]</f>
        <v>1.329394774969785</v>
      </c>
      <c r="AV88" s="2">
        <f>Table7[[#This Row],[WCAL Res]]^2</f>
        <v>1.7672904677169652</v>
      </c>
      <c r="AW88">
        <f>Regression!$R$10+(Regression!$R$9*Table83[[#This Row],[Carbs]])</f>
        <v>253.25207027851158</v>
      </c>
      <c r="AX88" s="2">
        <f>Table83[[#This Row],[Weight]]-Table7[[#This Row],[Weight v Carbs]]</f>
        <v>1.5479297214884298</v>
      </c>
      <c r="AY88" s="2">
        <f>Table7[[#This Row],[Wcarb Res]]^2</f>
        <v>2.3960864226672478</v>
      </c>
      <c r="AZ88">
        <f>Regression!$S$10+(Regression!$S$9*Table83[[#This Row],[Fat ]])</f>
        <v>254.14729572457659</v>
      </c>
      <c r="BA88" s="2">
        <f>Table83[[#This Row],[Weight]]-Table7[[#This Row],[Weight v Fat]]</f>
        <v>0.65270427542341736</v>
      </c>
      <c r="BB88" s="2">
        <f>Table7[[#This Row],[WF Res]]^2</f>
        <v>0.42602287115600829</v>
      </c>
      <c r="BC88">
        <f>Regression!$T$10+(Regression!$T$9*Table83[[#This Row],[Protein]])</f>
        <v>253.51776779930316</v>
      </c>
      <c r="BD88" s="2">
        <f>Table83[[#This Row],[Weight]]-Table7[[#This Row],[Weight v Protein]]</f>
        <v>1.2822322006968534</v>
      </c>
      <c r="BE88" s="2">
        <f>Table7[[#This Row],[WP Res]]^2</f>
        <v>1.6441194165038957</v>
      </c>
      <c r="BF88">
        <f>Regression!$U$10+(Regression!$U$9*Table83[[#This Row],[Fiber]])</f>
        <v>255.17900845128392</v>
      </c>
      <c r="BG88" s="2">
        <f>Table83[[#This Row],[Weight]]-Table7[[#This Row],[Weight v Fiber]]</f>
        <v>-0.3790084512839087</v>
      </c>
      <c r="BH88" s="2">
        <f>Table7[[#This Row],[Wfib Res]]^2</f>
        <v>0.14364740614462698</v>
      </c>
      <c r="BI88">
        <f>Regression!$V$10+(Regression!$V$9*Table83[[#This Row],[Sugar]])</f>
        <v>253.07862894416292</v>
      </c>
      <c r="BJ88" s="2">
        <f>Table83[[#This Row],[Weight]]-Table7[[#This Row],[Weight v Sugar]]</f>
        <v>1.7213710558370963</v>
      </c>
      <c r="BK88" s="2">
        <f>Table7[[#This Row],[Wsugar Res]]^2</f>
        <v>2.9631183118737194</v>
      </c>
      <c r="BL88">
        <f>Regression!$W$10+(Regression!$W$9*Table83[[#This Row],[Servings]])</f>
        <v>251.38562436585642</v>
      </c>
      <c r="BM88" s="2">
        <f>Table83[[#This Row],[Weight]]-Table7[[#This Row],[Weight v Servings]]</f>
        <v>3.414375634143596</v>
      </c>
      <c r="BN88" s="2">
        <f>Table7[[#This Row],[Wserv Res]]^2</f>
        <v>11.657960971033484</v>
      </c>
      <c r="BO88">
        <f>Regression!$X$10+(Regression!$X$9*Table83[[#This Row],[Water]])</f>
        <v>255.0206340268538</v>
      </c>
      <c r="BP88" s="2">
        <f>Table83[[#This Row],[Weight]]-Table7[[#This Row],[Weight v Water]]</f>
        <v>-0.22063402685378719</v>
      </c>
      <c r="BQ88" s="2">
        <f>Table7[[#This Row],[Wwater Res]]^2</f>
        <v>4.8679373805717685E-2</v>
      </c>
      <c r="BR88">
        <f>Regression!$Y$10+(Regression!$Y$9*Table83[[#This Row],[Fat Calories]])</f>
        <v>254.08025475902957</v>
      </c>
      <c r="BS88" s="2">
        <f>Table83[[#This Row],[Weight]]-Table7[[#This Row],[Weight v Fat Calories]]</f>
        <v>0.71974524097043968</v>
      </c>
      <c r="BT88" s="2">
        <f>Table7[[#This Row],[WFC Res]]^2</f>
        <v>0.51803321189959628</v>
      </c>
      <c r="BU88">
        <f>Regression!$B$29+(Regression!$B$28*Table83[[#This Row],[Weight]])</f>
        <v>44.41061110286465</v>
      </c>
      <c r="BV88" s="2">
        <f>Table83[[#This Row],[Waist]]-Table7[[#This Row],[Waist v Weight]]</f>
        <v>-0.91061110286464952</v>
      </c>
      <c r="BW88" s="2">
        <f>Table7[[#This Row],[WaistW Res]]^2</f>
        <v>0.82921258066037329</v>
      </c>
      <c r="BX88">
        <f>Regression!$C$29+(Regression!$C$28*Table83[[#This Row],[Neck]])</f>
        <v>44.175585585585594</v>
      </c>
      <c r="BY88" s="2">
        <f>Table83[[#This Row],[Waist]]-Table7[[#This Row],[Waist v Neck]]</f>
        <v>-0.67558558558559412</v>
      </c>
      <c r="BZ88" s="2">
        <f>Table7[[#This Row],[WaistN Res]]^2</f>
        <v>0.45641588345103012</v>
      </c>
      <c r="CA88">
        <f>Regression!$D$29+(Regression!$D$28*Table83[[#This Row],[Morning Body Temp]])</f>
        <v>44.438451117581323</v>
      </c>
      <c r="CB88" s="2">
        <f>Table83[[#This Row],[Waist]]-Table7[[#This Row],[Waist v Morning Temp]]</f>
        <v>-0.93845111758132305</v>
      </c>
      <c r="CC88" s="2">
        <f>Table7[[#This Row],[WaistMT Res]]^2</f>
        <v>0.88069050008963423</v>
      </c>
      <c r="CD88">
        <f>Regression!$E$29+(Regression!$E$28*Table83[[#This Row],[Morning Systolic Pressure]])</f>
        <v>44.460475132636631</v>
      </c>
      <c r="CE88" s="2">
        <f>Table83[[#This Row],[Waist]]-Table7[[#This Row],[Waist v Morning Sys]]</f>
        <v>-0.9604751326366312</v>
      </c>
      <c r="CF88" s="2">
        <f>Table7[[#This Row],[WaistMS Res]]^2</f>
        <v>0.92251248041335432</v>
      </c>
      <c r="CG88">
        <f>Regression!$F$29+(Regression!$F$28*Table83[[#This Row],[Morning Diastolic Pressure]])</f>
        <v>44.447181047475404</v>
      </c>
      <c r="CH88" s="2">
        <f>Table83[[#This Row],[Waist]]-Table7[[#This Row],[Waist v Morning Dia]]</f>
        <v>-0.94718104747540366</v>
      </c>
      <c r="CI88" s="2">
        <f>Table7[[#This Row],[WaistMD Res]]^2</f>
        <v>0.89715193669660287</v>
      </c>
      <c r="CJ88">
        <f>Regression!$G$29+(Regression!$G$28*Table83[[#This Row],[Morning Pulse]])</f>
        <v>44.456255205227038</v>
      </c>
      <c r="CK88" s="2">
        <f>Table83[[#This Row],[Waist]]-Table7[[#This Row],[Waist v Morning Pulse]]</f>
        <v>-0.95625520522703766</v>
      </c>
      <c r="CL88" s="2">
        <f>Table7[[#This Row],[WaistMP Res]]^2</f>
        <v>0.91442401752380387</v>
      </c>
      <c r="CM88">
        <f>Regression!$H$29+(Regression!$H$28*Table83[[#This Row],[Night Body Temp]])</f>
        <v>44.448953954659181</v>
      </c>
      <c r="CN88" s="2">
        <f>Table83[[#This Row],[Waist]]-Table7[[#This Row],[Waist v Night Temp]]</f>
        <v>-0.94895395465918142</v>
      </c>
      <c r="CO88" s="2">
        <f>Table7[[#This Row],[WaistNT Res]]^2</f>
        <v>0.90051360806329972</v>
      </c>
      <c r="CP88">
        <f>Regression!$I$29+(Regression!$I$28*Table83[[#This Row],[Night Systolic Pressure]])</f>
        <v>44.427419086653984</v>
      </c>
      <c r="CQ88" s="2">
        <f>Table83[[#This Row],[Waist]]-Table7[[#This Row],[Waist v  Night Sys]]</f>
        <v>-0.92741908665398398</v>
      </c>
      <c r="CR88" s="2">
        <f>Table7[[#This Row],[WaistNS Res]]^2</f>
        <v>0.86010616229010983</v>
      </c>
      <c r="CS88">
        <f>Regression!$J$29+(Regression!$J$28*Table83[[#This Row],[Night Diastolic Pressure]])</f>
        <v>44.444024065946287</v>
      </c>
      <c r="CT88" s="2">
        <f>Table83[[#This Row],[Waist]]-Table7[[#This Row],[Waist v Night Dia]]</f>
        <v>-0.94402406594628729</v>
      </c>
      <c r="CU88" s="2">
        <f>Table7[[#This Row],[WaistND Res]]^2</f>
        <v>0.89118143708576014</v>
      </c>
      <c r="CV88">
        <f>Regression!$K$29+(Regression!$K$28*Table83[[#This Row],[Night Pulse]])</f>
        <v>44.453994879943338</v>
      </c>
      <c r="CW88" s="2">
        <f>Table83[[#This Row],[Waist]]-Table7[[#This Row],[Waist v Night Pulse]]</f>
        <v>-0.95399487994333754</v>
      </c>
      <c r="CX88" s="2">
        <f>Table7[[#This Row],[WaistNP Res]]^2</f>
        <v>0.91010623095810295</v>
      </c>
      <c r="CY88">
        <f>Regression!$L$29+(Regression!$L$28*Table83[[#This Row],[Sleep]])</f>
        <v>44.504990820853756</v>
      </c>
      <c r="CZ88" s="2">
        <f>Table83[[#This Row],[Waist]]-Table7[[#This Row],[Waist v  Sleep]]</f>
        <v>-1.0049908208537559</v>
      </c>
      <c r="DA88" s="2">
        <f>Table7[[#This Row],[WaistS Res]]^2</f>
        <v>1.0100065500003061</v>
      </c>
      <c r="DB88">
        <f>Regression!$M$29+(Regression!$M$28*Table83[[#This Row],[BMI]])</f>
        <v>44.410611102864792</v>
      </c>
      <c r="DC88" s="2">
        <f>Table83[[#This Row],[Waist]]-Table7[[#This Row],[Waist v BMI]]</f>
        <v>-0.91061110286479163</v>
      </c>
      <c r="DD88" s="2">
        <f>Table7[[#This Row],[WaistBMI Res]]^2</f>
        <v>0.82921258066063208</v>
      </c>
      <c r="DE88">
        <f>Regression!$N$29+(Regression!$N$28*Table83[[#This Row],[CBF]])</f>
        <v>43.540887941991329</v>
      </c>
      <c r="DF88" s="2">
        <f>Table83[[#This Row],[Waist]]-Table7[[#This Row],[Waist v  CBF]]</f>
        <v>-4.0887941991329058E-2</v>
      </c>
      <c r="DG88" s="2">
        <f>Table7[[#This Row],[WaistCBF Res]]^2</f>
        <v>1.6718238002862899E-3</v>
      </c>
      <c r="DH88">
        <f>Regression!$O$29+(Regression!$O$28*Table83[[#This Row],[Gym]])</f>
        <v>44.347222222222221</v>
      </c>
      <c r="DI88" s="2">
        <f>Table83[[#This Row],[Waist]]-Table7[[#This Row],[Waist v  Gym]]</f>
        <v>-0.84722222222222143</v>
      </c>
      <c r="DJ88" s="2">
        <f>Table7[[#This Row],[WaistGYM Res]]^2</f>
        <v>0.71778549382715917</v>
      </c>
      <c r="DK88">
        <f>Regression!$P$29+(Regression!$P$28*Table83[[#This Row],[Cardio]])</f>
        <v>44.291666666666664</v>
      </c>
      <c r="DL88" s="2">
        <f>Table83[[#This Row],[Waist]]-Table7[[#This Row],[Waist v Cardio]]</f>
        <v>-0.7916666666666643</v>
      </c>
      <c r="DM88" s="2">
        <f>Table7[[#This Row],[WaistC Res]]^2</f>
        <v>0.62673611111110739</v>
      </c>
      <c r="DN88">
        <f>Regression!$Q$29+(Regression!$Q$28*Table83[[#This Row],[Calories]])</f>
        <v>44.084070847698385</v>
      </c>
      <c r="DO88" s="2">
        <f>Table83[[#This Row],[Waist]]-Table7[[#This Row],[Waist v Calories]]</f>
        <v>-0.58407084769838491</v>
      </c>
      <c r="DP88" s="2">
        <f>Table7[[#This Row],[WaistCal Res]]^2</f>
        <v>0.34113875513110992</v>
      </c>
      <c r="DQ88">
        <f>Regression!$R$29+(Regression!$R$28*Table83[[#This Row],[Carbs]])</f>
        <v>44.065680051010439</v>
      </c>
      <c r="DR88" s="2">
        <f>Table83[[#This Row],[Waist]]-Table7[[#This Row],[Waist v Carbs]]</f>
        <v>-0.56568005101043894</v>
      </c>
      <c r="DS88" s="2">
        <f>Table7[[#This Row],[WaistCarb Res]]^2</f>
        <v>0.31999392011117278</v>
      </c>
      <c r="DT88">
        <f>Regression!$S$29+(Regression!$S$28*Table83[[#This Row],[Fat ]])</f>
        <v>44.157719579644748</v>
      </c>
      <c r="DU88" s="2">
        <f>Table83[[#This Row],[Waist]]-Table7[[#This Row],[Waist v Fat]]</f>
        <v>-0.65771957964474836</v>
      </c>
      <c r="DV88" s="2">
        <f>Table7[[#This Row],[WaistF Res]]^2</f>
        <v>0.43259504544806449</v>
      </c>
      <c r="DW88">
        <f>Regression!$T$29+(Regression!$T$28*Table83[[#This Row],[Protein]])</f>
        <v>44.161178899783728</v>
      </c>
      <c r="DX88" s="2">
        <f>Table83[[#This Row],[Waist]]-Table7[[#This Row],[Waist v Protein]]</f>
        <v>-0.66117889978372801</v>
      </c>
      <c r="DY88" s="2">
        <f>Table7[[#This Row],[WaistP Res]]^2</f>
        <v>0.43715753751922104</v>
      </c>
      <c r="DZ88">
        <f>Regression!$U$29+(Regression!$U$28*Table83[[#This Row],[Fiber]])</f>
        <v>44.478221047525075</v>
      </c>
      <c r="EA88" s="2">
        <f>Table83[[#This Row],[Waist]]-Table7[[#This Row],[Waist v Fiber]]</f>
        <v>-0.97822104752507499</v>
      </c>
      <c r="EB88" s="2">
        <f>Table7[[#This Row],[WaistFib Res]]^2</f>
        <v>0.95691641782105508</v>
      </c>
      <c r="EC88">
        <f>Regression!$V$29+(Regression!$V$28*Table83[[#This Row],[Sugar]])</f>
        <v>44.087720525907336</v>
      </c>
      <c r="ED88" s="2">
        <f>Table83[[#This Row],[Waist]]-Table7[[#This Row],[Waist v Sugar]]</f>
        <v>-0.58772052590733637</v>
      </c>
      <c r="EE88" s="2">
        <f>Table7[[#This Row],[WaistSugar Res]]^2</f>
        <v>0.34541541657279606</v>
      </c>
      <c r="EF88">
        <f>Regression!$W$29+(Regression!$W$28*Table83[[#This Row],[Servings]])</f>
        <v>43.884492481144051</v>
      </c>
      <c r="EG88" s="2">
        <f>Table83[[#This Row],[Waist]]-Table7[[#This Row],[Waist v Servings]]</f>
        <v>-0.38449248114405066</v>
      </c>
      <c r="EH88" s="2">
        <f>Table7[[#This Row],[WaistServ Res]]^2</f>
        <v>0.14783446805630815</v>
      </c>
      <c r="EI88">
        <f>Regression!$X$29+(Regression!$X$28*Table83[[#This Row],[Water]])</f>
        <v>44.33031459742935</v>
      </c>
      <c r="EJ88" s="2">
        <f>Table83[[#This Row],[Waist]]-Table7[[#This Row],[Waist v Water]]</f>
        <v>-0.83031459742934999</v>
      </c>
      <c r="EK88" s="2">
        <f>Table7[[#This Row],[WaistWat Res]]^2</f>
        <v>0.68942233070426351</v>
      </c>
      <c r="EL88">
        <f>Regression!$Y$29+(Regression!$Y$28*Table83[[#This Row],[Fat Calories]])</f>
        <v>44.138830571016697</v>
      </c>
      <c r="EM88" s="2">
        <f>Table83[[#This Row],[Waist]]-Table7[[#This Row],[Waist v Fat Calories]]</f>
        <v>-0.63883057101669749</v>
      </c>
      <c r="EN88" s="2">
        <f>Table7[[#This Row],[WaistFatCal Res]]^2</f>
        <v>0.40810449846551977</v>
      </c>
    </row>
    <row r="89" spans="1:144" x14ac:dyDescent="0.25">
      <c r="A89">
        <f>Regression!$B$10+(Regression!$B$9*Table83[[#This Row],[Waist]])</f>
        <v>249.67228149328892</v>
      </c>
      <c r="B89" s="2">
        <f>Table83[[#This Row],[Weight]]-Table7[[#This Row],[Weight v Waist]]</f>
        <v>8.3277185067110793</v>
      </c>
      <c r="C89" s="2">
        <f>Table7[[#This Row],[Weight v Waist Res]]^2</f>
        <v>69.35089552701821</v>
      </c>
      <c r="D89">
        <f>Regression!$C$10+(Regression!$C$9*Table83[[#This Row],[Neck]])</f>
        <v>253.29286486487842</v>
      </c>
      <c r="E89" s="2">
        <f>Table83[[#This Row],[Weight]]-Table7[[#This Row],[Weight v Neck]]</f>
        <v>4.7071351351215753</v>
      </c>
      <c r="F89" s="2">
        <f>Table7[[#This Row],[WN Res]]^2</f>
        <v>22.157121180296013</v>
      </c>
      <c r="G89">
        <f>Regression!$D$10+(Regression!$D$9*Table83[[#This Row],[Morning Body Temp]])</f>
        <v>254.84837078641723</v>
      </c>
      <c r="H89" s="2">
        <f>Table83[[#This Row],[Weight]]-Table7[[#This Row],[Weight v Morning Temp]]</f>
        <v>3.1516292135827655</v>
      </c>
      <c r="I89" s="2">
        <f>Table7[[#This Row],[WMT Res]]^2</f>
        <v>9.9327666999083206</v>
      </c>
      <c r="J89">
        <f>Regression!$E$10+(Regression!$E$9*Table83[[#This Row],[Morning Systolic Pressure]])</f>
        <v>255.1896410364821</v>
      </c>
      <c r="K89" s="2">
        <f>Table83[[#This Row],[Weight]]-Table7[[#This Row],[Weight v Morning Sys]]</f>
        <v>2.8103589635178992</v>
      </c>
      <c r="L89" s="2">
        <f>Table7[[#This Row],[WMS Res]]^2</f>
        <v>7.8981175038254001</v>
      </c>
      <c r="M89">
        <f>Regression!$F$10+(Regression!$F$9*Table83[[#This Row],[Morning Diastolic Pressure]])</f>
        <v>255.20338414629154</v>
      </c>
      <c r="N89" s="2">
        <f>Table83[[#This Row],[Weight]]-Table7[[#This Row],[Weight v Morning Dia]]</f>
        <v>2.7966158537084596</v>
      </c>
      <c r="O89" s="2">
        <f>Table7[[#This Row],[WMD Res]]^2</f>
        <v>7.8210602332134957</v>
      </c>
      <c r="P89">
        <f>Regression!$G$10+(Regression!$G$9*Table83[[#This Row],[Morning Pulse]])</f>
        <v>255.11364509439846</v>
      </c>
      <c r="Q89" s="2">
        <f>Table83[[#This Row],[Weight]]-Table7[[#This Row],[Weight v Morning Pulse]]</f>
        <v>2.8863549056015358</v>
      </c>
      <c r="R89" s="2">
        <f>Table7[[#This Row],[WMP Res]]^2</f>
        <v>8.3310446410900507</v>
      </c>
      <c r="S89">
        <f>Regression!$H$10+(Regression!$H$9*Table83[[#This Row],[Night Body Temp]])</f>
        <v>255.46766610041516</v>
      </c>
      <c r="T89" s="2">
        <f>Table83[[#This Row],[Weight]]-Table7[[#This Row],[Weight v Night Temp]]</f>
        <v>2.5323338995848417</v>
      </c>
      <c r="U89" s="2">
        <f>Table7[[#This Row],[WNT Res]]^2</f>
        <v>6.4127149789865712</v>
      </c>
      <c r="V89">
        <f>Regression!$I$10+(Regression!$I$9*Table83[[#This Row],[Night Systolic Pressure]])</f>
        <v>255.54651589525261</v>
      </c>
      <c r="W89" s="2">
        <f>Table83[[#This Row],[Weight]]-Table7[[#This Row],[Weight v Night Sys]]</f>
        <v>2.453484104747389</v>
      </c>
      <c r="X89" s="2">
        <f>Table7[[#This Row],[WNS Res]]^2</f>
        <v>6.0195842522480971</v>
      </c>
      <c r="Y89">
        <f>Regression!$J$10+(Regression!$J$9*Table83[[#This Row],[Night Diastolic Pressure]])</f>
        <v>255.29614571632661</v>
      </c>
      <c r="Z89" s="2">
        <f>Table83[[#This Row],[Weight]]-Table7[[#This Row],[Weight v Night Dia]]</f>
        <v>2.7038542836733939</v>
      </c>
      <c r="AA89" s="2">
        <f>Table7[[#This Row],[WND Res]]^2</f>
        <v>7.3108279873389614</v>
      </c>
      <c r="AB89">
        <f>Regression!$K$10+(Regression!$K$9*Table83[[#This Row],[Night Pulse]])</f>
        <v>254.98729853379433</v>
      </c>
      <c r="AC89" s="2">
        <f>Table83[[#This Row],[Weight]]-Table7[[#This Row],[Weight v Night Pulse]]</f>
        <v>3.0127014662056695</v>
      </c>
      <c r="AD89" s="2">
        <f>Table7[[#This Row],[WNP Res ]]^2</f>
        <v>9.0763701244777906</v>
      </c>
      <c r="AE89">
        <f>Regression!$L$10+(Regression!$L$9*Table83[[#This Row],[Sleep]])</f>
        <v>255.13702972738133</v>
      </c>
      <c r="AF89" s="2">
        <f>Table83[[#This Row],[Weight]]-Table7[[#This Row],[Weight v Sleep]]</f>
        <v>2.8629702726186679</v>
      </c>
      <c r="AG89" s="2">
        <f>Table7[[#This Row],[WS Res]]^2</f>
        <v>8.19659878189821</v>
      </c>
      <c r="AH89">
        <f>Regression!$M$10+(Regression!$M$9*Table83[[#This Row],[BMI]])</f>
        <v>257.99999999999352</v>
      </c>
      <c r="AI89" s="2">
        <f>Table83[[#This Row],[Weight]]-Table7[[#This Row],[Weight v BMI]]</f>
        <v>6.4801497501321137E-12</v>
      </c>
      <c r="AJ89" s="2">
        <f>Table7[[#This Row],[WBMI Res]]^2</f>
        <v>4.1992340784137296E-23</v>
      </c>
      <c r="AK89">
        <f>Regression!$N$10+(Regression!$N$9*Table83[[#This Row],[CBF]])</f>
        <v>250.04675133427031</v>
      </c>
      <c r="AL89" s="2">
        <f>Table83[[#This Row],[Weight]]-Table7[[#This Row],[Weight v CBF]]</f>
        <v>7.9532486657296886</v>
      </c>
      <c r="AM89" s="2">
        <f>Table7[[#This Row],[WCBF Res]]^2</f>
        <v>63.254164338931069</v>
      </c>
      <c r="AN89">
        <f>Regression!$O$10+(Regression!$O$9*Table83[[#This Row],[Gym]])</f>
        <v>254.72962962962998</v>
      </c>
      <c r="AO89" s="2">
        <f>Table83[[#This Row],[Weight]]-Table7[[#This Row],[Weight v Gym]]</f>
        <v>3.2703703703700171</v>
      </c>
      <c r="AP89" s="2">
        <f>Table7[[#This Row],[WG Res]]^2</f>
        <v>10.695322359394122</v>
      </c>
      <c r="AQ89">
        <f>Regression!$P$10+(Regression!$P$9*Table83[[#This Row],[Cardio]])</f>
        <v>254.19242424242461</v>
      </c>
      <c r="AR89" s="2">
        <f>Table83[[#This Row],[Weight]]-Table7[[#This Row],[Weight v Cardio]]</f>
        <v>3.8075757575753926</v>
      </c>
      <c r="AS89" s="2">
        <f>Table7[[#This Row],[WC Res]]^2</f>
        <v>14.497633149675824</v>
      </c>
      <c r="AT89">
        <f>Regression!$Q$10+(Regression!$Q$9*Table83[[#This Row],[Calories]])</f>
        <v>255.49466027161802</v>
      </c>
      <c r="AU89" s="2">
        <f>Table83[[#This Row],[Weight]]-Table7[[#This Row],[Weight v Calories]]</f>
        <v>2.5053397283819834</v>
      </c>
      <c r="AV89" s="2">
        <f>Table7[[#This Row],[WCAL Res]]^2</f>
        <v>6.2767271546091106</v>
      </c>
      <c r="AW89">
        <f>Regression!$R$10+(Regression!$R$9*Table83[[#This Row],[Carbs]])</f>
        <v>255.41074355658972</v>
      </c>
      <c r="AX89" s="2">
        <f>Table83[[#This Row],[Weight]]-Table7[[#This Row],[Weight v Carbs]]</f>
        <v>2.5892564434102781</v>
      </c>
      <c r="AY89" s="2">
        <f>Table7[[#This Row],[Wcarb Res]]^2</f>
        <v>6.7042489297416425</v>
      </c>
      <c r="AZ89">
        <f>Regression!$S$10+(Regression!$S$9*Table83[[#This Row],[Fat ]])</f>
        <v>255.35860624713038</v>
      </c>
      <c r="BA89" s="2">
        <f>Table83[[#This Row],[Weight]]-Table7[[#This Row],[Weight v Fat]]</f>
        <v>2.6413937528696181</v>
      </c>
      <c r="BB89" s="2">
        <f>Table7[[#This Row],[WF Res]]^2</f>
        <v>6.9769609576986449</v>
      </c>
      <c r="BC89">
        <f>Regression!$T$10+(Regression!$T$9*Table83[[#This Row],[Protein]])</f>
        <v>256.0203554191238</v>
      </c>
      <c r="BD89" s="2">
        <f>Table83[[#This Row],[Weight]]-Table7[[#This Row],[Weight v Protein]]</f>
        <v>1.9796445808761973</v>
      </c>
      <c r="BE89" s="2">
        <f>Table7[[#This Row],[WP Res]]^2</f>
        <v>3.9189926665924948</v>
      </c>
      <c r="BF89">
        <f>Regression!$U$10+(Regression!$U$9*Table83[[#This Row],[Fiber]])</f>
        <v>254.89223201853099</v>
      </c>
      <c r="BG89" s="2">
        <f>Table83[[#This Row],[Weight]]-Table7[[#This Row],[Weight v Fiber]]</f>
        <v>3.10776798146901</v>
      </c>
      <c r="BH89" s="2">
        <f>Table7[[#This Row],[Wfib Res]]^2</f>
        <v>9.658221826643965</v>
      </c>
      <c r="BI89">
        <f>Regression!$V$10+(Regression!$V$9*Table83[[#This Row],[Sugar]])</f>
        <v>255.33965454516934</v>
      </c>
      <c r="BJ89" s="2">
        <f>Table83[[#This Row],[Weight]]-Table7[[#This Row],[Weight v Sugar]]</f>
        <v>2.6603454548306615</v>
      </c>
      <c r="BK89" s="2">
        <f>Table7[[#This Row],[Wsugar Res]]^2</f>
        <v>7.077437939038159</v>
      </c>
      <c r="BL89">
        <f>Regression!$W$10+(Regression!$W$9*Table83[[#This Row],[Servings]])</f>
        <v>254.86408886248378</v>
      </c>
      <c r="BM89" s="2">
        <f>Table83[[#This Row],[Weight]]-Table7[[#This Row],[Weight v Servings]]</f>
        <v>3.1359111375162172</v>
      </c>
      <c r="BN89" s="2">
        <f>Table7[[#This Row],[Wserv Res]]^2</f>
        <v>9.8339386623982552</v>
      </c>
      <c r="BO89">
        <f>Regression!$X$10+(Regression!$X$9*Table83[[#This Row],[Water]])</f>
        <v>255.0206340268538</v>
      </c>
      <c r="BP89" s="2">
        <f>Table83[[#This Row],[Weight]]-Table7[[#This Row],[Weight v Water]]</f>
        <v>2.9793659731462014</v>
      </c>
      <c r="BQ89" s="2">
        <f>Table7[[#This Row],[Wwater Res]]^2</f>
        <v>8.8766216019414124</v>
      </c>
      <c r="BR89">
        <f>Regression!$Y$10+(Regression!$Y$9*Table83[[#This Row],[Fat Calories]])</f>
        <v>255.36939388279427</v>
      </c>
      <c r="BS89" s="2">
        <f>Table83[[#This Row],[Weight]]-Table7[[#This Row],[Weight v Fat Calories]]</f>
        <v>2.6306061172057298</v>
      </c>
      <c r="BT89" s="2">
        <f>Table7[[#This Row],[WFC Res]]^2</f>
        <v>6.9200885438802056</v>
      </c>
      <c r="BU89">
        <f>Regression!$B$29+(Regression!$B$28*Table83[[#This Row],[Weight]])</f>
        <v>44.846651136688592</v>
      </c>
      <c r="BV89" s="2">
        <f>Table83[[#This Row],[Waist]]-Table7[[#This Row],[Waist v Weight]]</f>
        <v>-1.3466511366885925</v>
      </c>
      <c r="BW89" s="2">
        <f>Table7[[#This Row],[WaistW Res]]^2</f>
        <v>1.8134692839446782</v>
      </c>
      <c r="BX89">
        <f>Regression!$C$29+(Regression!$C$28*Table83[[#This Row],[Neck]])</f>
        <v>44.175585585585594</v>
      </c>
      <c r="BY89" s="2">
        <f>Table83[[#This Row],[Waist]]-Table7[[#This Row],[Waist v Neck]]</f>
        <v>-0.67558558558559412</v>
      </c>
      <c r="BZ89" s="2">
        <f>Table7[[#This Row],[WaistN Res]]^2</f>
        <v>0.45641588345103012</v>
      </c>
      <c r="CA89">
        <f>Regression!$D$29+(Regression!$D$28*Table83[[#This Row],[Morning Body Temp]])</f>
        <v>44.381010678053698</v>
      </c>
      <c r="CB89" s="2">
        <f>Table83[[#This Row],[Waist]]-Table7[[#This Row],[Waist v Morning Temp]]</f>
        <v>-0.88101067805369837</v>
      </c>
      <c r="CC89" s="2">
        <f>Table7[[#This Row],[WaistMT Res]]^2</f>
        <v>0.77617981484463738</v>
      </c>
      <c r="CD89">
        <f>Regression!$E$29+(Regression!$E$28*Table83[[#This Row],[Morning Systolic Pressure]])</f>
        <v>44.471065537879056</v>
      </c>
      <c r="CE89" s="2">
        <f>Table83[[#This Row],[Waist]]-Table7[[#This Row],[Waist v Morning Sys]]</f>
        <v>-0.97106553787905625</v>
      </c>
      <c r="CF89" s="2">
        <f>Table7[[#This Row],[WaistMS Res]]^2</f>
        <v>0.94296827885634082</v>
      </c>
      <c r="CG89">
        <f>Regression!$F$29+(Regression!$F$28*Table83[[#This Row],[Morning Diastolic Pressure]])</f>
        <v>44.458452288813113</v>
      </c>
      <c r="CH89" s="2">
        <f>Table83[[#This Row],[Waist]]-Table7[[#This Row],[Waist v Morning Dia]]</f>
        <v>-0.95845228881311328</v>
      </c>
      <c r="CI89" s="2">
        <f>Table7[[#This Row],[WaistMD Res]]^2</f>
        <v>0.91863078993109548</v>
      </c>
      <c r="CJ89">
        <f>Regression!$G$29+(Regression!$G$28*Table83[[#This Row],[Morning Pulse]])</f>
        <v>44.452897194932582</v>
      </c>
      <c r="CK89" s="2">
        <f>Table83[[#This Row],[Waist]]-Table7[[#This Row],[Waist v Morning Pulse]]</f>
        <v>-0.95289719493258218</v>
      </c>
      <c r="CL89" s="2">
        <f>Table7[[#This Row],[WaistMP Res]]^2</f>
        <v>0.90801306411038352</v>
      </c>
      <c r="CM89">
        <f>Regression!$H$29+(Regression!$H$28*Table83[[#This Row],[Night Body Temp]])</f>
        <v>44.481341649878722</v>
      </c>
      <c r="CN89" s="2">
        <f>Table83[[#This Row],[Waist]]-Table7[[#This Row],[Waist v Night Temp]]</f>
        <v>-0.98134164987872197</v>
      </c>
      <c r="CO89" s="2">
        <f>Table7[[#This Row],[WaistNT Res]]^2</f>
        <v>0.96303143378669209</v>
      </c>
      <c r="CP89">
        <f>Regression!$I$29+(Regression!$I$28*Table83[[#This Row],[Night Systolic Pressure]])</f>
        <v>44.514659772607665</v>
      </c>
      <c r="CQ89" s="2">
        <f>Table83[[#This Row],[Waist]]-Table7[[#This Row],[Waist v  Night Sys]]</f>
        <v>-1.0146597726076649</v>
      </c>
      <c r="CR89" s="2">
        <f>Table7[[#This Row],[WaistNS Res]]^2</f>
        <v>1.0295344541482383</v>
      </c>
      <c r="CS89">
        <f>Regression!$J$29+(Regression!$J$28*Table83[[#This Row],[Night Diastolic Pressure]])</f>
        <v>44.529363791983499</v>
      </c>
      <c r="CT89" s="2">
        <f>Table83[[#This Row],[Waist]]-Table7[[#This Row],[Waist v Night Dia]]</f>
        <v>-1.0293637919834993</v>
      </c>
      <c r="CU89" s="2">
        <f>Table7[[#This Row],[WaistND Res]]^2</f>
        <v>1.0595898162466488</v>
      </c>
      <c r="CV89">
        <f>Regression!$K$29+(Regression!$K$28*Table83[[#This Row],[Night Pulse]])</f>
        <v>44.465421865187196</v>
      </c>
      <c r="CW89" s="2">
        <f>Table83[[#This Row],[Waist]]-Table7[[#This Row],[Waist v Night Pulse]]</f>
        <v>-0.96542186518719575</v>
      </c>
      <c r="CX89" s="2">
        <f>Table7[[#This Row],[WaistNP Res]]^2</f>
        <v>0.93203937778152401</v>
      </c>
      <c r="CY89">
        <f>Regression!$L$29+(Regression!$L$28*Table83[[#This Row],[Sleep]])</f>
        <v>44.456891852858099</v>
      </c>
      <c r="CZ89" s="2">
        <f>Table83[[#This Row],[Waist]]-Table7[[#This Row],[Waist v  Sleep]]</f>
        <v>-0.95689185285809941</v>
      </c>
      <c r="DA89" s="2">
        <f>Table7[[#This Row],[WaistS Res]]^2</f>
        <v>0.9156420180662066</v>
      </c>
      <c r="DB89">
        <f>Regression!$M$29+(Regression!$M$28*Table83[[#This Row],[BMI]])</f>
        <v>44.846651136687342</v>
      </c>
      <c r="DC89" s="2">
        <f>Table83[[#This Row],[Waist]]-Table7[[#This Row],[Waist v BMI]]</f>
        <v>-1.3466511366873419</v>
      </c>
      <c r="DD89" s="2">
        <f>Table7[[#This Row],[WaistBMI Res]]^2</f>
        <v>1.81346928394131</v>
      </c>
      <c r="DE89">
        <f>Regression!$N$29+(Regression!$N$28*Table83[[#This Row],[CBF]])</f>
        <v>43.540887941991329</v>
      </c>
      <c r="DF89" s="2">
        <f>Table83[[#This Row],[Waist]]-Table7[[#This Row],[Waist v  CBF]]</f>
        <v>-4.0887941991329058E-2</v>
      </c>
      <c r="DG89" s="2">
        <f>Table7[[#This Row],[WaistCBF Res]]^2</f>
        <v>1.6718238002862899E-3</v>
      </c>
      <c r="DH89">
        <f>Regression!$O$29+(Regression!$O$28*Table83[[#This Row],[Gym]])</f>
        <v>44.347222222222221</v>
      </c>
      <c r="DI89" s="2">
        <f>Table83[[#This Row],[Waist]]-Table7[[#This Row],[Waist v  Gym]]</f>
        <v>-0.84722222222222143</v>
      </c>
      <c r="DJ89" s="2">
        <f>Table7[[#This Row],[WaistGYM Res]]^2</f>
        <v>0.71778549382715917</v>
      </c>
      <c r="DK89">
        <f>Regression!$P$29+(Regression!$P$28*Table83[[#This Row],[Cardio]])</f>
        <v>44.291666666666664</v>
      </c>
      <c r="DL89" s="2">
        <f>Table83[[#This Row],[Waist]]-Table7[[#This Row],[Waist v Cardio]]</f>
        <v>-0.7916666666666643</v>
      </c>
      <c r="DM89" s="2">
        <f>Table7[[#This Row],[WaistC Res]]^2</f>
        <v>0.62673611111110739</v>
      </c>
      <c r="DN89">
        <f>Regression!$Q$29+(Regression!$Q$28*Table83[[#This Row],[Calories]])</f>
        <v>44.538831123808066</v>
      </c>
      <c r="DO89" s="2">
        <f>Table83[[#This Row],[Waist]]-Table7[[#This Row],[Waist v Calories]]</f>
        <v>-1.0388311238080661</v>
      </c>
      <c r="DP89" s="2">
        <f>Table7[[#This Row],[WaistCal Res]]^2</f>
        <v>1.0791701037923296</v>
      </c>
      <c r="DQ89">
        <f>Regression!$R$29+(Regression!$R$28*Table83[[#This Row],[Carbs]])</f>
        <v>44.515102608309903</v>
      </c>
      <c r="DR89" s="2">
        <f>Table83[[#This Row],[Waist]]-Table7[[#This Row],[Waist v Carbs]]</f>
        <v>-1.0151026083099026</v>
      </c>
      <c r="DS89" s="2">
        <f>Table7[[#This Row],[WaistCarb Res]]^2</f>
        <v>1.0304333053975676</v>
      </c>
      <c r="DT89">
        <f>Regression!$S$29+(Regression!$S$28*Table83[[#This Row],[Fat ]])</f>
        <v>44.527991571775857</v>
      </c>
      <c r="DU89" s="2">
        <f>Table83[[#This Row],[Waist]]-Table7[[#This Row],[Waist v Fat]]</f>
        <v>-1.027991571775857</v>
      </c>
      <c r="DV89" s="2">
        <f>Table7[[#This Row],[WaistF Res]]^2</f>
        <v>1.0567666716421968</v>
      </c>
      <c r="DW89">
        <f>Regression!$T$29+(Regression!$T$28*Table83[[#This Row],[Protein]])</f>
        <v>44.619245396461025</v>
      </c>
      <c r="DX89" s="2">
        <f>Table83[[#This Row],[Waist]]-Table7[[#This Row],[Waist v Protein]]</f>
        <v>-1.1192453964610252</v>
      </c>
      <c r="DY89" s="2">
        <f>Table7[[#This Row],[WaistP Res]]^2</f>
        <v>1.2527102574991975</v>
      </c>
      <c r="DZ89">
        <f>Regression!$U$29+(Regression!$U$28*Table83[[#This Row],[Fiber]])</f>
        <v>44.367565506833969</v>
      </c>
      <c r="EA89" s="2">
        <f>Table83[[#This Row],[Waist]]-Table7[[#This Row],[Waist v Fiber]]</f>
        <v>-0.86756550683396938</v>
      </c>
      <c r="EB89" s="2">
        <f>Table7[[#This Row],[WaistFib Res]]^2</f>
        <v>0.75266990864808214</v>
      </c>
      <c r="EC89">
        <f>Regression!$V$29+(Regression!$V$28*Table83[[#This Row],[Sugar]])</f>
        <v>44.493888557848742</v>
      </c>
      <c r="ED89" s="2">
        <f>Table83[[#This Row],[Waist]]-Table7[[#This Row],[Waist v Sugar]]</f>
        <v>-0.99388855784874153</v>
      </c>
      <c r="EE89" s="2">
        <f>Table7[[#This Row],[WaistSugar Res]]^2</f>
        <v>0.98781446542265128</v>
      </c>
      <c r="EF89">
        <f>Regression!$W$29+(Regression!$W$28*Table83[[#This Row],[Servings]])</f>
        <v>44.415248212127004</v>
      </c>
      <c r="EG89" s="2">
        <f>Table83[[#This Row],[Waist]]-Table7[[#This Row],[Waist v Servings]]</f>
        <v>-0.91524821212700402</v>
      </c>
      <c r="EH89" s="2">
        <f>Table7[[#This Row],[WaistServ Res]]^2</f>
        <v>0.83767928980167738</v>
      </c>
      <c r="EI89">
        <f>Regression!$X$29+(Regression!$X$28*Table83[[#This Row],[Water]])</f>
        <v>44.33031459742935</v>
      </c>
      <c r="EJ89" s="2">
        <f>Table83[[#This Row],[Waist]]-Table7[[#This Row],[Waist v Water]]</f>
        <v>-0.83031459742934999</v>
      </c>
      <c r="EK89" s="2">
        <f>Table7[[#This Row],[WaistWat Res]]^2</f>
        <v>0.68942233070426351</v>
      </c>
      <c r="EL89">
        <f>Regression!$Y$29+(Regression!$Y$28*Table83[[#This Row],[Fat Calories]])</f>
        <v>44.530894864055327</v>
      </c>
      <c r="EM89" s="2">
        <f>Table83[[#This Row],[Waist]]-Table7[[#This Row],[Waist v Fat Calories]]</f>
        <v>-1.0308948640553268</v>
      </c>
      <c r="EN89" s="2">
        <f>Table7[[#This Row],[WaistFatCal Res]]^2</f>
        <v>1.0627442207356508</v>
      </c>
    </row>
    <row r="90" spans="1:144" x14ac:dyDescent="0.25">
      <c r="A90">
        <f>Regression!$B$10+(Regression!$B$9*Table83[[#This Row],[Waist]])</f>
        <v>249.67228149328892</v>
      </c>
      <c r="B90" s="2">
        <f>Table83[[#This Row],[Weight]]-Table7[[#This Row],[Weight v Waist]]</f>
        <v>4.727718506711085</v>
      </c>
      <c r="C90" s="2">
        <f>Table7[[#This Row],[Weight v Waist Res]]^2</f>
        <v>22.35132227869849</v>
      </c>
      <c r="D90">
        <f>Regression!$C$10+(Regression!$C$9*Table83[[#This Row],[Neck]])</f>
        <v>253.29286486487842</v>
      </c>
      <c r="E90" s="2">
        <f>Table83[[#This Row],[Weight]]-Table7[[#This Row],[Weight v Neck]]</f>
        <v>1.107135135121581</v>
      </c>
      <c r="F90" s="2">
        <f>Table7[[#This Row],[WN Res]]^2</f>
        <v>1.2257482074206814</v>
      </c>
      <c r="G90">
        <f>Regression!$D$10+(Regression!$D$9*Table83[[#This Row],[Morning Body Temp]])</f>
        <v>255.27076211175142</v>
      </c>
      <c r="H90" s="2">
        <f>Table83[[#This Row],[Weight]]-Table7[[#This Row],[Weight v Morning Temp]]</f>
        <v>-0.87076211175141793</v>
      </c>
      <c r="I90" s="2">
        <f>Table7[[#This Row],[WMT Res]]^2</f>
        <v>0.7582266552617889</v>
      </c>
      <c r="J90">
        <f>Regression!$E$10+(Regression!$E$9*Table83[[#This Row],[Morning Systolic Pressure]])</f>
        <v>255.09948662875533</v>
      </c>
      <c r="K90" s="2">
        <f>Table83[[#This Row],[Weight]]-Table7[[#This Row],[Weight v Morning Sys]]</f>
        <v>-0.69948662875532364</v>
      </c>
      <c r="L90" s="2">
        <f>Table7[[#This Row],[WMS Res]]^2</f>
        <v>0.48928154380748795</v>
      </c>
      <c r="M90">
        <f>Regression!$F$10+(Regression!$F$9*Table83[[#This Row],[Morning Diastolic Pressure]])</f>
        <v>254.59531865202226</v>
      </c>
      <c r="N90" s="2">
        <f>Table83[[#This Row],[Weight]]-Table7[[#This Row],[Weight v Morning Dia]]</f>
        <v>-0.19531865202225163</v>
      </c>
      <c r="O90" s="2">
        <f>Table7[[#This Row],[WMD Res]]^2</f>
        <v>3.814937582778942E-2</v>
      </c>
      <c r="P90">
        <f>Regression!$G$10+(Regression!$G$9*Table83[[#This Row],[Morning Pulse]])</f>
        <v>255.12826746045599</v>
      </c>
      <c r="Q90" s="2">
        <f>Table83[[#This Row],[Weight]]-Table7[[#This Row],[Weight v Morning Pulse]]</f>
        <v>-0.72826746045598156</v>
      </c>
      <c r="R90" s="2">
        <f>Table7[[#This Row],[WMP Res]]^2</f>
        <v>0.53037349395900468</v>
      </c>
      <c r="S90">
        <f>Regression!$H$10+(Regression!$H$9*Table83[[#This Row],[Night Body Temp]])</f>
        <v>254.02991411367159</v>
      </c>
      <c r="T90" s="2">
        <f>Table83[[#This Row],[Weight]]-Table7[[#This Row],[Weight v Night Temp]]</f>
        <v>0.37008588632841111</v>
      </c>
      <c r="U90" s="2">
        <f>Table7[[#This Row],[WNT Res]]^2</f>
        <v>0.13696356325948564</v>
      </c>
      <c r="V90">
        <f>Regression!$I$10+(Regression!$I$9*Table83[[#This Row],[Night Systolic Pressure]])</f>
        <v>256.67560906956578</v>
      </c>
      <c r="W90" s="2">
        <f>Table83[[#This Row],[Weight]]-Table7[[#This Row],[Weight v Night Sys]]</f>
        <v>-2.2756090695657747</v>
      </c>
      <c r="X90" s="2">
        <f>Table7[[#This Row],[WNS Res]]^2</f>
        <v>5.1783966374900112</v>
      </c>
      <c r="Y90">
        <f>Regression!$J$10+(Regression!$J$9*Table83[[#This Row],[Night Diastolic Pressure]])</f>
        <v>255.25537984791052</v>
      </c>
      <c r="Z90" s="2">
        <f>Table83[[#This Row],[Weight]]-Table7[[#This Row],[Weight v Night Dia]]</f>
        <v>-0.85537984791051258</v>
      </c>
      <c r="AA90" s="2">
        <f>Table7[[#This Row],[WND Res]]^2</f>
        <v>0.73167468421141169</v>
      </c>
      <c r="AB90">
        <f>Regression!$K$10+(Regression!$K$9*Table83[[#This Row],[Night Pulse]])</f>
        <v>254.80301854637398</v>
      </c>
      <c r="AC90" s="2">
        <f>Table83[[#This Row],[Weight]]-Table7[[#This Row],[Weight v Night Pulse]]</f>
        <v>-0.40301854637397128</v>
      </c>
      <c r="AD90" s="2">
        <f>Table7[[#This Row],[WNP Res ]]^2</f>
        <v>0.16242394872138882</v>
      </c>
      <c r="AE90">
        <f>Regression!$L$10+(Regression!$L$9*Table83[[#This Row],[Sleep]])</f>
        <v>255.45250391075515</v>
      </c>
      <c r="AF90" s="2">
        <f>Table83[[#This Row],[Weight]]-Table7[[#This Row],[Weight v Sleep]]</f>
        <v>-1.0525039107551493</v>
      </c>
      <c r="AG90" s="2">
        <f>Table7[[#This Row],[WS Res]]^2</f>
        <v>1.1077644821548831</v>
      </c>
      <c r="AH90">
        <f>Regression!$M$10+(Regression!$M$9*Table83[[#This Row],[BMI]])</f>
        <v>254.40000000000165</v>
      </c>
      <c r="AI90" s="2">
        <f>Table83[[#This Row],[Weight]]-Table7[[#This Row],[Weight v BMI]]</f>
        <v>-1.6484591469634324E-12</v>
      </c>
      <c r="AJ90" s="2">
        <f>Table7[[#This Row],[WBMI Res]]^2</f>
        <v>2.7174175592074073E-24</v>
      </c>
      <c r="AK90">
        <f>Regression!$N$10+(Regression!$N$9*Table83[[#This Row],[CBF]])</f>
        <v>250.04675133427031</v>
      </c>
      <c r="AL90" s="2">
        <f>Table83[[#This Row],[Weight]]-Table7[[#This Row],[Weight v CBF]]</f>
        <v>4.3532486657296943</v>
      </c>
      <c r="AM90" s="2">
        <f>Table7[[#This Row],[WCBF Res]]^2</f>
        <v>18.950773945677362</v>
      </c>
      <c r="AN90">
        <f>Regression!$O$10+(Regression!$O$9*Table83[[#This Row],[Gym]])</f>
        <v>255.46779661016953</v>
      </c>
      <c r="AO90" s="2">
        <f>Table83[[#This Row],[Weight]]-Table7[[#This Row],[Weight v Gym]]</f>
        <v>-1.0677966101695233</v>
      </c>
      <c r="AP90" s="2">
        <f>Table7[[#This Row],[WG Res]]^2</f>
        <v>1.1401896006895249</v>
      </c>
      <c r="AQ90">
        <f>Regression!$P$10+(Regression!$P$9*Table83[[#This Row],[Cardio]])</f>
        <v>256.41063829787231</v>
      </c>
      <c r="AR90" s="2">
        <f>Table83[[#This Row],[Weight]]-Table7[[#This Row],[Weight v Cardio]]</f>
        <v>-2.0106382978723047</v>
      </c>
      <c r="AS90" s="2">
        <f>Table7[[#This Row],[WC Res]]^2</f>
        <v>4.042666364870839</v>
      </c>
      <c r="AT90">
        <f>Regression!$Q$10+(Regression!$Q$9*Table83[[#This Row],[Calories]])</f>
        <v>255.29514292804558</v>
      </c>
      <c r="AU90" s="2">
        <f>Table83[[#This Row],[Weight]]-Table7[[#This Row],[Weight v Calories]]</f>
        <v>-0.89514292804557272</v>
      </c>
      <c r="AV90" s="2">
        <f>Table7[[#This Row],[WCAL Res]]^2</f>
        <v>0.80128086163000134</v>
      </c>
      <c r="AW90">
        <f>Regression!$R$10+(Regression!$R$9*Table83[[#This Row],[Carbs]])</f>
        <v>255.39082064548484</v>
      </c>
      <c r="AX90" s="2">
        <f>Table83[[#This Row],[Weight]]-Table7[[#This Row],[Weight v Carbs]]</f>
        <v>-0.99082064548483118</v>
      </c>
      <c r="AY90" s="2">
        <f>Table7[[#This Row],[Wcarb Res]]^2</f>
        <v>0.98172555151897745</v>
      </c>
      <c r="AZ90">
        <f>Regression!$S$10+(Regression!$S$9*Table83[[#This Row],[Fat ]])</f>
        <v>255.22660383337322</v>
      </c>
      <c r="BA90" s="2">
        <f>Table83[[#This Row],[Weight]]-Table7[[#This Row],[Weight v Fat]]</f>
        <v>-0.82660383337321264</v>
      </c>
      <c r="BB90" s="2">
        <f>Table7[[#This Row],[WF Res]]^2</f>
        <v>0.68327389734728994</v>
      </c>
      <c r="BC90">
        <f>Regression!$T$10+(Regression!$T$9*Table83[[#This Row],[Protein]])</f>
        <v>255.2072640531666</v>
      </c>
      <c r="BD90" s="2">
        <f>Table83[[#This Row],[Weight]]-Table7[[#This Row],[Weight v Protein]]</f>
        <v>-0.80726405316659111</v>
      </c>
      <c r="BE90" s="2">
        <f>Table7[[#This Row],[WP Res]]^2</f>
        <v>0.65167525153495287</v>
      </c>
      <c r="BF90">
        <f>Regression!$U$10+(Regression!$U$9*Table83[[#This Row],[Fiber]])</f>
        <v>255.13233146502947</v>
      </c>
      <c r="BG90" s="2">
        <f>Table83[[#This Row],[Weight]]-Table7[[#This Row],[Weight v Fiber]]</f>
        <v>-0.73233146502946056</v>
      </c>
      <c r="BH90" s="2">
        <f>Table7[[#This Row],[Wfib Res]]^2</f>
        <v>0.53630937467219597</v>
      </c>
      <c r="BI90">
        <f>Regression!$V$10+(Regression!$V$9*Table83[[#This Row],[Sugar]])</f>
        <v>255.7242339422429</v>
      </c>
      <c r="BJ90" s="2">
        <f>Table83[[#This Row],[Weight]]-Table7[[#This Row],[Weight v Sugar]]</f>
        <v>-1.3242339422428984</v>
      </c>
      <c r="BK90" s="2">
        <f>Table7[[#This Row],[Wsugar Res]]^2</f>
        <v>1.7535955337881679</v>
      </c>
      <c r="BL90">
        <f>Regression!$W$10+(Regression!$W$9*Table83[[#This Row],[Servings]])</f>
        <v>256.29561078994197</v>
      </c>
      <c r="BM90" s="2">
        <f>Table83[[#This Row],[Weight]]-Table7[[#This Row],[Weight v Servings]]</f>
        <v>-1.8956107899419692</v>
      </c>
      <c r="BN90" s="2">
        <f>Table7[[#This Row],[Wserv Res]]^2</f>
        <v>3.5933402669444163</v>
      </c>
      <c r="BO90">
        <f>Regression!$X$10+(Regression!$X$9*Table83[[#This Row],[Water]])</f>
        <v>255.19189796045953</v>
      </c>
      <c r="BP90" s="2">
        <f>Table83[[#This Row],[Weight]]-Table7[[#This Row],[Weight v Water]]</f>
        <v>-0.79189796045952221</v>
      </c>
      <c r="BQ90" s="2">
        <f>Table7[[#This Row],[Wwater Res]]^2</f>
        <v>0.62710237977995098</v>
      </c>
      <c r="BR90">
        <f>Regression!$Y$10+(Regression!$Y$9*Table83[[#This Row],[Fat Calories]])</f>
        <v>255.22891010688602</v>
      </c>
      <c r="BS90" s="2">
        <f>Table83[[#This Row],[Weight]]-Table7[[#This Row],[Weight v Fat Calories]]</f>
        <v>-0.82891010688601341</v>
      </c>
      <c r="BT90" s="2">
        <f>Table7[[#This Row],[WFC Res]]^2</f>
        <v>0.68709196529778216</v>
      </c>
      <c r="BU90">
        <f>Regression!$B$29+(Regression!$B$28*Table83[[#This Row],[Weight]])</f>
        <v>44.356106098636658</v>
      </c>
      <c r="BV90" s="2">
        <f>Table83[[#This Row],[Waist]]-Table7[[#This Row],[Waist v Weight]]</f>
        <v>-0.85610609863665843</v>
      </c>
      <c r="BW90" s="2">
        <f>Table7[[#This Row],[WaistW Res]]^2</f>
        <v>0.73291765212287996</v>
      </c>
      <c r="BX90">
        <f>Regression!$C$29+(Regression!$C$28*Table83[[#This Row],[Neck]])</f>
        <v>44.175585585585594</v>
      </c>
      <c r="BY90" s="2">
        <f>Table83[[#This Row],[Waist]]-Table7[[#This Row],[Waist v Neck]]</f>
        <v>-0.67558558558559412</v>
      </c>
      <c r="BZ90" s="2">
        <f>Table7[[#This Row],[WaistN Res]]^2</f>
        <v>0.45641588345103012</v>
      </c>
      <c r="CA90">
        <f>Regression!$D$29+(Regression!$D$28*Table83[[#This Row],[Morning Body Temp]])</f>
        <v>44.495891557108962</v>
      </c>
      <c r="CB90" s="2">
        <f>Table83[[#This Row],[Waist]]-Table7[[#This Row],[Waist v Morning Temp]]</f>
        <v>-0.99589155710896193</v>
      </c>
      <c r="CC90" s="2">
        <f>Table7[[#This Row],[WaistMT Res]]^2</f>
        <v>0.99179999352091275</v>
      </c>
      <c r="CD90">
        <f>Regression!$E$29+(Regression!$E$28*Table83[[#This Row],[Morning Systolic Pressure]])</f>
        <v>44.449884727394206</v>
      </c>
      <c r="CE90" s="2">
        <f>Table83[[#This Row],[Waist]]-Table7[[#This Row],[Waist v Morning Sys]]</f>
        <v>-0.94988472739420615</v>
      </c>
      <c r="CF90" s="2">
        <f>Table7[[#This Row],[WaistMS Res]]^2</f>
        <v>0.90228099533676531</v>
      </c>
      <c r="CG90">
        <f>Regression!$F$29+(Regression!$F$28*Table83[[#This Row],[Morning Diastolic Pressure]])</f>
        <v>44.424638564799992</v>
      </c>
      <c r="CH90" s="2">
        <f>Table83[[#This Row],[Waist]]-Table7[[#This Row],[Waist v Morning Dia]]</f>
        <v>-0.92463856479999151</v>
      </c>
      <c r="CI90" s="2">
        <f>Table7[[#This Row],[WaistMD Res]]^2</f>
        <v>0.85495647551538811</v>
      </c>
      <c r="CJ90">
        <f>Regression!$G$29+(Regression!$G$28*Table83[[#This Row],[Morning Pulse]])</f>
        <v>44.459613215521493</v>
      </c>
      <c r="CK90" s="2">
        <f>Table83[[#This Row],[Waist]]-Table7[[#This Row],[Waist v Morning Pulse]]</f>
        <v>-0.95961321552149315</v>
      </c>
      <c r="CL90" s="2">
        <f>Table7[[#This Row],[WaistMP Res]]^2</f>
        <v>0.92085752340349969</v>
      </c>
      <c r="CM90">
        <f>Regression!$H$29+(Regression!$H$28*Table83[[#This Row],[Night Body Temp]])</f>
        <v>44.367984716610323</v>
      </c>
      <c r="CN90" s="2">
        <f>Table83[[#This Row],[Waist]]-Table7[[#This Row],[Waist v Night Temp]]</f>
        <v>-0.86798471661032295</v>
      </c>
      <c r="CO90" s="2">
        <f>Table7[[#This Row],[WaistNT Res]]^2</f>
        <v>0.75339746826910259</v>
      </c>
      <c r="CP90">
        <f>Regression!$I$29+(Regression!$I$28*Table83[[#This Row],[Night Systolic Pressure]])</f>
        <v>44.674601030189415</v>
      </c>
      <c r="CQ90" s="2">
        <f>Table83[[#This Row],[Waist]]-Table7[[#This Row],[Waist v  Night Sys]]</f>
        <v>-1.1746010301894145</v>
      </c>
      <c r="CR90" s="2">
        <f>Table7[[#This Row],[WaistNS Res]]^2</f>
        <v>1.3796875801220339</v>
      </c>
      <c r="CS90">
        <f>Regression!$J$29+(Regression!$J$28*Table83[[#This Row],[Night Diastolic Pressure]])</f>
        <v>44.512295846776055</v>
      </c>
      <c r="CT90" s="2">
        <f>Table83[[#This Row],[Waist]]-Table7[[#This Row],[Waist v Night Dia]]</f>
        <v>-1.0122958467760554</v>
      </c>
      <c r="CU90" s="2">
        <f>Table7[[#This Row],[WaistND Res]]^2</f>
        <v>1.0247428814000512</v>
      </c>
      <c r="CV90">
        <f>Regression!$K$29+(Regression!$K$28*Table83[[#This Row],[Night Pulse]])</f>
        <v>44.482562343052983</v>
      </c>
      <c r="CW90" s="2">
        <f>Table83[[#This Row],[Waist]]-Table7[[#This Row],[Waist v Night Pulse]]</f>
        <v>-0.98256234305298307</v>
      </c>
      <c r="CX90" s="2">
        <f>Table7[[#This Row],[WaistNP Res]]^2</f>
        <v>0.96542875798576799</v>
      </c>
      <c r="CY90">
        <f>Regression!$L$29+(Regression!$L$28*Table83[[#This Row],[Sleep]])</f>
        <v>44.504990820853756</v>
      </c>
      <c r="CZ90" s="2">
        <f>Table83[[#This Row],[Waist]]-Table7[[#This Row],[Waist v  Sleep]]</f>
        <v>-1.0049908208537559</v>
      </c>
      <c r="DA90" s="2">
        <f>Table7[[#This Row],[WaistS Res]]^2</f>
        <v>1.0100065500003061</v>
      </c>
      <c r="DB90">
        <f>Regression!$M$29+(Regression!$M$28*Table83[[#This Row],[BMI]])</f>
        <v>44.356106098636971</v>
      </c>
      <c r="DC90" s="2">
        <f>Table83[[#This Row],[Waist]]-Table7[[#This Row],[Waist v BMI]]</f>
        <v>-0.85610609863697107</v>
      </c>
      <c r="DD90" s="2">
        <f>Table7[[#This Row],[WaistBMI Res]]^2</f>
        <v>0.7329176521234152</v>
      </c>
      <c r="DE90">
        <f>Regression!$N$29+(Regression!$N$28*Table83[[#This Row],[CBF]])</f>
        <v>43.540887941991329</v>
      </c>
      <c r="DF90" s="2">
        <f>Table83[[#This Row],[Waist]]-Table7[[#This Row],[Waist v  CBF]]</f>
        <v>-4.0887941991329058E-2</v>
      </c>
      <c r="DG90" s="2">
        <f>Table7[[#This Row],[WaistCBF Res]]^2</f>
        <v>1.6718238002862899E-3</v>
      </c>
      <c r="DH90">
        <f>Regression!$O$29+(Regression!$O$28*Table83[[#This Row],[Gym]])</f>
        <v>44.550847457627107</v>
      </c>
      <c r="DI90" s="2">
        <f>Table83[[#This Row],[Waist]]-Table7[[#This Row],[Waist v  Gym]]</f>
        <v>-1.050847457627107</v>
      </c>
      <c r="DJ90" s="2">
        <f>Table7[[#This Row],[WaistGYM Res]]^2</f>
        <v>1.1042803792013545</v>
      </c>
      <c r="DK90">
        <f>Regression!$P$29+(Regression!$P$28*Table83[[#This Row],[Cardio]])</f>
        <v>44.680851063829778</v>
      </c>
      <c r="DL90" s="2">
        <f>Table83[[#This Row],[Waist]]-Table7[[#This Row],[Waist v Cardio]]</f>
        <v>-1.1808510638297776</v>
      </c>
      <c r="DM90" s="2">
        <f>Table7[[#This Row],[WaistC Res]]^2</f>
        <v>1.3944092349479174</v>
      </c>
      <c r="DN90">
        <f>Regression!$Q$29+(Regression!$Q$28*Table83[[#This Row],[Calories]])</f>
        <v>44.494004001934762</v>
      </c>
      <c r="DO90" s="2">
        <f>Table83[[#This Row],[Waist]]-Table7[[#This Row],[Waist v Calories]]</f>
        <v>-0.99400400193476202</v>
      </c>
      <c r="DP90" s="2">
        <f>Table7[[#This Row],[WaistCal Res]]^2</f>
        <v>0.98804395586232241</v>
      </c>
      <c r="DQ90">
        <f>Regression!$R$29+(Regression!$R$28*Table83[[#This Row],[Carbs]])</f>
        <v>44.510954780220992</v>
      </c>
      <c r="DR90" s="2">
        <f>Table83[[#This Row],[Waist]]-Table7[[#This Row],[Waist v Carbs]]</f>
        <v>-1.0109547802209917</v>
      </c>
      <c r="DS90" s="2">
        <f>Table7[[#This Row],[WaistCarb Res]]^2</f>
        <v>1.0220295676516737</v>
      </c>
      <c r="DT90">
        <f>Regression!$S$29+(Regression!$S$28*Table83[[#This Row],[Fat ]])</f>
        <v>44.487641227419125</v>
      </c>
      <c r="DU90" s="2">
        <f>Table83[[#This Row],[Waist]]-Table7[[#This Row],[Waist v Fat]]</f>
        <v>-0.9876412274191253</v>
      </c>
      <c r="DV90" s="2">
        <f>Table7[[#This Row],[WaistF Res]]^2</f>
        <v>0.97543519409795643</v>
      </c>
      <c r="DW90">
        <f>Regression!$T$29+(Regression!$T$28*Table83[[#This Row],[Protein]])</f>
        <v>44.470419473031711</v>
      </c>
      <c r="DX90" s="2">
        <f>Table83[[#This Row],[Waist]]-Table7[[#This Row],[Waist v Protein]]</f>
        <v>-0.97041947303171128</v>
      </c>
      <c r="DY90" s="2">
        <f>Table7[[#This Row],[WaistP Res]]^2</f>
        <v>0.94171395363914423</v>
      </c>
      <c r="DZ90">
        <f>Regression!$U$29+(Regression!$U$28*Table83[[#This Row],[Fiber]])</f>
        <v>44.460210267830817</v>
      </c>
      <c r="EA90" s="2">
        <f>Table83[[#This Row],[Waist]]-Table7[[#This Row],[Waist v Fiber]]</f>
        <v>-0.96021026783081709</v>
      </c>
      <c r="EB90" s="2">
        <f>Table7[[#This Row],[WaistFib Res]]^2</f>
        <v>0.92200375844772953</v>
      </c>
      <c r="EC90">
        <f>Regression!$V$29+(Regression!$V$28*Table83[[#This Row],[Sugar]])</f>
        <v>44.562973957308643</v>
      </c>
      <c r="ED90" s="2">
        <f>Table83[[#This Row],[Waist]]-Table7[[#This Row],[Waist v Sugar]]</f>
        <v>-1.0629739573086425</v>
      </c>
      <c r="EE90" s="2">
        <f>Table7[[#This Row],[WaistSugar Res]]^2</f>
        <v>1.1299136339163958</v>
      </c>
      <c r="EF90">
        <f>Regression!$W$29+(Regression!$W$28*Table83[[#This Row],[Servings]])</f>
        <v>44.633674609108454</v>
      </c>
      <c r="EG90" s="2">
        <f>Table83[[#This Row],[Waist]]-Table7[[#This Row],[Waist v Servings]]</f>
        <v>-1.1336746091084535</v>
      </c>
      <c r="EH90" s="2">
        <f>Table7[[#This Row],[WaistServ Res]]^2</f>
        <v>1.285218119337205</v>
      </c>
      <c r="EI90">
        <f>Regression!$X$29+(Regression!$X$28*Table83[[#This Row],[Water]])</f>
        <v>44.553850107074496</v>
      </c>
      <c r="EJ90" s="2">
        <f>Table83[[#This Row],[Waist]]-Table7[[#This Row],[Waist v Water]]</f>
        <v>-1.0538501070744957</v>
      </c>
      <c r="EK90" s="2">
        <f>Table7[[#This Row],[WaistWat Res]]^2</f>
        <v>1.1106000481809259</v>
      </c>
      <c r="EL90">
        <f>Regression!$Y$29+(Regression!$Y$28*Table83[[#This Row],[Fat Calories]])</f>
        <v>44.488169706413679</v>
      </c>
      <c r="EM90" s="2">
        <f>Table83[[#This Row],[Waist]]-Table7[[#This Row],[Waist v Fat Calories]]</f>
        <v>-0.98816970641367874</v>
      </c>
      <c r="EN90" s="2">
        <f>Table7[[#This Row],[WaistFatCal Res]]^2</f>
        <v>0.976479368673696</v>
      </c>
    </row>
    <row r="91" spans="1:144" x14ac:dyDescent="0.25">
      <c r="A91">
        <f>Regression!$B$10+(Regression!$B$9*Table83[[#This Row],[Waist]])</f>
        <v>252.52625917894264</v>
      </c>
      <c r="B91" s="2">
        <f>Table83[[#This Row],[Weight]]-Table7[[#This Row],[Weight v Waist]]</f>
        <v>0.47374082105736193</v>
      </c>
      <c r="C91" s="2">
        <f>Table7[[#This Row],[Weight v Waist Res]]^2</f>
        <v>0.2244303655361034</v>
      </c>
      <c r="D91">
        <f>Regression!$C$10+(Regression!$C$9*Table83[[#This Row],[Neck]])</f>
        <v>253.29286486487842</v>
      </c>
      <c r="E91" s="2">
        <f>Table83[[#This Row],[Weight]]-Table7[[#This Row],[Weight v Neck]]</f>
        <v>-0.29286486487842467</v>
      </c>
      <c r="F91" s="2">
        <f>Table7[[#This Row],[WN Res]]^2</f>
        <v>8.5769829080257945E-2</v>
      </c>
      <c r="G91">
        <f>Regression!$D$10+(Regression!$D$9*Table83[[#This Row],[Morning Body Temp]])</f>
        <v>254.56677656952775</v>
      </c>
      <c r="H91" s="2">
        <f>Table83[[#This Row],[Weight]]-Table7[[#This Row],[Weight v Morning Temp]]</f>
        <v>-1.5667765695277467</v>
      </c>
      <c r="I91" s="2">
        <f>Table7[[#This Row],[WMT Res]]^2</f>
        <v>2.4547888188211342</v>
      </c>
      <c r="J91">
        <f>Regression!$E$10+(Regression!$E$9*Table83[[#This Row],[Morning Systolic Pressure]])</f>
        <v>254.6937917939849</v>
      </c>
      <c r="K91" s="2">
        <f>Table83[[#This Row],[Weight]]-Table7[[#This Row],[Weight v Morning Sys]]</f>
        <v>-1.6937917939849001</v>
      </c>
      <c r="L91" s="2">
        <f>Table7[[#This Row],[WMS Res]]^2</f>
        <v>2.8689306413705862</v>
      </c>
      <c r="M91">
        <f>Regression!$F$10+(Regression!$F$9*Table83[[#This Row],[Morning Diastolic Pressure]])</f>
        <v>255.10203989724667</v>
      </c>
      <c r="N91" s="2">
        <f>Table83[[#This Row],[Weight]]-Table7[[#This Row],[Weight v Morning Dia]]</f>
        <v>-2.1020398972466694</v>
      </c>
      <c r="O91" s="2">
        <f>Table7[[#This Row],[WMD Res]]^2</f>
        <v>4.4185717296167883</v>
      </c>
      <c r="P91">
        <f>Regression!$G$10+(Regression!$G$9*Table83[[#This Row],[Morning Pulse]])</f>
        <v>255.12095627742721</v>
      </c>
      <c r="Q91" s="2">
        <f>Table83[[#This Row],[Weight]]-Table7[[#This Row],[Weight v Morning Pulse]]</f>
        <v>-2.1209562774272115</v>
      </c>
      <c r="R91" s="2">
        <f>Table7[[#This Row],[WMP Res]]^2</f>
        <v>4.4984555307578944</v>
      </c>
      <c r="S91">
        <f>Regression!$H$10+(Regression!$H$9*Table83[[#This Row],[Night Body Temp]])</f>
        <v>255.15957638897012</v>
      </c>
      <c r="T91" s="2">
        <f>Table83[[#This Row],[Weight]]-Table7[[#This Row],[Weight v Night Temp]]</f>
        <v>-2.1595763889701232</v>
      </c>
      <c r="U91" s="2">
        <f>Table7[[#This Row],[WNT Res]]^2</f>
        <v>4.6637701797972371</v>
      </c>
      <c r="V91">
        <f>Regression!$I$10+(Regression!$I$9*Table83[[#This Row],[Night Systolic Pressure]])</f>
        <v>255.75180556330957</v>
      </c>
      <c r="W91" s="2">
        <f>Table83[[#This Row],[Weight]]-Table7[[#This Row],[Weight v Night Sys]]</f>
        <v>-2.7518055633095742</v>
      </c>
      <c r="X91" s="2">
        <f>Table7[[#This Row],[WNS Res]]^2</f>
        <v>7.5724338582615225</v>
      </c>
      <c r="Y91">
        <f>Regression!$J$10+(Regression!$J$9*Table83[[#This Row],[Night Diastolic Pressure]])</f>
        <v>255.2146139794944</v>
      </c>
      <c r="Z91" s="2">
        <f>Table83[[#This Row],[Weight]]-Table7[[#This Row],[Weight v Night Dia]]</f>
        <v>-2.214613979494402</v>
      </c>
      <c r="AA91" s="2">
        <f>Table7[[#This Row],[WND Res]]^2</f>
        <v>4.9045150781720315</v>
      </c>
      <c r="AB91">
        <f>Regression!$K$10+(Regression!$K$9*Table83[[#This Row],[Night Pulse]])</f>
        <v>255.23300518368814</v>
      </c>
      <c r="AC91" s="2">
        <f>Table83[[#This Row],[Weight]]-Table7[[#This Row],[Weight v Night Pulse]]</f>
        <v>-2.2330051836881353</v>
      </c>
      <c r="AD91" s="2">
        <f>Table7[[#This Row],[WNP Res ]]^2</f>
        <v>4.9863121503780832</v>
      </c>
      <c r="AE91">
        <f>Regression!$L$10+(Regression!$L$9*Table83[[#This Row],[Sleep]])</f>
        <v>254.66381845232058</v>
      </c>
      <c r="AF91" s="2">
        <f>Table83[[#This Row],[Weight]]-Table7[[#This Row],[Weight v Sleep]]</f>
        <v>-1.6638184523205837</v>
      </c>
      <c r="AG91" s="2">
        <f>Table7[[#This Row],[WS Res]]^2</f>
        <v>2.7682918422824625</v>
      </c>
      <c r="AH91">
        <f>Regression!$M$10+(Regression!$M$9*Table83[[#This Row],[BMI]])</f>
        <v>253.00000000000475</v>
      </c>
      <c r="AI91" s="2">
        <f>Table83[[#This Row],[Weight]]-Table7[[#This Row],[Weight v BMI]]</f>
        <v>-4.7464254748774692E-12</v>
      </c>
      <c r="AJ91" s="2">
        <f>Table7[[#This Row],[WBMI Res]]^2</f>
        <v>2.2528554788565809E-23</v>
      </c>
      <c r="AK91">
        <f>Regression!$N$10+(Regression!$N$9*Table83[[#This Row],[CBF]])</f>
        <v>253.17965033701802</v>
      </c>
      <c r="AL91" s="2">
        <f>Table83[[#This Row],[Weight]]-Table7[[#This Row],[Weight v CBF]]</f>
        <v>-0.17965033701801758</v>
      </c>
      <c r="AM91" s="2">
        <f>Table7[[#This Row],[WCBF Res]]^2</f>
        <v>3.2274243590687299E-2</v>
      </c>
      <c r="AN91">
        <f>Regression!$O$10+(Regression!$O$9*Table83[[#This Row],[Gym]])</f>
        <v>255.46779661016953</v>
      </c>
      <c r="AO91" s="2">
        <f>Table83[[#This Row],[Weight]]-Table7[[#This Row],[Weight v Gym]]</f>
        <v>-2.467796610169529</v>
      </c>
      <c r="AP91" s="2">
        <f>Table7[[#This Row],[WG Res]]^2</f>
        <v>6.0900201091642181</v>
      </c>
      <c r="AQ91">
        <f>Regression!$P$10+(Regression!$P$9*Table83[[#This Row],[Cardio]])</f>
        <v>256.41063829787231</v>
      </c>
      <c r="AR91" s="2">
        <f>Table83[[#This Row],[Weight]]-Table7[[#This Row],[Weight v Cardio]]</f>
        <v>-3.4106382978723104</v>
      </c>
      <c r="AS91" s="2">
        <f>Table7[[#This Row],[WC Res]]^2</f>
        <v>11.632453598913331</v>
      </c>
      <c r="AT91">
        <f>Regression!$Q$10+(Regression!$Q$9*Table83[[#This Row],[Calories]])</f>
        <v>255.01663430893902</v>
      </c>
      <c r="AU91" s="2">
        <f>Table83[[#This Row],[Weight]]-Table7[[#This Row],[Weight v Calories]]</f>
        <v>-2.0166343089390182</v>
      </c>
      <c r="AV91" s="2">
        <f>Table7[[#This Row],[WCAL Res]]^2</f>
        <v>4.0668139359899511</v>
      </c>
      <c r="AW91">
        <f>Regression!$R$10+(Regression!$R$9*Table83[[#This Row],[Carbs]])</f>
        <v>255.34091296546276</v>
      </c>
      <c r="AX91" s="2">
        <f>Table83[[#This Row],[Weight]]-Table7[[#This Row],[Weight v Carbs]]</f>
        <v>-2.3409129654627634</v>
      </c>
      <c r="AY91" s="2">
        <f>Table7[[#This Row],[Wcarb Res]]^2</f>
        <v>5.479873511871669</v>
      </c>
      <c r="AZ91">
        <f>Regression!$S$10+(Regression!$S$9*Table83[[#This Row],[Fat ]])</f>
        <v>254.97668497283826</v>
      </c>
      <c r="BA91" s="2">
        <f>Table83[[#This Row],[Weight]]-Table7[[#This Row],[Weight v Fat]]</f>
        <v>-1.9766849728382567</v>
      </c>
      <c r="BB91" s="2">
        <f>Table7[[#This Row],[WF Res]]^2</f>
        <v>3.9072834818445799</v>
      </c>
      <c r="BC91">
        <f>Regression!$T$10+(Regression!$T$9*Table83[[#This Row],[Protein]])</f>
        <v>254.14251532998856</v>
      </c>
      <c r="BD91" s="2">
        <f>Table83[[#This Row],[Weight]]-Table7[[#This Row],[Weight v Protein]]</f>
        <v>-1.1425153299885551</v>
      </c>
      <c r="BE91" s="2">
        <f>Table7[[#This Row],[WP Res]]^2</f>
        <v>1.305341279258857</v>
      </c>
      <c r="BF91">
        <f>Regression!$U$10+(Regression!$U$9*Table83[[#This Row],[Fiber]])</f>
        <v>255.07757883620437</v>
      </c>
      <c r="BG91" s="2">
        <f>Table83[[#This Row],[Weight]]-Table7[[#This Row],[Weight v Fiber]]</f>
        <v>-2.077578836204367</v>
      </c>
      <c r="BH91" s="2">
        <f>Table7[[#This Row],[Wfib Res]]^2</f>
        <v>4.3163338206442923</v>
      </c>
      <c r="BI91">
        <f>Regression!$V$10+(Regression!$V$9*Table83[[#This Row],[Sugar]])</f>
        <v>255.41720582561865</v>
      </c>
      <c r="BJ91" s="2">
        <f>Table83[[#This Row],[Weight]]-Table7[[#This Row],[Weight v Sugar]]</f>
        <v>-2.4172058256186517</v>
      </c>
      <c r="BK91" s="2">
        <f>Table7[[#This Row],[Wsugar Res]]^2</f>
        <v>5.8428840034047473</v>
      </c>
      <c r="BL91">
        <f>Regression!$W$10+(Regression!$W$9*Table83[[#This Row],[Servings]])</f>
        <v>256.13506627471304</v>
      </c>
      <c r="BM91" s="2">
        <f>Table83[[#This Row],[Weight]]-Table7[[#This Row],[Weight v Servings]]</f>
        <v>-3.13506627471304</v>
      </c>
      <c r="BN91" s="2">
        <f>Table7[[#This Row],[Wserv Res]]^2</f>
        <v>9.8286405468430988</v>
      </c>
      <c r="BO91">
        <f>Regression!$X$10+(Regression!$X$9*Table83[[#This Row],[Water]])</f>
        <v>255.10626599365665</v>
      </c>
      <c r="BP91" s="2">
        <f>Table83[[#This Row],[Weight]]-Table7[[#This Row],[Weight v Water]]</f>
        <v>-2.106265993656649</v>
      </c>
      <c r="BQ91" s="2">
        <f>Table7[[#This Row],[Wwater Res]]^2</f>
        <v>4.4363564360344308</v>
      </c>
      <c r="BR91">
        <f>Regression!$Y$10+(Regression!$Y$9*Table83[[#This Row],[Fat Calories]])</f>
        <v>254.96293356752346</v>
      </c>
      <c r="BS91" s="2">
        <f>Table83[[#This Row],[Weight]]-Table7[[#This Row],[Weight v Fat Calories]]</f>
        <v>-1.9629335675234643</v>
      </c>
      <c r="BT91" s="2">
        <f>Table7[[#This Row],[WFC Res]]^2</f>
        <v>3.8531081905103948</v>
      </c>
      <c r="BU91">
        <f>Regression!$B$29+(Regression!$B$28*Table83[[#This Row],[Weight]])</f>
        <v>44.165338583838682</v>
      </c>
      <c r="BV91" s="2">
        <f>Table83[[#This Row],[Waist]]-Table7[[#This Row],[Waist v Weight]]</f>
        <v>-0.1653385838386825</v>
      </c>
      <c r="BW91" s="2">
        <f>Table7[[#This Row],[WaistW Res]]^2</f>
        <v>2.733684730578104E-2</v>
      </c>
      <c r="BX91">
        <f>Regression!$C$29+(Regression!$C$28*Table83[[#This Row],[Neck]])</f>
        <v>44.175585585585594</v>
      </c>
      <c r="BY91" s="2">
        <f>Table83[[#This Row],[Waist]]-Table7[[#This Row],[Waist v Neck]]</f>
        <v>-0.17558558558559412</v>
      </c>
      <c r="BZ91" s="2">
        <f>Table7[[#This Row],[WaistN Res]]^2</f>
        <v>3.0830297865435997E-2</v>
      </c>
      <c r="CA91">
        <f>Regression!$D$29+(Regression!$D$28*Table83[[#This Row],[Morning Body Temp]])</f>
        <v>44.30442342535018</v>
      </c>
      <c r="CB91" s="2">
        <f>Table83[[#This Row],[Waist]]-Table7[[#This Row],[Waist v Morning Temp]]</f>
        <v>-0.30442342535017985</v>
      </c>
      <c r="CC91" s="2">
        <f>Table7[[#This Row],[WaistMT Res]]^2</f>
        <v>9.2673621901936523E-2</v>
      </c>
      <c r="CD91">
        <f>Regression!$E$29+(Regression!$E$28*Table83[[#This Row],[Morning Systolic Pressure]])</f>
        <v>44.354571080212359</v>
      </c>
      <c r="CE91" s="2">
        <f>Table83[[#This Row],[Waist]]-Table7[[#This Row],[Waist v Morning Sys]]</f>
        <v>-0.35457108021235939</v>
      </c>
      <c r="CF91" s="2">
        <f>Table7[[#This Row],[WaistMS Res]]^2</f>
        <v>0.12572065092295939</v>
      </c>
      <c r="CG91">
        <f>Regression!$F$29+(Regression!$F$28*Table83[[#This Row],[Morning Diastolic Pressure]])</f>
        <v>44.452816668144258</v>
      </c>
      <c r="CH91" s="2">
        <f>Table83[[#This Row],[Waist]]-Table7[[#This Row],[Waist v Morning Dia]]</f>
        <v>-0.45281666814425847</v>
      </c>
      <c r="CI91" s="2">
        <f>Table7[[#This Row],[WaistMD Res]]^2</f>
        <v>0.20504293494926751</v>
      </c>
      <c r="CJ91">
        <f>Regression!$G$29+(Regression!$G$28*Table83[[#This Row],[Morning Pulse]])</f>
        <v>44.456255205227038</v>
      </c>
      <c r="CK91" s="2">
        <f>Table83[[#This Row],[Waist]]-Table7[[#This Row],[Waist v Morning Pulse]]</f>
        <v>-0.45625520522703766</v>
      </c>
      <c r="CL91" s="2">
        <f>Table7[[#This Row],[WaistMP Res]]^2</f>
        <v>0.20816881229676626</v>
      </c>
      <c r="CM91">
        <f>Regression!$H$29+(Regression!$H$28*Table83[[#This Row],[Night Body Temp]])</f>
        <v>44.457050878464067</v>
      </c>
      <c r="CN91" s="2">
        <f>Table83[[#This Row],[Waist]]-Table7[[#This Row],[Waist v Night Temp]]</f>
        <v>-0.45705087846406656</v>
      </c>
      <c r="CO91" s="2">
        <f>Table7[[#This Row],[WaistNT Res]]^2</f>
        <v>0.20889550550477493</v>
      </c>
      <c r="CP91">
        <f>Regression!$I$29+(Regression!$I$28*Table83[[#This Row],[Night Systolic Pressure]])</f>
        <v>44.54374000125889</v>
      </c>
      <c r="CQ91" s="2">
        <f>Table83[[#This Row],[Waist]]-Table7[[#This Row],[Waist v  Night Sys]]</f>
        <v>-0.54374000125888955</v>
      </c>
      <c r="CR91" s="2">
        <f>Table7[[#This Row],[WaistNS Res]]^2</f>
        <v>0.29565318896901721</v>
      </c>
      <c r="CS91">
        <f>Regression!$J$29+(Regression!$J$28*Table83[[#This Row],[Night Diastolic Pressure]])</f>
        <v>44.495227901568619</v>
      </c>
      <c r="CT91" s="2">
        <f>Table83[[#This Row],[Waist]]-Table7[[#This Row],[Waist v Night Dia]]</f>
        <v>-0.49522790156861873</v>
      </c>
      <c r="CU91" s="2">
        <f>Table7[[#This Row],[WaistND Res]]^2</f>
        <v>0.24525067449205754</v>
      </c>
      <c r="CV91">
        <f>Regression!$K$29+(Regression!$K$28*Table83[[#This Row],[Night Pulse]])</f>
        <v>44.442567894699479</v>
      </c>
      <c r="CW91" s="2">
        <f>Table83[[#This Row],[Waist]]-Table7[[#This Row],[Waist v Night Pulse]]</f>
        <v>-0.44256789469947933</v>
      </c>
      <c r="CX91" s="2">
        <f>Table7[[#This Row],[WaistNP Res]]^2</f>
        <v>0.19586634141872941</v>
      </c>
      <c r="CY91">
        <f>Regression!$L$29+(Regression!$L$28*Table83[[#This Row],[Sleep]])</f>
        <v>44.384743400864622</v>
      </c>
      <c r="CZ91" s="2">
        <f>Table83[[#This Row],[Waist]]-Table7[[#This Row],[Waist v  Sleep]]</f>
        <v>-0.38474340086462178</v>
      </c>
      <c r="DA91" s="2">
        <f>Table7[[#This Row],[WaistS Res]]^2</f>
        <v>0.14802748450887504</v>
      </c>
      <c r="DB91">
        <f>Regression!$M$29+(Regression!$M$28*Table83[[#This Row],[BMI]])</f>
        <v>44.165338583839599</v>
      </c>
      <c r="DC91" s="2">
        <f>Table83[[#This Row],[Waist]]-Table7[[#This Row],[Waist v BMI]]</f>
        <v>-0.1653385838395991</v>
      </c>
      <c r="DD91" s="2">
        <f>Table7[[#This Row],[WaistBMI Res]]^2</f>
        <v>2.7336847306084138E-2</v>
      </c>
      <c r="DE91">
        <f>Regression!$N$29+(Regression!$N$28*Table83[[#This Row],[CBF]])</f>
        <v>44.105031770433015</v>
      </c>
      <c r="DF91" s="2">
        <f>Table83[[#This Row],[Waist]]-Table7[[#This Row],[Waist v  CBF]]</f>
        <v>-0.10503177043301548</v>
      </c>
      <c r="DG91" s="2">
        <f>Table7[[#This Row],[WaistCBF Res]]^2</f>
        <v>1.1031672800293666E-2</v>
      </c>
      <c r="DH91">
        <f>Regression!$O$29+(Regression!$O$28*Table83[[#This Row],[Gym]])</f>
        <v>44.550847457627107</v>
      </c>
      <c r="DI91" s="2">
        <f>Table83[[#This Row],[Waist]]-Table7[[#This Row],[Waist v  Gym]]</f>
        <v>-0.55084745762710696</v>
      </c>
      <c r="DJ91" s="2">
        <f>Table7[[#This Row],[WaistGYM Res]]^2</f>
        <v>0.30343292157424739</v>
      </c>
      <c r="DK91">
        <f>Regression!$P$29+(Regression!$P$28*Table83[[#This Row],[Cardio]])</f>
        <v>44.680851063829778</v>
      </c>
      <c r="DL91" s="2">
        <f>Table83[[#This Row],[Waist]]-Table7[[#This Row],[Waist v Cardio]]</f>
        <v>-0.68085106382977756</v>
      </c>
      <c r="DM91" s="2">
        <f>Table7[[#This Row],[WaistC Res]]^2</f>
        <v>0.46355817111813985</v>
      </c>
      <c r="DN91">
        <f>Regression!$Q$29+(Regression!$Q$28*Table83[[#This Row],[Calories]])</f>
        <v>44.431429292448797</v>
      </c>
      <c r="DO91" s="2">
        <f>Table83[[#This Row],[Waist]]-Table7[[#This Row],[Waist v Calories]]</f>
        <v>-0.43142929244879724</v>
      </c>
      <c r="DP91" s="2">
        <f>Table7[[#This Row],[WaistCal Res]]^2</f>
        <v>0.18613123438286983</v>
      </c>
      <c r="DQ91">
        <f>Regression!$R$29+(Regression!$R$28*Table83[[#This Row],[Carbs]])</f>
        <v>44.500564306863033</v>
      </c>
      <c r="DR91" s="2">
        <f>Table83[[#This Row],[Waist]]-Table7[[#This Row],[Waist v Carbs]]</f>
        <v>-0.50056430686303344</v>
      </c>
      <c r="DS91" s="2">
        <f>Table7[[#This Row],[WaistCarb Res]]^2</f>
        <v>0.25056462530526913</v>
      </c>
      <c r="DT91">
        <f>Regression!$S$29+(Regression!$S$28*Table83[[#This Row],[Fat ]])</f>
        <v>44.411246320714007</v>
      </c>
      <c r="DU91" s="2">
        <f>Table83[[#This Row],[Waist]]-Table7[[#This Row],[Waist v Fat]]</f>
        <v>-0.41124632071400669</v>
      </c>
      <c r="DV91" s="2">
        <f>Table7[[#This Row],[WaistF Res]]^2</f>
        <v>0.16912353630080765</v>
      </c>
      <c r="DW91">
        <f>Regression!$T$29+(Regression!$T$28*Table83[[#This Row],[Protein]])</f>
        <v>44.275530905053124</v>
      </c>
      <c r="DX91" s="2">
        <f>Table83[[#This Row],[Waist]]-Table7[[#This Row],[Waist v Protein]]</f>
        <v>-0.27553090505312383</v>
      </c>
      <c r="DY91" s="2">
        <f>Table7[[#This Row],[WaistP Res]]^2</f>
        <v>7.5917279639393542E-2</v>
      </c>
      <c r="DZ91">
        <f>Regression!$U$29+(Regression!$U$28*Table83[[#This Row],[Fiber]])</f>
        <v>44.439083421078671</v>
      </c>
      <c r="EA91" s="2">
        <f>Table83[[#This Row],[Waist]]-Table7[[#This Row],[Waist v Fiber]]</f>
        <v>-0.43908342107867071</v>
      </c>
      <c r="EB91" s="2">
        <f>Table7[[#This Row],[WaistFib Res]]^2</f>
        <v>0.19279425066614925</v>
      </c>
      <c r="EC91">
        <f>Regression!$V$29+(Regression!$V$28*Table83[[#This Row],[Sugar]])</f>
        <v>44.50781978044995</v>
      </c>
      <c r="ED91" s="2">
        <f>Table83[[#This Row],[Waist]]-Table7[[#This Row],[Waist v Sugar]]</f>
        <v>-0.50781978044994958</v>
      </c>
      <c r="EE91" s="2">
        <f>Table7[[#This Row],[WaistSugar Res]]^2</f>
        <v>0.25788092941623497</v>
      </c>
      <c r="EF91">
        <f>Regression!$W$29+(Regression!$W$28*Table83[[#This Row],[Servings]])</f>
        <v>44.609178190755394</v>
      </c>
      <c r="EG91" s="2">
        <f>Table83[[#This Row],[Waist]]-Table7[[#This Row],[Waist v Servings]]</f>
        <v>-0.6091781907553937</v>
      </c>
      <c r="EH91" s="2">
        <f>Table7[[#This Row],[WaistServ Res]]^2</f>
        <v>0.37109806809201484</v>
      </c>
      <c r="EI91">
        <f>Regression!$X$29+(Regression!$X$28*Table83[[#This Row],[Water]])</f>
        <v>44.442082352251923</v>
      </c>
      <c r="EJ91" s="2">
        <f>Table83[[#This Row],[Waist]]-Table7[[#This Row],[Waist v Water]]</f>
        <v>-0.44208235225192283</v>
      </c>
      <c r="EK91" s="2">
        <f>Table7[[#This Row],[WaistWat Res]]^2</f>
        <v>0.19543680617259318</v>
      </c>
      <c r="EL91">
        <f>Regression!$Y$29+(Regression!$Y$28*Table83[[#This Row],[Fat Calories]])</f>
        <v>44.407278589273808</v>
      </c>
      <c r="EM91" s="2">
        <f>Table83[[#This Row],[Waist]]-Table7[[#This Row],[Waist v Fat Calories]]</f>
        <v>-0.40727858927380822</v>
      </c>
      <c r="EN91" s="2">
        <f>Table7[[#This Row],[WaistFatCal Res]]^2</f>
        <v>0.16587584928086338</v>
      </c>
    </row>
    <row r="92" spans="1:144" x14ac:dyDescent="0.25">
      <c r="A92">
        <f>Regression!$B$10+(Regression!$B$9*Table83[[#This Row],[Waist]])</f>
        <v>249.67228149328892</v>
      </c>
      <c r="B92" s="2">
        <f>Table83[[#This Row],[Weight]]-Table7[[#This Row],[Weight v Waist]]</f>
        <v>4.727718506711085</v>
      </c>
      <c r="C92" s="2">
        <f>Table7[[#This Row],[Weight v Waist Res]]^2</f>
        <v>22.35132227869849</v>
      </c>
      <c r="D92">
        <f>Regression!$C$10+(Regression!$C$9*Table83[[#This Row],[Neck]])</f>
        <v>253.29286486487842</v>
      </c>
      <c r="E92" s="2">
        <f>Table83[[#This Row],[Weight]]-Table7[[#This Row],[Weight v Neck]]</f>
        <v>1.107135135121581</v>
      </c>
      <c r="F92" s="2">
        <f>Table7[[#This Row],[WN Res]]^2</f>
        <v>1.2257482074206814</v>
      </c>
      <c r="G92">
        <f>Regression!$D$10+(Regression!$D$9*Table83[[#This Row],[Morning Body Temp]])</f>
        <v>254.63717512375013</v>
      </c>
      <c r="H92" s="2">
        <f>Table83[[#This Row],[Weight]]-Table7[[#This Row],[Weight v Morning Temp]]</f>
        <v>-0.23717512375012006</v>
      </c>
      <c r="I92" s="2">
        <f>Table7[[#This Row],[WMT Res]]^2</f>
        <v>5.6252039325884767E-2</v>
      </c>
      <c r="J92">
        <f>Regression!$E$10+(Regression!$E$9*Table83[[#This Row],[Morning Systolic Pressure]])</f>
        <v>254.73886899784827</v>
      </c>
      <c r="K92" s="2">
        <f>Table83[[#This Row],[Weight]]-Table7[[#This Row],[Weight v Morning Sys]]</f>
        <v>-0.33886899784826596</v>
      </c>
      <c r="L92" s="2">
        <f>Table7[[#This Row],[WMS Res]]^2</f>
        <v>0.11483219770268809</v>
      </c>
      <c r="M92">
        <f>Regression!$F$10+(Regression!$F$9*Table83[[#This Row],[Morning Diastolic Pressure]])</f>
        <v>254.79800715011203</v>
      </c>
      <c r="N92" s="2">
        <f>Table83[[#This Row],[Weight]]-Table7[[#This Row],[Weight v Morning Dia]]</f>
        <v>-0.39800715011202215</v>
      </c>
      <c r="O92" s="2">
        <f>Table7[[#This Row],[WMD Res]]^2</f>
        <v>0.15840969154029372</v>
      </c>
      <c r="P92">
        <f>Regression!$G$10+(Regression!$G$9*Table83[[#This Row],[Morning Pulse]])</f>
        <v>255.11364509439846</v>
      </c>
      <c r="Q92" s="2">
        <f>Table83[[#This Row],[Weight]]-Table7[[#This Row],[Weight v Morning Pulse]]</f>
        <v>-0.71364509439845847</v>
      </c>
      <c r="R92" s="2">
        <f>Table7[[#This Row],[WMP Res]]^2</f>
        <v>0.5092893207589847</v>
      </c>
      <c r="S92">
        <f>Regression!$H$10+(Regression!$H$9*Table83[[#This Row],[Night Body Temp]])</f>
        <v>255.05687981848845</v>
      </c>
      <c r="T92" s="2">
        <f>Table83[[#This Row],[Weight]]-Table7[[#This Row],[Weight v Night Temp]]</f>
        <v>-0.65687981848844856</v>
      </c>
      <c r="U92" s="2">
        <f>Table7[[#This Row],[WNT Res]]^2</f>
        <v>0.43149109593741714</v>
      </c>
      <c r="V92">
        <f>Regression!$I$10+(Regression!$I$9*Table83[[#This Row],[Night Systolic Pressure]])</f>
        <v>256.57296423553731</v>
      </c>
      <c r="W92" s="2">
        <f>Table83[[#This Row],[Weight]]-Table7[[#This Row],[Weight v Night Sys]]</f>
        <v>-2.1729642355373073</v>
      </c>
      <c r="X92" s="2">
        <f>Table7[[#This Row],[WNS Res]]^2</f>
        <v>4.7217735689242346</v>
      </c>
      <c r="Y92">
        <f>Regression!$J$10+(Regression!$J$9*Table83[[#This Row],[Night Diastolic Pressure]])</f>
        <v>255.05155050582999</v>
      </c>
      <c r="Z92" s="2">
        <f>Table83[[#This Row],[Weight]]-Table7[[#This Row],[Weight v Night Dia]]</f>
        <v>-0.65155050582998797</v>
      </c>
      <c r="AA92" s="2">
        <f>Table7[[#This Row],[WND Res]]^2</f>
        <v>0.42451806164731321</v>
      </c>
      <c r="AB92">
        <f>Regression!$K$10+(Regression!$K$9*Table83[[#This Row],[Night Pulse]])</f>
        <v>255.07943852750452</v>
      </c>
      <c r="AC92" s="2">
        <f>Table83[[#This Row],[Weight]]-Table7[[#This Row],[Weight v Night Pulse]]</f>
        <v>-0.67943852750451583</v>
      </c>
      <c r="AD92" s="2">
        <f>Table7[[#This Row],[WNP Res ]]^2</f>
        <v>0.46163671265750472</v>
      </c>
      <c r="AE92">
        <f>Regression!$L$10+(Regression!$L$9*Table83[[#This Row],[Sleep]])</f>
        <v>254.97929263569441</v>
      </c>
      <c r="AF92" s="2">
        <f>Table83[[#This Row],[Weight]]-Table7[[#This Row],[Weight v Sleep]]</f>
        <v>-0.57929263569440081</v>
      </c>
      <c r="AG92" s="2">
        <f>Table7[[#This Row],[WS Res]]^2</f>
        <v>0.33557995776976579</v>
      </c>
      <c r="AH92">
        <f>Regression!$M$10+(Regression!$M$9*Table83[[#This Row],[BMI]])</f>
        <v>254.40000000000165</v>
      </c>
      <c r="AI92" s="2">
        <f>Table83[[#This Row],[Weight]]-Table7[[#This Row],[Weight v BMI]]</f>
        <v>-1.6484591469634324E-12</v>
      </c>
      <c r="AJ92" s="2">
        <f>Table7[[#This Row],[WBMI Res]]^2</f>
        <v>2.7174175592074073E-24</v>
      </c>
      <c r="AK92">
        <f>Regression!$N$10+(Regression!$N$9*Table83[[#This Row],[CBF]])</f>
        <v>250.04675133427031</v>
      </c>
      <c r="AL92" s="2">
        <f>Table83[[#This Row],[Weight]]-Table7[[#This Row],[Weight v CBF]]</f>
        <v>4.3532486657296943</v>
      </c>
      <c r="AM92" s="2">
        <f>Table7[[#This Row],[WCBF Res]]^2</f>
        <v>18.950773945677362</v>
      </c>
      <c r="AN92">
        <f>Regression!$O$10+(Regression!$O$9*Table83[[#This Row],[Gym]])</f>
        <v>255.46779661016953</v>
      </c>
      <c r="AO92" s="2">
        <f>Table83[[#This Row],[Weight]]-Table7[[#This Row],[Weight v Gym]]</f>
        <v>-1.0677966101695233</v>
      </c>
      <c r="AP92" s="2">
        <f>Table7[[#This Row],[WG Res]]^2</f>
        <v>1.1401896006895249</v>
      </c>
      <c r="AQ92">
        <f>Regression!$P$10+(Regression!$P$9*Table83[[#This Row],[Cardio]])</f>
        <v>254.19242424242461</v>
      </c>
      <c r="AR92" s="2">
        <f>Table83[[#This Row],[Weight]]-Table7[[#This Row],[Weight v Cardio]]</f>
        <v>0.20757575757539826</v>
      </c>
      <c r="AS92" s="2">
        <f>Table7[[#This Row],[WC Res]]^2</f>
        <v>4.3087695133000509E-2</v>
      </c>
      <c r="AT92">
        <f>Regression!$Q$10+(Regression!$Q$9*Table83[[#This Row],[Calories]])</f>
        <v>255.1954614014987</v>
      </c>
      <c r="AU92" s="2">
        <f>Table83[[#This Row],[Weight]]-Table7[[#This Row],[Weight v Calories]]</f>
        <v>-0.79546140149869871</v>
      </c>
      <c r="AV92" s="2">
        <f>Table7[[#This Row],[WCAL Res]]^2</f>
        <v>0.63275884127427395</v>
      </c>
      <c r="AW92">
        <f>Regression!$R$10+(Regression!$R$9*Table83[[#This Row],[Carbs]])</f>
        <v>255.5214884509945</v>
      </c>
      <c r="AX92" s="2">
        <f>Table83[[#This Row],[Weight]]-Table7[[#This Row],[Weight v Carbs]]</f>
        <v>-1.1214884509944909</v>
      </c>
      <c r="AY92" s="2">
        <f>Table7[[#This Row],[Wcarb Res]]^2</f>
        <v>1.2577363457140227</v>
      </c>
      <c r="AZ92">
        <f>Regression!$S$10+(Regression!$S$9*Table83[[#This Row],[Fat ]])</f>
        <v>254.99591701308742</v>
      </c>
      <c r="BA92" s="2">
        <f>Table83[[#This Row],[Weight]]-Table7[[#This Row],[Weight v Fat]]</f>
        <v>-0.59591701308741563</v>
      </c>
      <c r="BB92" s="2">
        <f>Table7[[#This Row],[WF Res]]^2</f>
        <v>0.35511708648702711</v>
      </c>
      <c r="BC92">
        <f>Regression!$T$10+(Regression!$T$9*Table83[[#This Row],[Protein]])</f>
        <v>253.99359229744806</v>
      </c>
      <c r="BD92" s="2">
        <f>Table83[[#This Row],[Weight]]-Table7[[#This Row],[Weight v Protein]]</f>
        <v>0.40640770255194525</v>
      </c>
      <c r="BE92" s="2">
        <f>Table7[[#This Row],[WP Res]]^2</f>
        <v>0.16516722069355042</v>
      </c>
      <c r="BF92">
        <f>Regression!$U$10+(Regression!$U$9*Table83[[#This Row],[Fiber]])</f>
        <v>254.93608423841377</v>
      </c>
      <c r="BG92" s="2">
        <f>Table83[[#This Row],[Weight]]-Table7[[#This Row],[Weight v Fiber]]</f>
        <v>-0.53608423841376407</v>
      </c>
      <c r="BH92" s="2">
        <f>Table7[[#This Row],[Wfib Res]]^2</f>
        <v>0.28738631067566545</v>
      </c>
      <c r="BI92">
        <f>Regression!$V$10+(Regression!$V$9*Table83[[#This Row],[Sugar]])</f>
        <v>255.14605944351686</v>
      </c>
      <c r="BJ92" s="2">
        <f>Table83[[#This Row],[Weight]]-Table7[[#This Row],[Weight v Sugar]]</f>
        <v>-0.74605944351685594</v>
      </c>
      <c r="BK92" s="2">
        <f>Table7[[#This Row],[Wsugar Res]]^2</f>
        <v>0.55660469326068074</v>
      </c>
      <c r="BL92">
        <f>Regression!$W$10+(Regression!$W$9*Table83[[#This Row],[Servings]])</f>
        <v>254.40539024754392</v>
      </c>
      <c r="BM92" s="2">
        <f>Table83[[#This Row],[Weight]]-Table7[[#This Row],[Weight v Servings]]</f>
        <v>-5.3902475439144837E-3</v>
      </c>
      <c r="BN92" s="2">
        <f>Table7[[#This Row],[Wserv Res]]^2</f>
        <v>2.9054768584676124E-5</v>
      </c>
      <c r="BO92">
        <f>Regression!$X$10+(Regression!$X$9*Table83[[#This Row],[Water]])</f>
        <v>255.0206340268538</v>
      </c>
      <c r="BP92" s="2">
        <f>Table83[[#This Row],[Weight]]-Table7[[#This Row],[Weight v Water]]</f>
        <v>-0.62063402685379288</v>
      </c>
      <c r="BQ92" s="2">
        <f>Table7[[#This Row],[Wwater Res]]^2</f>
        <v>0.38518659528875449</v>
      </c>
      <c r="BR92">
        <f>Regression!$Y$10+(Regression!$Y$9*Table83[[#This Row],[Fat Calories]])</f>
        <v>254.98340129652723</v>
      </c>
      <c r="BS92" s="2">
        <f>Table83[[#This Row],[Weight]]-Table7[[#This Row],[Weight v Fat Calories]]</f>
        <v>-0.58340129652722794</v>
      </c>
      <c r="BT92" s="2">
        <f>Table7[[#This Row],[WFC Res]]^2</f>
        <v>0.34035707278965055</v>
      </c>
      <c r="BU92">
        <f>Regression!$B$29+(Regression!$B$28*Table83[[#This Row],[Weight]])</f>
        <v>44.356106098636658</v>
      </c>
      <c r="BV92" s="2">
        <f>Table83[[#This Row],[Waist]]-Table7[[#This Row],[Waist v Weight]]</f>
        <v>-0.85610609863665843</v>
      </c>
      <c r="BW92" s="2">
        <f>Table7[[#This Row],[WaistW Res]]^2</f>
        <v>0.73291765212287996</v>
      </c>
      <c r="BX92">
        <f>Regression!$C$29+(Regression!$C$28*Table83[[#This Row],[Neck]])</f>
        <v>44.175585585585594</v>
      </c>
      <c r="BY92" s="2">
        <f>Table83[[#This Row],[Waist]]-Table7[[#This Row],[Waist v Neck]]</f>
        <v>-0.67558558558559412</v>
      </c>
      <c r="BZ92" s="2">
        <f>Table7[[#This Row],[WaistN Res]]^2</f>
        <v>0.45641588345103012</v>
      </c>
      <c r="CA92">
        <f>Regression!$D$29+(Regression!$D$28*Table83[[#This Row],[Morning Body Temp]])</f>
        <v>44.323570238526059</v>
      </c>
      <c r="CB92" s="2">
        <f>Table83[[#This Row],[Waist]]-Table7[[#This Row],[Waist v Morning Temp]]</f>
        <v>-0.82357023852605948</v>
      </c>
      <c r="CC92" s="2">
        <f>Table7[[#This Row],[WaistMT Res]]^2</f>
        <v>0.67826793778587047</v>
      </c>
      <c r="CD92">
        <f>Regression!$E$29+(Regression!$E$28*Table83[[#This Row],[Morning Systolic Pressure]])</f>
        <v>44.365161485454784</v>
      </c>
      <c r="CE92" s="2">
        <f>Table83[[#This Row],[Waist]]-Table7[[#This Row],[Waist v Morning Sys]]</f>
        <v>-0.86516148545478444</v>
      </c>
      <c r="CF92" s="2">
        <f>Table7[[#This Row],[WaistMS Res]]^2</f>
        <v>0.74850439591432916</v>
      </c>
      <c r="CG92">
        <f>Regression!$F$29+(Regression!$F$28*Table83[[#This Row],[Morning Diastolic Pressure]])</f>
        <v>44.435909806137701</v>
      </c>
      <c r="CH92" s="2">
        <f>Table83[[#This Row],[Waist]]-Table7[[#This Row],[Waist v Morning Dia]]</f>
        <v>-0.93590980613770114</v>
      </c>
      <c r="CI92" s="2">
        <f>Table7[[#This Row],[WaistMD Res]]^2</f>
        <v>0.87592716522470937</v>
      </c>
      <c r="CJ92">
        <f>Regression!$G$29+(Regression!$G$28*Table83[[#This Row],[Morning Pulse]])</f>
        <v>44.452897194932582</v>
      </c>
      <c r="CK92" s="2">
        <f>Table83[[#This Row],[Waist]]-Table7[[#This Row],[Waist v Morning Pulse]]</f>
        <v>-0.95289719493258218</v>
      </c>
      <c r="CL92" s="2">
        <f>Table7[[#This Row],[WaistMP Res]]^2</f>
        <v>0.90801306411038352</v>
      </c>
      <c r="CM92">
        <f>Regression!$H$29+(Regression!$H$28*Table83[[#This Row],[Night Body Temp]])</f>
        <v>44.448953954659181</v>
      </c>
      <c r="CN92" s="2">
        <f>Table83[[#This Row],[Waist]]-Table7[[#This Row],[Waist v Night Temp]]</f>
        <v>-0.94895395465918142</v>
      </c>
      <c r="CO92" s="2">
        <f>Table7[[#This Row],[WaistNT Res]]^2</f>
        <v>0.90051360806329972</v>
      </c>
      <c r="CP92">
        <f>Regression!$I$29+(Regression!$I$28*Table83[[#This Row],[Night Systolic Pressure]])</f>
        <v>44.660060915863802</v>
      </c>
      <c r="CQ92" s="2">
        <f>Table83[[#This Row],[Waist]]-Table7[[#This Row],[Waist v  Night Sys]]</f>
        <v>-1.1600609158638022</v>
      </c>
      <c r="CR92" s="2">
        <f>Table7[[#This Row],[WaistNS Res]]^2</f>
        <v>1.3457413285147637</v>
      </c>
      <c r="CS92">
        <f>Regression!$J$29+(Regression!$J$28*Table83[[#This Row],[Night Diastolic Pressure]])</f>
        <v>44.426956120738851</v>
      </c>
      <c r="CT92" s="2">
        <f>Table83[[#This Row],[Waist]]-Table7[[#This Row],[Waist v Night Dia]]</f>
        <v>-0.92695612073885059</v>
      </c>
      <c r="CU92" s="2">
        <f>Table7[[#This Row],[WaistND Res]]^2</f>
        <v>0.8592476497752185</v>
      </c>
      <c r="CV92">
        <f>Regression!$K$29+(Regression!$K$28*Table83[[#This Row],[Night Pulse]])</f>
        <v>44.456851626254306</v>
      </c>
      <c r="CW92" s="2">
        <f>Table83[[#This Row],[Waist]]-Table7[[#This Row],[Waist v Night Pulse]]</f>
        <v>-0.95685162625430564</v>
      </c>
      <c r="CX92" s="2">
        <f>Table7[[#This Row],[WaistNP Res]]^2</f>
        <v>0.91556503466550943</v>
      </c>
      <c r="CY92">
        <f>Regression!$L$29+(Regression!$L$28*Table83[[#This Row],[Sleep]])</f>
        <v>44.432842368860271</v>
      </c>
      <c r="CZ92" s="2">
        <f>Table83[[#This Row],[Waist]]-Table7[[#This Row],[Waist v  Sleep]]</f>
        <v>-0.93284236886027116</v>
      </c>
      <c r="DA92" s="2">
        <f>Table7[[#This Row],[WaistS Res]]^2</f>
        <v>0.8701948851408422</v>
      </c>
      <c r="DB92">
        <f>Regression!$M$29+(Regression!$M$28*Table83[[#This Row],[BMI]])</f>
        <v>44.356106098636971</v>
      </c>
      <c r="DC92" s="2">
        <f>Table83[[#This Row],[Waist]]-Table7[[#This Row],[Waist v BMI]]</f>
        <v>-0.85610609863697107</v>
      </c>
      <c r="DD92" s="2">
        <f>Table7[[#This Row],[WaistBMI Res]]^2</f>
        <v>0.7329176521234152</v>
      </c>
      <c r="DE92">
        <f>Regression!$N$29+(Regression!$N$28*Table83[[#This Row],[CBF]])</f>
        <v>43.540887941991329</v>
      </c>
      <c r="DF92" s="2">
        <f>Table83[[#This Row],[Waist]]-Table7[[#This Row],[Waist v  CBF]]</f>
        <v>-4.0887941991329058E-2</v>
      </c>
      <c r="DG92" s="2">
        <f>Table7[[#This Row],[WaistCBF Res]]^2</f>
        <v>1.6718238002862899E-3</v>
      </c>
      <c r="DH92">
        <f>Regression!$O$29+(Regression!$O$28*Table83[[#This Row],[Gym]])</f>
        <v>44.550847457627107</v>
      </c>
      <c r="DI92" s="2">
        <f>Table83[[#This Row],[Waist]]-Table7[[#This Row],[Waist v  Gym]]</f>
        <v>-1.050847457627107</v>
      </c>
      <c r="DJ92" s="2">
        <f>Table7[[#This Row],[WaistGYM Res]]^2</f>
        <v>1.1042803792013545</v>
      </c>
      <c r="DK92">
        <f>Regression!$P$29+(Regression!$P$28*Table83[[#This Row],[Cardio]])</f>
        <v>44.291666666666664</v>
      </c>
      <c r="DL92" s="2">
        <f>Table83[[#This Row],[Waist]]-Table7[[#This Row],[Waist v Cardio]]</f>
        <v>-0.7916666666666643</v>
      </c>
      <c r="DM92" s="2">
        <f>Table7[[#This Row],[WaistC Res]]^2</f>
        <v>0.62673611111110739</v>
      </c>
      <c r="DN92">
        <f>Regression!$Q$29+(Regression!$Q$28*Table83[[#This Row],[Calories]])</f>
        <v>44.471607773822335</v>
      </c>
      <c r="DO92" s="2">
        <f>Table83[[#This Row],[Waist]]-Table7[[#This Row],[Waist v Calories]]</f>
        <v>-0.97160777382233476</v>
      </c>
      <c r="DP92" s="2">
        <f>Table7[[#This Row],[WaistCal Res]]^2</f>
        <v>0.94402166615199323</v>
      </c>
      <c r="DQ92">
        <f>Regression!$R$29+(Regression!$R$28*Table83[[#This Row],[Carbs]])</f>
        <v>44.538159017149859</v>
      </c>
      <c r="DR92" s="2">
        <f>Table83[[#This Row],[Waist]]-Table7[[#This Row],[Waist v Carbs]]</f>
        <v>-1.0381590171498587</v>
      </c>
      <c r="DS92" s="2">
        <f>Table7[[#This Row],[WaistCarb Res]]^2</f>
        <v>1.0777741448895606</v>
      </c>
      <c r="DT92">
        <f>Regression!$S$29+(Regression!$S$28*Table83[[#This Row],[Fat ]])</f>
        <v>44.41712514841609</v>
      </c>
      <c r="DU92" s="2">
        <f>Table83[[#This Row],[Waist]]-Table7[[#This Row],[Waist v Fat]]</f>
        <v>-0.9171251484160905</v>
      </c>
      <c r="DV92" s="2">
        <f>Table7[[#This Row],[WaistF Res]]^2</f>
        <v>0.841118537857236</v>
      </c>
      <c r="DW92">
        <f>Regression!$T$29+(Regression!$T$28*Table83[[#This Row],[Protein]])</f>
        <v>44.248272458135979</v>
      </c>
      <c r="DX92" s="2">
        <f>Table83[[#This Row],[Waist]]-Table7[[#This Row],[Waist v Protein]]</f>
        <v>-0.74827245813597898</v>
      </c>
      <c r="DY92" s="2">
        <f>Table7[[#This Row],[WaistP Res]]^2</f>
        <v>0.55991167160486044</v>
      </c>
      <c r="DZ92">
        <f>Regression!$U$29+(Regression!$U$28*Table83[[#This Row],[Fiber]])</f>
        <v>44.384486322310515</v>
      </c>
      <c r="EA92" s="2">
        <f>Table83[[#This Row],[Waist]]-Table7[[#This Row],[Waist v Fiber]]</f>
        <v>-0.88448632231051505</v>
      </c>
      <c r="EB92" s="2">
        <f>Table7[[#This Row],[WaistFib Res]]^2</f>
        <v>0.78231605435438034</v>
      </c>
      <c r="EC92">
        <f>Regression!$V$29+(Regression!$V$28*Table83[[#This Row],[Sugar]])</f>
        <v>44.459111357008254</v>
      </c>
      <c r="ED92" s="2">
        <f>Table83[[#This Row],[Waist]]-Table7[[#This Row],[Waist v Sugar]]</f>
        <v>-0.95911135700825412</v>
      </c>
      <c r="EE92" s="2">
        <f>Table7[[#This Row],[WaistSugar Res]]^2</f>
        <v>0.91989459514221472</v>
      </c>
      <c r="EF92">
        <f>Regression!$W$29+(Regression!$W$28*Table83[[#This Row],[Servings]])</f>
        <v>44.345258445403978</v>
      </c>
      <c r="EG92" s="2">
        <f>Table83[[#This Row],[Waist]]-Table7[[#This Row],[Waist v Servings]]</f>
        <v>-0.84525844540397799</v>
      </c>
      <c r="EH92" s="2">
        <f>Table7[[#This Row],[WaistServ Res]]^2</f>
        <v>0.71446183952674969</v>
      </c>
      <c r="EI92">
        <f>Regression!$X$29+(Regression!$X$28*Table83[[#This Row],[Water]])</f>
        <v>44.33031459742935</v>
      </c>
      <c r="EJ92" s="2">
        <f>Table83[[#This Row],[Waist]]-Table7[[#This Row],[Waist v Water]]</f>
        <v>-0.83031459742934999</v>
      </c>
      <c r="EK92" s="2">
        <f>Table7[[#This Row],[WaistWat Res]]^2</f>
        <v>0.68942233070426351</v>
      </c>
      <c r="EL92">
        <f>Regression!$Y$29+(Regression!$Y$28*Table83[[#This Row],[Fat Calories]])</f>
        <v>44.413503414472295</v>
      </c>
      <c r="EM92" s="2">
        <f>Table83[[#This Row],[Waist]]-Table7[[#This Row],[Waist v Fat Calories]]</f>
        <v>-0.91350341447229511</v>
      </c>
      <c r="EN92" s="2">
        <f>Table7[[#This Row],[WaistFatCal Res]]^2</f>
        <v>0.83448848825254174</v>
      </c>
    </row>
    <row r="93" spans="1:144" x14ac:dyDescent="0.25">
      <c r="A93">
        <f>Regression!$B$10+(Regression!$B$9*Table83[[#This Row],[Waist]])</f>
        <v>249.67228149328892</v>
      </c>
      <c r="B93" s="2">
        <f>Table83[[#This Row],[Weight]]-Table7[[#This Row],[Weight v Waist]]</f>
        <v>2.727718506711085</v>
      </c>
      <c r="C93" s="2">
        <f>Table7[[#This Row],[Weight v Waist Res]]^2</f>
        <v>7.4404482518541508</v>
      </c>
      <c r="D93">
        <f>Regression!$C$10+(Regression!$C$9*Table83[[#This Row],[Neck]])</f>
        <v>253.29286486487842</v>
      </c>
      <c r="E93" s="2">
        <f>Table83[[#This Row],[Weight]]-Table7[[#This Row],[Weight v Neck]]</f>
        <v>-0.89286486487841898</v>
      </c>
      <c r="F93" s="2">
        <f>Table7[[#This Row],[WN Res]]^2</f>
        <v>0.79720766693435741</v>
      </c>
      <c r="G93">
        <f>Regression!$D$10+(Regression!$D$9*Table83[[#This Row],[Morning Body Temp]])</f>
        <v>254.63717512375013</v>
      </c>
      <c r="H93" s="2">
        <f>Table83[[#This Row],[Weight]]-Table7[[#This Row],[Weight v Morning Temp]]</f>
        <v>-2.2371751237501201</v>
      </c>
      <c r="I93" s="2">
        <f>Table7[[#This Row],[WMT Res]]^2</f>
        <v>5.0049525343263648</v>
      </c>
      <c r="J93">
        <f>Regression!$E$10+(Regression!$E$9*Table83[[#This Row],[Morning Systolic Pressure]])</f>
        <v>254.96425501716519</v>
      </c>
      <c r="K93" s="2">
        <f>Table83[[#This Row],[Weight]]-Table7[[#This Row],[Weight v Morning Sys]]</f>
        <v>-2.5642550171651806</v>
      </c>
      <c r="L93" s="2">
        <f>Table7[[#This Row],[WMS Res]]^2</f>
        <v>6.5754037930568003</v>
      </c>
      <c r="M93">
        <f>Regression!$F$10+(Regression!$F$9*Table83[[#This Row],[Morning Diastolic Pressure]])</f>
        <v>255.00069564820177</v>
      </c>
      <c r="N93" s="2">
        <f>Table83[[#This Row],[Weight]]-Table7[[#This Row],[Weight v Morning Dia]]</f>
        <v>-2.6006956482017642</v>
      </c>
      <c r="O93" s="2">
        <f>Table7[[#This Row],[WMD Res]]^2</f>
        <v>6.7636178545755943</v>
      </c>
      <c r="P93">
        <f>Regression!$G$10+(Regression!$G$9*Table83[[#This Row],[Morning Pulse]])</f>
        <v>255.10998950288408</v>
      </c>
      <c r="Q93" s="2">
        <f>Table83[[#This Row],[Weight]]-Table7[[#This Row],[Weight v Morning Pulse]]</f>
        <v>-2.7099895028840706</v>
      </c>
      <c r="R93" s="2">
        <f>Table7[[#This Row],[WMP Res]]^2</f>
        <v>7.3440431057418518</v>
      </c>
      <c r="S93">
        <f>Regression!$H$10+(Regression!$H$9*Table83[[#This Row],[Night Body Temp]])</f>
        <v>254.02991411367159</v>
      </c>
      <c r="T93" s="2">
        <f>Table83[[#This Row],[Weight]]-Table7[[#This Row],[Weight v Night Temp]]</f>
        <v>-1.6299141136715889</v>
      </c>
      <c r="U93" s="2">
        <f>Table7[[#This Row],[WNT Res]]^2</f>
        <v>2.656620017945841</v>
      </c>
      <c r="V93">
        <f>Regression!$I$10+(Regression!$I$9*Table83[[#This Row],[Night Systolic Pressure]])</f>
        <v>253.69890888274017</v>
      </c>
      <c r="W93" s="2">
        <f>Table83[[#This Row],[Weight]]-Table7[[#This Row],[Weight v Night Sys]]</f>
        <v>-1.2989088827401645</v>
      </c>
      <c r="X93" s="2">
        <f>Table7[[#This Row],[WNS Res]]^2</f>
        <v>1.6871642856613023</v>
      </c>
      <c r="Y93">
        <f>Regression!$J$10+(Regression!$J$9*Table83[[#This Row],[Night Diastolic Pressure]])</f>
        <v>254.97001876899779</v>
      </c>
      <c r="Z93" s="2">
        <f>Table83[[#This Row],[Weight]]-Table7[[#This Row],[Weight v Night Dia]]</f>
        <v>-2.5700187689977838</v>
      </c>
      <c r="AA93" s="2">
        <f>Table7[[#This Row],[WND Res]]^2</f>
        <v>6.6049964730008837</v>
      </c>
      <c r="AB93">
        <f>Regression!$K$10+(Regression!$K$9*Table83[[#This Row],[Night Pulse]])</f>
        <v>255.23300518368814</v>
      </c>
      <c r="AC93" s="2">
        <f>Table83[[#This Row],[Weight]]-Table7[[#This Row],[Weight v Night Pulse]]</f>
        <v>-2.8330051836881296</v>
      </c>
      <c r="AD93" s="2">
        <f>Table7[[#This Row],[WNP Res ]]^2</f>
        <v>8.0259183708038133</v>
      </c>
      <c r="AE93">
        <f>Regression!$L$10+(Regression!$L$9*Table83[[#This Row],[Sleep]])</f>
        <v>254.66381845232058</v>
      </c>
      <c r="AF93" s="2">
        <f>Table83[[#This Row],[Weight]]-Table7[[#This Row],[Weight v Sleep]]</f>
        <v>-2.263818452320578</v>
      </c>
      <c r="AG93" s="2">
        <f>Table7[[#This Row],[WS Res]]^2</f>
        <v>5.1248739850671372</v>
      </c>
      <c r="AH93">
        <f>Regression!$M$10+(Regression!$M$9*Table83[[#This Row],[BMI]])</f>
        <v>252.40000000000609</v>
      </c>
      <c r="AI93" s="2">
        <f>Table83[[#This Row],[Weight]]-Table7[[#This Row],[Weight v BMI]]</f>
        <v>-6.0822458181064576E-12</v>
      </c>
      <c r="AJ93" s="2">
        <f>Table7[[#This Row],[WBMI Res]]^2</f>
        <v>3.6993714191873492E-23</v>
      </c>
      <c r="AK93">
        <f>Regression!$N$10+(Regression!$N$9*Table83[[#This Row],[CBF]])</f>
        <v>250.04675133427031</v>
      </c>
      <c r="AL93" s="2">
        <f>Table83[[#This Row],[Weight]]-Table7[[#This Row],[Weight v CBF]]</f>
        <v>2.3532486657296943</v>
      </c>
      <c r="AM93" s="2">
        <f>Table7[[#This Row],[WCBF Res]]^2</f>
        <v>5.5377792827585868</v>
      </c>
      <c r="AN93">
        <f>Regression!$O$10+(Regression!$O$9*Table83[[#This Row],[Gym]])</f>
        <v>254.72962962962998</v>
      </c>
      <c r="AO93" s="2">
        <f>Table83[[#This Row],[Weight]]-Table7[[#This Row],[Weight v Gym]]</f>
        <v>-2.3296296296299772</v>
      </c>
      <c r="AP93" s="2">
        <f>Table7[[#This Row],[WG Res]]^2</f>
        <v>5.4271742112499046</v>
      </c>
      <c r="AQ93">
        <f>Regression!$P$10+(Regression!$P$9*Table83[[#This Row],[Cardio]])</f>
        <v>254.19242424242461</v>
      </c>
      <c r="AR93" s="2">
        <f>Table83[[#This Row],[Weight]]-Table7[[#This Row],[Weight v Cardio]]</f>
        <v>-1.7924242424246017</v>
      </c>
      <c r="AS93" s="2">
        <f>Table7[[#This Row],[WC Res]]^2</f>
        <v>3.2127846648314073</v>
      </c>
      <c r="AT93">
        <f>Regression!$Q$10+(Regression!$Q$9*Table83[[#This Row],[Calories]])</f>
        <v>253.1562930405384</v>
      </c>
      <c r="AU93" s="2">
        <f>Table83[[#This Row],[Weight]]-Table7[[#This Row],[Weight v Calories]]</f>
        <v>-0.75629304053839519</v>
      </c>
      <c r="AV93" s="2">
        <f>Table7[[#This Row],[WCAL Res]]^2</f>
        <v>0.57197916316681063</v>
      </c>
      <c r="AW93">
        <f>Regression!$R$10+(Regression!$R$9*Table83[[#This Row],[Carbs]])</f>
        <v>253.42637843429392</v>
      </c>
      <c r="AX93" s="2">
        <f>Table83[[#This Row],[Weight]]-Table7[[#This Row],[Weight v Carbs]]</f>
        <v>-1.0263784342939175</v>
      </c>
      <c r="AY93" s="2">
        <f>Table7[[#This Row],[Wcarb Res]]^2</f>
        <v>1.0534526903836334</v>
      </c>
      <c r="AZ93">
        <f>Regression!$S$10+(Regression!$S$9*Table83[[#This Row],[Fat ]])</f>
        <v>253.78054221952786</v>
      </c>
      <c r="BA93" s="2">
        <f>Table83[[#This Row],[Weight]]-Table7[[#This Row],[Weight v Fat]]</f>
        <v>-1.3805422195278538</v>
      </c>
      <c r="BB93" s="2">
        <f>Table7[[#This Row],[WF Res]]^2</f>
        <v>1.905896819898893</v>
      </c>
      <c r="BC93">
        <f>Regression!$T$10+(Regression!$T$9*Table83[[#This Row],[Protein]])</f>
        <v>252.05536036358683</v>
      </c>
      <c r="BD93" s="2">
        <f>Table83[[#This Row],[Weight]]-Table7[[#This Row],[Weight v Protein]]</f>
        <v>0.34463963641317719</v>
      </c>
      <c r="BE93" s="2">
        <f>Table7[[#This Row],[WP Res]]^2</f>
        <v>0.11877647898700697</v>
      </c>
      <c r="BF93">
        <f>Regression!$U$10+(Regression!$U$9*Table83[[#This Row],[Fiber]])</f>
        <v>255.12507591592157</v>
      </c>
      <c r="BG93" s="2">
        <f>Table83[[#This Row],[Weight]]-Table7[[#This Row],[Weight v Fiber]]</f>
        <v>-2.7250759159215647</v>
      </c>
      <c r="BH93" s="2">
        <f>Table7[[#This Row],[Wfib Res]]^2</f>
        <v>7.4260387475357552</v>
      </c>
      <c r="BI93">
        <f>Regression!$V$10+(Regression!$V$9*Table83[[#This Row],[Sugar]])</f>
        <v>253.07098525844935</v>
      </c>
      <c r="BJ93" s="2">
        <f>Table83[[#This Row],[Weight]]-Table7[[#This Row],[Weight v Sugar]]</f>
        <v>-0.67098525844934898</v>
      </c>
      <c r="BK93" s="2">
        <f>Table7[[#This Row],[Wsugar Res]]^2</f>
        <v>0.45022121705633966</v>
      </c>
      <c r="BL93">
        <f>Regression!$W$10+(Regression!$W$9*Table83[[#This Row],[Servings]])</f>
        <v>253.50073464585694</v>
      </c>
      <c r="BM93" s="2">
        <f>Table83[[#This Row],[Weight]]-Table7[[#This Row],[Weight v Servings]]</f>
        <v>-1.1007346458569316</v>
      </c>
      <c r="BN93" s="2">
        <f>Table7[[#This Row],[Wserv Res]]^2</f>
        <v>1.2116167605897845</v>
      </c>
      <c r="BO93">
        <f>Regression!$X$10+(Regression!$X$9*Table83[[#This Row],[Water]])</f>
        <v>255.0206340268538</v>
      </c>
      <c r="BP93" s="2">
        <f>Table83[[#This Row],[Weight]]-Table7[[#This Row],[Weight v Water]]</f>
        <v>-2.6206340268537929</v>
      </c>
      <c r="BQ93" s="2">
        <f>Table7[[#This Row],[Wwater Res]]^2</f>
        <v>6.8677227027039258</v>
      </c>
      <c r="BR93">
        <f>Regression!$Y$10+(Regression!$Y$9*Table83[[#This Row],[Fat Calories]])</f>
        <v>253.68993676596915</v>
      </c>
      <c r="BS93" s="2">
        <f>Table83[[#This Row],[Weight]]-Table7[[#This Row],[Weight v Fat Calories]]</f>
        <v>-1.289936765969145</v>
      </c>
      <c r="BT93" s="2">
        <f>Table7[[#This Row],[WFC Res]]^2</f>
        <v>1.6639368601989366</v>
      </c>
      <c r="BU93">
        <f>Regression!$B$29+(Regression!$B$28*Table83[[#This Row],[Weight]])</f>
        <v>44.083581077496696</v>
      </c>
      <c r="BV93" s="2">
        <f>Table83[[#This Row],[Waist]]-Table7[[#This Row],[Waist v Weight]]</f>
        <v>-0.58358107749669585</v>
      </c>
      <c r="BW93" s="2">
        <f>Table7[[#This Row],[WaistW Res]]^2</f>
        <v>0.34056687401220453</v>
      </c>
      <c r="BX93">
        <f>Regression!$C$29+(Regression!$C$28*Table83[[#This Row],[Neck]])</f>
        <v>44.175585585585594</v>
      </c>
      <c r="BY93" s="2">
        <f>Table83[[#This Row],[Waist]]-Table7[[#This Row],[Waist v Neck]]</f>
        <v>-0.67558558558559412</v>
      </c>
      <c r="BZ93" s="2">
        <f>Table7[[#This Row],[WaistN Res]]^2</f>
        <v>0.45641588345103012</v>
      </c>
      <c r="CA93">
        <f>Regression!$D$29+(Regression!$D$28*Table83[[#This Row],[Morning Body Temp]])</f>
        <v>44.323570238526059</v>
      </c>
      <c r="CB93" s="2">
        <f>Table83[[#This Row],[Waist]]-Table7[[#This Row],[Waist v Morning Temp]]</f>
        <v>-0.82357023852605948</v>
      </c>
      <c r="CC93" s="2">
        <f>Table7[[#This Row],[WaistMT Res]]^2</f>
        <v>0.67826793778587047</v>
      </c>
      <c r="CD93">
        <f>Regression!$E$29+(Regression!$E$28*Table83[[#This Row],[Morning Systolic Pressure]])</f>
        <v>44.418113511666924</v>
      </c>
      <c r="CE93" s="2">
        <f>Table83[[#This Row],[Waist]]-Table7[[#This Row],[Waist v Morning Sys]]</f>
        <v>-0.9181135116669239</v>
      </c>
      <c r="CF93" s="2">
        <f>Table7[[#This Row],[WaistMS Res]]^2</f>
        <v>0.84293242030537086</v>
      </c>
      <c r="CG93">
        <f>Regression!$F$29+(Regression!$F$28*Table83[[#This Row],[Morning Diastolic Pressure]])</f>
        <v>44.447181047475404</v>
      </c>
      <c r="CH93" s="2">
        <f>Table83[[#This Row],[Waist]]-Table7[[#This Row],[Waist v Morning Dia]]</f>
        <v>-0.94718104747540366</v>
      </c>
      <c r="CI93" s="2">
        <f>Table7[[#This Row],[WaistMD Res]]^2</f>
        <v>0.89715193669660287</v>
      </c>
      <c r="CJ93">
        <f>Regression!$G$29+(Regression!$G$28*Table83[[#This Row],[Morning Pulse]])</f>
        <v>44.451218189785358</v>
      </c>
      <c r="CK93" s="2">
        <f>Table83[[#This Row],[Waist]]-Table7[[#This Row],[Waist v Morning Pulse]]</f>
        <v>-0.95121818978535799</v>
      </c>
      <c r="CL93" s="2">
        <f>Table7[[#This Row],[WaistMP Res]]^2</f>
        <v>0.90481604457853337</v>
      </c>
      <c r="CM93">
        <f>Regression!$H$29+(Regression!$H$28*Table83[[#This Row],[Night Body Temp]])</f>
        <v>44.367984716610323</v>
      </c>
      <c r="CN93" s="2">
        <f>Table83[[#This Row],[Waist]]-Table7[[#This Row],[Waist v Night Temp]]</f>
        <v>-0.86798471661032295</v>
      </c>
      <c r="CO93" s="2">
        <f>Table7[[#This Row],[WaistNT Res]]^2</f>
        <v>0.75339746826910259</v>
      </c>
      <c r="CP93">
        <f>Regression!$I$29+(Regression!$I$28*Table83[[#This Row],[Night Systolic Pressure]])</f>
        <v>44.252937714746622</v>
      </c>
      <c r="CQ93" s="2">
        <f>Table83[[#This Row],[Waist]]-Table7[[#This Row],[Waist v  Night Sys]]</f>
        <v>-0.75293771474662208</v>
      </c>
      <c r="CR93" s="2">
        <f>Table7[[#This Row],[WaistNS Res]]^2</f>
        <v>0.56691520228786563</v>
      </c>
      <c r="CS93">
        <f>Regression!$J$29+(Regression!$J$28*Table83[[#This Row],[Night Diastolic Pressure]])</f>
        <v>44.392820230323963</v>
      </c>
      <c r="CT93" s="2">
        <f>Table83[[#This Row],[Waist]]-Table7[[#This Row],[Waist v Night Dia]]</f>
        <v>-0.89282023032396296</v>
      </c>
      <c r="CU93" s="2">
        <f>Table7[[#This Row],[WaistND Res]]^2</f>
        <v>0.79712796367573424</v>
      </c>
      <c r="CV93">
        <f>Regression!$K$29+(Regression!$K$28*Table83[[#This Row],[Night Pulse]])</f>
        <v>44.442567894699479</v>
      </c>
      <c r="CW93" s="2">
        <f>Table83[[#This Row],[Waist]]-Table7[[#This Row],[Waist v Night Pulse]]</f>
        <v>-0.94256789469947933</v>
      </c>
      <c r="CX93" s="2">
        <f>Table7[[#This Row],[WaistNP Res]]^2</f>
        <v>0.88843423611820871</v>
      </c>
      <c r="CY93">
        <f>Regression!$L$29+(Regression!$L$28*Table83[[#This Row],[Sleep]])</f>
        <v>44.384743400864622</v>
      </c>
      <c r="CZ93" s="2">
        <f>Table83[[#This Row],[Waist]]-Table7[[#This Row],[Waist v  Sleep]]</f>
        <v>-0.88474340086462178</v>
      </c>
      <c r="DA93" s="2">
        <f>Table7[[#This Row],[WaistS Res]]^2</f>
        <v>0.78277088537349682</v>
      </c>
      <c r="DB93">
        <f>Regression!$M$29+(Regression!$M$28*Table83[[#This Row],[BMI]])</f>
        <v>44.083581077497868</v>
      </c>
      <c r="DC93" s="2">
        <f>Table83[[#This Row],[Waist]]-Table7[[#This Row],[Waist v BMI]]</f>
        <v>-0.58358107749786825</v>
      </c>
      <c r="DD93" s="2">
        <f>Table7[[#This Row],[WaistBMI Res]]^2</f>
        <v>0.34056687401357288</v>
      </c>
      <c r="DE93">
        <f>Regression!$N$29+(Regression!$N$28*Table83[[#This Row],[CBF]])</f>
        <v>43.540887941991329</v>
      </c>
      <c r="DF93" s="2">
        <f>Table83[[#This Row],[Waist]]-Table7[[#This Row],[Waist v  CBF]]</f>
        <v>-4.0887941991329058E-2</v>
      </c>
      <c r="DG93" s="2">
        <f>Table7[[#This Row],[WaistCBF Res]]^2</f>
        <v>1.6718238002862899E-3</v>
      </c>
      <c r="DH93">
        <f>Regression!$O$29+(Regression!$O$28*Table83[[#This Row],[Gym]])</f>
        <v>44.347222222222221</v>
      </c>
      <c r="DI93" s="2">
        <f>Table83[[#This Row],[Waist]]-Table7[[#This Row],[Waist v  Gym]]</f>
        <v>-0.84722222222222143</v>
      </c>
      <c r="DJ93" s="2">
        <f>Table7[[#This Row],[WaistGYM Res]]^2</f>
        <v>0.71778549382715917</v>
      </c>
      <c r="DK93">
        <f>Regression!$P$29+(Regression!$P$28*Table83[[#This Row],[Cardio]])</f>
        <v>44.291666666666664</v>
      </c>
      <c r="DL93" s="2">
        <f>Table83[[#This Row],[Waist]]-Table7[[#This Row],[Waist v Cardio]]</f>
        <v>-0.7916666666666643</v>
      </c>
      <c r="DM93" s="2">
        <f>Table7[[#This Row],[WaistC Res]]^2</f>
        <v>0.62673611111110739</v>
      </c>
      <c r="DN93">
        <f>Regression!$Q$29+(Regression!$Q$28*Table83[[#This Row],[Calories]])</f>
        <v>44.013451871181367</v>
      </c>
      <c r="DO93" s="2">
        <f>Table83[[#This Row],[Waist]]-Table7[[#This Row],[Waist v Calories]]</f>
        <v>-0.51345187118136693</v>
      </c>
      <c r="DP93" s="2">
        <f>Table7[[#This Row],[WaistCal Res]]^2</f>
        <v>0.26363282401964699</v>
      </c>
      <c r="DQ93">
        <f>Regression!$R$29+(Regression!$R$28*Table83[[#This Row],[Carbs]])</f>
        <v>44.101969941623061</v>
      </c>
      <c r="DR93" s="2">
        <f>Table83[[#This Row],[Waist]]-Table7[[#This Row],[Waist v Carbs]]</f>
        <v>-0.60196994162306083</v>
      </c>
      <c r="DS93" s="2">
        <f>Table7[[#This Row],[WaistCarb Res]]^2</f>
        <v>0.36236781061767126</v>
      </c>
      <c r="DT93">
        <f>Regression!$S$29+(Regression!$S$28*Table83[[#This Row],[Fat ]])</f>
        <v>44.045610794649498</v>
      </c>
      <c r="DU93" s="2">
        <f>Table83[[#This Row],[Waist]]-Table7[[#This Row],[Waist v Fat]]</f>
        <v>-0.54561079464949813</v>
      </c>
      <c r="DV93" s="2">
        <f>Table7[[#This Row],[WaistF Res]]^2</f>
        <v>0.29769113923805685</v>
      </c>
      <c r="DW93">
        <f>Regression!$T$29+(Regression!$T$28*Table83[[#This Row],[Protein]])</f>
        <v>43.893504015800467</v>
      </c>
      <c r="DX93" s="2">
        <f>Table83[[#This Row],[Waist]]-Table7[[#This Row],[Waist v Protein]]</f>
        <v>-0.39350401580046679</v>
      </c>
      <c r="DY93" s="2">
        <f>Table7[[#This Row],[WaistP Res]]^2</f>
        <v>0.15484541045109401</v>
      </c>
      <c r="DZ93">
        <f>Regression!$U$29+(Regression!$U$28*Table83[[#This Row],[Fiber]])</f>
        <v>44.45741064199742</v>
      </c>
      <c r="EA93" s="2">
        <f>Table83[[#This Row],[Waist]]-Table7[[#This Row],[Waist v Fiber]]</f>
        <v>-0.95741064199741999</v>
      </c>
      <c r="EB93" s="2">
        <f>Table7[[#This Row],[WaistFib Res]]^2</f>
        <v>0.91663513740991187</v>
      </c>
      <c r="EC93">
        <f>Regression!$V$29+(Regression!$V$28*Table83[[#This Row],[Sugar]])</f>
        <v>44.086347423019127</v>
      </c>
      <c r="ED93" s="2">
        <f>Table83[[#This Row],[Waist]]-Table7[[#This Row],[Waist v Sugar]]</f>
        <v>-0.58634742301912723</v>
      </c>
      <c r="EE93" s="2">
        <f>Table7[[#This Row],[WaistSugar Res]]^2</f>
        <v>0.34380330048117136</v>
      </c>
      <c r="EF93">
        <f>Regression!$W$29+(Regression!$W$28*Table83[[#This Row],[Servings]])</f>
        <v>44.207223072144679</v>
      </c>
      <c r="EG93" s="2">
        <f>Table83[[#This Row],[Waist]]-Table7[[#This Row],[Waist v Servings]]</f>
        <v>-0.70722307214467861</v>
      </c>
      <c r="EH93" s="2">
        <f>Table7[[#This Row],[WaistServ Res]]^2</f>
        <v>0.50016447377375728</v>
      </c>
      <c r="EI93">
        <f>Regression!$X$29+(Regression!$X$28*Table83[[#This Row],[Water]])</f>
        <v>44.33031459742935</v>
      </c>
      <c r="EJ93" s="2">
        <f>Table83[[#This Row],[Waist]]-Table7[[#This Row],[Waist v Water]]</f>
        <v>-0.83031459742934999</v>
      </c>
      <c r="EK93" s="2">
        <f>Table7[[#This Row],[WaistWat Res]]^2</f>
        <v>0.68942233070426351</v>
      </c>
      <c r="EL93">
        <f>Regression!$Y$29+(Regression!$Y$28*Table83[[#This Row],[Fat Calories]])</f>
        <v>44.020123640796015</v>
      </c>
      <c r="EM93" s="2">
        <f>Table83[[#This Row],[Waist]]-Table7[[#This Row],[Waist v Fat Calories]]</f>
        <v>-0.52012364079601525</v>
      </c>
      <c r="EN93" s="2">
        <f>Table7[[#This Row],[WaistFatCal Res]]^2</f>
        <v>0.27052860171490228</v>
      </c>
    </row>
    <row r="94" spans="1:144" x14ac:dyDescent="0.25">
      <c r="A94">
        <f>Regression!$B$10+(Regression!$B$9*Table83[[#This Row],[Waist]])</f>
        <v>252.52625917894264</v>
      </c>
      <c r="B94" s="2">
        <f>Table83[[#This Row],[Weight]]-Table7[[#This Row],[Weight v Waist]]</f>
        <v>3.2737408210573733</v>
      </c>
      <c r="C94" s="2">
        <f>Table7[[#This Row],[Weight v Waist Res]]^2</f>
        <v>10.717378963457405</v>
      </c>
      <c r="D94">
        <f>Regression!$C$10+(Regression!$C$9*Table83[[#This Row],[Neck]])</f>
        <v>253.29286486487842</v>
      </c>
      <c r="E94" s="2">
        <f>Table83[[#This Row],[Weight]]-Table7[[#This Row],[Weight v Neck]]</f>
        <v>2.5071351351215867</v>
      </c>
      <c r="F94" s="2">
        <f>Table7[[#This Row],[WN Res]]^2</f>
        <v>6.2857265857611369</v>
      </c>
      <c r="G94">
        <f>Regression!$D$10+(Regression!$D$9*Table83[[#This Row],[Morning Body Temp]])</f>
        <v>256.1155447624198</v>
      </c>
      <c r="H94" s="2">
        <f>Table83[[#This Row],[Weight]]-Table7[[#This Row],[Weight v Morning Temp]]</f>
        <v>-0.31554476241979046</v>
      </c>
      <c r="I94" s="2">
        <f>Table7[[#This Row],[WMT Res]]^2</f>
        <v>9.9568497090562008E-2</v>
      </c>
      <c r="J94">
        <f>Regression!$E$10+(Regression!$E$9*Table83[[#This Row],[Morning Systolic Pressure]])</f>
        <v>253.88240212444398</v>
      </c>
      <c r="K94" s="2">
        <f>Table83[[#This Row],[Weight]]-Table7[[#This Row],[Weight v Morning Sys]]</f>
        <v>1.9175978755560266</v>
      </c>
      <c r="L94" s="2">
        <f>Table7[[#This Row],[WMS Res]]^2</f>
        <v>3.6771816123369865</v>
      </c>
      <c r="M94">
        <f>Regression!$F$10+(Regression!$F$9*Table83[[#This Row],[Morning Diastolic Pressure]])</f>
        <v>255.71010539151592</v>
      </c>
      <c r="N94" s="2">
        <f>Table83[[#This Row],[Weight]]-Table7[[#This Row],[Weight v Morning Dia]]</f>
        <v>8.9894608484087257E-2</v>
      </c>
      <c r="O94" s="2">
        <f>Table7[[#This Row],[WMD Res]]^2</f>
        <v>8.0810406345073332E-3</v>
      </c>
      <c r="P94">
        <f>Regression!$G$10+(Regression!$G$9*Table83[[#This Row],[Morning Pulse]])</f>
        <v>255.08622815804063</v>
      </c>
      <c r="Q94" s="2">
        <f>Table83[[#This Row],[Weight]]-Table7[[#This Row],[Weight v Morning Pulse]]</f>
        <v>0.71377184195938526</v>
      </c>
      <c r="R94" s="2">
        <f>Table7[[#This Row],[WMP Res]]^2</f>
        <v>0.50947024237409366</v>
      </c>
      <c r="S94">
        <f>Regression!$H$10+(Regression!$H$9*Table83[[#This Row],[Night Body Temp]])</f>
        <v>254.74879010704339</v>
      </c>
      <c r="T94" s="2">
        <f>Table83[[#This Row],[Weight]]-Table7[[#This Row],[Weight v Night Temp]]</f>
        <v>1.0512098929566207</v>
      </c>
      <c r="U94" s="2">
        <f>Table7[[#This Row],[WNT Res]]^2</f>
        <v>1.10504223904987</v>
      </c>
      <c r="V94">
        <f>Regression!$I$10+(Regression!$I$9*Table83[[#This Row],[Night Systolic Pressure]])</f>
        <v>253.69890888274017</v>
      </c>
      <c r="W94" s="2">
        <f>Table83[[#This Row],[Weight]]-Table7[[#This Row],[Weight v Night Sys]]</f>
        <v>2.1010911172598412</v>
      </c>
      <c r="X94" s="2">
        <f>Table7[[#This Row],[WNS Res]]^2</f>
        <v>4.4145838830282083</v>
      </c>
      <c r="Y94">
        <f>Regression!$J$10+(Regression!$J$9*Table83[[#This Row],[Night Diastolic Pressure]])</f>
        <v>254.9292529005817</v>
      </c>
      <c r="Z94" s="2">
        <f>Table83[[#This Row],[Weight]]-Table7[[#This Row],[Weight v Night Dia]]</f>
        <v>0.87074709941830974</v>
      </c>
      <c r="AA94" s="2">
        <f>Table7[[#This Row],[WND Res]]^2</f>
        <v>0.75820051114539977</v>
      </c>
      <c r="AB94">
        <f>Regression!$K$10+(Regression!$K$9*Table83[[#This Row],[Night Pulse]])</f>
        <v>255.38657183987178</v>
      </c>
      <c r="AC94" s="2">
        <f>Table83[[#This Row],[Weight]]-Table7[[#This Row],[Weight v Night Pulse]]</f>
        <v>0.41342816012823391</v>
      </c>
      <c r="AD94" s="2">
        <f>Table7[[#This Row],[WNP Res ]]^2</f>
        <v>0.17092284358701662</v>
      </c>
      <c r="AE94">
        <f>Regression!$L$10+(Regression!$L$9*Table83[[#This Row],[Sleep]])</f>
        <v>255.13702972738133</v>
      </c>
      <c r="AF94" s="2">
        <f>Table83[[#This Row],[Weight]]-Table7[[#This Row],[Weight v Sleep]]</f>
        <v>0.66297027261867925</v>
      </c>
      <c r="AG94" s="2">
        <f>Table7[[#This Row],[WS Res]]^2</f>
        <v>0.43952958237608586</v>
      </c>
      <c r="AH94">
        <f>Regression!$M$10+(Regression!$M$9*Table83[[#This Row],[BMI]])</f>
        <v>255.79999999999848</v>
      </c>
      <c r="AI94" s="2">
        <f>Table83[[#This Row],[Weight]]-Table7[[#This Row],[Weight v BMI]]</f>
        <v>1.5347723092418164E-12</v>
      </c>
      <c r="AJ94" s="2">
        <f>Table7[[#This Row],[WBMI Res]]^2</f>
        <v>2.3555260412154577E-24</v>
      </c>
      <c r="AK94">
        <f>Regression!$N$10+(Regression!$N$9*Table83[[#This Row],[CBF]])</f>
        <v>253.17965033701802</v>
      </c>
      <c r="AL94" s="2">
        <f>Table83[[#This Row],[Weight]]-Table7[[#This Row],[Weight v CBF]]</f>
        <v>2.6203496629819938</v>
      </c>
      <c r="AM94" s="2">
        <f>Table7[[#This Row],[WCBF Res]]^2</f>
        <v>6.8662323562898484</v>
      </c>
      <c r="AN94">
        <f>Regression!$O$10+(Regression!$O$9*Table83[[#This Row],[Gym]])</f>
        <v>254.72962962962998</v>
      </c>
      <c r="AO94" s="2">
        <f>Table83[[#This Row],[Weight]]-Table7[[#This Row],[Weight v Gym]]</f>
        <v>1.0703703703700285</v>
      </c>
      <c r="AP94" s="2">
        <f>Table7[[#This Row],[WG Res]]^2</f>
        <v>1.1456927297660719</v>
      </c>
      <c r="AQ94">
        <f>Regression!$P$10+(Regression!$P$9*Table83[[#This Row],[Cardio]])</f>
        <v>254.19242424242461</v>
      </c>
      <c r="AR94" s="2">
        <f>Table83[[#This Row],[Weight]]-Table7[[#This Row],[Weight v Cardio]]</f>
        <v>1.6075757575754039</v>
      </c>
      <c r="AS94" s="2">
        <f>Table7[[#This Row],[WC Res]]^2</f>
        <v>2.5842998163441337</v>
      </c>
      <c r="AT94">
        <f>Regression!$Q$10+(Regression!$Q$9*Table83[[#This Row],[Calories]])</f>
        <v>253.85152525630545</v>
      </c>
      <c r="AU94" s="2">
        <f>Table83[[#This Row],[Weight]]-Table7[[#This Row],[Weight v Calories]]</f>
        <v>1.9484747436945611</v>
      </c>
      <c r="AV94" s="2">
        <f>Table7[[#This Row],[WCAL Res]]^2</f>
        <v>3.7965538268155856</v>
      </c>
      <c r="AW94">
        <f>Regression!$R$10+(Regression!$R$9*Table83[[#This Row],[Carbs]])</f>
        <v>253.31426439829971</v>
      </c>
      <c r="AX94" s="2">
        <f>Table83[[#This Row],[Weight]]-Table7[[#This Row],[Weight v Carbs]]</f>
        <v>2.4857356017002985</v>
      </c>
      <c r="AY94" s="2">
        <f>Table7[[#This Row],[Wcarb Res]]^2</f>
        <v>6.178881481560345</v>
      </c>
      <c r="AZ94">
        <f>Regression!$S$10+(Regression!$S$9*Table83[[#This Row],[Fat ]])</f>
        <v>254.57371362949212</v>
      </c>
      <c r="BA94" s="2">
        <f>Table83[[#This Row],[Weight]]-Table7[[#This Row],[Weight v Fat]]</f>
        <v>1.2262863705078928</v>
      </c>
      <c r="BB94" s="2">
        <f>Table7[[#This Row],[WF Res]]^2</f>
        <v>1.5037782624934208</v>
      </c>
      <c r="BC94">
        <f>Regression!$T$10+(Regression!$T$9*Table83[[#This Row],[Protein]])</f>
        <v>255.21132989219254</v>
      </c>
      <c r="BD94" s="2">
        <f>Table83[[#This Row],[Weight]]-Table7[[#This Row],[Weight v Protein]]</f>
        <v>0.58867010780747364</v>
      </c>
      <c r="BE94" s="2">
        <f>Table7[[#This Row],[WP Res]]^2</f>
        <v>0.34653249582606266</v>
      </c>
      <c r="BF94">
        <f>Regression!$U$10+(Regression!$U$9*Table83[[#This Row],[Fiber]])</f>
        <v>255.20188564183835</v>
      </c>
      <c r="BG94" s="2">
        <f>Table83[[#This Row],[Weight]]-Table7[[#This Row],[Weight v Fiber]]</f>
        <v>0.59811435816166636</v>
      </c>
      <c r="BH94" s="2">
        <f>Table7[[#This Row],[Wfib Res]]^2</f>
        <v>0.35774078543914212</v>
      </c>
      <c r="BI94">
        <f>Regression!$V$10+(Regression!$V$9*Table83[[#This Row],[Sugar]])</f>
        <v>252.13341373463018</v>
      </c>
      <c r="BJ94" s="2">
        <f>Table83[[#This Row],[Weight]]-Table7[[#This Row],[Weight v Sugar]]</f>
        <v>3.6665862653698298</v>
      </c>
      <c r="BK94" s="2">
        <f>Table7[[#This Row],[Wsugar Res]]^2</f>
        <v>13.443854841398675</v>
      </c>
      <c r="BL94">
        <f>Regression!$W$10+(Regression!$W$9*Table83[[#This Row],[Servings]])</f>
        <v>252.42916371484463</v>
      </c>
      <c r="BM94" s="2">
        <f>Table83[[#This Row],[Weight]]-Table7[[#This Row],[Weight v Servings]]</f>
        <v>3.3708362851553773</v>
      </c>
      <c r="BN94" s="2">
        <f>Table7[[#This Row],[Wserv Res]]^2</f>
        <v>11.362537261320103</v>
      </c>
      <c r="BO94">
        <f>Regression!$X$10+(Regression!$X$9*Table83[[#This Row],[Water]])</f>
        <v>255.0206340268538</v>
      </c>
      <c r="BP94" s="2">
        <f>Table83[[#This Row],[Weight]]-Table7[[#This Row],[Weight v Water]]</f>
        <v>0.77936597314621281</v>
      </c>
      <c r="BQ94" s="2">
        <f>Table7[[#This Row],[Wwater Res]]^2</f>
        <v>0.60741132009814336</v>
      </c>
      <c r="BR94">
        <f>Regression!$Y$10+(Regression!$Y$9*Table83[[#This Row],[Fat Calories]])</f>
        <v>254.53407068324151</v>
      </c>
      <c r="BS94" s="2">
        <f>Table83[[#This Row],[Weight]]-Table7[[#This Row],[Weight v Fat Calories]]</f>
        <v>1.265929316758502</v>
      </c>
      <c r="BT94" s="2">
        <f>Table7[[#This Row],[WFC Res]]^2</f>
        <v>1.6025770350286477</v>
      </c>
      <c r="BU94">
        <f>Regression!$B$29+(Regression!$B$28*Table83[[#This Row],[Weight]])</f>
        <v>44.546873613434634</v>
      </c>
      <c r="BV94" s="2">
        <f>Table83[[#This Row],[Waist]]-Table7[[#This Row],[Waist v Weight]]</f>
        <v>-0.54687361343463436</v>
      </c>
      <c r="BW94" s="2">
        <f>Table7[[#This Row],[WaistW Res]]^2</f>
        <v>0.29907074907105391</v>
      </c>
      <c r="BX94">
        <f>Regression!$C$29+(Regression!$C$28*Table83[[#This Row],[Neck]])</f>
        <v>44.175585585585594</v>
      </c>
      <c r="BY94" s="2">
        <f>Table83[[#This Row],[Waist]]-Table7[[#This Row],[Waist v Neck]]</f>
        <v>-0.17558558558559412</v>
      </c>
      <c r="BZ94" s="2">
        <f>Table7[[#This Row],[WaistN Res]]^2</f>
        <v>3.0830297865435997E-2</v>
      </c>
      <c r="CA94">
        <f>Regression!$D$29+(Regression!$D$28*Table83[[#This Row],[Morning Body Temp]])</f>
        <v>44.725653315219489</v>
      </c>
      <c r="CB94" s="2">
        <f>Table83[[#This Row],[Waist]]-Table7[[#This Row],[Waist v Morning Temp]]</f>
        <v>-0.72565331521948906</v>
      </c>
      <c r="CC94" s="2">
        <f>Table7[[#This Row],[WaistMT Res]]^2</f>
        <v>0.52657273388903514</v>
      </c>
      <c r="CD94">
        <f>Regression!$E$29+(Regression!$E$28*Table83[[#This Row],[Morning Systolic Pressure]])</f>
        <v>44.163943785848673</v>
      </c>
      <c r="CE94" s="2">
        <f>Table83[[#This Row],[Waist]]-Table7[[#This Row],[Waist v Morning Sys]]</f>
        <v>-0.16394378584867297</v>
      </c>
      <c r="CF94" s="2">
        <f>Table7[[#This Row],[WaistMS Res]]^2</f>
        <v>2.6877564918395543E-2</v>
      </c>
      <c r="CG94">
        <f>Regression!$F$29+(Regression!$F$28*Table83[[#This Row],[Morning Diastolic Pressure]])</f>
        <v>44.486630392157387</v>
      </c>
      <c r="CH94" s="2">
        <f>Table83[[#This Row],[Waist]]-Table7[[#This Row],[Waist v Morning Dia]]</f>
        <v>-0.48663039215738735</v>
      </c>
      <c r="CI94" s="2">
        <f>Table7[[#This Row],[WaistMD Res]]^2</f>
        <v>0.2368091385712526</v>
      </c>
      <c r="CJ94">
        <f>Regression!$G$29+(Regression!$G$28*Table83[[#This Row],[Morning Pulse]])</f>
        <v>44.440304656328372</v>
      </c>
      <c r="CK94" s="2">
        <f>Table83[[#This Row],[Waist]]-Table7[[#This Row],[Waist v Morning Pulse]]</f>
        <v>-0.44030465632837235</v>
      </c>
      <c r="CL94" s="2">
        <f>Table7[[#This Row],[WaistMP Res]]^2</f>
        <v>0.19386819038444608</v>
      </c>
      <c r="CM94">
        <f>Regression!$H$29+(Regression!$H$28*Table83[[#This Row],[Night Body Temp]])</f>
        <v>44.424663183244519</v>
      </c>
      <c r="CN94" s="2">
        <f>Table83[[#This Row],[Waist]]-Table7[[#This Row],[Waist v Night Temp]]</f>
        <v>-0.4246631832445189</v>
      </c>
      <c r="CO94" s="2">
        <f>Table7[[#This Row],[WaistNT Res]]^2</f>
        <v>0.18033881920336783</v>
      </c>
      <c r="CP94">
        <f>Regression!$I$29+(Regression!$I$28*Table83[[#This Row],[Night Systolic Pressure]])</f>
        <v>44.252937714746622</v>
      </c>
      <c r="CQ94" s="2">
        <f>Table83[[#This Row],[Waist]]-Table7[[#This Row],[Waist v  Night Sys]]</f>
        <v>-0.25293771474662208</v>
      </c>
      <c r="CR94" s="2">
        <f>Table7[[#This Row],[WaistNS Res]]^2</f>
        <v>6.3977487541243563E-2</v>
      </c>
      <c r="CS94">
        <f>Regression!$J$29+(Regression!$J$28*Table83[[#This Row],[Night Diastolic Pressure]])</f>
        <v>44.375752285116519</v>
      </c>
      <c r="CT94" s="2">
        <f>Table83[[#This Row],[Waist]]-Table7[[#This Row],[Waist v Night Dia]]</f>
        <v>-0.37575228511651915</v>
      </c>
      <c r="CU94" s="2">
        <f>Table7[[#This Row],[WaistND Res]]^2</f>
        <v>0.14118977977028591</v>
      </c>
      <c r="CV94">
        <f>Regression!$K$29+(Regression!$K$28*Table83[[#This Row],[Night Pulse]])</f>
        <v>44.428284163144653</v>
      </c>
      <c r="CW94" s="2">
        <f>Table83[[#This Row],[Waist]]-Table7[[#This Row],[Waist v Night Pulse]]</f>
        <v>-0.42828416314465301</v>
      </c>
      <c r="CX94" s="2">
        <f>Table7[[#This Row],[WaistNP Res]]^2</f>
        <v>0.18342732440051576</v>
      </c>
      <c r="CY94">
        <f>Regression!$L$29+(Regression!$L$28*Table83[[#This Row],[Sleep]])</f>
        <v>44.456891852858099</v>
      </c>
      <c r="CZ94" s="2">
        <f>Table83[[#This Row],[Waist]]-Table7[[#This Row],[Waist v  Sleep]]</f>
        <v>-0.45689185285809941</v>
      </c>
      <c r="DA94" s="2">
        <f>Table7[[#This Row],[WaistS Res]]^2</f>
        <v>0.20875016520810716</v>
      </c>
      <c r="DB94">
        <f>Regression!$M$29+(Regression!$M$28*Table83[[#This Row],[BMI]])</f>
        <v>44.546873613434336</v>
      </c>
      <c r="DC94" s="2">
        <f>Table83[[#This Row],[Waist]]-Table7[[#This Row],[Waist v BMI]]</f>
        <v>-0.54687361343433594</v>
      </c>
      <c r="DD94" s="2">
        <f>Table7[[#This Row],[WaistBMI Res]]^2</f>
        <v>0.2990707490707275</v>
      </c>
      <c r="DE94">
        <f>Regression!$N$29+(Regression!$N$28*Table83[[#This Row],[CBF]])</f>
        <v>44.105031770433015</v>
      </c>
      <c r="DF94" s="2">
        <f>Table83[[#This Row],[Waist]]-Table7[[#This Row],[Waist v  CBF]]</f>
        <v>-0.10503177043301548</v>
      </c>
      <c r="DG94" s="2">
        <f>Table7[[#This Row],[WaistCBF Res]]^2</f>
        <v>1.1031672800293666E-2</v>
      </c>
      <c r="DH94">
        <f>Regression!$O$29+(Regression!$O$28*Table83[[#This Row],[Gym]])</f>
        <v>44.347222222222221</v>
      </c>
      <c r="DI94" s="2">
        <f>Table83[[#This Row],[Waist]]-Table7[[#This Row],[Waist v  Gym]]</f>
        <v>-0.34722222222222143</v>
      </c>
      <c r="DJ94" s="2">
        <f>Table7[[#This Row],[WaistGYM Res]]^2</f>
        <v>0.12056327160493772</v>
      </c>
      <c r="DK94">
        <f>Regression!$P$29+(Regression!$P$28*Table83[[#This Row],[Cardio]])</f>
        <v>44.291666666666664</v>
      </c>
      <c r="DL94" s="2">
        <f>Table83[[#This Row],[Waist]]-Table7[[#This Row],[Waist v Cardio]]</f>
        <v>-0.2916666666666643</v>
      </c>
      <c r="DM94" s="2">
        <f>Table7[[#This Row],[WaistC Res]]^2</f>
        <v>8.506944444444306E-2</v>
      </c>
      <c r="DN94">
        <f>Regression!$Q$29+(Regression!$Q$28*Table83[[#This Row],[Calories]])</f>
        <v>44.169655130048049</v>
      </c>
      <c r="DO94" s="2">
        <f>Table83[[#This Row],[Waist]]-Table7[[#This Row],[Waist v Calories]]</f>
        <v>-0.16965513004804933</v>
      </c>
      <c r="DP94" s="2">
        <f>Table7[[#This Row],[WaistCal Res]]^2</f>
        <v>2.8782863151620531E-2</v>
      </c>
      <c r="DQ94">
        <f>Regression!$R$29+(Regression!$R$28*Table83[[#This Row],[Carbs]])</f>
        <v>44.07862848588848</v>
      </c>
      <c r="DR94" s="2">
        <f>Table83[[#This Row],[Waist]]-Table7[[#This Row],[Waist v Carbs]]</f>
        <v>-7.8628485888479815E-2</v>
      </c>
      <c r="DS94" s="2">
        <f>Table7[[#This Row],[WaistCarb Res]]^2</f>
        <v>6.1824387931148691E-3</v>
      </c>
      <c r="DT94">
        <f>Regression!$S$29+(Regression!$S$28*Table83[[#This Row],[Fat ]])</f>
        <v>44.288066509018869</v>
      </c>
      <c r="DU94" s="2">
        <f>Table83[[#This Row],[Waist]]-Table7[[#This Row],[Waist v Fat]]</f>
        <v>-0.28806650901886854</v>
      </c>
      <c r="DV94" s="2">
        <f>Table7[[#This Row],[WaistF Res]]^2</f>
        <v>8.2982313618317871E-2</v>
      </c>
      <c r="DW94">
        <f>Regression!$T$29+(Regression!$T$28*Table83[[#This Row],[Protein]])</f>
        <v>44.471163672604952</v>
      </c>
      <c r="DX94" s="2">
        <f>Table83[[#This Row],[Waist]]-Table7[[#This Row],[Waist v Protein]]</f>
        <v>-0.47116367260495196</v>
      </c>
      <c r="DY94" s="2">
        <f>Table7[[#This Row],[WaistP Res]]^2</f>
        <v>0.22199520638258635</v>
      </c>
      <c r="DZ94">
        <f>Regression!$U$29+(Regression!$U$28*Table83[[#This Row],[Fiber]])</f>
        <v>44.487048439183418</v>
      </c>
      <c r="EA94" s="2">
        <f>Table83[[#This Row],[Waist]]-Table7[[#This Row],[Waist v Fiber]]</f>
        <v>-0.48704843918341822</v>
      </c>
      <c r="EB94" s="2">
        <f>Table7[[#This Row],[WaistFib Res]]^2</f>
        <v>0.23721618211100384</v>
      </c>
      <c r="EC94">
        <f>Regression!$V$29+(Regression!$V$28*Table83[[#This Row],[Sugar]])</f>
        <v>43.917923155525457</v>
      </c>
      <c r="ED94" s="2">
        <f>Table83[[#This Row],[Waist]]-Table7[[#This Row],[Waist v Sugar]]</f>
        <v>8.2076844474542554E-2</v>
      </c>
      <c r="EE94" s="2">
        <f>Table7[[#This Row],[WaistSugar Res]]^2</f>
        <v>6.7366083988982467E-3</v>
      </c>
      <c r="EF94">
        <f>Regression!$W$29+(Regression!$W$28*Table83[[#This Row],[Servings]])</f>
        <v>44.043719200438936</v>
      </c>
      <c r="EG94" s="2">
        <f>Table83[[#This Row],[Waist]]-Table7[[#This Row],[Waist v Servings]]</f>
        <v>-4.3719200438935957E-2</v>
      </c>
      <c r="EH94" s="2">
        <f>Table7[[#This Row],[WaistServ Res]]^2</f>
        <v>1.9113684870198579E-3</v>
      </c>
      <c r="EI94">
        <f>Regression!$X$29+(Regression!$X$28*Table83[[#This Row],[Water]])</f>
        <v>44.33031459742935</v>
      </c>
      <c r="EJ94" s="2">
        <f>Table83[[#This Row],[Waist]]-Table7[[#This Row],[Waist v Water]]</f>
        <v>-0.33031459742934999</v>
      </c>
      <c r="EK94" s="2">
        <f>Table7[[#This Row],[WaistWat Res]]^2</f>
        <v>0.10910773327491355</v>
      </c>
      <c r="EL94">
        <f>Regression!$Y$29+(Regression!$Y$28*Table83[[#This Row],[Fat Calories]])</f>
        <v>44.276849048786751</v>
      </c>
      <c r="EM94" s="2">
        <f>Table83[[#This Row],[Waist]]-Table7[[#This Row],[Waist v Fat Calories]]</f>
        <v>-0.27684904878675098</v>
      </c>
      <c r="EN94" s="2">
        <f>Table7[[#This Row],[WaistFatCal Res]]^2</f>
        <v>7.6645395814128825E-2</v>
      </c>
    </row>
    <row r="95" spans="1:144" x14ac:dyDescent="0.25">
      <c r="A95">
        <f>Regression!$B$10+(Regression!$B$9*Table83[[#This Row],[Waist]])</f>
        <v>255.38023686459636</v>
      </c>
      <c r="B95" s="2">
        <f>Table83[[#This Row],[Weight]]-Table7[[#This Row],[Weight v Waist]]</f>
        <v>0.2197631354036389</v>
      </c>
      <c r="C95" s="2">
        <f>Table7[[#This Row],[Weight v Waist Res]]^2</f>
        <v>4.8295835682438122E-2</v>
      </c>
      <c r="D95">
        <f>Regression!$C$10+(Regression!$C$9*Table83[[#This Row],[Neck]])</f>
        <v>253.29286486487842</v>
      </c>
      <c r="E95" s="2">
        <f>Table83[[#This Row],[Weight]]-Table7[[#This Row],[Weight v Neck]]</f>
        <v>2.3071351351215696</v>
      </c>
      <c r="F95" s="2">
        <f>Table7[[#This Row],[WN Res]]^2</f>
        <v>5.3228725317124237</v>
      </c>
      <c r="G95">
        <f>Regression!$D$10+(Regression!$D$9*Table83[[#This Row],[Morning Body Temp]])</f>
        <v>254.98916789486196</v>
      </c>
      <c r="H95" s="2">
        <f>Table83[[#This Row],[Weight]]-Table7[[#This Row],[Weight v Morning Temp]]</f>
        <v>0.6108321051380301</v>
      </c>
      <c r="I95" s="2">
        <f>Table7[[#This Row],[WMT Res]]^2</f>
        <v>0.37311586066735747</v>
      </c>
      <c r="J95">
        <f>Regression!$E$10+(Regression!$E$9*Table83[[#This Row],[Morning Systolic Pressure]])</f>
        <v>255.09948662875533</v>
      </c>
      <c r="K95" s="2">
        <f>Table83[[#This Row],[Weight]]-Table7[[#This Row],[Weight v Morning Sys]]</f>
        <v>0.500513371244665</v>
      </c>
      <c r="L95" s="2">
        <f>Table7[[#This Row],[WMS Res]]^2</f>
        <v>0.25051363479469985</v>
      </c>
      <c r="M95">
        <f>Regression!$F$10+(Regression!$F$9*Table83[[#This Row],[Morning Diastolic Pressure]])</f>
        <v>255.50741689342618</v>
      </c>
      <c r="N95" s="2">
        <f>Table83[[#This Row],[Weight]]-Table7[[#This Row],[Weight v Morning Dia]]</f>
        <v>9.2583106573812302E-2</v>
      </c>
      <c r="O95" s="2">
        <f>Table7[[#This Row],[WMD Res]]^2</f>
        <v>8.5716316228578865E-3</v>
      </c>
      <c r="P95">
        <f>Regression!$G$10+(Regression!$G$9*Table83[[#This Row],[Morning Pulse]])</f>
        <v>255.13192305197038</v>
      </c>
      <c r="Q95" s="2">
        <f>Table83[[#This Row],[Weight]]-Table7[[#This Row],[Weight v Morning Pulse]]</f>
        <v>0.46807694802961919</v>
      </c>
      <c r="R95" s="2">
        <f>Table7[[#This Row],[WMP Res]]^2</f>
        <v>0.21909602927672281</v>
      </c>
      <c r="S95">
        <f>Regression!$H$10+(Regression!$H$9*Table83[[#This Row],[Night Body Temp]])</f>
        <v>254.74879010704339</v>
      </c>
      <c r="T95" s="2">
        <f>Table83[[#This Row],[Weight]]-Table7[[#This Row],[Weight v Night Temp]]</f>
        <v>0.85120989295660365</v>
      </c>
      <c r="U95" s="2">
        <f>Table7[[#This Row],[WNT Res]]^2</f>
        <v>0.72455828186719262</v>
      </c>
      <c r="V95">
        <f>Regression!$I$10+(Regression!$I$9*Table83[[#This Row],[Night Systolic Pressure]])</f>
        <v>256.57296423553731</v>
      </c>
      <c r="W95" s="2">
        <f>Table83[[#This Row],[Weight]]-Table7[[#This Row],[Weight v Night Sys]]</f>
        <v>-0.9729642355373187</v>
      </c>
      <c r="X95" s="2">
        <f>Table7[[#This Row],[WNS Res]]^2</f>
        <v>0.94665940363471901</v>
      </c>
      <c r="Y95">
        <f>Regression!$J$10+(Regression!$J$9*Table83[[#This Row],[Night Diastolic Pressure]])</f>
        <v>255.54074092682322</v>
      </c>
      <c r="Z95" s="2">
        <f>Table83[[#This Row],[Weight]]-Table7[[#This Row],[Weight v Night Dia]]</f>
        <v>5.9259073176775701E-2</v>
      </c>
      <c r="AA95" s="2">
        <f>Table7[[#This Row],[WND Res]]^2</f>
        <v>3.5116377537704573E-3</v>
      </c>
      <c r="AB95">
        <f>Regression!$K$10+(Regression!$K$9*Table83[[#This Row],[Night Pulse]])</f>
        <v>254.92587187132088</v>
      </c>
      <c r="AC95" s="2">
        <f>Table83[[#This Row],[Weight]]-Table7[[#This Row],[Weight v Night Pulse]]</f>
        <v>0.67412812867911498</v>
      </c>
      <c r="AD95" s="2">
        <f>Table7[[#This Row],[WNP Res ]]^2</f>
        <v>0.45444873387640539</v>
      </c>
      <c r="AE95">
        <f>Regression!$L$10+(Regression!$L$9*Table83[[#This Row],[Sleep]])</f>
        <v>254.97929263569441</v>
      </c>
      <c r="AF95" s="2">
        <f>Table83[[#This Row],[Weight]]-Table7[[#This Row],[Weight v Sleep]]</f>
        <v>0.62070736430558782</v>
      </c>
      <c r="AG95" s="2">
        <f>Table7[[#This Row],[WS Res]]^2</f>
        <v>0.38527763210318972</v>
      </c>
      <c r="AH95">
        <f>Regression!$M$10+(Regression!$M$9*Table83[[#This Row],[BMI]])</f>
        <v>255.59999999999894</v>
      </c>
      <c r="AI95" s="2">
        <f>Table83[[#This Row],[Weight]]-Table7[[#This Row],[Weight v BMI]]</f>
        <v>1.0516032489249483E-12</v>
      </c>
      <c r="AJ95" s="2">
        <f>Table7[[#This Row],[WBMI Res]]^2</f>
        <v>1.1058693931495067E-24</v>
      </c>
      <c r="AK95">
        <f>Regression!$N$10+(Regression!$N$9*Table83[[#This Row],[CBF]])</f>
        <v>256.25609762651322</v>
      </c>
      <c r="AL95" s="2">
        <f>Table83[[#This Row],[Weight]]-Table7[[#This Row],[Weight v CBF]]</f>
        <v>-0.65609762651322967</v>
      </c>
      <c r="AM95" s="2">
        <f>Table7[[#This Row],[WCBF Res]]^2</f>
        <v>0.43046409551629339</v>
      </c>
      <c r="AN95">
        <f>Regression!$O$10+(Regression!$O$9*Table83[[#This Row],[Gym]])</f>
        <v>255.46779661016953</v>
      </c>
      <c r="AO95" s="2">
        <f>Table83[[#This Row],[Weight]]-Table7[[#This Row],[Weight v Gym]]</f>
        <v>0.13220338983046531</v>
      </c>
      <c r="AP95" s="2">
        <f>Table7[[#This Row],[WG Res]]^2</f>
        <v>1.7477736282665978E-2</v>
      </c>
      <c r="AQ95">
        <f>Regression!$P$10+(Regression!$P$9*Table83[[#This Row],[Cardio]])</f>
        <v>256.41063829787231</v>
      </c>
      <c r="AR95" s="2">
        <f>Table83[[#This Row],[Weight]]-Table7[[#This Row],[Weight v Cardio]]</f>
        <v>-0.81063829787231612</v>
      </c>
      <c r="AS95" s="2">
        <f>Table7[[#This Row],[WC Res]]^2</f>
        <v>0.65713444997732595</v>
      </c>
      <c r="AT95">
        <f>Regression!$Q$10+(Regression!$Q$9*Table83[[#This Row],[Calories]])</f>
        <v>255.6925594384482</v>
      </c>
      <c r="AU95" s="2">
        <f>Table83[[#This Row],[Weight]]-Table7[[#This Row],[Weight v Calories]]</f>
        <v>-9.2559438448205356E-2</v>
      </c>
      <c r="AV95" s="2">
        <f>Table7[[#This Row],[WCAL Res]]^2</f>
        <v>8.5672496458471161E-3</v>
      </c>
      <c r="AW95">
        <f>Regression!$R$10+(Regression!$R$9*Table83[[#This Row],[Carbs]])</f>
        <v>256.05469764950544</v>
      </c>
      <c r="AX95" s="2">
        <f>Table83[[#This Row],[Weight]]-Table7[[#This Row],[Weight v Carbs]]</f>
        <v>-0.454697649505448</v>
      </c>
      <c r="AY95" s="2">
        <f>Table7[[#This Row],[Wcarb Res]]^2</f>
        <v>0.20674995246577924</v>
      </c>
      <c r="AZ95">
        <f>Regression!$S$10+(Regression!$S$9*Table83[[#This Row],[Fat ]])</f>
        <v>255.28770312374297</v>
      </c>
      <c r="BA95" s="2">
        <f>Table83[[#This Row],[Weight]]-Table7[[#This Row],[Weight v Fat]]</f>
        <v>0.3122968762570224</v>
      </c>
      <c r="BB95" s="2">
        <f>Table7[[#This Row],[WF Res]]^2</f>
        <v>9.752933891989396E-2</v>
      </c>
      <c r="BC95">
        <f>Regression!$T$10+(Regression!$T$9*Table83[[#This Row],[Protein]])</f>
        <v>254.95531913884366</v>
      </c>
      <c r="BD95" s="2">
        <f>Table83[[#This Row],[Weight]]-Table7[[#This Row],[Weight v Protein]]</f>
        <v>0.64468086115633128</v>
      </c>
      <c r="BE95" s="2">
        <f>Table7[[#This Row],[WP Res]]^2</f>
        <v>0.4156134127412689</v>
      </c>
      <c r="BF95">
        <f>Regression!$U$10+(Regression!$U$9*Table83[[#This Row],[Fiber]])</f>
        <v>254.95563264682255</v>
      </c>
      <c r="BG95" s="2">
        <f>Table83[[#This Row],[Weight]]-Table7[[#This Row],[Weight v Fiber]]</f>
        <v>0.64436735317744365</v>
      </c>
      <c r="BH95" s="2">
        <f>Table7[[#This Row],[Wfib Res]]^2</f>
        <v>0.41520928584090439</v>
      </c>
      <c r="BI95">
        <f>Regression!$V$10+(Regression!$V$9*Table83[[#This Row],[Sugar]])</f>
        <v>256.63234664440262</v>
      </c>
      <c r="BJ95" s="2">
        <f>Table83[[#This Row],[Weight]]-Table7[[#This Row],[Weight v Sugar]]</f>
        <v>-1.0323466444026224</v>
      </c>
      <c r="BK95" s="2">
        <f>Table7[[#This Row],[Wsugar Res]]^2</f>
        <v>1.0657395942093544</v>
      </c>
      <c r="BL95">
        <f>Regression!$W$10+(Regression!$W$9*Table83[[#This Row],[Servings]])</f>
        <v>256.69888332224326</v>
      </c>
      <c r="BM95" s="2">
        <f>Table83[[#This Row],[Weight]]-Table7[[#This Row],[Weight v Servings]]</f>
        <v>-1.0988833222432675</v>
      </c>
      <c r="BN95" s="2">
        <f>Table7[[#This Row],[Wserv Res]]^2</f>
        <v>1.2075445559044007</v>
      </c>
      <c r="BO95">
        <f>Regression!$X$10+(Regression!$X$9*Table83[[#This Row],[Water]])</f>
        <v>255.23471394386095</v>
      </c>
      <c r="BP95" s="2">
        <f>Table83[[#This Row],[Weight]]-Table7[[#This Row],[Weight v Water]]</f>
        <v>0.36528605613904119</v>
      </c>
      <c r="BQ95" s="2">
        <f>Table7[[#This Row],[Wwater Res]]^2</f>
        <v>0.13343390280961476</v>
      </c>
      <c r="BR95">
        <f>Regression!$Y$10+(Regression!$Y$9*Table83[[#This Row],[Fat Calories]])</f>
        <v>255.29393512250618</v>
      </c>
      <c r="BS95" s="2">
        <f>Table83[[#This Row],[Weight]]-Table7[[#This Row],[Weight v Fat Calories]]</f>
        <v>0.30606487749381017</v>
      </c>
      <c r="BT95" s="2">
        <f>Table7[[#This Row],[WFC Res]]^2</f>
        <v>9.3675709235301025E-2</v>
      </c>
      <c r="BU95">
        <f>Regression!$B$29+(Regression!$B$28*Table83[[#This Row],[Weight]])</f>
        <v>44.519621111320639</v>
      </c>
      <c r="BV95" s="2">
        <f>Table83[[#This Row],[Waist]]-Table7[[#This Row],[Waist v Weight]]</f>
        <v>-1.9621111320638818E-2</v>
      </c>
      <c r="BW95" s="2">
        <f>Table7[[#This Row],[WaistW Res]]^2</f>
        <v>3.8498800945690077E-4</v>
      </c>
      <c r="BX95">
        <f>Regression!$C$29+(Regression!$C$28*Table83[[#This Row],[Neck]])</f>
        <v>44.175585585585594</v>
      </c>
      <c r="BY95" s="2">
        <f>Table83[[#This Row],[Waist]]-Table7[[#This Row],[Waist v Neck]]</f>
        <v>0.32441441441440588</v>
      </c>
      <c r="BZ95" s="2">
        <f>Table7[[#This Row],[WaistN Res]]^2</f>
        <v>0.10524471227984188</v>
      </c>
      <c r="CA95">
        <f>Regression!$D$29+(Regression!$D$28*Table83[[#This Row],[Morning Body Temp]])</f>
        <v>44.419304304405451</v>
      </c>
      <c r="CB95" s="2">
        <f>Table83[[#This Row],[Waist]]-Table7[[#This Row],[Waist v Morning Temp]]</f>
        <v>8.0695695594549477E-2</v>
      </c>
      <c r="CC95" s="2">
        <f>Table7[[#This Row],[WaistMT Res]]^2</f>
        <v>6.511795287488192E-3</v>
      </c>
      <c r="CD95">
        <f>Regression!$E$29+(Regression!$E$28*Table83[[#This Row],[Morning Systolic Pressure]])</f>
        <v>44.449884727394206</v>
      </c>
      <c r="CE95" s="2">
        <f>Table83[[#This Row],[Waist]]-Table7[[#This Row],[Waist v Morning Sys]]</f>
        <v>5.0115272605793848E-2</v>
      </c>
      <c r="CF95" s="2">
        <f>Table7[[#This Row],[WaistMS Res]]^2</f>
        <v>2.5115405483530314E-3</v>
      </c>
      <c r="CG95">
        <f>Regression!$F$29+(Regression!$F$28*Table83[[#This Row],[Morning Diastolic Pressure]])</f>
        <v>44.475359150819678</v>
      </c>
      <c r="CH95" s="2">
        <f>Table83[[#This Row],[Waist]]-Table7[[#This Row],[Waist v Morning Dia]]</f>
        <v>2.4640849180322277E-2</v>
      </c>
      <c r="CI95" s="2">
        <f>Table7[[#This Row],[WaistMD Res]]^2</f>
        <v>6.0717144832738909E-4</v>
      </c>
      <c r="CJ95">
        <f>Regression!$G$29+(Regression!$G$28*Table83[[#This Row],[Morning Pulse]])</f>
        <v>44.461292220668717</v>
      </c>
      <c r="CK95" s="2">
        <f>Table83[[#This Row],[Waist]]-Table7[[#This Row],[Waist v Morning Pulse]]</f>
        <v>3.8707779331282666E-2</v>
      </c>
      <c r="CL95" s="2">
        <f>Table7[[#This Row],[WaistMP Res]]^2</f>
        <v>1.4982921807592735E-3</v>
      </c>
      <c r="CM95">
        <f>Regression!$H$29+(Regression!$H$28*Table83[[#This Row],[Night Body Temp]])</f>
        <v>44.424663183244519</v>
      </c>
      <c r="CN95" s="2">
        <f>Table83[[#This Row],[Waist]]-Table7[[#This Row],[Waist v Night Temp]]</f>
        <v>7.5336816755481095E-2</v>
      </c>
      <c r="CO95" s="2">
        <f>Table7[[#This Row],[WaistNT Res]]^2</f>
        <v>5.6756359588489369E-3</v>
      </c>
      <c r="CP95">
        <f>Regression!$I$29+(Regression!$I$28*Table83[[#This Row],[Night Systolic Pressure]])</f>
        <v>44.660060915863802</v>
      </c>
      <c r="CQ95" s="2">
        <f>Table83[[#This Row],[Waist]]-Table7[[#This Row],[Waist v  Night Sys]]</f>
        <v>-0.16006091586380222</v>
      </c>
      <c r="CR95" s="2">
        <f>Table7[[#This Row],[WaistNS Res]]^2</f>
        <v>2.5619496787159173E-2</v>
      </c>
      <c r="CS95">
        <f>Regression!$J$29+(Regression!$J$28*Table83[[#This Row],[Night Diastolic Pressure]])</f>
        <v>44.631771463228155</v>
      </c>
      <c r="CT95" s="2">
        <f>Table83[[#This Row],[Waist]]-Table7[[#This Row],[Waist v Night Dia]]</f>
        <v>-0.13177146322815503</v>
      </c>
      <c r="CU95" s="2">
        <f>Table7[[#This Row],[WaistND Res]]^2</f>
        <v>1.7363718521289012E-2</v>
      </c>
      <c r="CV95">
        <f>Regression!$K$29+(Regression!$K$28*Table83[[#This Row],[Night Pulse]])</f>
        <v>44.471135357809125</v>
      </c>
      <c r="CW95" s="2">
        <f>Table83[[#This Row],[Waist]]-Table7[[#This Row],[Waist v Night Pulse]]</f>
        <v>2.8864642190875145E-2</v>
      </c>
      <c r="CX95" s="2">
        <f>Table7[[#This Row],[WaistNP Res]]^2</f>
        <v>8.3316756880724946E-4</v>
      </c>
      <c r="CY95">
        <f>Regression!$L$29+(Regression!$L$28*Table83[[#This Row],[Sleep]])</f>
        <v>44.432842368860271</v>
      </c>
      <c r="CZ95" s="2">
        <f>Table83[[#This Row],[Waist]]-Table7[[#This Row],[Waist v  Sleep]]</f>
        <v>6.7157631139728835E-2</v>
      </c>
      <c r="DA95" s="2">
        <f>Table7[[#This Row],[WaistS Res]]^2</f>
        <v>4.5101474202998764E-3</v>
      </c>
      <c r="DB95">
        <f>Regression!$M$29+(Regression!$M$28*Table83[[#This Row],[BMI]])</f>
        <v>44.519621111320426</v>
      </c>
      <c r="DC95" s="2">
        <f>Table83[[#This Row],[Waist]]-Table7[[#This Row],[Waist v BMI]]</f>
        <v>-1.9621111320425655E-2</v>
      </c>
      <c r="DD95" s="2">
        <f>Table7[[#This Row],[WaistBMI Res]]^2</f>
        <v>3.8498800944853577E-4</v>
      </c>
      <c r="DE95">
        <f>Regression!$N$29+(Regression!$N$28*Table83[[#This Row],[CBF]])</f>
        <v>44.659010290127611</v>
      </c>
      <c r="DF95" s="2">
        <f>Table83[[#This Row],[Waist]]-Table7[[#This Row],[Waist v  CBF]]</f>
        <v>-0.15901029012761114</v>
      </c>
      <c r="DG95" s="2">
        <f>Table7[[#This Row],[WaistCBF Res]]^2</f>
        <v>2.5284272366467068E-2</v>
      </c>
      <c r="DH95">
        <f>Regression!$O$29+(Regression!$O$28*Table83[[#This Row],[Gym]])</f>
        <v>44.550847457627107</v>
      </c>
      <c r="DI95" s="2">
        <f>Table83[[#This Row],[Waist]]-Table7[[#This Row],[Waist v  Gym]]</f>
        <v>-5.0847457627106962E-2</v>
      </c>
      <c r="DJ95" s="2">
        <f>Table7[[#This Row],[WaistGYM Res]]^2</f>
        <v>2.5854639471404378E-3</v>
      </c>
      <c r="DK95">
        <f>Regression!$P$29+(Regression!$P$28*Table83[[#This Row],[Cardio]])</f>
        <v>44.680851063829778</v>
      </c>
      <c r="DL95" s="2">
        <f>Table83[[#This Row],[Waist]]-Table7[[#This Row],[Waist v Cardio]]</f>
        <v>-0.18085106382977756</v>
      </c>
      <c r="DM95" s="2">
        <f>Table7[[#This Row],[WaistC Res]]^2</f>
        <v>3.2707107288362278E-2</v>
      </c>
      <c r="DN95">
        <f>Regression!$Q$29+(Regression!$Q$28*Table83[[#This Row],[Calories]])</f>
        <v>44.583294677258003</v>
      </c>
      <c r="DO95" s="2">
        <f>Table83[[#This Row],[Waist]]-Table7[[#This Row],[Waist v Calories]]</f>
        <v>-8.3294677258002991E-2</v>
      </c>
      <c r="DP95" s="2">
        <f>Table7[[#This Row],[WaistCal Res]]^2</f>
        <v>6.9380032595148808E-3</v>
      </c>
      <c r="DQ95">
        <f>Regression!$R$29+(Regression!$R$28*Table83[[#This Row],[Carbs]])</f>
        <v>44.649169907034839</v>
      </c>
      <c r="DR95" s="2">
        <f>Table83[[#This Row],[Waist]]-Table7[[#This Row],[Waist v Carbs]]</f>
        <v>-0.1491699070348389</v>
      </c>
      <c r="DS95" s="2">
        <f>Table7[[#This Row],[WaistCarb Res]]^2</f>
        <v>2.2251661164782478E-2</v>
      </c>
      <c r="DT95">
        <f>Regression!$S$29+(Regression!$S$28*Table83[[#This Row],[Fat ]])</f>
        <v>44.50631798745858</v>
      </c>
      <c r="DU95" s="2">
        <f>Table83[[#This Row],[Waist]]-Table7[[#This Row],[Waist v Fat]]</f>
        <v>-6.3179874585799212E-3</v>
      </c>
      <c r="DV95" s="2">
        <f>Table7[[#This Row],[WaistF Res]]^2</f>
        <v>3.9916965526773173E-5</v>
      </c>
      <c r="DW95">
        <f>Regression!$T$29+(Regression!$T$28*Table83[[#This Row],[Protein]])</f>
        <v>44.424304194851025</v>
      </c>
      <c r="DX95" s="2">
        <f>Table83[[#This Row],[Waist]]-Table7[[#This Row],[Waist v Protein]]</f>
        <v>7.5695805148974671E-2</v>
      </c>
      <c r="DY95" s="2">
        <f>Table7[[#This Row],[WaistP Res]]^2</f>
        <v>5.72985491715154E-3</v>
      </c>
      <c r="DZ95">
        <f>Regression!$U$29+(Regression!$U$28*Table83[[#This Row],[Fiber]])</f>
        <v>44.392029270248599</v>
      </c>
      <c r="EA95" s="2">
        <f>Table83[[#This Row],[Waist]]-Table7[[#This Row],[Waist v Fiber]]</f>
        <v>0.10797072975140054</v>
      </c>
      <c r="EB95" s="2">
        <f>Table7[[#This Row],[WaistFib Res]]^2</f>
        <v>1.1657678483049969E-2</v>
      </c>
      <c r="EC95">
        <f>Regression!$V$29+(Regression!$V$28*Table83[[#This Row],[Sugar]])</f>
        <v>44.726106276046224</v>
      </c>
      <c r="ED95" s="2">
        <f>Table83[[#This Row],[Waist]]-Table7[[#This Row],[Waist v Sugar]]</f>
        <v>-0.2261062760462238</v>
      </c>
      <c r="EE95" s="2">
        <f>Table7[[#This Row],[WaistSugar Res]]^2</f>
        <v>5.1124048067491157E-2</v>
      </c>
      <c r="EF95">
        <f>Regression!$W$29+(Regression!$W$28*Table83[[#This Row],[Servings]])</f>
        <v>44.695207279019115</v>
      </c>
      <c r="EG95" s="2">
        <f>Table83[[#This Row],[Waist]]-Table7[[#This Row],[Waist v Servings]]</f>
        <v>-0.19520727901911528</v>
      </c>
      <c r="EH95" s="2">
        <f>Table7[[#This Row],[WaistServ Res]]^2</f>
        <v>3.810588178204672E-2</v>
      </c>
      <c r="EI95">
        <f>Regression!$X$29+(Regression!$X$28*Table83[[#This Row],[Water]])</f>
        <v>44.609733984485779</v>
      </c>
      <c r="EJ95" s="2">
        <f>Table83[[#This Row],[Waist]]-Table7[[#This Row],[Waist v Water]]</f>
        <v>-0.10973398448577854</v>
      </c>
      <c r="EK95" s="2">
        <f>Table7[[#This Row],[WaistWat Res]]^2</f>
        <v>1.2041547351125084E-2</v>
      </c>
      <c r="EL95">
        <f>Regression!$Y$29+(Regression!$Y$28*Table83[[#This Row],[Fat Calories]])</f>
        <v>44.507945684280593</v>
      </c>
      <c r="EM95" s="2">
        <f>Table83[[#This Row],[Waist]]-Table7[[#This Row],[Waist v Fat Calories]]</f>
        <v>-7.9456842805925021E-3</v>
      </c>
      <c r="EN95" s="2">
        <f>Table7[[#This Row],[WaistFatCal Res]]^2</f>
        <v>6.3133898686854785E-5</v>
      </c>
    </row>
    <row r="96" spans="1:144" x14ac:dyDescent="0.25">
      <c r="A96">
        <f>Regression!$B$10+(Regression!$B$9*Table83[[#This Row],[Waist]])</f>
        <v>255.38023686459636</v>
      </c>
      <c r="B96" s="2">
        <f>Table83[[#This Row],[Weight]]-Table7[[#This Row],[Weight v Waist]]</f>
        <v>-1.9802368645963497</v>
      </c>
      <c r="C96" s="2">
        <f>Table7[[#This Row],[Weight v Waist Res]]^2</f>
        <v>3.9213380399063817</v>
      </c>
      <c r="D96">
        <f>Regression!$C$10+(Regression!$C$9*Table83[[#This Row],[Neck]])</f>
        <v>253.29286486487842</v>
      </c>
      <c r="E96" s="2">
        <f>Table83[[#This Row],[Weight]]-Table7[[#This Row],[Weight v Neck]]</f>
        <v>0.10713513512158102</v>
      </c>
      <c r="F96" s="2">
        <f>Table7[[#This Row],[WN Res]]^2</f>
        <v>1.1477937177519422E-2</v>
      </c>
      <c r="G96">
        <f>Regression!$D$10+(Regression!$D$9*Table83[[#This Row],[Morning Body Temp]])</f>
        <v>255.27076211175142</v>
      </c>
      <c r="H96" s="2">
        <f>Table83[[#This Row],[Weight]]-Table7[[#This Row],[Weight v Morning Temp]]</f>
        <v>-1.8707621117514179</v>
      </c>
      <c r="I96" s="2">
        <f>Table7[[#This Row],[WMT Res]]^2</f>
        <v>3.4997508787646248</v>
      </c>
      <c r="J96">
        <f>Regression!$E$10+(Regression!$E$9*Table83[[#This Row],[Morning Systolic Pressure]])</f>
        <v>255.91087629829624</v>
      </c>
      <c r="K96" s="2">
        <f>Table83[[#This Row],[Weight]]-Table7[[#This Row],[Weight v Morning Sys]]</f>
        <v>-2.5108762982962389</v>
      </c>
      <c r="L96" s="2">
        <f>Table7[[#This Row],[WMS Res]]^2</f>
        <v>6.3044997853458238</v>
      </c>
      <c r="M96">
        <f>Regression!$F$10+(Regression!$F$9*Table83[[#This Row],[Morning Diastolic Pressure]])</f>
        <v>254.08859740679787</v>
      </c>
      <c r="N96" s="2">
        <f>Table83[[#This Row],[Weight]]-Table7[[#This Row],[Weight v Morning Dia]]</f>
        <v>-0.68859740679786796</v>
      </c>
      <c r="O96" s="2">
        <f>Table7[[#This Row],[WMD Res]]^2</f>
        <v>0.47416638864874844</v>
      </c>
      <c r="P96">
        <f>Regression!$G$10+(Regression!$G$9*Table83[[#This Row],[Morning Pulse]])</f>
        <v>255.13192305197038</v>
      </c>
      <c r="Q96" s="2">
        <f>Table83[[#This Row],[Weight]]-Table7[[#This Row],[Weight v Morning Pulse]]</f>
        <v>-1.7319230519703694</v>
      </c>
      <c r="R96" s="2">
        <f>Table7[[#This Row],[WMP Res]]^2</f>
        <v>2.9995574579463589</v>
      </c>
      <c r="S96">
        <f>Regression!$H$10+(Regression!$H$9*Table83[[#This Row],[Night Body Temp]])</f>
        <v>254.13261068415329</v>
      </c>
      <c r="T96" s="2">
        <f>Table83[[#This Row],[Weight]]-Table7[[#This Row],[Weight v Night Temp]]</f>
        <v>-0.73261068415328623</v>
      </c>
      <c r="U96" s="2">
        <f>Table7[[#This Row],[WNT Res]]^2</f>
        <v>0.53671841453554614</v>
      </c>
      <c r="V96">
        <f>Regression!$I$10+(Regression!$I$9*Table83[[#This Row],[Night Systolic Pressure]])</f>
        <v>254.6227123889964</v>
      </c>
      <c r="W96" s="2">
        <f>Table83[[#This Row],[Weight]]-Table7[[#This Row],[Weight v Night Sys]]</f>
        <v>-1.2227123889963991</v>
      </c>
      <c r="X96" s="2">
        <f>Table7[[#This Row],[WNS Res]]^2</f>
        <v>1.4950255862052817</v>
      </c>
      <c r="Y96">
        <f>Regression!$J$10+(Regression!$J$9*Table83[[#This Row],[Night Diastolic Pressure]])</f>
        <v>255.2146139794944</v>
      </c>
      <c r="Z96" s="2">
        <f>Table83[[#This Row],[Weight]]-Table7[[#This Row],[Weight v Night Dia]]</f>
        <v>-1.8146139794943963</v>
      </c>
      <c r="AA96" s="2">
        <f>Table7[[#This Row],[WND Res]]^2</f>
        <v>3.2928238945764892</v>
      </c>
      <c r="AB96">
        <f>Regression!$K$10+(Regression!$K$9*Table83[[#This Row],[Night Pulse]])</f>
        <v>254.77230521513724</v>
      </c>
      <c r="AC96" s="2">
        <f>Table83[[#This Row],[Weight]]-Table7[[#This Row],[Weight v Night Pulse]]</f>
        <v>-1.3723052151372315</v>
      </c>
      <c r="AD96" s="2">
        <f>Table7[[#This Row],[WNP Res ]]^2</f>
        <v>1.8832216034928431</v>
      </c>
      <c r="AE96">
        <f>Regression!$L$10+(Regression!$L$9*Table83[[#This Row],[Sleep]])</f>
        <v>254.90042408985096</v>
      </c>
      <c r="AF96" s="2">
        <f>Table83[[#This Row],[Weight]]-Table7[[#This Row],[Weight v Sleep]]</f>
        <v>-1.5004240898509522</v>
      </c>
      <c r="AG96" s="2">
        <f>Table7[[#This Row],[WS Res]]^2</f>
        <v>2.2512724494050582</v>
      </c>
      <c r="AH96">
        <f>Regression!$M$10+(Regression!$M$9*Table83[[#This Row],[BMI]])</f>
        <v>253.40000000000387</v>
      </c>
      <c r="AI96" s="2">
        <f>Table83[[#This Row],[Weight]]-Table7[[#This Row],[Weight v BMI]]</f>
        <v>-3.865352482534945E-12</v>
      </c>
      <c r="AJ96" s="2">
        <f>Table7[[#This Row],[WBMI Res]]^2</f>
        <v>1.4940949814239062E-23</v>
      </c>
      <c r="AK96">
        <f>Regression!$N$10+(Regression!$N$9*Table83[[#This Row],[CBF]])</f>
        <v>256.25609762651322</v>
      </c>
      <c r="AL96" s="2">
        <f>Table83[[#This Row],[Weight]]-Table7[[#This Row],[Weight v CBF]]</f>
        <v>-2.8560976265132183</v>
      </c>
      <c r="AM96" s="2">
        <f>Table7[[#This Row],[WCBF Res]]^2</f>
        <v>8.1572936521744381</v>
      </c>
      <c r="AN96">
        <f>Regression!$O$10+(Regression!$O$9*Table83[[#This Row],[Gym]])</f>
        <v>255.46779661016953</v>
      </c>
      <c r="AO96" s="2">
        <f>Table83[[#This Row],[Weight]]-Table7[[#This Row],[Weight v Gym]]</f>
        <v>-2.0677966101695233</v>
      </c>
      <c r="AP96" s="2">
        <f>Table7[[#This Row],[WG Res]]^2</f>
        <v>4.2757828210285718</v>
      </c>
      <c r="AQ96">
        <f>Regression!$P$10+(Regression!$P$9*Table83[[#This Row],[Cardio]])</f>
        <v>256.41063829787231</v>
      </c>
      <c r="AR96" s="2">
        <f>Table83[[#This Row],[Weight]]-Table7[[#This Row],[Weight v Cardio]]</f>
        <v>-3.0106382978723047</v>
      </c>
      <c r="AS96" s="2">
        <f>Table7[[#This Row],[WC Res]]^2</f>
        <v>9.0639429606154476</v>
      </c>
      <c r="AT96">
        <f>Regression!$Q$10+(Regression!$Q$9*Table83[[#This Row],[Calories]])</f>
        <v>255.7776548949073</v>
      </c>
      <c r="AU96" s="2">
        <f>Table83[[#This Row],[Weight]]-Table7[[#This Row],[Weight v Calories]]</f>
        <v>-2.3776548949072946</v>
      </c>
      <c r="AV96" s="2">
        <f>Table7[[#This Row],[WCAL Res]]^2</f>
        <v>5.6532427992766188</v>
      </c>
      <c r="AW96">
        <f>Regression!$R$10+(Regression!$R$9*Table83[[#This Row],[Carbs]])</f>
        <v>256.04733041791548</v>
      </c>
      <c r="AX96" s="2">
        <f>Table83[[#This Row],[Weight]]-Table7[[#This Row],[Weight v Carbs]]</f>
        <v>-2.6473304179154695</v>
      </c>
      <c r="AY96" s="2">
        <f>Table7[[#This Row],[Wcarb Res]]^2</f>
        <v>7.0083583416204949</v>
      </c>
      <c r="AZ96">
        <f>Regression!$S$10+(Regression!$S$9*Table83[[#This Row],[Fat ]])</f>
        <v>255.36565699355299</v>
      </c>
      <c r="BA96" s="2">
        <f>Table83[[#This Row],[Weight]]-Table7[[#This Row],[Weight v Fat]]</f>
        <v>-1.9656569935529831</v>
      </c>
      <c r="BB96" s="2">
        <f>Table7[[#This Row],[WF Res]]^2</f>
        <v>3.8638074163037519</v>
      </c>
      <c r="BC96">
        <f>Regression!$T$10+(Regression!$T$9*Table83[[#This Row],[Protein]])</f>
        <v>255.50313264750915</v>
      </c>
      <c r="BD96" s="2">
        <f>Table83[[#This Row],[Weight]]-Table7[[#This Row],[Weight v Protein]]</f>
        <v>-2.1031326475091419</v>
      </c>
      <c r="BE96" s="2">
        <f>Table7[[#This Row],[WP Res]]^2</f>
        <v>4.4231669330188126</v>
      </c>
      <c r="BF96">
        <f>Regression!$U$10+(Regression!$U$9*Table83[[#This Row],[Fiber]])</f>
        <v>255.21276213138796</v>
      </c>
      <c r="BG96" s="2">
        <f>Table83[[#This Row],[Weight]]-Table7[[#This Row],[Weight v Fiber]]</f>
        <v>-1.8127621313879558</v>
      </c>
      <c r="BH96" s="2">
        <f>Table7[[#This Row],[Wfib Res]]^2</f>
        <v>3.2861065449942046</v>
      </c>
      <c r="BI96">
        <f>Regression!$V$10+(Regression!$V$9*Table83[[#This Row],[Sugar]])</f>
        <v>256.6518634320517</v>
      </c>
      <c r="BJ96" s="2">
        <f>Table83[[#This Row],[Weight]]-Table7[[#This Row],[Weight v Sugar]]</f>
        <v>-3.2518634320516924</v>
      </c>
      <c r="BK96" s="2">
        <f>Table7[[#This Row],[Wsugar Res]]^2</f>
        <v>10.574615780715012</v>
      </c>
      <c r="BL96">
        <f>Regression!$W$10+(Regression!$W$9*Table83[[#This Row],[Servings]])</f>
        <v>256.4798547336095</v>
      </c>
      <c r="BM96" s="2">
        <f>Table83[[#This Row],[Weight]]-Table7[[#This Row],[Weight v Servings]]</f>
        <v>-3.0798547336094941</v>
      </c>
      <c r="BN96" s="2">
        <f>Table7[[#This Row],[Wserv Res]]^2</f>
        <v>9.4855051801368084</v>
      </c>
      <c r="BO96">
        <f>Regression!$X$10+(Regression!$X$9*Table83[[#This Row],[Water]])</f>
        <v>255.27752992726238</v>
      </c>
      <c r="BP96" s="2">
        <f>Table83[[#This Row],[Weight]]-Table7[[#This Row],[Weight v Water]]</f>
        <v>-1.8775299272623727</v>
      </c>
      <c r="BQ96" s="2">
        <f>Table7[[#This Row],[Wwater Res]]^2</f>
        <v>3.5251186277658504</v>
      </c>
      <c r="BR96">
        <f>Regression!$Y$10+(Regression!$Y$9*Table83[[#This Row],[Fat Calories]])</f>
        <v>255.37689765073475</v>
      </c>
      <c r="BS96" s="2">
        <f>Table83[[#This Row],[Weight]]-Table7[[#This Row],[Weight v Fat Calories]]</f>
        <v>-1.9768976507347418</v>
      </c>
      <c r="BT96" s="2">
        <f>Table7[[#This Row],[WFC Res]]^2</f>
        <v>3.9081243214805412</v>
      </c>
      <c r="BU96">
        <f>Regression!$B$29+(Regression!$B$28*Table83[[#This Row],[Weight]])</f>
        <v>44.219843588066681</v>
      </c>
      <c r="BV96" s="2">
        <f>Table83[[#This Row],[Waist]]-Table7[[#This Row],[Waist v Weight]]</f>
        <v>0.2801564119333193</v>
      </c>
      <c r="BW96" s="2">
        <f>Table7[[#This Row],[WaistW Res]]^2</f>
        <v>7.8487615147351697E-2</v>
      </c>
      <c r="BX96">
        <f>Regression!$C$29+(Regression!$C$28*Table83[[#This Row],[Neck]])</f>
        <v>44.175585585585594</v>
      </c>
      <c r="BY96" s="2">
        <f>Table83[[#This Row],[Waist]]-Table7[[#This Row],[Waist v Neck]]</f>
        <v>0.32441441441440588</v>
      </c>
      <c r="BZ96" s="2">
        <f>Table7[[#This Row],[WaistN Res]]^2</f>
        <v>0.10524471227984188</v>
      </c>
      <c r="CA96">
        <f>Regression!$D$29+(Regression!$D$28*Table83[[#This Row],[Morning Body Temp]])</f>
        <v>44.495891557108962</v>
      </c>
      <c r="CB96" s="2">
        <f>Table83[[#This Row],[Waist]]-Table7[[#This Row],[Waist v Morning Temp]]</f>
        <v>4.1084428910380666E-3</v>
      </c>
      <c r="CC96" s="2">
        <f>Table7[[#This Row],[WaistMT Res]]^2</f>
        <v>1.6879302988921227E-5</v>
      </c>
      <c r="CD96">
        <f>Regression!$E$29+(Regression!$E$28*Table83[[#This Row],[Morning Systolic Pressure]])</f>
        <v>44.640512021757893</v>
      </c>
      <c r="CE96" s="2">
        <f>Table83[[#This Row],[Waist]]-Table7[[#This Row],[Waist v Morning Sys]]</f>
        <v>-0.14051202175789257</v>
      </c>
      <c r="CF96" s="2">
        <f>Table7[[#This Row],[WaistMS Res]]^2</f>
        <v>1.9743628258490475E-2</v>
      </c>
      <c r="CG96">
        <f>Regression!$F$29+(Regression!$F$28*Table83[[#This Row],[Morning Diastolic Pressure]])</f>
        <v>44.396460461455717</v>
      </c>
      <c r="CH96" s="2">
        <f>Table83[[#This Row],[Waist]]-Table7[[#This Row],[Waist v Morning Dia]]</f>
        <v>0.10353953854428255</v>
      </c>
      <c r="CI96" s="2">
        <f>Table7[[#This Row],[WaistMD Res]]^2</f>
        <v>1.0720436041962971E-2</v>
      </c>
      <c r="CJ96">
        <f>Regression!$G$29+(Regression!$G$28*Table83[[#This Row],[Morning Pulse]])</f>
        <v>44.461292220668717</v>
      </c>
      <c r="CK96" s="2">
        <f>Table83[[#This Row],[Waist]]-Table7[[#This Row],[Waist v Morning Pulse]]</f>
        <v>3.8707779331282666E-2</v>
      </c>
      <c r="CL96" s="2">
        <f>Table7[[#This Row],[WaistMP Res]]^2</f>
        <v>1.4982921807592735E-3</v>
      </c>
      <c r="CM96">
        <f>Regression!$H$29+(Regression!$H$28*Table83[[#This Row],[Night Body Temp]])</f>
        <v>44.376081640415208</v>
      </c>
      <c r="CN96" s="2">
        <f>Table83[[#This Row],[Waist]]-Table7[[#This Row],[Waist v Night Temp]]</f>
        <v>0.12391835958479192</v>
      </c>
      <c r="CO96" s="2">
        <f>Table7[[#This Row],[WaistNT Res]]^2</f>
        <v>1.535575984218579E-2</v>
      </c>
      <c r="CP96">
        <f>Regression!$I$29+(Regression!$I$28*Table83[[#This Row],[Night Systolic Pressure]])</f>
        <v>44.383798743677147</v>
      </c>
      <c r="CQ96" s="2">
        <f>Table83[[#This Row],[Waist]]-Table7[[#This Row],[Waist v  Night Sys]]</f>
        <v>0.11620125632285294</v>
      </c>
      <c r="CR96" s="2">
        <f>Table7[[#This Row],[WaistNS Res]]^2</f>
        <v>1.3502731971009371E-2</v>
      </c>
      <c r="CS96">
        <f>Regression!$J$29+(Regression!$J$28*Table83[[#This Row],[Night Diastolic Pressure]])</f>
        <v>44.495227901568619</v>
      </c>
      <c r="CT96" s="2">
        <f>Table83[[#This Row],[Waist]]-Table7[[#This Row],[Waist v Night Dia]]</f>
        <v>4.7720984313812664E-3</v>
      </c>
      <c r="CU96" s="2">
        <f>Table7[[#This Row],[WaistND Res]]^2</f>
        <v>2.2772923438791544E-5</v>
      </c>
      <c r="CV96">
        <f>Regression!$K$29+(Regression!$K$28*Table83[[#This Row],[Night Pulse]])</f>
        <v>44.485419089363951</v>
      </c>
      <c r="CW96" s="2">
        <f>Table83[[#This Row],[Waist]]-Table7[[#This Row],[Waist v Night Pulse]]</f>
        <v>1.4580910636048827E-2</v>
      </c>
      <c r="CX96" s="2">
        <f>Table7[[#This Row],[WaistNP Res]]^2</f>
        <v>2.1260295497644181E-4</v>
      </c>
      <c r="CY96">
        <f>Regression!$L$29+(Regression!$L$28*Table83[[#This Row],[Sleep]])</f>
        <v>44.420817626861357</v>
      </c>
      <c r="CZ96" s="2">
        <f>Table83[[#This Row],[Waist]]-Table7[[#This Row],[Waist v  Sleep]]</f>
        <v>7.9182373138642959E-2</v>
      </c>
      <c r="DA96" s="2">
        <f>Table7[[#This Row],[WaistS Res]]^2</f>
        <v>6.2698482158672856E-3</v>
      </c>
      <c r="DB96">
        <f>Regression!$M$29+(Regression!$M$28*Table83[[#This Row],[BMI]])</f>
        <v>44.21984358806742</v>
      </c>
      <c r="DC96" s="2">
        <f>Table83[[#This Row],[Waist]]-Table7[[#This Row],[Waist v BMI]]</f>
        <v>0.28015641193258034</v>
      </c>
      <c r="DD96" s="2">
        <f>Table7[[#This Row],[WaistBMI Res]]^2</f>
        <v>7.8487615146937639E-2</v>
      </c>
      <c r="DE96">
        <f>Regression!$N$29+(Regression!$N$28*Table83[[#This Row],[CBF]])</f>
        <v>44.659010290127611</v>
      </c>
      <c r="DF96" s="2">
        <f>Table83[[#This Row],[Waist]]-Table7[[#This Row],[Waist v  CBF]]</f>
        <v>-0.15901029012761114</v>
      </c>
      <c r="DG96" s="2">
        <f>Table7[[#This Row],[WaistCBF Res]]^2</f>
        <v>2.5284272366467068E-2</v>
      </c>
      <c r="DH96">
        <f>Regression!$O$29+(Regression!$O$28*Table83[[#This Row],[Gym]])</f>
        <v>44.550847457627107</v>
      </c>
      <c r="DI96" s="2">
        <f>Table83[[#This Row],[Waist]]-Table7[[#This Row],[Waist v  Gym]]</f>
        <v>-5.0847457627106962E-2</v>
      </c>
      <c r="DJ96" s="2">
        <f>Table7[[#This Row],[WaistGYM Res]]^2</f>
        <v>2.5854639471404378E-3</v>
      </c>
      <c r="DK96">
        <f>Regression!$P$29+(Regression!$P$28*Table83[[#This Row],[Cardio]])</f>
        <v>44.680851063829778</v>
      </c>
      <c r="DL96" s="2">
        <f>Table83[[#This Row],[Waist]]-Table7[[#This Row],[Waist v Cardio]]</f>
        <v>-0.18085106382977756</v>
      </c>
      <c r="DM96" s="2">
        <f>Table7[[#This Row],[WaistC Res]]^2</f>
        <v>3.2707107288362278E-2</v>
      </c>
      <c r="DN96">
        <f>Regression!$Q$29+(Regression!$Q$28*Table83[[#This Row],[Calories]])</f>
        <v>44.60241373893583</v>
      </c>
      <c r="DO96" s="2">
        <f>Table83[[#This Row],[Waist]]-Table7[[#This Row],[Waist v Calories]]</f>
        <v>-0.10241373893583017</v>
      </c>
      <c r="DP96" s="2">
        <f>Table7[[#This Row],[WaistCal Res]]^2</f>
        <v>1.0488573922816376E-2</v>
      </c>
      <c r="DQ96">
        <f>Regression!$R$29+(Regression!$R$28*Table83[[#This Row],[Carbs]])</f>
        <v>44.647636094532963</v>
      </c>
      <c r="DR96" s="2">
        <f>Table83[[#This Row],[Waist]]-Table7[[#This Row],[Waist v Carbs]]</f>
        <v>-0.14763609453296311</v>
      </c>
      <c r="DS96" s="2">
        <f>Table7[[#This Row],[WaistCarb Res]]^2</f>
        <v>2.1796416408946022E-2</v>
      </c>
      <c r="DT96">
        <f>Regression!$S$29+(Regression!$S$28*Table83[[#This Row],[Fat ]])</f>
        <v>44.530146835744347</v>
      </c>
      <c r="DU96" s="2">
        <f>Table83[[#This Row],[Waist]]-Table7[[#This Row],[Waist v Fat]]</f>
        <v>-3.0146835744346845E-2</v>
      </c>
      <c r="DV96" s="2">
        <f>Table7[[#This Row],[WaistF Res]]^2</f>
        <v>9.0883170539662861E-4</v>
      </c>
      <c r="DW96">
        <f>Regression!$T$29+(Regression!$T$28*Table83[[#This Row],[Protein]])</f>
        <v>44.524574416264848</v>
      </c>
      <c r="DX96" s="2">
        <f>Table83[[#This Row],[Waist]]-Table7[[#This Row],[Waist v Protein]]</f>
        <v>-2.4574416264847798E-2</v>
      </c>
      <c r="DY96" s="2">
        <f>Table7[[#This Row],[WaistP Res]]^2</f>
        <v>6.03901934758016E-4</v>
      </c>
      <c r="DZ96">
        <f>Regression!$U$29+(Regression!$U$28*Table83[[#This Row],[Fiber]])</f>
        <v>44.491245240923305</v>
      </c>
      <c r="EA96" s="2">
        <f>Table83[[#This Row],[Waist]]-Table7[[#This Row],[Waist v Fiber]]</f>
        <v>8.7547590766945405E-3</v>
      </c>
      <c r="EB96" s="2">
        <f>Table7[[#This Row],[WaistFib Res]]^2</f>
        <v>7.6645806490965437E-5</v>
      </c>
      <c r="EC96">
        <f>Regression!$V$29+(Regression!$V$28*Table83[[#This Row],[Sugar]])</f>
        <v>44.729612249276116</v>
      </c>
      <c r="ED96" s="2">
        <f>Table83[[#This Row],[Waist]]-Table7[[#This Row],[Waist v Sugar]]</f>
        <v>-0.22961224927611568</v>
      </c>
      <c r="EE96" s="2">
        <f>Table7[[#This Row],[WaistSugar Res]]^2</f>
        <v>5.2721785017637086E-2</v>
      </c>
      <c r="EF96">
        <f>Regression!$W$29+(Regression!$W$28*Table83[[#This Row],[Servings]])</f>
        <v>44.661787165408875</v>
      </c>
      <c r="EG96" s="2">
        <f>Table83[[#This Row],[Waist]]-Table7[[#This Row],[Waist v Servings]]</f>
        <v>-0.1617871654088745</v>
      </c>
      <c r="EH96" s="2">
        <f>Table7[[#This Row],[WaistServ Res]]^2</f>
        <v>2.6175086891038517E-2</v>
      </c>
      <c r="EI96">
        <f>Regression!$X$29+(Regression!$X$28*Table83[[#This Row],[Water]])</f>
        <v>44.665617861897069</v>
      </c>
      <c r="EJ96" s="2">
        <f>Table83[[#This Row],[Waist]]-Table7[[#This Row],[Waist v Water]]</f>
        <v>-0.16561786189706851</v>
      </c>
      <c r="EK96" s="2">
        <f>Table7[[#This Row],[WaistWat Res]]^2</f>
        <v>2.7429276179356456E-2</v>
      </c>
      <c r="EL96">
        <f>Regression!$Y$29+(Regression!$Y$28*Table83[[#This Row],[Fat Calories]])</f>
        <v>44.533176975751793</v>
      </c>
      <c r="EM96" s="2">
        <f>Table83[[#This Row],[Waist]]-Table7[[#This Row],[Waist v Fat Calories]]</f>
        <v>-3.3176975751793236E-2</v>
      </c>
      <c r="EN96" s="2">
        <f>Table7[[#This Row],[WaistFatCal Res]]^2</f>
        <v>1.1007117200350764E-3</v>
      </c>
    </row>
    <row r="97" spans="1:144" x14ac:dyDescent="0.25">
      <c r="A97">
        <f>Regression!$B$10+(Regression!$B$9*Table83[[#This Row],[Waist]])</f>
        <v>252.52625917894264</v>
      </c>
      <c r="B97" s="2">
        <f>Table83[[#This Row],[Weight]]-Table7[[#This Row],[Weight v Waist]]</f>
        <v>0.87374082105736761</v>
      </c>
      <c r="C97" s="2">
        <f>Table7[[#This Row],[Weight v Waist Res]]^2</f>
        <v>0.76342302238200288</v>
      </c>
      <c r="D97">
        <f>Regression!$C$10+(Regression!$C$9*Table83[[#This Row],[Neck]])</f>
        <v>253.29286486487842</v>
      </c>
      <c r="E97" s="2">
        <f>Table83[[#This Row],[Weight]]-Table7[[#This Row],[Weight v Neck]]</f>
        <v>0.10713513512158102</v>
      </c>
      <c r="F97" s="2">
        <f>Table7[[#This Row],[WN Res]]^2</f>
        <v>1.1477937177519422E-2</v>
      </c>
      <c r="G97">
        <f>Regression!$D$10+(Regression!$D$9*Table83[[#This Row],[Morning Body Temp]])</f>
        <v>254.49637801530542</v>
      </c>
      <c r="H97" s="2">
        <f>Table83[[#This Row],[Weight]]-Table7[[#This Row],[Weight v Morning Temp]]</f>
        <v>-1.0963780153054188</v>
      </c>
      <c r="I97" s="2">
        <f>Table7[[#This Row],[WMT Res]]^2</f>
        <v>1.202044752445049</v>
      </c>
      <c r="J97">
        <f>Regression!$E$10+(Regression!$E$9*Table83[[#This Row],[Morning Systolic Pressure]])</f>
        <v>255.27979544420887</v>
      </c>
      <c r="K97" s="2">
        <f>Table83[[#This Row],[Weight]]-Table7[[#This Row],[Weight v Morning Sys]]</f>
        <v>-1.8797954442088667</v>
      </c>
      <c r="L97" s="2">
        <f>Table7[[#This Row],[WMS Res]]^2</f>
        <v>3.5336309120684106</v>
      </c>
      <c r="M97">
        <f>Regression!$F$10+(Regression!$F$9*Table83[[#This Row],[Morning Diastolic Pressure]])</f>
        <v>253.48053191252859</v>
      </c>
      <c r="N97" s="2">
        <f>Table83[[#This Row],[Weight]]-Table7[[#This Row],[Weight v Morning Dia]]</f>
        <v>-8.0531912528584826E-2</v>
      </c>
      <c r="O97" s="2">
        <f>Table7[[#This Row],[WMD Res]]^2</f>
        <v>6.4853889355116377E-3</v>
      </c>
      <c r="P97">
        <f>Regression!$G$10+(Regression!$G$9*Table83[[#This Row],[Morning Pulse]])</f>
        <v>255.11912848167003</v>
      </c>
      <c r="Q97" s="2">
        <f>Table83[[#This Row],[Weight]]-Table7[[#This Row],[Weight v Morning Pulse]]</f>
        <v>-1.7191284816700261</v>
      </c>
      <c r="R97" s="2">
        <f>Table7[[#This Row],[WMP Res]]^2</f>
        <v>2.9554027364890891</v>
      </c>
      <c r="S97">
        <f>Regression!$H$10+(Regression!$H$9*Table83[[#This Row],[Night Body Temp]])</f>
        <v>254.64609353656169</v>
      </c>
      <c r="T97" s="2">
        <f>Table83[[#This Row],[Weight]]-Table7[[#This Row],[Weight v Night Temp]]</f>
        <v>-1.2460935365616876</v>
      </c>
      <c r="U97" s="2">
        <f>Table7[[#This Row],[WNT Res]]^2</f>
        <v>1.5527491018608139</v>
      </c>
      <c r="V97">
        <f>Regression!$I$10+(Regression!$I$9*Table83[[#This Row],[Night Systolic Pressure]])</f>
        <v>256.57296423553731</v>
      </c>
      <c r="W97" s="2">
        <f>Table83[[#This Row],[Weight]]-Table7[[#This Row],[Weight v Night Sys]]</f>
        <v>-3.1729642355373073</v>
      </c>
      <c r="X97" s="2">
        <f>Table7[[#This Row],[WNS Res]]^2</f>
        <v>10.067702039998849</v>
      </c>
      <c r="Y97">
        <f>Regression!$J$10+(Regression!$J$9*Table83[[#This Row],[Night Diastolic Pressure]])</f>
        <v>255.01078463741391</v>
      </c>
      <c r="Z97" s="2">
        <f>Table83[[#This Row],[Weight]]-Table7[[#This Row],[Weight v Night Dia]]</f>
        <v>-1.6107846374139001</v>
      </c>
      <c r="AA97" s="2">
        <f>Table7[[#This Row],[WND Res]]^2</f>
        <v>2.5946271481286298</v>
      </c>
      <c r="AB97">
        <f>Regression!$K$10+(Regression!$K$9*Table83[[#This Row],[Night Pulse]])</f>
        <v>254.89515854008414</v>
      </c>
      <c r="AC97" s="2">
        <f>Table83[[#This Row],[Weight]]-Table7[[#This Row],[Weight v Night Pulse]]</f>
        <v>-1.4951585400841338</v>
      </c>
      <c r="AD97" s="2">
        <f>Table7[[#This Row],[WNP Res ]]^2</f>
        <v>2.2354990599865183</v>
      </c>
      <c r="AE97">
        <f>Regression!$L$10+(Regression!$L$9*Table83[[#This Row],[Sleep]])</f>
        <v>254.66381845232058</v>
      </c>
      <c r="AF97" s="2">
        <f>Table83[[#This Row],[Weight]]-Table7[[#This Row],[Weight v Sleep]]</f>
        <v>-1.263818452320578</v>
      </c>
      <c r="AG97" s="2">
        <f>Table7[[#This Row],[WS Res]]^2</f>
        <v>1.597237080425981</v>
      </c>
      <c r="AH97">
        <f>Regression!$M$10+(Regression!$M$9*Table83[[#This Row],[BMI]])</f>
        <v>253.40000000000387</v>
      </c>
      <c r="AI97" s="2">
        <f>Table83[[#This Row],[Weight]]-Table7[[#This Row],[Weight v BMI]]</f>
        <v>-3.865352482534945E-12</v>
      </c>
      <c r="AJ97" s="2">
        <f>Table7[[#This Row],[WBMI Res]]^2</f>
        <v>1.4940949814239062E-23</v>
      </c>
      <c r="AK97">
        <f>Regression!$N$10+(Regression!$N$9*Table83[[#This Row],[CBF]])</f>
        <v>253.17965033701802</v>
      </c>
      <c r="AL97" s="2">
        <f>Table83[[#This Row],[Weight]]-Table7[[#This Row],[Weight v CBF]]</f>
        <v>0.2203496629819881</v>
      </c>
      <c r="AM97" s="2">
        <f>Table7[[#This Row],[WCBF Res]]^2</f>
        <v>4.8553973976275741E-2</v>
      </c>
      <c r="AN97">
        <f>Regression!$O$10+(Regression!$O$9*Table83[[#This Row],[Gym]])</f>
        <v>255.46779661016953</v>
      </c>
      <c r="AO97" s="2">
        <f>Table83[[#This Row],[Weight]]-Table7[[#This Row],[Weight v Gym]]</f>
        <v>-2.0677966101695233</v>
      </c>
      <c r="AP97" s="2">
        <f>Table7[[#This Row],[WG Res]]^2</f>
        <v>4.2757828210285718</v>
      </c>
      <c r="AQ97">
        <f>Regression!$P$10+(Regression!$P$9*Table83[[#This Row],[Cardio]])</f>
        <v>256.41063829787231</v>
      </c>
      <c r="AR97" s="2">
        <f>Table83[[#This Row],[Weight]]-Table7[[#This Row],[Weight v Cardio]]</f>
        <v>-3.0106382978723047</v>
      </c>
      <c r="AS97" s="2">
        <f>Table7[[#This Row],[WC Res]]^2</f>
        <v>9.0639429606154476</v>
      </c>
      <c r="AT97">
        <f>Regression!$Q$10+(Regression!$Q$9*Table83[[#This Row],[Calories]])</f>
        <v>255.18622645218502</v>
      </c>
      <c r="AU97" s="2">
        <f>Table83[[#This Row],[Weight]]-Table7[[#This Row],[Weight v Calories]]</f>
        <v>-1.7862264521850193</v>
      </c>
      <c r="AV97" s="2">
        <f>Table7[[#This Row],[WCAL Res]]^2</f>
        <v>3.1906049384854809</v>
      </c>
      <c r="AW97">
        <f>Regression!$R$10+(Regression!$R$9*Table83[[#This Row],[Carbs]])</f>
        <v>255.75880749184765</v>
      </c>
      <c r="AX97" s="2">
        <f>Table83[[#This Row],[Weight]]-Table7[[#This Row],[Weight v Carbs]]</f>
        <v>-2.3588074918476423</v>
      </c>
      <c r="AY97" s="2">
        <f>Table7[[#This Row],[Wcarb Res]]^2</f>
        <v>5.5639727835965651</v>
      </c>
      <c r="AZ97">
        <f>Regression!$S$10+(Regression!$S$9*Table83[[#This Row],[Fat ]])</f>
        <v>254.82769676103288</v>
      </c>
      <c r="BA97" s="2">
        <f>Table83[[#This Row],[Weight]]-Table7[[#This Row],[Weight v Fat]]</f>
        <v>-1.4276967610328768</v>
      </c>
      <c r="BB97" s="2">
        <f>Table7[[#This Row],[WF Res]]^2</f>
        <v>2.0383180414637674</v>
      </c>
      <c r="BC97">
        <f>Regression!$T$10+(Regression!$T$9*Table83[[#This Row],[Protein]])</f>
        <v>254.28494466797017</v>
      </c>
      <c r="BD97" s="2">
        <f>Table83[[#This Row],[Weight]]-Table7[[#This Row],[Weight v Protein]]</f>
        <v>-0.88494466797016003</v>
      </c>
      <c r="BE97" s="2">
        <f>Table7[[#This Row],[WP Res]]^2</f>
        <v>0.78312706536881682</v>
      </c>
      <c r="BF97">
        <f>Regression!$U$10+(Regression!$U$9*Table83[[#This Row],[Fiber]])</f>
        <v>254.96537410423937</v>
      </c>
      <c r="BG97" s="2">
        <f>Table83[[#This Row],[Weight]]-Table7[[#This Row],[Weight v Fiber]]</f>
        <v>-1.5653741042393676</v>
      </c>
      <c r="BH97" s="2">
        <f>Table7[[#This Row],[Wfib Res]]^2</f>
        <v>2.4503960862232024</v>
      </c>
      <c r="BI97">
        <f>Regression!$V$10+(Regression!$V$9*Table83[[#This Row],[Sugar]])</f>
        <v>256.54367210114538</v>
      </c>
      <c r="BJ97" s="2">
        <f>Table83[[#This Row],[Weight]]-Table7[[#This Row],[Weight v Sugar]]</f>
        <v>-3.1436721011453699</v>
      </c>
      <c r="BK97" s="2">
        <f>Table7[[#This Row],[Wsugar Res]]^2</f>
        <v>9.882674279519744</v>
      </c>
      <c r="BL97">
        <f>Regression!$W$10+(Regression!$W$9*Table83[[#This Row],[Servings]])</f>
        <v>256.31663447646002</v>
      </c>
      <c r="BM97" s="2">
        <f>Table83[[#This Row],[Weight]]-Table7[[#This Row],[Weight v Servings]]</f>
        <v>-2.9166344764600183</v>
      </c>
      <c r="BN97" s="2">
        <f>Table7[[#This Row],[Wserv Res]]^2</f>
        <v>8.5067566692752052</v>
      </c>
      <c r="BO97">
        <f>Regression!$X$10+(Regression!$X$9*Table83[[#This Row],[Water]])</f>
        <v>255.36316189406523</v>
      </c>
      <c r="BP97" s="2">
        <f>Table83[[#This Row],[Weight]]-Table7[[#This Row],[Weight v Water]]</f>
        <v>-1.9631618940652231</v>
      </c>
      <c r="BQ97" s="2">
        <f>Table7[[#This Row],[Wwater Res]]^2</f>
        <v>3.8540046223097542</v>
      </c>
      <c r="BR97">
        <f>Regression!$Y$10+(Regression!$Y$9*Table83[[#This Row],[Fat Calories]])</f>
        <v>254.80437262939745</v>
      </c>
      <c r="BS97" s="2">
        <f>Table83[[#This Row],[Weight]]-Table7[[#This Row],[Weight v Fat Calories]]</f>
        <v>-1.404372629397443</v>
      </c>
      <c r="BT97" s="2">
        <f>Table7[[#This Row],[WFC Res]]^2</f>
        <v>1.9722624822006878</v>
      </c>
      <c r="BU97">
        <f>Regression!$B$29+(Regression!$B$28*Table83[[#This Row],[Weight]])</f>
        <v>44.219843588066681</v>
      </c>
      <c r="BV97" s="2">
        <f>Table83[[#This Row],[Waist]]-Table7[[#This Row],[Waist v Weight]]</f>
        <v>-0.2198435880666807</v>
      </c>
      <c r="BW97" s="2">
        <f>Table7[[#This Row],[WaistW Res]]^2</f>
        <v>4.8331203214032392E-2</v>
      </c>
      <c r="BX97">
        <f>Regression!$C$29+(Regression!$C$28*Table83[[#This Row],[Neck]])</f>
        <v>44.175585585585594</v>
      </c>
      <c r="BY97" s="2">
        <f>Table83[[#This Row],[Waist]]-Table7[[#This Row],[Waist v Neck]]</f>
        <v>-0.17558558558559412</v>
      </c>
      <c r="BZ97" s="2">
        <f>Table7[[#This Row],[WaistN Res]]^2</f>
        <v>3.0830297865435997E-2</v>
      </c>
      <c r="CA97">
        <f>Regression!$D$29+(Regression!$D$28*Table83[[#This Row],[Morning Body Temp]])</f>
        <v>44.2852766121743</v>
      </c>
      <c r="CB97" s="2">
        <f>Table83[[#This Row],[Waist]]-Table7[[#This Row],[Waist v Morning Temp]]</f>
        <v>-0.28527661217430023</v>
      </c>
      <c r="CC97" s="2">
        <f>Table7[[#This Row],[WaistMT Res]]^2</f>
        <v>8.1382745453646099E-2</v>
      </c>
      <c r="CD97">
        <f>Regression!$E$29+(Regression!$E$28*Table83[[#This Row],[Morning Systolic Pressure]])</f>
        <v>44.492246348363913</v>
      </c>
      <c r="CE97" s="2">
        <f>Table83[[#This Row],[Waist]]-Table7[[#This Row],[Waist v Morning Sys]]</f>
        <v>-0.49224634836391346</v>
      </c>
      <c r="CF97" s="2">
        <f>Table7[[#This Row],[WaistMS Res]]^2</f>
        <v>0.24230646747760723</v>
      </c>
      <c r="CG97">
        <f>Regression!$F$29+(Regression!$F$28*Table83[[#This Row],[Morning Diastolic Pressure]])</f>
        <v>44.362646737442596</v>
      </c>
      <c r="CH97" s="2">
        <f>Table83[[#This Row],[Waist]]-Table7[[#This Row],[Waist v Morning Dia]]</f>
        <v>-0.36264673744259568</v>
      </c>
      <c r="CI97" s="2">
        <f>Table7[[#This Row],[WaistMD Res]]^2</f>
        <v>0.13151265617775892</v>
      </c>
      <c r="CJ97">
        <f>Regression!$G$29+(Regression!$G$28*Table83[[#This Row],[Morning Pulse]])</f>
        <v>44.455415702653426</v>
      </c>
      <c r="CK97" s="2">
        <f>Table83[[#This Row],[Waist]]-Table7[[#This Row],[Waist v Morning Pulse]]</f>
        <v>-0.45541570265342557</v>
      </c>
      <c r="CL97" s="2">
        <f>Table7[[#This Row],[WaistMP Res]]^2</f>
        <v>0.20740346222331332</v>
      </c>
      <c r="CM97">
        <f>Regression!$H$29+(Regression!$H$28*Table83[[#This Row],[Night Body Temp]])</f>
        <v>44.416566259439634</v>
      </c>
      <c r="CN97" s="2">
        <f>Table83[[#This Row],[Waist]]-Table7[[#This Row],[Waist v Night Temp]]</f>
        <v>-0.41656625943963377</v>
      </c>
      <c r="CO97" s="2">
        <f>Table7[[#This Row],[WaistNT Res]]^2</f>
        <v>0.17352744850352828</v>
      </c>
      <c r="CP97">
        <f>Regression!$I$29+(Regression!$I$28*Table83[[#This Row],[Night Systolic Pressure]])</f>
        <v>44.660060915863802</v>
      </c>
      <c r="CQ97" s="2">
        <f>Table83[[#This Row],[Waist]]-Table7[[#This Row],[Waist v  Night Sys]]</f>
        <v>-0.66006091586380222</v>
      </c>
      <c r="CR97" s="2">
        <f>Table7[[#This Row],[WaistNS Res]]^2</f>
        <v>0.43568041265096141</v>
      </c>
      <c r="CS97">
        <f>Regression!$J$29+(Regression!$J$28*Table83[[#This Row],[Night Diastolic Pressure]])</f>
        <v>44.409888175531407</v>
      </c>
      <c r="CT97" s="2">
        <f>Table83[[#This Row],[Waist]]-Table7[[#This Row],[Waist v Night Dia]]</f>
        <v>-0.40988817553140677</v>
      </c>
      <c r="CU97" s="2">
        <f>Table7[[#This Row],[WaistND Res]]^2</f>
        <v>0.16800831644046532</v>
      </c>
      <c r="CV97">
        <f>Regression!$K$29+(Regression!$K$28*Table83[[#This Row],[Night Pulse]])</f>
        <v>44.473992104120093</v>
      </c>
      <c r="CW97" s="2">
        <f>Table83[[#This Row],[Waist]]-Table7[[#This Row],[Waist v Night Pulse]]</f>
        <v>-0.47399210412009296</v>
      </c>
      <c r="CX97" s="2">
        <f>Table7[[#This Row],[WaistNP Res]]^2</f>
        <v>0.22466851476819305</v>
      </c>
      <c r="CY97">
        <f>Regression!$L$29+(Regression!$L$28*Table83[[#This Row],[Sleep]])</f>
        <v>44.384743400864622</v>
      </c>
      <c r="CZ97" s="2">
        <f>Table83[[#This Row],[Waist]]-Table7[[#This Row],[Waist v  Sleep]]</f>
        <v>-0.38474340086462178</v>
      </c>
      <c r="DA97" s="2">
        <f>Table7[[#This Row],[WaistS Res]]^2</f>
        <v>0.14802748450887504</v>
      </c>
      <c r="DB97">
        <f>Regression!$M$29+(Regression!$M$28*Table83[[#This Row],[BMI]])</f>
        <v>44.21984358806742</v>
      </c>
      <c r="DC97" s="2">
        <f>Table83[[#This Row],[Waist]]-Table7[[#This Row],[Waist v BMI]]</f>
        <v>-0.21984358806741966</v>
      </c>
      <c r="DD97" s="2">
        <f>Table7[[#This Row],[WaistBMI Res]]^2</f>
        <v>4.8331203214357306E-2</v>
      </c>
      <c r="DE97">
        <f>Regression!$N$29+(Regression!$N$28*Table83[[#This Row],[CBF]])</f>
        <v>44.105031770433015</v>
      </c>
      <c r="DF97" s="2">
        <f>Table83[[#This Row],[Waist]]-Table7[[#This Row],[Waist v  CBF]]</f>
        <v>-0.10503177043301548</v>
      </c>
      <c r="DG97" s="2">
        <f>Table7[[#This Row],[WaistCBF Res]]^2</f>
        <v>1.1031672800293666E-2</v>
      </c>
      <c r="DH97">
        <f>Regression!$O$29+(Regression!$O$28*Table83[[#This Row],[Gym]])</f>
        <v>44.550847457627107</v>
      </c>
      <c r="DI97" s="2">
        <f>Table83[[#This Row],[Waist]]-Table7[[#This Row],[Waist v  Gym]]</f>
        <v>-0.55084745762710696</v>
      </c>
      <c r="DJ97" s="2">
        <f>Table7[[#This Row],[WaistGYM Res]]^2</f>
        <v>0.30343292157424739</v>
      </c>
      <c r="DK97">
        <f>Regression!$P$29+(Regression!$P$28*Table83[[#This Row],[Cardio]])</f>
        <v>44.680851063829778</v>
      </c>
      <c r="DL97" s="2">
        <f>Table83[[#This Row],[Waist]]-Table7[[#This Row],[Waist v Cardio]]</f>
        <v>-0.68085106382977756</v>
      </c>
      <c r="DM97" s="2">
        <f>Table7[[#This Row],[WaistC Res]]^2</f>
        <v>0.46355817111813985</v>
      </c>
      <c r="DN97">
        <f>Regression!$Q$29+(Regression!$Q$28*Table83[[#This Row],[Calories]])</f>
        <v>44.469532885539614</v>
      </c>
      <c r="DO97" s="2">
        <f>Table83[[#This Row],[Waist]]-Table7[[#This Row],[Waist v Calories]]</f>
        <v>-0.46953288553961414</v>
      </c>
      <c r="DP97" s="2">
        <f>Table7[[#This Row],[WaistCal Res]]^2</f>
        <v>0.22046113060315639</v>
      </c>
      <c r="DQ97">
        <f>Regression!$R$29+(Regression!$R$28*Table83[[#This Row],[Carbs]])</f>
        <v>44.587567388170704</v>
      </c>
      <c r="DR97" s="2">
        <f>Table83[[#This Row],[Waist]]-Table7[[#This Row],[Waist v Carbs]]</f>
        <v>-0.58756738817070442</v>
      </c>
      <c r="DS97" s="2">
        <f>Table7[[#This Row],[WaistCarb Res]]^2</f>
        <v>0.34523543564174325</v>
      </c>
      <c r="DT97">
        <f>Regression!$S$29+(Regression!$S$28*Table83[[#This Row],[Fat ]])</f>
        <v>44.365703777359457</v>
      </c>
      <c r="DU97" s="2">
        <f>Table83[[#This Row],[Waist]]-Table7[[#This Row],[Waist v Fat]]</f>
        <v>-0.36570377735945669</v>
      </c>
      <c r="DV97" s="2">
        <f>Table7[[#This Row],[WaistF Res]]^2</f>
        <v>0.13373925277497506</v>
      </c>
      <c r="DW97">
        <f>Regression!$T$29+(Regression!$T$28*Table83[[#This Row],[Protein]])</f>
        <v>44.301600764648278</v>
      </c>
      <c r="DX97" s="2">
        <f>Table83[[#This Row],[Waist]]-Table7[[#This Row],[Waist v Protein]]</f>
        <v>-0.30160076464827767</v>
      </c>
      <c r="DY97" s="2">
        <f>Table7[[#This Row],[WaistP Res]]^2</f>
        <v>9.0963021236425787E-2</v>
      </c>
      <c r="DZ97">
        <f>Regression!$U$29+(Regression!$U$28*Table83[[#This Row],[Fiber]])</f>
        <v>44.395788108543748</v>
      </c>
      <c r="EA97" s="2">
        <f>Table83[[#This Row],[Waist]]-Table7[[#This Row],[Waist v Fiber]]</f>
        <v>-0.3957881085437478</v>
      </c>
      <c r="EB97" s="2">
        <f>Table7[[#This Row],[WaistFib Res]]^2</f>
        <v>0.15664822686463747</v>
      </c>
      <c r="EC97">
        <f>Regression!$V$29+(Regression!$V$28*Table83[[#This Row],[Sugar]])</f>
        <v>44.710176883339628</v>
      </c>
      <c r="ED97" s="2">
        <f>Table83[[#This Row],[Waist]]-Table7[[#This Row],[Waist v Sugar]]</f>
        <v>-0.71017688333962781</v>
      </c>
      <c r="EE97" s="2">
        <f>Table7[[#This Row],[WaistSugar Res]]^2</f>
        <v>0.50435120562998736</v>
      </c>
      <c r="EF97">
        <f>Regression!$W$29+(Regression!$W$28*Table83[[#This Row],[Servings]])</f>
        <v>44.636882473416591</v>
      </c>
      <c r="EG97" s="2">
        <f>Table83[[#This Row],[Waist]]-Table7[[#This Row],[Waist v Servings]]</f>
        <v>-0.63688247341659121</v>
      </c>
      <c r="EH97" s="2">
        <f>Table7[[#This Row],[WaistServ Res]]^2</f>
        <v>0.40561928494523503</v>
      </c>
      <c r="EI97">
        <f>Regression!$X$29+(Regression!$X$28*Table83[[#This Row],[Water]])</f>
        <v>44.777385616719641</v>
      </c>
      <c r="EJ97" s="2">
        <f>Table83[[#This Row],[Waist]]-Table7[[#This Row],[Waist v Water]]</f>
        <v>-0.77738561671964135</v>
      </c>
      <c r="EK97" s="2">
        <f>Table7[[#This Row],[WaistWat Res]]^2</f>
        <v>0.60432839708257713</v>
      </c>
      <c r="EL97">
        <f>Regression!$Y$29+(Regression!$Y$28*Table83[[#This Row],[Fat Calories]])</f>
        <v>44.359055646564279</v>
      </c>
      <c r="EM97" s="2">
        <f>Table83[[#This Row],[Waist]]-Table7[[#This Row],[Waist v Fat Calories]]</f>
        <v>-0.35905564656427913</v>
      </c>
      <c r="EN97" s="2">
        <f>Table7[[#This Row],[WaistFatCal Res]]^2</f>
        <v>0.12892095732969253</v>
      </c>
    </row>
    <row r="98" spans="1:144" x14ac:dyDescent="0.25">
      <c r="A98">
        <f>Regression!$B$10+(Regression!$B$9*Table83[[#This Row],[Waist]])</f>
        <v>252.52625917894264</v>
      </c>
      <c r="B98" s="2">
        <f>Table83[[#This Row],[Weight]]-Table7[[#This Row],[Weight v Waist]]</f>
        <v>0.87374082105736761</v>
      </c>
      <c r="C98" s="2">
        <f>Table7[[#This Row],[Weight v Waist Res]]^2</f>
        <v>0.76342302238200288</v>
      </c>
      <c r="D98">
        <f>Regression!$C$10+(Regression!$C$9*Table83[[#This Row],[Neck]])</f>
        <v>253.29286486487842</v>
      </c>
      <c r="E98" s="2">
        <f>Table83[[#This Row],[Weight]]-Table7[[#This Row],[Weight v Neck]]</f>
        <v>0.10713513512158102</v>
      </c>
      <c r="F98" s="2">
        <f>Table7[[#This Row],[WN Res]]^2</f>
        <v>1.1477937177519422E-2</v>
      </c>
      <c r="G98">
        <f>Regression!$D$10+(Regression!$D$9*Table83[[#This Row],[Morning Body Temp]])</f>
        <v>255.41155922019615</v>
      </c>
      <c r="H98" s="2">
        <f>Table83[[#This Row],[Weight]]-Table7[[#This Row],[Weight v Morning Temp]]</f>
        <v>-2.0115592201961476</v>
      </c>
      <c r="I98" s="2">
        <f>Table7[[#This Row],[WMT Res]]^2</f>
        <v>4.0463704963561336</v>
      </c>
      <c r="J98">
        <f>Regression!$E$10+(Regression!$E$9*Table83[[#This Row],[Morning Systolic Pressure]])</f>
        <v>255.27979544420887</v>
      </c>
      <c r="K98" s="2">
        <f>Table83[[#This Row],[Weight]]-Table7[[#This Row],[Weight v Morning Sys]]</f>
        <v>-1.8797954442088667</v>
      </c>
      <c r="L98" s="2">
        <f>Table7[[#This Row],[WMS Res]]^2</f>
        <v>3.5336309120684106</v>
      </c>
      <c r="M98">
        <f>Regression!$F$10+(Regression!$F$9*Table83[[#This Row],[Morning Diastolic Pressure]])</f>
        <v>255.60876114247105</v>
      </c>
      <c r="N98" s="2">
        <f>Table83[[#This Row],[Weight]]-Table7[[#This Row],[Weight v Morning Dia]]</f>
        <v>-2.2087611424710474</v>
      </c>
      <c r="O98" s="2">
        <f>Table7[[#This Row],[WMD Res]]^2</f>
        <v>4.8786257844900067</v>
      </c>
      <c r="P98">
        <f>Regression!$G$10+(Regression!$G$9*Table83[[#This Row],[Morning Pulse]])</f>
        <v>255.10633391136972</v>
      </c>
      <c r="Q98" s="2">
        <f>Table83[[#This Row],[Weight]]-Table7[[#This Row],[Weight v Morning Pulse]]</f>
        <v>-1.7063339113697111</v>
      </c>
      <c r="R98" s="2">
        <f>Table7[[#This Row],[WMP Res]]^2</f>
        <v>2.911575417090257</v>
      </c>
      <c r="S98">
        <f>Regression!$H$10+(Regression!$H$9*Table83[[#This Row],[Night Body Temp]])</f>
        <v>254.23530725463496</v>
      </c>
      <c r="T98" s="2">
        <f>Table83[[#This Row],[Weight]]-Table7[[#This Row],[Weight v Night Temp]]</f>
        <v>-0.83530725463495514</v>
      </c>
      <c r="U98" s="2">
        <f>Table7[[#This Row],[WNT Res]]^2</f>
        <v>0.69773820964578581</v>
      </c>
      <c r="V98">
        <f>Regression!$I$10+(Regression!$I$9*Table83[[#This Row],[Night Systolic Pressure]])</f>
        <v>256.36767456748038</v>
      </c>
      <c r="W98" s="2">
        <f>Table83[[#This Row],[Weight]]-Table7[[#This Row],[Weight v Night Sys]]</f>
        <v>-2.9676745674803726</v>
      </c>
      <c r="X98" s="2">
        <f>Table7[[#This Row],[WNS Res]]^2</f>
        <v>8.8070923384698165</v>
      </c>
      <c r="Y98">
        <f>Regression!$J$10+(Regression!$J$9*Table83[[#This Row],[Night Diastolic Pressure]])</f>
        <v>255.25537984791052</v>
      </c>
      <c r="Z98" s="2">
        <f>Table83[[#This Row],[Weight]]-Table7[[#This Row],[Weight v Night Dia]]</f>
        <v>-1.8553798479105126</v>
      </c>
      <c r="AA98" s="2">
        <f>Table7[[#This Row],[WND Res]]^2</f>
        <v>3.4424343800324366</v>
      </c>
      <c r="AB98">
        <f>Regression!$K$10+(Regression!$K$9*Table83[[#This Row],[Night Pulse]])</f>
        <v>254.74159188390053</v>
      </c>
      <c r="AC98" s="2">
        <f>Table83[[#This Row],[Weight]]-Table7[[#This Row],[Weight v Night Pulse]]</f>
        <v>-1.3415918839005201</v>
      </c>
      <c r="AD98" s="2">
        <f>Table7[[#This Row],[WNP Res ]]^2</f>
        <v>1.7998687829477467</v>
      </c>
      <c r="AE98">
        <f>Regression!$L$10+(Regression!$L$9*Table83[[#This Row],[Sleep]])</f>
        <v>254.19060717725986</v>
      </c>
      <c r="AF98" s="2">
        <f>Table83[[#This Row],[Weight]]-Table7[[#This Row],[Weight v Sleep]]</f>
        <v>-0.79060717725985796</v>
      </c>
      <c r="AG98" s="2">
        <f>Table7[[#This Row],[WS Res]]^2</f>
        <v>0.62505970873480043</v>
      </c>
      <c r="AH98">
        <f>Regression!$M$10+(Regression!$M$9*Table83[[#This Row],[BMI]])</f>
        <v>253.40000000000387</v>
      </c>
      <c r="AI98" s="2">
        <f>Table83[[#This Row],[Weight]]-Table7[[#This Row],[Weight v BMI]]</f>
        <v>-3.865352482534945E-12</v>
      </c>
      <c r="AJ98" s="2">
        <f>Table7[[#This Row],[WBMI Res]]^2</f>
        <v>1.4940949814239062E-23</v>
      </c>
      <c r="AK98">
        <f>Regression!$N$10+(Regression!$N$9*Table83[[#This Row],[CBF]])</f>
        <v>253.17965033701802</v>
      </c>
      <c r="AL98" s="2">
        <f>Table83[[#This Row],[Weight]]-Table7[[#This Row],[Weight v CBF]]</f>
        <v>0.2203496629819881</v>
      </c>
      <c r="AM98" s="2">
        <f>Table7[[#This Row],[WCBF Res]]^2</f>
        <v>4.8553973976275741E-2</v>
      </c>
      <c r="AN98">
        <f>Regression!$O$10+(Regression!$O$9*Table83[[#This Row],[Gym]])</f>
        <v>255.46779661016953</v>
      </c>
      <c r="AO98" s="2">
        <f>Table83[[#This Row],[Weight]]-Table7[[#This Row],[Weight v Gym]]</f>
        <v>-2.0677966101695233</v>
      </c>
      <c r="AP98" s="2">
        <f>Table7[[#This Row],[WG Res]]^2</f>
        <v>4.2757828210285718</v>
      </c>
      <c r="AQ98">
        <f>Regression!$P$10+(Regression!$P$9*Table83[[#This Row],[Cardio]])</f>
        <v>256.41063829787231</v>
      </c>
      <c r="AR98" s="2">
        <f>Table83[[#This Row],[Weight]]-Table7[[#This Row],[Weight v Cardio]]</f>
        <v>-3.0106382978723047</v>
      </c>
      <c r="AS98" s="2">
        <f>Table7[[#This Row],[WC Res]]^2</f>
        <v>9.0639429606154476</v>
      </c>
      <c r="AT98">
        <f>Regression!$Q$10+(Regression!$Q$9*Table83[[#This Row],[Calories]])</f>
        <v>255.59855532468106</v>
      </c>
      <c r="AU98" s="2">
        <f>Table83[[#This Row],[Weight]]-Table7[[#This Row],[Weight v Calories]]</f>
        <v>-2.1985553246810525</v>
      </c>
      <c r="AV98" s="2">
        <f>Table7[[#This Row],[WCAL Res]]^2</f>
        <v>4.8336455156834086</v>
      </c>
      <c r="AW98">
        <f>Regression!$R$10+(Regression!$R$9*Table83[[#This Row],[Carbs]])</f>
        <v>255.71072033750301</v>
      </c>
      <c r="AX98" s="2">
        <f>Table83[[#This Row],[Weight]]-Table7[[#This Row],[Weight v Carbs]]</f>
        <v>-2.3107203375029997</v>
      </c>
      <c r="AY98" s="2">
        <f>Table7[[#This Row],[Wcarb Res]]^2</f>
        <v>5.3394284781499763</v>
      </c>
      <c r="AZ98">
        <f>Regression!$S$10+(Regression!$S$9*Table83[[#This Row],[Fat ]])</f>
        <v>255.38909604260667</v>
      </c>
      <c r="BA98" s="2">
        <f>Table83[[#This Row],[Weight]]-Table7[[#This Row],[Weight v Fat]]</f>
        <v>-1.9890960426066613</v>
      </c>
      <c r="BB98" s="2">
        <f>Table7[[#This Row],[WF Res]]^2</f>
        <v>3.9565030667134811</v>
      </c>
      <c r="BC98">
        <f>Regression!$T$10+(Regression!$T$9*Table83[[#This Row],[Protein]])</f>
        <v>255.37396345322992</v>
      </c>
      <c r="BD98" s="2">
        <f>Table83[[#This Row],[Weight]]-Table7[[#This Row],[Weight v Protein]]</f>
        <v>-1.9739634532299135</v>
      </c>
      <c r="BE98" s="2">
        <f>Table7[[#This Row],[WP Res]]^2</f>
        <v>3.8965317146873648</v>
      </c>
      <c r="BF98">
        <f>Regression!$U$10+(Regression!$U$9*Table83[[#This Row],[Fiber]])</f>
        <v>255.25083497039583</v>
      </c>
      <c r="BG98" s="2">
        <f>Table83[[#This Row],[Weight]]-Table7[[#This Row],[Weight v Fiber]]</f>
        <v>-1.8508349703958231</v>
      </c>
      <c r="BH98" s="2">
        <f>Table7[[#This Row],[Wfib Res]]^2</f>
        <v>3.4255900876401073</v>
      </c>
      <c r="BI98">
        <f>Regression!$V$10+(Regression!$V$9*Table83[[#This Row],[Sugar]])</f>
        <v>256.06751736486063</v>
      </c>
      <c r="BJ98" s="2">
        <f>Table83[[#This Row],[Weight]]-Table7[[#This Row],[Weight v Sugar]]</f>
        <v>-2.667517364860629</v>
      </c>
      <c r="BK98" s="2">
        <f>Table7[[#This Row],[Wsugar Res]]^2</f>
        <v>7.1156488918329943</v>
      </c>
      <c r="BL98">
        <f>Regression!$W$10+(Regression!$W$9*Table83[[#This Row],[Servings]])</f>
        <v>256.37244280794442</v>
      </c>
      <c r="BM98" s="2">
        <f>Table83[[#This Row],[Weight]]-Table7[[#This Row],[Weight v Servings]]</f>
        <v>-2.9724428079444181</v>
      </c>
      <c r="BN98" s="2">
        <f>Table7[[#This Row],[Wserv Res]]^2</f>
        <v>8.8354162465004968</v>
      </c>
      <c r="BO98">
        <f>Regression!$X$10+(Regression!$X$9*Table83[[#This Row],[Water]])</f>
        <v>255.23471394386095</v>
      </c>
      <c r="BP98" s="2">
        <f>Table83[[#This Row],[Weight]]-Table7[[#This Row],[Weight v Water]]</f>
        <v>-1.8347139438609474</v>
      </c>
      <c r="BQ98" s="2">
        <f>Table7[[#This Row],[Wwater Res]]^2</f>
        <v>3.366175255797792</v>
      </c>
      <c r="BR98">
        <f>Regression!$Y$10+(Regression!$Y$9*Table83[[#This Row],[Fat Calories]])</f>
        <v>255.4018426954581</v>
      </c>
      <c r="BS98" s="2">
        <f>Table83[[#This Row],[Weight]]-Table7[[#This Row],[Weight v Fat Calories]]</f>
        <v>-2.0018426954580946</v>
      </c>
      <c r="BT98" s="2">
        <f>Table7[[#This Row],[WFC Res]]^2</f>
        <v>4.0073741773589298</v>
      </c>
      <c r="BU98">
        <f>Regression!$B$29+(Regression!$B$28*Table83[[#This Row],[Weight]])</f>
        <v>44.219843588066681</v>
      </c>
      <c r="BV98" s="2">
        <f>Table83[[#This Row],[Waist]]-Table7[[#This Row],[Waist v Weight]]</f>
        <v>-0.2198435880666807</v>
      </c>
      <c r="BW98" s="2">
        <f>Table7[[#This Row],[WaistW Res]]^2</f>
        <v>4.8331203214032392E-2</v>
      </c>
      <c r="BX98">
        <f>Regression!$C$29+(Regression!$C$28*Table83[[#This Row],[Neck]])</f>
        <v>44.175585585585594</v>
      </c>
      <c r="BY98" s="2">
        <f>Table83[[#This Row],[Waist]]-Table7[[#This Row],[Waist v Neck]]</f>
        <v>-0.17558558558559412</v>
      </c>
      <c r="BZ98" s="2">
        <f>Table7[[#This Row],[WaistN Res]]^2</f>
        <v>3.0830297865435997E-2</v>
      </c>
      <c r="CA98">
        <f>Regression!$D$29+(Regression!$D$28*Table83[[#This Row],[Morning Body Temp]])</f>
        <v>44.534185183460714</v>
      </c>
      <c r="CB98" s="2">
        <f>Table83[[#This Row],[Waist]]-Table7[[#This Row],[Waist v Morning Temp]]</f>
        <v>-0.53418518346071409</v>
      </c>
      <c r="CC98" s="2">
        <f>Table7[[#This Row],[WaistMT Res]]^2</f>
        <v>0.28535381022895678</v>
      </c>
      <c r="CD98">
        <f>Regression!$E$29+(Regression!$E$28*Table83[[#This Row],[Morning Systolic Pressure]])</f>
        <v>44.492246348363913</v>
      </c>
      <c r="CE98" s="2">
        <f>Table83[[#This Row],[Waist]]-Table7[[#This Row],[Waist v Morning Sys]]</f>
        <v>-0.49224634836391346</v>
      </c>
      <c r="CF98" s="2">
        <f>Table7[[#This Row],[WaistMS Res]]^2</f>
        <v>0.24230646747760723</v>
      </c>
      <c r="CG98">
        <f>Regression!$F$29+(Regression!$F$28*Table83[[#This Row],[Morning Diastolic Pressure]])</f>
        <v>44.480994771488533</v>
      </c>
      <c r="CH98" s="2">
        <f>Table83[[#This Row],[Waist]]-Table7[[#This Row],[Waist v Morning Dia]]</f>
        <v>-0.48099477148853254</v>
      </c>
      <c r="CI98" s="2">
        <f>Table7[[#This Row],[WaistMD Res]]^2</f>
        <v>0.23135597019930562</v>
      </c>
      <c r="CJ98">
        <f>Regression!$G$29+(Regression!$G$28*Table83[[#This Row],[Morning Pulse]])</f>
        <v>44.449539184638127</v>
      </c>
      <c r="CK98" s="2">
        <f>Table83[[#This Row],[Waist]]-Table7[[#This Row],[Waist v Morning Pulse]]</f>
        <v>-0.4495391846381267</v>
      </c>
      <c r="CL98" s="2">
        <f>Table7[[#This Row],[WaistMP Res]]^2</f>
        <v>0.20208547852511177</v>
      </c>
      <c r="CM98">
        <f>Regression!$H$29+(Regression!$H$28*Table83[[#This Row],[Night Body Temp]])</f>
        <v>44.384178564220093</v>
      </c>
      <c r="CN98" s="2">
        <f>Table83[[#This Row],[Waist]]-Table7[[#This Row],[Waist v Night Temp]]</f>
        <v>-0.38417856422009322</v>
      </c>
      <c r="CO98" s="2">
        <f>Table7[[#This Row],[WaistNT Res]]^2</f>
        <v>0.14759316920621229</v>
      </c>
      <c r="CP98">
        <f>Regression!$I$29+(Regression!$I$28*Table83[[#This Row],[Night Systolic Pressure]])</f>
        <v>44.630980687212571</v>
      </c>
      <c r="CQ98" s="2">
        <f>Table83[[#This Row],[Waist]]-Table7[[#This Row],[Waist v  Night Sys]]</f>
        <v>-0.6309806872125705</v>
      </c>
      <c r="CR98" s="2">
        <f>Table7[[#This Row],[WaistNS Res]]^2</f>
        <v>0.39813662763524771</v>
      </c>
      <c r="CS98">
        <f>Regression!$J$29+(Regression!$J$28*Table83[[#This Row],[Night Diastolic Pressure]])</f>
        <v>44.512295846776055</v>
      </c>
      <c r="CT98" s="2">
        <f>Table83[[#This Row],[Waist]]-Table7[[#This Row],[Waist v Night Dia]]</f>
        <v>-0.51229584677605544</v>
      </c>
      <c r="CU98" s="2">
        <f>Table7[[#This Row],[WaistND Res]]^2</f>
        <v>0.26244703462399566</v>
      </c>
      <c r="CV98">
        <f>Regression!$K$29+(Regression!$K$28*Table83[[#This Row],[Night Pulse]])</f>
        <v>44.488275835674919</v>
      </c>
      <c r="CW98" s="2">
        <f>Table83[[#This Row],[Waist]]-Table7[[#This Row],[Waist v Night Pulse]]</f>
        <v>-0.48827583567491928</v>
      </c>
      <c r="CX98" s="2">
        <f>Table7[[#This Row],[WaistNP Res]]^2</f>
        <v>0.23841329170404077</v>
      </c>
      <c r="CY98">
        <f>Regression!$L$29+(Regression!$L$28*Table83[[#This Row],[Sleep]])</f>
        <v>44.312594948871137</v>
      </c>
      <c r="CZ98" s="2">
        <f>Table83[[#This Row],[Waist]]-Table7[[#This Row],[Waist v  Sleep]]</f>
        <v>-0.31259494887113703</v>
      </c>
      <c r="DA98" s="2">
        <f>Table7[[#This Row],[WaistS Res]]^2</f>
        <v>9.7715602059748774E-2</v>
      </c>
      <c r="DB98">
        <f>Regression!$M$29+(Regression!$M$28*Table83[[#This Row],[BMI]])</f>
        <v>44.21984358806742</v>
      </c>
      <c r="DC98" s="2">
        <f>Table83[[#This Row],[Waist]]-Table7[[#This Row],[Waist v BMI]]</f>
        <v>-0.21984358806741966</v>
      </c>
      <c r="DD98" s="2">
        <f>Table7[[#This Row],[WaistBMI Res]]^2</f>
        <v>4.8331203214357306E-2</v>
      </c>
      <c r="DE98">
        <f>Regression!$N$29+(Regression!$N$28*Table83[[#This Row],[CBF]])</f>
        <v>44.105031770433015</v>
      </c>
      <c r="DF98" s="2">
        <f>Table83[[#This Row],[Waist]]-Table7[[#This Row],[Waist v  CBF]]</f>
        <v>-0.10503177043301548</v>
      </c>
      <c r="DG98" s="2">
        <f>Table7[[#This Row],[WaistCBF Res]]^2</f>
        <v>1.1031672800293666E-2</v>
      </c>
      <c r="DH98">
        <f>Regression!$O$29+(Regression!$O$28*Table83[[#This Row],[Gym]])</f>
        <v>44.550847457627107</v>
      </c>
      <c r="DI98" s="2">
        <f>Table83[[#This Row],[Waist]]-Table7[[#This Row],[Waist v  Gym]]</f>
        <v>-0.55084745762710696</v>
      </c>
      <c r="DJ98" s="2">
        <f>Table7[[#This Row],[WaistGYM Res]]^2</f>
        <v>0.30343292157424739</v>
      </c>
      <c r="DK98">
        <f>Regression!$P$29+(Regression!$P$28*Table83[[#This Row],[Cardio]])</f>
        <v>44.680851063829778</v>
      </c>
      <c r="DL98" s="2">
        <f>Table83[[#This Row],[Waist]]-Table7[[#This Row],[Waist v Cardio]]</f>
        <v>-0.68085106382977756</v>
      </c>
      <c r="DM98" s="2">
        <f>Table7[[#This Row],[WaistC Res]]^2</f>
        <v>0.46355817111813985</v>
      </c>
      <c r="DN98">
        <f>Regression!$Q$29+(Regression!$Q$28*Table83[[#This Row],[Calories]])</f>
        <v>44.562174037874087</v>
      </c>
      <c r="DO98" s="2">
        <f>Table83[[#This Row],[Waist]]-Table7[[#This Row],[Waist v Calories]]</f>
        <v>-0.56217403787408671</v>
      </c>
      <c r="DP98" s="2">
        <f>Table7[[#This Row],[WaistCal Res]]^2</f>
        <v>0.31603964885965508</v>
      </c>
      <c r="DQ98">
        <f>Regression!$R$29+(Regression!$R$28*Table83[[#This Row],[Carbs]])</f>
        <v>44.577555937110333</v>
      </c>
      <c r="DR98" s="2">
        <f>Table83[[#This Row],[Waist]]-Table7[[#This Row],[Waist v Carbs]]</f>
        <v>-0.57755593711033271</v>
      </c>
      <c r="DS98" s="2">
        <f>Table7[[#This Row],[WaistCarb Res]]^2</f>
        <v>0.33357086049139462</v>
      </c>
      <c r="DT98">
        <f>Regression!$S$29+(Regression!$S$28*Table83[[#This Row],[Fat ]])</f>
        <v>44.537311657006256</v>
      </c>
      <c r="DU98" s="2">
        <f>Table83[[#This Row],[Waist]]-Table7[[#This Row],[Waist v Fat]]</f>
        <v>-0.53731165700625638</v>
      </c>
      <c r="DV98" s="2">
        <f>Table7[[#This Row],[WaistF Res]]^2</f>
        <v>0.28870381675480888</v>
      </c>
      <c r="DW98">
        <f>Regression!$T$29+(Regression!$T$28*Table83[[#This Row],[Protein]])</f>
        <v>44.500931655534508</v>
      </c>
      <c r="DX98" s="2">
        <f>Table83[[#This Row],[Waist]]-Table7[[#This Row],[Waist v Protein]]</f>
        <v>-0.50093165553450802</v>
      </c>
      <c r="DY98" s="2">
        <f>Table7[[#This Row],[WaistP Res]]^2</f>
        <v>0.25093252351654299</v>
      </c>
      <c r="DZ98">
        <f>Regression!$U$29+(Regression!$U$28*Table83[[#This Row],[Fiber]])</f>
        <v>44.505936024770556</v>
      </c>
      <c r="EA98" s="2">
        <f>Table83[[#This Row],[Waist]]-Table7[[#This Row],[Waist v Fiber]]</f>
        <v>-0.50593602477055555</v>
      </c>
      <c r="EB98" s="2">
        <f>Table7[[#This Row],[WaistFib Res]]^2</f>
        <v>0.25597126116063218</v>
      </c>
      <c r="EC98">
        <f>Regression!$V$29+(Regression!$V$28*Table83[[#This Row],[Sugar]])</f>
        <v>44.624640995532665</v>
      </c>
      <c r="ED98" s="2">
        <f>Table83[[#This Row],[Waist]]-Table7[[#This Row],[Waist v Sugar]]</f>
        <v>-0.6246409955326655</v>
      </c>
      <c r="EE98" s="2">
        <f>Table7[[#This Row],[WaistSugar Res]]^2</f>
        <v>0.39017637330003946</v>
      </c>
      <c r="EF98">
        <f>Regression!$W$29+(Regression!$W$28*Table83[[#This Row],[Servings]])</f>
        <v>44.645397895034563</v>
      </c>
      <c r="EG98" s="2">
        <f>Table83[[#This Row],[Waist]]-Table7[[#This Row],[Waist v Servings]]</f>
        <v>-0.64539789503456291</v>
      </c>
      <c r="EH98" s="2">
        <f>Table7[[#This Row],[WaistServ Res]]^2</f>
        <v>0.41653844291504466</v>
      </c>
      <c r="EI98">
        <f>Regression!$X$29+(Regression!$X$28*Table83[[#This Row],[Water]])</f>
        <v>44.609733984485779</v>
      </c>
      <c r="EJ98" s="2">
        <f>Table83[[#This Row],[Waist]]-Table7[[#This Row],[Waist v Water]]</f>
        <v>-0.60973398448577854</v>
      </c>
      <c r="EK98" s="2">
        <f>Table7[[#This Row],[WaistWat Res]]^2</f>
        <v>0.37177553183690359</v>
      </c>
      <c r="EL98">
        <f>Regression!$Y$29+(Regression!$Y$28*Table83[[#This Row],[Fat Calories]])</f>
        <v>44.540763481462449</v>
      </c>
      <c r="EM98" s="2">
        <f>Table83[[#This Row],[Waist]]-Table7[[#This Row],[Waist v Fat Calories]]</f>
        <v>-0.54076348146244868</v>
      </c>
      <c r="EN98" s="2">
        <f>Table7[[#This Row],[WaistFatCal Res]]^2</f>
        <v>0.29242514288338806</v>
      </c>
    </row>
    <row r="99" spans="1:144" x14ac:dyDescent="0.25">
      <c r="A99">
        <f>Regression!$B$10+(Regression!$B$9*Table83[[#This Row],[Waist]])</f>
        <v>252.52625917894264</v>
      </c>
      <c r="B99" s="2">
        <f>Table83[[#This Row],[Weight]]-Table7[[#This Row],[Weight v Waist]]</f>
        <v>-2.1262591789426324</v>
      </c>
      <c r="C99" s="2">
        <f>Table7[[#This Row],[Weight v Waist Res]]^2</f>
        <v>4.5209780960377977</v>
      </c>
      <c r="D99">
        <f>Regression!$C$10+(Regression!$C$9*Table83[[#This Row],[Neck]])</f>
        <v>253.29286486487842</v>
      </c>
      <c r="E99" s="2">
        <f>Table83[[#This Row],[Weight]]-Table7[[#This Row],[Weight v Neck]]</f>
        <v>-2.892864864878419</v>
      </c>
      <c r="F99" s="2">
        <f>Table7[[#This Row],[WN Res]]^2</f>
        <v>8.3686671264480328</v>
      </c>
      <c r="G99">
        <f>Regression!$D$10+(Regression!$D$9*Table83[[#This Row],[Morning Body Temp]])</f>
        <v>255.20036355752904</v>
      </c>
      <c r="H99" s="2">
        <f>Table83[[#This Row],[Weight]]-Table7[[#This Row],[Weight v Morning Temp]]</f>
        <v>-4.8003635575290389</v>
      </c>
      <c r="I99" s="2">
        <f>Table7[[#This Row],[WMT Res]]^2</f>
        <v>23.043490284452851</v>
      </c>
      <c r="J99">
        <f>Regression!$E$10+(Regression!$E$9*Table83[[#This Row],[Morning Systolic Pressure]])</f>
        <v>255.32487264807224</v>
      </c>
      <c r="K99" s="2">
        <f>Table83[[#This Row],[Weight]]-Table7[[#This Row],[Weight v Morning Sys]]</f>
        <v>-4.9248726480722382</v>
      </c>
      <c r="L99" s="2">
        <f>Table7[[#This Row],[WMS Res]]^2</f>
        <v>24.254370599730059</v>
      </c>
      <c r="M99">
        <f>Regression!$F$10+(Regression!$F$9*Table83[[#This Row],[Morning Diastolic Pressure]])</f>
        <v>254.69666290106716</v>
      </c>
      <c r="N99" s="2">
        <f>Table83[[#This Row],[Weight]]-Table7[[#This Row],[Weight v Morning Dia]]</f>
        <v>-4.2966629010671511</v>
      </c>
      <c r="O99" s="2">
        <f>Table7[[#This Row],[WMD Res]]^2</f>
        <v>18.461312085406789</v>
      </c>
      <c r="P99">
        <f>Regression!$G$10+(Regression!$G$9*Table83[[#This Row],[Morning Pulse]])</f>
        <v>255.13923423499912</v>
      </c>
      <c r="Q99" s="2">
        <f>Table83[[#This Row],[Weight]]-Table7[[#This Row],[Weight v Morning Pulse]]</f>
        <v>-4.7392342349991168</v>
      </c>
      <c r="R99" s="2">
        <f>Table7[[#This Row],[WMP Res]]^2</f>
        <v>22.460341134187665</v>
      </c>
      <c r="S99">
        <f>Regression!$H$10+(Regression!$H$9*Table83[[#This Row],[Night Body Temp]])</f>
        <v>254.13261068415329</v>
      </c>
      <c r="T99" s="2">
        <f>Table83[[#This Row],[Weight]]-Table7[[#This Row],[Weight v Night Temp]]</f>
        <v>-3.7326106841532862</v>
      </c>
      <c r="U99" s="2">
        <f>Table7[[#This Row],[WNT Res]]^2</f>
        <v>13.932382519455263</v>
      </c>
      <c r="V99">
        <f>Regression!$I$10+(Regression!$I$9*Table83[[#This Row],[Night Systolic Pressure]])</f>
        <v>255.95709523136651</v>
      </c>
      <c r="W99" s="2">
        <f>Table83[[#This Row],[Weight]]-Table7[[#This Row],[Weight v Night Sys]]</f>
        <v>-5.5570952313665032</v>
      </c>
      <c r="X99" s="2">
        <f>Table7[[#This Row],[WNS Res]]^2</f>
        <v>30.881307410476328</v>
      </c>
      <c r="Y99">
        <f>Regression!$J$10+(Regression!$J$9*Table83[[#This Row],[Night Diastolic Pressure]])</f>
        <v>255.09231637424611</v>
      </c>
      <c r="Z99" s="2">
        <f>Table83[[#This Row],[Weight]]-Table7[[#This Row],[Weight v Night Dia]]</f>
        <v>-4.6923163742461043</v>
      </c>
      <c r="AA99" s="2">
        <f>Table7[[#This Row],[WND Res]]^2</f>
        <v>22.017832956018108</v>
      </c>
      <c r="AB99">
        <f>Regression!$K$10+(Regression!$K$9*Table83[[#This Row],[Night Pulse]])</f>
        <v>254.77230521513724</v>
      </c>
      <c r="AC99" s="2">
        <f>Table83[[#This Row],[Weight]]-Table7[[#This Row],[Weight v Night Pulse]]</f>
        <v>-4.3723052151372315</v>
      </c>
      <c r="AD99" s="2">
        <f>Table7[[#This Row],[WNP Res ]]^2</f>
        <v>19.117052894316231</v>
      </c>
      <c r="AE99">
        <f>Regression!$L$10+(Regression!$L$9*Table83[[#This Row],[Sleep]])</f>
        <v>255.45250391075515</v>
      </c>
      <c r="AF99" s="2">
        <f>Table83[[#This Row],[Weight]]-Table7[[#This Row],[Weight v Sleep]]</f>
        <v>-5.0525039107551493</v>
      </c>
      <c r="AG99" s="2">
        <f>Table7[[#This Row],[WS Res]]^2</f>
        <v>25.527795768196079</v>
      </c>
      <c r="AH99">
        <f>Regression!$M$10+(Regression!$M$9*Table83[[#This Row],[BMI]])</f>
        <v>250.40000000001052</v>
      </c>
      <c r="AI99" s="2">
        <f>Table83[[#This Row],[Weight]]-Table7[[#This Row],[Weight v BMI]]</f>
        <v>-1.0516032489249483E-11</v>
      </c>
      <c r="AJ99" s="2">
        <f>Table7[[#This Row],[WBMI Res]]^2</f>
        <v>1.1058693931495067E-22</v>
      </c>
      <c r="AK99">
        <f>Regression!$N$10+(Regression!$N$9*Table83[[#This Row],[CBF]])</f>
        <v>253.17965033701802</v>
      </c>
      <c r="AL99" s="2">
        <f>Table83[[#This Row],[Weight]]-Table7[[#This Row],[Weight v CBF]]</f>
        <v>-2.7796503370180119</v>
      </c>
      <c r="AM99" s="2">
        <f>Table7[[#This Row],[WCBF Res]]^2</f>
        <v>7.7264559960843471</v>
      </c>
      <c r="AN99">
        <f>Regression!$O$10+(Regression!$O$9*Table83[[#This Row],[Gym]])</f>
        <v>255.46779661016953</v>
      </c>
      <c r="AO99" s="2">
        <f>Table83[[#This Row],[Weight]]-Table7[[#This Row],[Weight v Gym]]</f>
        <v>-5.0677966101695233</v>
      </c>
      <c r="AP99" s="2">
        <f>Table7[[#This Row],[WG Res]]^2</f>
        <v>25.682562482045711</v>
      </c>
      <c r="AQ99">
        <f>Regression!$P$10+(Regression!$P$9*Table83[[#This Row],[Cardio]])</f>
        <v>256.41063829787231</v>
      </c>
      <c r="AR99" s="2">
        <f>Table83[[#This Row],[Weight]]-Table7[[#This Row],[Weight v Cardio]]</f>
        <v>-6.0106382978723047</v>
      </c>
      <c r="AS99" s="2">
        <f>Table7[[#This Row],[WC Res]]^2</f>
        <v>36.127772747849278</v>
      </c>
      <c r="AT99">
        <f>Regression!$Q$10+(Regression!$Q$9*Table83[[#This Row],[Calories]])</f>
        <v>255.14057179736258</v>
      </c>
      <c r="AU99" s="2">
        <f>Table83[[#This Row],[Weight]]-Table7[[#This Row],[Weight v Calories]]</f>
        <v>-4.7405717973625769</v>
      </c>
      <c r="AV99" s="2">
        <f>Table7[[#This Row],[WCAL Res]]^2</f>
        <v>22.473020965949452</v>
      </c>
      <c r="AW99">
        <f>Regression!$R$10+(Regression!$R$9*Table83[[#This Row],[Carbs]])</f>
        <v>255.52576587131924</v>
      </c>
      <c r="AX99" s="2">
        <f>Table83[[#This Row],[Weight]]-Table7[[#This Row],[Weight v Carbs]]</f>
        <v>-5.1257658713192313</v>
      </c>
      <c r="AY99" s="2">
        <f>Table7[[#This Row],[Wcarb Res]]^2</f>
        <v>26.273475767580997</v>
      </c>
      <c r="AZ99">
        <f>Regression!$S$10+(Regression!$S$9*Table83[[#This Row],[Fat ]])</f>
        <v>254.89648135498658</v>
      </c>
      <c r="BA99" s="2">
        <f>Table83[[#This Row],[Weight]]-Table7[[#This Row],[Weight v Fat]]</f>
        <v>-4.496481354986571</v>
      </c>
      <c r="BB99" s="2">
        <f>Table7[[#This Row],[WF Res]]^2</f>
        <v>20.21834457574187</v>
      </c>
      <c r="BC99">
        <f>Regression!$T$10+(Regression!$T$9*Table83[[#This Row],[Protein]])</f>
        <v>254.69361062958137</v>
      </c>
      <c r="BD99" s="2">
        <f>Table83[[#This Row],[Weight]]-Table7[[#This Row],[Weight v Protein]]</f>
        <v>-4.2936106295813659</v>
      </c>
      <c r="BE99" s="2">
        <f>Table7[[#This Row],[WP Res]]^2</f>
        <v>18.435092238454093</v>
      </c>
      <c r="BF99">
        <f>Regression!$U$10+(Regression!$U$9*Table83[[#This Row],[Fiber]])</f>
        <v>255.02779090513033</v>
      </c>
      <c r="BG99" s="2">
        <f>Table83[[#This Row],[Weight]]-Table7[[#This Row],[Weight v Fiber]]</f>
        <v>-4.6277909051303254</v>
      </c>
      <c r="BH99" s="2">
        <f>Table7[[#This Row],[Wfib Res]]^2</f>
        <v>21.416448661606957</v>
      </c>
      <c r="BI99">
        <f>Regression!$V$10+(Regression!$V$9*Table83[[#This Row],[Sugar]])</f>
        <v>256.0876572709218</v>
      </c>
      <c r="BJ99" s="2">
        <f>Table83[[#This Row],[Weight]]-Table7[[#This Row],[Weight v Sugar]]</f>
        <v>-5.6876572709217896</v>
      </c>
      <c r="BK99" s="2">
        <f>Table7[[#This Row],[Wsugar Res]]^2</f>
        <v>32.349445231469502</v>
      </c>
      <c r="BL99">
        <f>Regression!$W$10+(Regression!$W$9*Table83[[#This Row],[Servings]])</f>
        <v>256.46953401477333</v>
      </c>
      <c r="BM99" s="2">
        <f>Table83[[#This Row],[Weight]]-Table7[[#This Row],[Weight v Servings]]</f>
        <v>-6.0695340147733248</v>
      </c>
      <c r="BN99" s="2">
        <f>Table7[[#This Row],[Wserv Res]]^2</f>
        <v>36.839243156490397</v>
      </c>
      <c r="BO99">
        <f>Regression!$X$10+(Regression!$X$9*Table83[[#This Row],[Water]])</f>
        <v>255.19189796045953</v>
      </c>
      <c r="BP99" s="2">
        <f>Table83[[#This Row],[Weight]]-Table7[[#This Row],[Weight v Water]]</f>
        <v>-4.7918979604595222</v>
      </c>
      <c r="BQ99" s="2">
        <f>Table7[[#This Row],[Wwater Res]]^2</f>
        <v>22.96228606345613</v>
      </c>
      <c r="BR99">
        <f>Regression!$Y$10+(Regression!$Y$9*Table83[[#This Row],[Fat Calories]])</f>
        <v>254.87757674141247</v>
      </c>
      <c r="BS99" s="2">
        <f>Table83[[#This Row],[Weight]]-Table7[[#This Row],[Weight v Fat Calories]]</f>
        <v>-4.477576741412463</v>
      </c>
      <c r="BT99" s="2">
        <f>Table7[[#This Row],[WFC Res]]^2</f>
        <v>20.048693475237851</v>
      </c>
      <c r="BU99">
        <f>Regression!$B$29+(Regression!$B$28*Table83[[#This Row],[Weight]])</f>
        <v>43.811056056356733</v>
      </c>
      <c r="BV99" s="2">
        <f>Table83[[#This Row],[Waist]]-Table7[[#This Row],[Waist v Weight]]</f>
        <v>0.18894394364326672</v>
      </c>
      <c r="BW99" s="2">
        <f>Table7[[#This Row],[WaistW Res]]^2</f>
        <v>3.5699813839469949E-2</v>
      </c>
      <c r="BX99">
        <f>Regression!$C$29+(Regression!$C$28*Table83[[#This Row],[Neck]])</f>
        <v>44.175585585585594</v>
      </c>
      <c r="BY99" s="2">
        <f>Table83[[#This Row],[Waist]]-Table7[[#This Row],[Waist v Neck]]</f>
        <v>-0.17558558558559412</v>
      </c>
      <c r="BZ99" s="2">
        <f>Table7[[#This Row],[WaistN Res]]^2</f>
        <v>3.0830297865435997E-2</v>
      </c>
      <c r="CA99">
        <f>Regression!$D$29+(Regression!$D$28*Table83[[#This Row],[Morning Body Temp]])</f>
        <v>44.476744743933082</v>
      </c>
      <c r="CB99" s="2">
        <f>Table83[[#This Row],[Waist]]-Table7[[#This Row],[Waist v Morning Temp]]</f>
        <v>-0.4767447439330823</v>
      </c>
      <c r="CC99" s="2">
        <f>Table7[[#This Row],[WaistMT Res]]^2</f>
        <v>0.22728555086782021</v>
      </c>
      <c r="CD99">
        <f>Regression!$E$29+(Regression!$E$28*Table83[[#This Row],[Morning Systolic Pressure]])</f>
        <v>44.502836753606339</v>
      </c>
      <c r="CE99" s="2">
        <f>Table83[[#This Row],[Waist]]-Table7[[#This Row],[Waist v Morning Sys]]</f>
        <v>-0.5028367536063385</v>
      </c>
      <c r="CF99" s="2">
        <f>Table7[[#This Row],[WaistMS Res]]^2</f>
        <v>0.2528448007773616</v>
      </c>
      <c r="CG99">
        <f>Regression!$F$29+(Regression!$F$28*Table83[[#This Row],[Morning Diastolic Pressure]])</f>
        <v>44.430274185468846</v>
      </c>
      <c r="CH99" s="2">
        <f>Table83[[#This Row],[Waist]]-Table7[[#This Row],[Waist v Morning Dia]]</f>
        <v>-0.43027418546884633</v>
      </c>
      <c r="CI99" s="2">
        <f>Table7[[#This Row],[WaistMD Res]]^2</f>
        <v>0.18513587468087916</v>
      </c>
      <c r="CJ99">
        <f>Regression!$G$29+(Regression!$G$28*Table83[[#This Row],[Morning Pulse]])</f>
        <v>44.464650230963173</v>
      </c>
      <c r="CK99" s="2">
        <f>Table83[[#This Row],[Waist]]-Table7[[#This Row],[Waist v Morning Pulse]]</f>
        <v>-0.46465023096317282</v>
      </c>
      <c r="CL99" s="2">
        <f>Table7[[#This Row],[WaistMP Res]]^2</f>
        <v>0.21589983713412983</v>
      </c>
      <c r="CM99">
        <f>Regression!$H$29+(Regression!$H$28*Table83[[#This Row],[Night Body Temp]])</f>
        <v>44.376081640415208</v>
      </c>
      <c r="CN99" s="2">
        <f>Table83[[#This Row],[Waist]]-Table7[[#This Row],[Waist v Night Temp]]</f>
        <v>-0.37608164041520808</v>
      </c>
      <c r="CO99" s="2">
        <f>Table7[[#This Row],[WaistNT Res]]^2</f>
        <v>0.14143740025739387</v>
      </c>
      <c r="CP99">
        <f>Regression!$I$29+(Regression!$I$28*Table83[[#This Row],[Night Systolic Pressure]])</f>
        <v>44.572820229910121</v>
      </c>
      <c r="CQ99" s="2">
        <f>Table83[[#This Row],[Waist]]-Table7[[#This Row],[Waist v  Night Sys]]</f>
        <v>-0.57282022991012127</v>
      </c>
      <c r="CR99" s="2">
        <f>Table7[[#This Row],[WaistNS Res]]^2</f>
        <v>0.32812301579428421</v>
      </c>
      <c r="CS99">
        <f>Regression!$J$29+(Regression!$J$28*Table83[[#This Row],[Night Diastolic Pressure]])</f>
        <v>44.444024065946287</v>
      </c>
      <c r="CT99" s="2">
        <f>Table83[[#This Row],[Waist]]-Table7[[#This Row],[Waist v Night Dia]]</f>
        <v>-0.44402406594628729</v>
      </c>
      <c r="CU99" s="2">
        <f>Table7[[#This Row],[WaistND Res]]^2</f>
        <v>0.19715737113947288</v>
      </c>
      <c r="CV99">
        <f>Regression!$K$29+(Regression!$K$28*Table83[[#This Row],[Night Pulse]])</f>
        <v>44.485419089363951</v>
      </c>
      <c r="CW99" s="2">
        <f>Table83[[#This Row],[Waist]]-Table7[[#This Row],[Waist v Night Pulse]]</f>
        <v>-0.48541908936395117</v>
      </c>
      <c r="CX99" s="2">
        <f>Table7[[#This Row],[WaistNP Res]]^2</f>
        <v>0.23563169231892761</v>
      </c>
      <c r="CY99">
        <f>Regression!$L$29+(Regression!$L$28*Table83[[#This Row],[Sleep]])</f>
        <v>44.504990820853756</v>
      </c>
      <c r="CZ99" s="2">
        <f>Table83[[#This Row],[Waist]]-Table7[[#This Row],[Waist v  Sleep]]</f>
        <v>-0.50499082085375591</v>
      </c>
      <c r="DA99" s="2">
        <f>Table7[[#This Row],[WaistS Res]]^2</f>
        <v>0.25501572914655019</v>
      </c>
      <c r="DB99">
        <f>Regression!$M$29+(Regression!$M$28*Table83[[#This Row],[BMI]])</f>
        <v>43.811056056358765</v>
      </c>
      <c r="DC99" s="2">
        <f>Table83[[#This Row],[Waist]]-Table7[[#This Row],[Waist v BMI]]</f>
        <v>0.18894394364123457</v>
      </c>
      <c r="DD99" s="2">
        <f>Table7[[#This Row],[WaistBMI Res]]^2</f>
        <v>3.5699813838702028E-2</v>
      </c>
      <c r="DE99">
        <f>Regression!$N$29+(Regression!$N$28*Table83[[#This Row],[CBF]])</f>
        <v>44.105031770433015</v>
      </c>
      <c r="DF99" s="2">
        <f>Table83[[#This Row],[Waist]]-Table7[[#This Row],[Waist v  CBF]]</f>
        <v>-0.10503177043301548</v>
      </c>
      <c r="DG99" s="2">
        <f>Table7[[#This Row],[WaistCBF Res]]^2</f>
        <v>1.1031672800293666E-2</v>
      </c>
      <c r="DH99">
        <f>Regression!$O$29+(Regression!$O$28*Table83[[#This Row],[Gym]])</f>
        <v>44.550847457627107</v>
      </c>
      <c r="DI99" s="2">
        <f>Table83[[#This Row],[Waist]]-Table7[[#This Row],[Waist v  Gym]]</f>
        <v>-0.55084745762710696</v>
      </c>
      <c r="DJ99" s="2">
        <f>Table7[[#This Row],[WaistGYM Res]]^2</f>
        <v>0.30343292157424739</v>
      </c>
      <c r="DK99">
        <f>Regression!$P$29+(Regression!$P$28*Table83[[#This Row],[Cardio]])</f>
        <v>44.680851063829778</v>
      </c>
      <c r="DL99" s="2">
        <f>Table83[[#This Row],[Waist]]-Table7[[#This Row],[Waist v Cardio]]</f>
        <v>-0.68085106382977756</v>
      </c>
      <c r="DM99" s="2">
        <f>Table7[[#This Row],[WaistC Res]]^2</f>
        <v>0.46355817111813985</v>
      </c>
      <c r="DN99">
        <f>Regression!$Q$29+(Regression!$Q$28*Table83[[#This Row],[Calories]])</f>
        <v>44.459275297205856</v>
      </c>
      <c r="DO99" s="2">
        <f>Table83[[#This Row],[Waist]]-Table7[[#This Row],[Waist v Calories]]</f>
        <v>-0.45927529720585625</v>
      </c>
      <c r="DP99" s="2">
        <f>Table7[[#This Row],[WaistCal Res]]^2</f>
        <v>0.2109337986235276</v>
      </c>
      <c r="DQ99">
        <f>Regression!$R$29+(Regression!$R$28*Table83[[#This Row],[Carbs]])</f>
        <v>44.539049549867578</v>
      </c>
      <c r="DR99" s="2">
        <f>Table83[[#This Row],[Waist]]-Table7[[#This Row],[Waist v Carbs]]</f>
        <v>-0.53904954986757758</v>
      </c>
      <c r="DS99" s="2">
        <f>Table7[[#This Row],[WaistCarb Res]]^2</f>
        <v>0.29057441721243799</v>
      </c>
      <c r="DT99">
        <f>Regression!$S$29+(Regression!$S$28*Table83[[#This Row],[Fat ]])</f>
        <v>44.386729772062679</v>
      </c>
      <c r="DU99" s="2">
        <f>Table83[[#This Row],[Waist]]-Table7[[#This Row],[Waist v Fat]]</f>
        <v>-0.38672977206267944</v>
      </c>
      <c r="DV99" s="2">
        <f>Table7[[#This Row],[WaistF Res]]^2</f>
        <v>0.14955991659965201</v>
      </c>
      <c r="DW99">
        <f>Regression!$T$29+(Regression!$T$28*Table83[[#This Row],[Protein]])</f>
        <v>44.376401816113528</v>
      </c>
      <c r="DX99" s="2">
        <f>Table83[[#This Row],[Waist]]-Table7[[#This Row],[Waist v Protein]]</f>
        <v>-0.3764018161135283</v>
      </c>
      <c r="DY99" s="2">
        <f>Table7[[#This Row],[WaistP Res]]^2</f>
        <v>0.14167832717356238</v>
      </c>
      <c r="DZ99">
        <f>Regression!$U$29+(Regression!$U$28*Table83[[#This Row],[Fiber]])</f>
        <v>44.419872252364407</v>
      </c>
      <c r="EA99" s="2">
        <f>Table83[[#This Row],[Waist]]-Table7[[#This Row],[Waist v Fiber]]</f>
        <v>-0.41987225236440651</v>
      </c>
      <c r="EB99" s="2">
        <f>Table7[[#This Row],[WaistFib Res]]^2</f>
        <v>0.17629270830555988</v>
      </c>
      <c r="EC99">
        <f>Regression!$V$29+(Regression!$V$28*Table83[[#This Row],[Sugar]])</f>
        <v>44.628258905035636</v>
      </c>
      <c r="ED99" s="2">
        <f>Table83[[#This Row],[Waist]]-Table7[[#This Row],[Waist v Sugar]]</f>
        <v>-0.62825890503563642</v>
      </c>
      <c r="EE99" s="2">
        <f>Table7[[#This Row],[WaistSugar Res]]^2</f>
        <v>0.39470925175657684</v>
      </c>
      <c r="EF99">
        <f>Regression!$W$29+(Regression!$W$28*Table83[[#This Row],[Servings]])</f>
        <v>44.660212395657602</v>
      </c>
      <c r="EG99" s="2">
        <f>Table83[[#This Row],[Waist]]-Table7[[#This Row],[Waist v Servings]]</f>
        <v>-0.66021239565760226</v>
      </c>
      <c r="EH99" s="2">
        <f>Table7[[#This Row],[WaistServ Res]]^2</f>
        <v>0.43588040737995037</v>
      </c>
      <c r="EI99">
        <f>Regression!$X$29+(Regression!$X$28*Table83[[#This Row],[Water]])</f>
        <v>44.553850107074496</v>
      </c>
      <c r="EJ99" s="2">
        <f>Table83[[#This Row],[Waist]]-Table7[[#This Row],[Waist v Water]]</f>
        <v>-0.55385010707449567</v>
      </c>
      <c r="EK99" s="2">
        <f>Table7[[#This Row],[WaistWat Res]]^2</f>
        <v>0.30674994110643033</v>
      </c>
      <c r="EL99">
        <f>Regression!$Y$29+(Regression!$Y$28*Table83[[#This Row],[Fat Calories]])</f>
        <v>44.381319122938244</v>
      </c>
      <c r="EM99" s="2">
        <f>Table83[[#This Row],[Waist]]-Table7[[#This Row],[Waist v Fat Calories]]</f>
        <v>-0.38131912293824399</v>
      </c>
      <c r="EN99" s="2">
        <f>Table7[[#This Row],[WaistFatCal Res]]^2</f>
        <v>0.14540427351839164</v>
      </c>
    </row>
    <row r="100" spans="1:144" x14ac:dyDescent="0.25">
      <c r="A100">
        <f>Regression!$B$10+(Regression!$B$9*Table83[[#This Row],[Waist]])</f>
        <v>249.67228149328892</v>
      </c>
      <c r="B100" s="2">
        <f>Table83[[#This Row],[Weight]]-Table7[[#This Row],[Weight v Waist]]</f>
        <v>0.32771850671107927</v>
      </c>
      <c r="C100" s="2">
        <f>Table7[[#This Row],[Weight v Waist Res]]^2</f>
        <v>0.10739941964093971</v>
      </c>
      <c r="D100">
        <f>Regression!$C$10+(Regression!$C$9*Table83[[#This Row],[Neck]])</f>
        <v>253.29286486487842</v>
      </c>
      <c r="E100" s="2">
        <f>Table83[[#This Row],[Weight]]-Table7[[#This Row],[Weight v Neck]]</f>
        <v>-3.2928648648784247</v>
      </c>
      <c r="F100" s="2">
        <f>Table7[[#This Row],[WN Res]]^2</f>
        <v>10.842959018350806</v>
      </c>
      <c r="G100">
        <f>Regression!$D$10+(Regression!$D$9*Table83[[#This Row],[Morning Body Temp]])</f>
        <v>254.7075736779725</v>
      </c>
      <c r="H100" s="2">
        <f>Table83[[#This Row],[Weight]]-Table7[[#This Row],[Weight v Morning Temp]]</f>
        <v>-4.7075736779725048</v>
      </c>
      <c r="I100" s="2">
        <f>Table7[[#This Row],[WMT Res]]^2</f>
        <v>22.161249933539576</v>
      </c>
      <c r="J100">
        <f>Regression!$E$10+(Regression!$E$9*Table83[[#This Row],[Morning Systolic Pressure]])</f>
        <v>254.6937917939849</v>
      </c>
      <c r="K100" s="2">
        <f>Table83[[#This Row],[Weight]]-Table7[[#This Row],[Weight v Morning Sys]]</f>
        <v>-4.6937917939849001</v>
      </c>
      <c r="L100" s="2">
        <f>Table7[[#This Row],[WMS Res]]^2</f>
        <v>22.031681405279986</v>
      </c>
      <c r="M100">
        <f>Regression!$F$10+(Regression!$F$9*Table83[[#This Row],[Morning Diastolic Pressure]])</f>
        <v>255.10203989724667</v>
      </c>
      <c r="N100" s="2">
        <f>Table83[[#This Row],[Weight]]-Table7[[#This Row],[Weight v Morning Dia]]</f>
        <v>-5.1020398972466694</v>
      </c>
      <c r="O100" s="2">
        <f>Table7[[#This Row],[WMD Res]]^2</f>
        <v>26.030811113096807</v>
      </c>
      <c r="P100">
        <f>Regression!$G$10+(Regression!$G$9*Table83[[#This Row],[Morning Pulse]])</f>
        <v>255.13375084772755</v>
      </c>
      <c r="Q100" s="2">
        <f>Table83[[#This Row],[Weight]]-Table7[[#This Row],[Weight v Morning Pulse]]</f>
        <v>-5.1337508477275549</v>
      </c>
      <c r="R100" s="2">
        <f>Table7[[#This Row],[WMP Res]]^2</f>
        <v>26.355397766543387</v>
      </c>
      <c r="S100">
        <f>Regression!$H$10+(Regression!$H$9*Table83[[#This Row],[Night Body Temp]])</f>
        <v>254.44070039559833</v>
      </c>
      <c r="T100" s="2">
        <f>Table83[[#This Row],[Weight]]-Table7[[#This Row],[Weight v Night Temp]]</f>
        <v>-4.4407003955983271</v>
      </c>
      <c r="U100" s="2">
        <f>Table7[[#This Row],[WNT Res]]^2</f>
        <v>19.719820003467138</v>
      </c>
      <c r="V100">
        <f>Regression!$I$10+(Regression!$I$9*Table83[[#This Row],[Night Systolic Pressure]])</f>
        <v>256.26502973345191</v>
      </c>
      <c r="W100" s="2">
        <f>Table83[[#This Row],[Weight]]-Table7[[#This Row],[Weight v Night Sys]]</f>
        <v>-6.2650297334519109</v>
      </c>
      <c r="X100" s="2">
        <f>Table7[[#This Row],[WNS Res]]^2</f>
        <v>39.250597561036521</v>
      </c>
      <c r="Y100">
        <f>Regression!$J$10+(Regression!$J$9*Table83[[#This Row],[Night Diastolic Pressure]])</f>
        <v>254.80695529533338</v>
      </c>
      <c r="Z100" s="2">
        <f>Table83[[#This Row],[Weight]]-Table7[[#This Row],[Weight v Night Dia]]</f>
        <v>-4.8069552953333812</v>
      </c>
      <c r="AA100" s="2">
        <f>Table7[[#This Row],[WND Res]]^2</f>
        <v>23.106819211333633</v>
      </c>
      <c r="AB100">
        <f>Regression!$K$10+(Regression!$K$9*Table83[[#This Row],[Night Pulse]])</f>
        <v>254.89515854008414</v>
      </c>
      <c r="AC100" s="2">
        <f>Table83[[#This Row],[Weight]]-Table7[[#This Row],[Weight v Night Pulse]]</f>
        <v>-4.8951585400841395</v>
      </c>
      <c r="AD100" s="2">
        <f>Table7[[#This Row],[WNP Res ]]^2</f>
        <v>23.962577132558685</v>
      </c>
      <c r="AE100">
        <f>Regression!$L$10+(Regression!$L$9*Table83[[#This Row],[Sleep]])</f>
        <v>255.13702972738133</v>
      </c>
      <c r="AF100" s="2">
        <f>Table83[[#This Row],[Weight]]-Table7[[#This Row],[Weight v Sleep]]</f>
        <v>-5.1370297273813321</v>
      </c>
      <c r="AG100" s="2">
        <f>Table7[[#This Row],[WS Res]]^2</f>
        <v>26.389074419999524</v>
      </c>
      <c r="AH100">
        <f>Regression!$M$10+(Regression!$M$9*Table83[[#This Row],[BMI]])</f>
        <v>250.00000000001145</v>
      </c>
      <c r="AI100" s="2">
        <f>Table83[[#This Row],[Weight]]-Table7[[#This Row],[Weight v BMI]]</f>
        <v>-1.1453948900452815E-11</v>
      </c>
      <c r="AJ100" s="2">
        <f>Table7[[#This Row],[WBMI Res]]^2</f>
        <v>1.3119294541418425E-22</v>
      </c>
      <c r="AK100">
        <f>Regression!$N$10+(Regression!$N$9*Table83[[#This Row],[CBF]])</f>
        <v>250.04675133427031</v>
      </c>
      <c r="AL100" s="2">
        <f>Table83[[#This Row],[Weight]]-Table7[[#This Row],[Weight v CBF]]</f>
        <v>-4.6751334270311418E-2</v>
      </c>
      <c r="AM100" s="2">
        <f>Table7[[#This Row],[WCBF Res]]^2</f>
        <v>2.1856872560543947E-3</v>
      </c>
      <c r="AN100">
        <f>Regression!$O$10+(Regression!$O$9*Table83[[#This Row],[Gym]])</f>
        <v>254.72962962962998</v>
      </c>
      <c r="AO100" s="2">
        <f>Table83[[#This Row],[Weight]]-Table7[[#This Row],[Weight v Gym]]</f>
        <v>-4.7296296296299829</v>
      </c>
      <c r="AP100" s="2">
        <f>Table7[[#This Row],[WG Res]]^2</f>
        <v>22.369396433473849</v>
      </c>
      <c r="AQ100">
        <f>Regression!$P$10+(Regression!$P$9*Table83[[#This Row],[Cardio]])</f>
        <v>254.19242424242461</v>
      </c>
      <c r="AR100" s="2">
        <f>Table83[[#This Row],[Weight]]-Table7[[#This Row],[Weight v Cardio]]</f>
        <v>-4.1924242424246074</v>
      </c>
      <c r="AS100" s="2">
        <f>Table7[[#This Row],[WC Res]]^2</f>
        <v>17.576421028469543</v>
      </c>
      <c r="AT100">
        <f>Regression!$Q$10+(Regression!$Q$9*Table83[[#This Row],[Calories]])</f>
        <v>254.67865301134486</v>
      </c>
      <c r="AU100" s="2">
        <f>Table83[[#This Row],[Weight]]-Table7[[#This Row],[Weight v Calories]]</f>
        <v>-4.6786530113448634</v>
      </c>
      <c r="AV100" s="2">
        <f>Table7[[#This Row],[WCAL Res]]^2</f>
        <v>21.889794000566358</v>
      </c>
      <c r="AW100">
        <f>Regression!$R$10+(Regression!$R$9*Table83[[#This Row],[Carbs]])</f>
        <v>254.32701978672608</v>
      </c>
      <c r="AX100" s="2">
        <f>Table83[[#This Row],[Weight]]-Table7[[#This Row],[Weight v Carbs]]</f>
        <v>-4.3270197867260833</v>
      </c>
      <c r="AY100" s="2">
        <f>Table7[[#This Row],[Wcarb Res]]^2</f>
        <v>18.723100234719041</v>
      </c>
      <c r="AZ100">
        <f>Regression!$S$10+(Regression!$S$9*Table83[[#This Row],[Fat ]])</f>
        <v>255.06816738096106</v>
      </c>
      <c r="BA100" s="2">
        <f>Table83[[#This Row],[Weight]]-Table7[[#This Row],[Weight v Fat]]</f>
        <v>-5.0681673809610572</v>
      </c>
      <c r="BB100" s="2">
        <f>Table7[[#This Row],[WF Res]]^2</f>
        <v>25.686320601437661</v>
      </c>
      <c r="BC100">
        <f>Regression!$T$10+(Regression!$T$9*Table83[[#This Row],[Protein]])</f>
        <v>254.78294406531109</v>
      </c>
      <c r="BD100" s="2">
        <f>Table83[[#This Row],[Weight]]-Table7[[#This Row],[Weight v Protein]]</f>
        <v>-4.7829440653110851</v>
      </c>
      <c r="BE100" s="2">
        <f>Table7[[#This Row],[WP Res]]^2</f>
        <v>22.876553931894531</v>
      </c>
      <c r="BF100">
        <f>Regression!$U$10+(Regression!$U$9*Table83[[#This Row],[Fiber]])</f>
        <v>255.3268832623128</v>
      </c>
      <c r="BG100" s="2">
        <f>Table83[[#This Row],[Weight]]-Table7[[#This Row],[Weight v Fiber]]</f>
        <v>-5.3268832623128048</v>
      </c>
      <c r="BH100" s="2">
        <f>Table7[[#This Row],[Wfib Res]]^2</f>
        <v>28.375685290308311</v>
      </c>
      <c r="BI100">
        <f>Regression!$V$10+(Regression!$V$9*Table83[[#This Row],[Sugar]])</f>
        <v>253.41794717673147</v>
      </c>
      <c r="BJ100" s="2">
        <f>Table83[[#This Row],[Weight]]-Table7[[#This Row],[Weight v Sugar]]</f>
        <v>-3.4179471767314737</v>
      </c>
      <c r="BK100" s="2">
        <f>Table7[[#This Row],[Wsugar Res]]^2</f>
        <v>11.682362902926652</v>
      </c>
      <c r="BL100">
        <f>Regression!$W$10+(Regression!$W$9*Table83[[#This Row],[Servings]])</f>
        <v>252.51746319822055</v>
      </c>
      <c r="BM100" s="2">
        <f>Table83[[#This Row],[Weight]]-Table7[[#This Row],[Weight v Servings]]</f>
        <v>-2.517463198220554</v>
      </c>
      <c r="BN100" s="2">
        <f>Table7[[#This Row],[Wserv Res]]^2</f>
        <v>6.3376209543948603</v>
      </c>
      <c r="BO100">
        <f>Regression!$X$10+(Regression!$X$9*Table83[[#This Row],[Water]])</f>
        <v>255.10626599365665</v>
      </c>
      <c r="BP100" s="2">
        <f>Table83[[#This Row],[Weight]]-Table7[[#This Row],[Weight v Water]]</f>
        <v>-5.106265993656649</v>
      </c>
      <c r="BQ100" s="2">
        <f>Table7[[#This Row],[Wwater Res]]^2</f>
        <v>26.073952397974324</v>
      </c>
      <c r="BR100">
        <f>Regression!$Y$10+(Regression!$Y$9*Table83[[#This Row],[Fat Calories]])</f>
        <v>255.06029386387311</v>
      </c>
      <c r="BS100" s="2">
        <f>Table83[[#This Row],[Weight]]-Table7[[#This Row],[Weight v Fat Calories]]</f>
        <v>-5.0602938638731132</v>
      </c>
      <c r="BT100" s="2">
        <f>Table7[[#This Row],[WFC Res]]^2</f>
        <v>25.606573988751883</v>
      </c>
      <c r="BU100">
        <f>Regression!$B$29+(Regression!$B$28*Table83[[#This Row],[Weight]])</f>
        <v>43.756551052128735</v>
      </c>
      <c r="BV100" s="2">
        <f>Table83[[#This Row],[Waist]]-Table7[[#This Row],[Waist v Weight]]</f>
        <v>-0.25655105212873508</v>
      </c>
      <c r="BW100" s="2">
        <f>Table7[[#This Row],[WaistW Res]]^2</f>
        <v>6.5818442348360942E-2</v>
      </c>
      <c r="BX100">
        <f>Regression!$C$29+(Regression!$C$28*Table83[[#This Row],[Neck]])</f>
        <v>44.175585585585594</v>
      </c>
      <c r="BY100" s="2">
        <f>Table83[[#This Row],[Waist]]-Table7[[#This Row],[Waist v Neck]]</f>
        <v>-0.67558558558559412</v>
      </c>
      <c r="BZ100" s="2">
        <f>Table7[[#This Row],[WaistN Res]]^2</f>
        <v>0.45641588345103012</v>
      </c>
      <c r="CA100">
        <f>Regression!$D$29+(Regression!$D$28*Table83[[#This Row],[Morning Body Temp]])</f>
        <v>44.342717051701939</v>
      </c>
      <c r="CB100" s="2">
        <f>Table83[[#This Row],[Waist]]-Table7[[#This Row],[Waist v Morning Temp]]</f>
        <v>-0.84271705170193911</v>
      </c>
      <c r="CC100" s="2">
        <f>Table7[[#This Row],[WaistMT Res]]^2</f>
        <v>0.71017202922920875</v>
      </c>
      <c r="CD100">
        <f>Regression!$E$29+(Regression!$E$28*Table83[[#This Row],[Morning Systolic Pressure]])</f>
        <v>44.354571080212359</v>
      </c>
      <c r="CE100" s="2">
        <f>Table83[[#This Row],[Waist]]-Table7[[#This Row],[Waist v Morning Sys]]</f>
        <v>-0.85457108021235939</v>
      </c>
      <c r="CF100" s="2">
        <f>Table7[[#This Row],[WaistMS Res]]^2</f>
        <v>0.73029173113531876</v>
      </c>
      <c r="CG100">
        <f>Regression!$F$29+(Regression!$F$28*Table83[[#This Row],[Morning Diastolic Pressure]])</f>
        <v>44.452816668144258</v>
      </c>
      <c r="CH100" s="2">
        <f>Table83[[#This Row],[Waist]]-Table7[[#This Row],[Waist v Morning Dia]]</f>
        <v>-0.95281666814425847</v>
      </c>
      <c r="CI100" s="2">
        <f>Table7[[#This Row],[WaistMD Res]]^2</f>
        <v>0.90785960309352598</v>
      </c>
      <c r="CJ100">
        <f>Regression!$G$29+(Regression!$G$28*Table83[[#This Row],[Morning Pulse]])</f>
        <v>44.462131723242337</v>
      </c>
      <c r="CK100" s="2">
        <f>Table83[[#This Row],[Waist]]-Table7[[#This Row],[Waist v Morning Pulse]]</f>
        <v>-0.96213172324233653</v>
      </c>
      <c r="CL100" s="2">
        <f>Table7[[#This Row],[WaistMP Res]]^2</f>
        <v>0.92569745286926808</v>
      </c>
      <c r="CM100">
        <f>Regression!$H$29+(Regression!$H$28*Table83[[#This Row],[Night Body Temp]])</f>
        <v>44.400372411829863</v>
      </c>
      <c r="CN100" s="2">
        <f>Table83[[#This Row],[Waist]]-Table7[[#This Row],[Waist v Night Temp]]</f>
        <v>-0.90037241182986349</v>
      </c>
      <c r="CO100" s="2">
        <f>Table7[[#This Row],[WaistNT Res]]^2</f>
        <v>0.81067047998432529</v>
      </c>
      <c r="CP100">
        <f>Regression!$I$29+(Regression!$I$28*Table83[[#This Row],[Night Systolic Pressure]])</f>
        <v>44.616440572886958</v>
      </c>
      <c r="CQ100" s="2">
        <f>Table83[[#This Row],[Waist]]-Table7[[#This Row],[Waist v  Night Sys]]</f>
        <v>-1.1164405728869582</v>
      </c>
      <c r="CR100" s="2">
        <f>Table7[[#This Row],[WaistNS Res]]^2</f>
        <v>1.2464395527881593</v>
      </c>
      <c r="CS100">
        <f>Regression!$J$29+(Regression!$J$28*Table83[[#This Row],[Night Diastolic Pressure]])</f>
        <v>44.324548449494195</v>
      </c>
      <c r="CT100" s="2">
        <f>Table83[[#This Row],[Waist]]-Table7[[#This Row],[Waist v Night Dia]]</f>
        <v>-0.82454844949419481</v>
      </c>
      <c r="CU100" s="2">
        <f>Table7[[#This Row],[WaistND Res]]^2</f>
        <v>0.67988014556328069</v>
      </c>
      <c r="CV100">
        <f>Regression!$K$29+(Regression!$K$28*Table83[[#This Row],[Night Pulse]])</f>
        <v>44.473992104120093</v>
      </c>
      <c r="CW100" s="2">
        <f>Table83[[#This Row],[Waist]]-Table7[[#This Row],[Waist v Night Pulse]]</f>
        <v>-0.97399210412009296</v>
      </c>
      <c r="CX100" s="2">
        <f>Table7[[#This Row],[WaistNP Res]]^2</f>
        <v>0.94866061888828601</v>
      </c>
      <c r="CY100">
        <f>Regression!$L$29+(Regression!$L$28*Table83[[#This Row],[Sleep]])</f>
        <v>44.456891852858099</v>
      </c>
      <c r="CZ100" s="2">
        <f>Table83[[#This Row],[Waist]]-Table7[[#This Row],[Waist v  Sleep]]</f>
        <v>-0.95689185285809941</v>
      </c>
      <c r="DA100" s="2">
        <f>Table7[[#This Row],[WaistS Res]]^2</f>
        <v>0.9156420180662066</v>
      </c>
      <c r="DB100">
        <f>Regression!$M$29+(Regression!$M$28*Table83[[#This Row],[BMI]])</f>
        <v>43.756551052130952</v>
      </c>
      <c r="DC100" s="2">
        <f>Table83[[#This Row],[Waist]]-Table7[[#This Row],[Waist v BMI]]</f>
        <v>-0.25655105213095197</v>
      </c>
      <c r="DD100" s="2">
        <f>Table7[[#This Row],[WaistBMI Res]]^2</f>
        <v>6.5818442349498435E-2</v>
      </c>
      <c r="DE100">
        <f>Regression!$N$29+(Regression!$N$28*Table83[[#This Row],[CBF]])</f>
        <v>43.540887941991329</v>
      </c>
      <c r="DF100" s="2">
        <f>Table83[[#This Row],[Waist]]-Table7[[#This Row],[Waist v  CBF]]</f>
        <v>-4.0887941991329058E-2</v>
      </c>
      <c r="DG100" s="2">
        <f>Table7[[#This Row],[WaistCBF Res]]^2</f>
        <v>1.6718238002862899E-3</v>
      </c>
      <c r="DH100">
        <f>Regression!$O$29+(Regression!$O$28*Table83[[#This Row],[Gym]])</f>
        <v>44.347222222222221</v>
      </c>
      <c r="DI100" s="2">
        <f>Table83[[#This Row],[Waist]]-Table7[[#This Row],[Waist v  Gym]]</f>
        <v>-0.84722222222222143</v>
      </c>
      <c r="DJ100" s="2">
        <f>Table7[[#This Row],[WaistGYM Res]]^2</f>
        <v>0.71778549382715917</v>
      </c>
      <c r="DK100">
        <f>Regression!$P$29+(Regression!$P$28*Table83[[#This Row],[Cardio]])</f>
        <v>44.291666666666664</v>
      </c>
      <c r="DL100" s="2">
        <f>Table83[[#This Row],[Waist]]-Table7[[#This Row],[Waist v Cardio]]</f>
        <v>-0.7916666666666643</v>
      </c>
      <c r="DM100" s="2">
        <f>Table7[[#This Row],[WaistC Res]]^2</f>
        <v>0.62673611111110739</v>
      </c>
      <c r="DN100">
        <f>Regression!$Q$29+(Regression!$Q$28*Table83[[#This Row],[Calories]])</f>
        <v>44.355492391190637</v>
      </c>
      <c r="DO100" s="2">
        <f>Table83[[#This Row],[Waist]]-Table7[[#This Row],[Waist v Calories]]</f>
        <v>-0.85549239119063714</v>
      </c>
      <c r="DP100" s="2">
        <f>Table7[[#This Row],[WaistCal Res]]^2</f>
        <v>0.73186723138507415</v>
      </c>
      <c r="DQ100">
        <f>Regression!$R$29+(Regression!$R$28*Table83[[#This Row],[Carbs]])</f>
        <v>44.289477955888231</v>
      </c>
      <c r="DR100" s="2">
        <f>Table83[[#This Row],[Waist]]-Table7[[#This Row],[Waist v Carbs]]</f>
        <v>-0.78947795588823055</v>
      </c>
      <c r="DS100" s="2">
        <f>Table7[[#This Row],[WaistCarb Res]]^2</f>
        <v>0.62327544283345893</v>
      </c>
      <c r="DT100">
        <f>Regression!$S$29+(Regression!$S$28*Table83[[#This Row],[Fat ]])</f>
        <v>44.439210556861454</v>
      </c>
      <c r="DU100" s="2">
        <f>Table83[[#This Row],[Waist]]-Table7[[#This Row],[Waist v Fat]]</f>
        <v>-0.93921055686145394</v>
      </c>
      <c r="DV100" s="2">
        <f>Table7[[#This Row],[WaistF Res]]^2</f>
        <v>0.88211647012000238</v>
      </c>
      <c r="DW100">
        <f>Regression!$T$29+(Regression!$T$28*Table83[[#This Row],[Protein]])</f>
        <v>44.392753153272217</v>
      </c>
      <c r="DX100" s="2">
        <f>Table83[[#This Row],[Waist]]-Table7[[#This Row],[Waist v Protein]]</f>
        <v>-0.89275315327221705</v>
      </c>
      <c r="DY100" s="2">
        <f>Table7[[#This Row],[WaistP Res]]^2</f>
        <v>0.79700819267748668</v>
      </c>
      <c r="DZ100">
        <f>Regression!$U$29+(Regression!$U$28*Table83[[#This Row],[Fiber]])</f>
        <v>44.535280015069638</v>
      </c>
      <c r="EA100" s="2">
        <f>Table83[[#This Row],[Waist]]-Table7[[#This Row],[Waist v Fiber]]</f>
        <v>-1.0352800150696382</v>
      </c>
      <c r="EB100" s="2">
        <f>Table7[[#This Row],[WaistFib Res]]^2</f>
        <v>1.0718047096025902</v>
      </c>
      <c r="EC100">
        <f>Regression!$V$29+(Regression!$V$28*Table83[[#This Row],[Sugar]])</f>
        <v>44.148675261962893</v>
      </c>
      <c r="ED100" s="2">
        <f>Table83[[#This Row],[Waist]]-Table7[[#This Row],[Waist v Sugar]]</f>
        <v>-0.64867526196289305</v>
      </c>
      <c r="EE100" s="2">
        <f>Table7[[#This Row],[WaistSugar Res]]^2</f>
        <v>0.42077959548262794</v>
      </c>
      <c r="EF100">
        <f>Regression!$W$29+(Regression!$W$28*Table83[[#This Row],[Servings]])</f>
        <v>44.057192230533119</v>
      </c>
      <c r="EG100" s="2">
        <f>Table83[[#This Row],[Waist]]-Table7[[#This Row],[Waist v Servings]]</f>
        <v>-0.5571922305331185</v>
      </c>
      <c r="EH100" s="2">
        <f>Table7[[#This Row],[WaistServ Res]]^2</f>
        <v>0.31046318176647186</v>
      </c>
      <c r="EI100">
        <f>Regression!$X$29+(Regression!$X$28*Table83[[#This Row],[Water]])</f>
        <v>44.442082352251923</v>
      </c>
      <c r="EJ100" s="2">
        <f>Table83[[#This Row],[Waist]]-Table7[[#This Row],[Waist v Water]]</f>
        <v>-0.94208235225192283</v>
      </c>
      <c r="EK100" s="2">
        <f>Table7[[#This Row],[WaistWat Res]]^2</f>
        <v>0.88751915842451601</v>
      </c>
      <c r="EL100">
        <f>Regression!$Y$29+(Regression!$Y$28*Table83[[#This Row],[Fat Calories]])</f>
        <v>44.436888656220567</v>
      </c>
      <c r="EM100" s="2">
        <f>Table83[[#This Row],[Waist]]-Table7[[#This Row],[Waist v Fat Calories]]</f>
        <v>-0.93688865622056738</v>
      </c>
      <c r="EN100" s="2">
        <f>Table7[[#This Row],[WaistFatCal Res]]^2</f>
        <v>0.87776035415478049</v>
      </c>
    </row>
    <row r="101" spans="1:144" x14ac:dyDescent="0.25">
      <c r="A101">
        <f>Regression!$B$10+(Regression!$B$9*Table83[[#This Row],[Waist]])</f>
        <v>246.8183038076352</v>
      </c>
      <c r="B101" s="2">
        <f>Table83[[#This Row],[Weight]]-Table7[[#This Row],[Weight v Waist]]</f>
        <v>4.5816961923648023</v>
      </c>
      <c r="C101" s="2">
        <f>Table7[[#This Row],[Weight v Waist Res]]^2</f>
        <v>20.991939999130128</v>
      </c>
      <c r="D101">
        <f>Regression!$C$10+(Regression!$C$9*Table83[[#This Row],[Neck]])</f>
        <v>253.29286486487842</v>
      </c>
      <c r="E101" s="2">
        <f>Table83[[#This Row],[Weight]]-Table7[[#This Row],[Weight v Neck]]</f>
        <v>-1.892864864878419</v>
      </c>
      <c r="F101" s="2">
        <f>Table7[[#This Row],[WN Res]]^2</f>
        <v>3.5829373966911953</v>
      </c>
      <c r="G101">
        <f>Regression!$D$10+(Regression!$D$9*Table83[[#This Row],[Morning Body Temp]])</f>
        <v>254.98916789486196</v>
      </c>
      <c r="H101" s="2">
        <f>Table83[[#This Row],[Weight]]-Table7[[#This Row],[Weight v Morning Temp]]</f>
        <v>-3.5891678948619585</v>
      </c>
      <c r="I101" s="2">
        <f>Table7[[#This Row],[WMT Res]]^2</f>
        <v>12.882126177507823</v>
      </c>
      <c r="J101">
        <f>Regression!$E$10+(Regression!$E$9*Table83[[#This Row],[Morning Systolic Pressure]])</f>
        <v>254.51348297853136</v>
      </c>
      <c r="K101" s="2">
        <f>Table83[[#This Row],[Weight]]-Table7[[#This Row],[Weight v Morning Sys]]</f>
        <v>-3.1134829785313514</v>
      </c>
      <c r="L101" s="2">
        <f>Table7[[#This Row],[WMS Res]]^2</f>
        <v>9.6937762576044548</v>
      </c>
      <c r="M101">
        <f>Regression!$F$10+(Regression!$F$9*Table83[[#This Row],[Morning Diastolic Pressure]])</f>
        <v>255.10203989724667</v>
      </c>
      <c r="N101" s="2">
        <f>Table83[[#This Row],[Weight]]-Table7[[#This Row],[Weight v Morning Dia]]</f>
        <v>-3.7020398972466637</v>
      </c>
      <c r="O101" s="2">
        <f>Table7[[#This Row],[WMD Res]]^2</f>
        <v>13.705099400806088</v>
      </c>
      <c r="P101">
        <f>Regression!$G$10+(Regression!$G$9*Table83[[#This Row],[Morning Pulse]])</f>
        <v>255.11364509439846</v>
      </c>
      <c r="Q101" s="2">
        <f>Table83[[#This Row],[Weight]]-Table7[[#This Row],[Weight v Morning Pulse]]</f>
        <v>-3.7136450943984585</v>
      </c>
      <c r="R101" s="2">
        <f>Table7[[#This Row],[WMP Res]]^2</f>
        <v>13.791159887149735</v>
      </c>
      <c r="S101">
        <f>Regression!$H$10+(Regression!$H$9*Table83[[#This Row],[Night Body Temp]])</f>
        <v>255.46766610041516</v>
      </c>
      <c r="T101" s="2">
        <f>Table83[[#This Row],[Weight]]-Table7[[#This Row],[Weight v Night Temp]]</f>
        <v>-4.0676661004151526</v>
      </c>
      <c r="U101" s="2">
        <f>Table7[[#This Row],[WNT Res]]^2</f>
        <v>16.545907504466616</v>
      </c>
      <c r="V101">
        <f>Regression!$I$10+(Regression!$I$9*Table83[[#This Row],[Night Systolic Pressure]])</f>
        <v>254.93064689108181</v>
      </c>
      <c r="W101" s="2">
        <f>Table83[[#This Row],[Weight]]-Table7[[#This Row],[Weight v Night Sys]]</f>
        <v>-3.5306468910818012</v>
      </c>
      <c r="X101" s="2">
        <f>Table7[[#This Row],[WNS Res]]^2</f>
        <v>12.465467469505588</v>
      </c>
      <c r="Y101">
        <f>Regression!$J$10+(Regression!$J$9*Table83[[#This Row],[Night Diastolic Pressure]])</f>
        <v>255.29614571632661</v>
      </c>
      <c r="Z101" s="2">
        <f>Table83[[#This Row],[Weight]]-Table7[[#This Row],[Weight v Night Dia]]</f>
        <v>-3.8961457163266004</v>
      </c>
      <c r="AA101" s="2">
        <f>Table7[[#This Row],[WND Res]]^2</f>
        <v>15.179951442850118</v>
      </c>
      <c r="AB101">
        <f>Regression!$K$10+(Regression!$K$9*Table83[[#This Row],[Night Pulse]])</f>
        <v>255.11015185874123</v>
      </c>
      <c r="AC101" s="2">
        <f>Table83[[#This Row],[Weight]]-Table7[[#This Row],[Weight v Night Pulse]]</f>
        <v>-3.7101518587412272</v>
      </c>
      <c r="AD101" s="2">
        <f>Table7[[#This Row],[WNP Res ]]^2</f>
        <v>13.765226814920982</v>
      </c>
      <c r="AE101">
        <f>Regression!$L$10+(Regression!$L$9*Table83[[#This Row],[Sleep]])</f>
        <v>255.05816118153788</v>
      </c>
      <c r="AF101" s="2">
        <f>Table83[[#This Row],[Weight]]-Table7[[#This Row],[Weight v Sleep]]</f>
        <v>-3.6581611815378778</v>
      </c>
      <c r="AG101" s="2">
        <f>Table7[[#This Row],[WS Res]]^2</f>
        <v>13.382143230110602</v>
      </c>
      <c r="AH101">
        <f>Regression!$M$10+(Regression!$M$9*Table83[[#This Row],[BMI]])</f>
        <v>251.4000000000083</v>
      </c>
      <c r="AI101" s="2">
        <f>Table83[[#This Row],[Weight]]-Table7[[#This Row],[Weight v BMI]]</f>
        <v>-8.2991391536779702E-12</v>
      </c>
      <c r="AJ101" s="2">
        <f>Table7[[#This Row],[WBMI Res]]^2</f>
        <v>6.8875710692110695E-23</v>
      </c>
      <c r="AK101">
        <f>Regression!$N$10+(Regression!$N$9*Table83[[#This Row],[CBF]])</f>
        <v>246.85529009284974</v>
      </c>
      <c r="AL101" s="2">
        <f>Table83[[#This Row],[Weight]]-Table7[[#This Row],[Weight v CBF]]</f>
        <v>4.5447099071502635</v>
      </c>
      <c r="AM101" s="2">
        <f>Table7[[#This Row],[WCBF Res]]^2</f>
        <v>20.654388140149756</v>
      </c>
      <c r="AN101">
        <f>Regression!$O$10+(Regression!$O$9*Table83[[#This Row],[Gym]])</f>
        <v>254.72962962962998</v>
      </c>
      <c r="AO101" s="2">
        <f>Table83[[#This Row],[Weight]]-Table7[[#This Row],[Weight v Gym]]</f>
        <v>-3.3296296296299772</v>
      </c>
      <c r="AP101" s="2">
        <f>Table7[[#This Row],[WG Res]]^2</f>
        <v>11.08643347050986</v>
      </c>
      <c r="AQ101">
        <f>Regression!$P$10+(Regression!$P$9*Table83[[#This Row],[Cardio]])</f>
        <v>254.19242424242461</v>
      </c>
      <c r="AR101" s="2">
        <f>Table83[[#This Row],[Weight]]-Table7[[#This Row],[Weight v Cardio]]</f>
        <v>-2.7924242424246017</v>
      </c>
      <c r="AS101" s="2">
        <f>Table7[[#This Row],[WC Res]]^2</f>
        <v>7.7976331496806113</v>
      </c>
      <c r="AT101">
        <f>Regression!$Q$10+(Regression!$Q$9*Table83[[#This Row],[Calories]])</f>
        <v>254.53226710976514</v>
      </c>
      <c r="AU101" s="2">
        <f>Table83[[#This Row],[Weight]]-Table7[[#This Row],[Weight v Calories]]</f>
        <v>-3.132267109765138</v>
      </c>
      <c r="AV101" s="2">
        <f>Table7[[#This Row],[WCAL Res]]^2</f>
        <v>9.8110972469164519</v>
      </c>
      <c r="AW101">
        <f>Regression!$R$10+(Regression!$R$9*Table83[[#This Row],[Carbs]])</f>
        <v>254.254654644884</v>
      </c>
      <c r="AX101" s="2">
        <f>Table83[[#This Row],[Weight]]-Table7[[#This Row],[Weight v Carbs]]</f>
        <v>-2.8546546448839933</v>
      </c>
      <c r="AY101" s="2">
        <f>Table7[[#This Row],[Wcarb Res]]^2</f>
        <v>8.1490531415577578</v>
      </c>
      <c r="AZ101">
        <f>Regression!$S$10+(Regression!$S$9*Table83[[#This Row],[Fat ]])</f>
        <v>254.9122436146408</v>
      </c>
      <c r="BA101" s="2">
        <f>Table83[[#This Row],[Weight]]-Table7[[#This Row],[Weight v Fat]]</f>
        <v>-3.5122436146407949</v>
      </c>
      <c r="BB101" s="2">
        <f>Table7[[#This Row],[WF Res]]^2</f>
        <v>12.335855208585036</v>
      </c>
      <c r="BC101">
        <f>Regression!$T$10+(Regression!$T$9*Table83[[#This Row],[Protein]])</f>
        <v>254.53535084846661</v>
      </c>
      <c r="BD101" s="2">
        <f>Table83[[#This Row],[Weight]]-Table7[[#This Row],[Weight v Protein]]</f>
        <v>-3.1353508484666008</v>
      </c>
      <c r="BE101" s="2">
        <f>Table7[[#This Row],[WP Res]]^2</f>
        <v>9.8304249429802333</v>
      </c>
      <c r="BF101">
        <f>Regression!$U$10+(Regression!$U$9*Table83[[#This Row],[Fiber]])</f>
        <v>255.45315715323866</v>
      </c>
      <c r="BG101" s="2">
        <f>Table83[[#This Row],[Weight]]-Table7[[#This Row],[Weight v Fiber]]</f>
        <v>-4.0531571532386579</v>
      </c>
      <c r="BH101" s="2">
        <f>Table7[[#This Row],[Wfib Res]]^2</f>
        <v>16.428082908849703</v>
      </c>
      <c r="BI101">
        <f>Regression!$V$10+(Regression!$V$9*Table83[[#This Row],[Sugar]])</f>
        <v>253.43746036946663</v>
      </c>
      <c r="BJ101" s="2">
        <f>Table83[[#This Row],[Weight]]-Table7[[#This Row],[Weight v Sugar]]</f>
        <v>-2.0374603694666291</v>
      </c>
      <c r="BK101" s="2">
        <f>Table7[[#This Row],[Wsugar Res]]^2</f>
        <v>4.1512447571470927</v>
      </c>
      <c r="BL101">
        <f>Regression!$W$10+(Regression!$W$9*Table83[[#This Row],[Servings]])</f>
        <v>252.35959442491207</v>
      </c>
      <c r="BM101" s="2">
        <f>Table83[[#This Row],[Weight]]-Table7[[#This Row],[Weight v Servings]]</f>
        <v>-0.95959442491206914</v>
      </c>
      <c r="BN101" s="2">
        <f>Table7[[#This Row],[Wserv Res]]^2</f>
        <v>0.9208214603223247</v>
      </c>
      <c r="BO101">
        <f>Regression!$X$10+(Regression!$X$9*Table83[[#This Row],[Water]])</f>
        <v>255.06345001025522</v>
      </c>
      <c r="BP101" s="2">
        <f>Table83[[#This Row],[Weight]]-Table7[[#This Row],[Weight v Water]]</f>
        <v>-3.6634500102552181</v>
      </c>
      <c r="BQ101" s="2">
        <f>Table7[[#This Row],[Wwater Res]]^2</f>
        <v>13.420865977638957</v>
      </c>
      <c r="BR101">
        <f>Regression!$Y$10+(Regression!$Y$9*Table83[[#This Row],[Fat Calories]])</f>
        <v>254.89435175097512</v>
      </c>
      <c r="BS101" s="2">
        <f>Table83[[#This Row],[Weight]]-Table7[[#This Row],[Weight v Fat Calories]]</f>
        <v>-3.4943517509751132</v>
      </c>
      <c r="BT101" s="2">
        <f>Table7[[#This Row],[WFC Res]]^2</f>
        <v>12.21049415954284</v>
      </c>
      <c r="BU101">
        <f>Regression!$B$29+(Regression!$B$28*Table83[[#This Row],[Weight]])</f>
        <v>43.947318566926711</v>
      </c>
      <c r="BV101" s="2">
        <f>Table83[[#This Row],[Waist]]-Table7[[#This Row],[Waist v Weight]]</f>
        <v>-0.94731856692671101</v>
      </c>
      <c r="BW101" s="2">
        <f>Table7[[#This Row],[WaistW Res]]^2</f>
        <v>0.89741246724407742</v>
      </c>
      <c r="BX101">
        <f>Regression!$C$29+(Regression!$C$28*Table83[[#This Row],[Neck]])</f>
        <v>44.175585585585594</v>
      </c>
      <c r="BY101" s="2">
        <f>Table83[[#This Row],[Waist]]-Table7[[#This Row],[Waist v Neck]]</f>
        <v>-1.1755855855855941</v>
      </c>
      <c r="BZ101" s="2">
        <f>Table7[[#This Row],[WaistN Res]]^2</f>
        <v>1.3820014690366242</v>
      </c>
      <c r="CA101">
        <f>Regression!$D$29+(Regression!$D$28*Table83[[#This Row],[Morning Body Temp]])</f>
        <v>44.419304304405451</v>
      </c>
      <c r="CB101" s="2">
        <f>Table83[[#This Row],[Waist]]-Table7[[#This Row],[Waist v Morning Temp]]</f>
        <v>-1.4193043044054505</v>
      </c>
      <c r="CC101" s="2">
        <f>Table7[[#This Row],[WaistMT Res]]^2</f>
        <v>2.0144247085038396</v>
      </c>
      <c r="CD101">
        <f>Regression!$E$29+(Regression!$E$28*Table83[[#This Row],[Morning Systolic Pressure]])</f>
        <v>44.312209459242652</v>
      </c>
      <c r="CE101" s="2">
        <f>Table83[[#This Row],[Waist]]-Table7[[#This Row],[Waist v Morning Sys]]</f>
        <v>-1.3122094592426521</v>
      </c>
      <c r="CF101" s="2">
        <f>Table7[[#This Row],[WaistMS Res]]^2</f>
        <v>1.7218936649258934</v>
      </c>
      <c r="CG101">
        <f>Regression!$F$29+(Regression!$F$28*Table83[[#This Row],[Morning Diastolic Pressure]])</f>
        <v>44.452816668144258</v>
      </c>
      <c r="CH101" s="2">
        <f>Table83[[#This Row],[Waist]]-Table7[[#This Row],[Waist v Morning Dia]]</f>
        <v>-1.4528166681442585</v>
      </c>
      <c r="CI101" s="2">
        <f>Table7[[#This Row],[WaistMD Res]]^2</f>
        <v>2.1106762712377845</v>
      </c>
      <c r="CJ101">
        <f>Regression!$G$29+(Regression!$G$28*Table83[[#This Row],[Morning Pulse]])</f>
        <v>44.452897194932582</v>
      </c>
      <c r="CK101" s="2">
        <f>Table83[[#This Row],[Waist]]-Table7[[#This Row],[Waist v Morning Pulse]]</f>
        <v>-1.4528971949325822</v>
      </c>
      <c r="CL101" s="2">
        <f>Table7[[#This Row],[WaistMP Res]]^2</f>
        <v>2.1109102590429658</v>
      </c>
      <c r="CM101">
        <f>Regression!$H$29+(Regression!$H$28*Table83[[#This Row],[Night Body Temp]])</f>
        <v>44.481341649878722</v>
      </c>
      <c r="CN101" s="2">
        <f>Table83[[#This Row],[Waist]]-Table7[[#This Row],[Waist v Night Temp]]</f>
        <v>-1.481341649878722</v>
      </c>
      <c r="CO101" s="2">
        <f>Table7[[#This Row],[WaistNT Res]]^2</f>
        <v>2.1943730836654143</v>
      </c>
      <c r="CP101">
        <f>Regression!$I$29+(Regression!$I$28*Table83[[#This Row],[Night Systolic Pressure]])</f>
        <v>44.427419086653984</v>
      </c>
      <c r="CQ101" s="2">
        <f>Table83[[#This Row],[Waist]]-Table7[[#This Row],[Waist v  Night Sys]]</f>
        <v>-1.427419086653984</v>
      </c>
      <c r="CR101" s="2">
        <f>Table7[[#This Row],[WaistNS Res]]^2</f>
        <v>2.0375252489440938</v>
      </c>
      <c r="CS101">
        <f>Regression!$J$29+(Regression!$J$28*Table83[[#This Row],[Night Diastolic Pressure]])</f>
        <v>44.529363791983499</v>
      </c>
      <c r="CT101" s="2">
        <f>Table83[[#This Row],[Waist]]-Table7[[#This Row],[Waist v Night Dia]]</f>
        <v>-1.5293637919834993</v>
      </c>
      <c r="CU101" s="2">
        <f>Table7[[#This Row],[WaistND Res]]^2</f>
        <v>2.3389536082301481</v>
      </c>
      <c r="CV101">
        <f>Regression!$K$29+(Regression!$K$28*Table83[[#This Row],[Night Pulse]])</f>
        <v>44.453994879943338</v>
      </c>
      <c r="CW101" s="2">
        <f>Table83[[#This Row],[Waist]]-Table7[[#This Row],[Waist v Night Pulse]]</f>
        <v>-1.4539948799433375</v>
      </c>
      <c r="CX101" s="2">
        <f>Table7[[#This Row],[WaistNP Res]]^2</f>
        <v>2.1141011109014407</v>
      </c>
      <c r="CY101">
        <f>Regression!$L$29+(Regression!$L$28*Table83[[#This Row],[Sleep]])</f>
        <v>44.444867110859185</v>
      </c>
      <c r="CZ101" s="2">
        <f>Table83[[#This Row],[Waist]]-Table7[[#This Row],[Waist v  Sleep]]</f>
        <v>-1.4448671108591853</v>
      </c>
      <c r="DA101" s="2">
        <f>Table7[[#This Row],[WaistS Res]]^2</f>
        <v>2.0876409680425692</v>
      </c>
      <c r="DB101">
        <f>Regression!$M$29+(Regression!$M$28*Table83[[#This Row],[BMI]])</f>
        <v>43.947318566928317</v>
      </c>
      <c r="DC101" s="2">
        <f>Table83[[#This Row],[Waist]]-Table7[[#This Row],[Waist v BMI]]</f>
        <v>-0.94731856692831684</v>
      </c>
      <c r="DD101" s="2">
        <f>Table7[[#This Row],[WaistBMI Res]]^2</f>
        <v>0.89741246724711987</v>
      </c>
      <c r="DE101">
        <f>Regression!$N$29+(Regression!$N$28*Table83[[#This Row],[CBF]])</f>
        <v>42.966198760667851</v>
      </c>
      <c r="DF101" s="2">
        <f>Table83[[#This Row],[Waist]]-Table7[[#This Row],[Waist v  CBF]]</f>
        <v>3.380123933214918E-2</v>
      </c>
      <c r="DG101" s="2">
        <f>Table7[[#This Row],[WaistCBF Res]]^2</f>
        <v>1.1425237803892288E-3</v>
      </c>
      <c r="DH101">
        <f>Regression!$O$29+(Regression!$O$28*Table83[[#This Row],[Gym]])</f>
        <v>44.347222222222221</v>
      </c>
      <c r="DI101" s="2">
        <f>Table83[[#This Row],[Waist]]-Table7[[#This Row],[Waist v  Gym]]</f>
        <v>-1.3472222222222214</v>
      </c>
      <c r="DJ101" s="2">
        <f>Table7[[#This Row],[WaistGYM Res]]^2</f>
        <v>1.8150077160493805</v>
      </c>
      <c r="DK101">
        <f>Regression!$P$29+(Regression!$P$28*Table83[[#This Row],[Cardio]])</f>
        <v>44.291666666666664</v>
      </c>
      <c r="DL101" s="2">
        <f>Table83[[#This Row],[Waist]]-Table7[[#This Row],[Waist v Cardio]]</f>
        <v>-1.2916666666666643</v>
      </c>
      <c r="DM101" s="2">
        <f>Table7[[#This Row],[WaistC Res]]^2</f>
        <v>1.6684027777777717</v>
      </c>
      <c r="DN101">
        <f>Regression!$Q$29+(Regression!$Q$28*Table83[[#This Row],[Calories]])</f>
        <v>44.322602725895621</v>
      </c>
      <c r="DO101" s="2">
        <f>Table83[[#This Row],[Waist]]-Table7[[#This Row],[Waist v Calories]]</f>
        <v>-1.3226027258956208</v>
      </c>
      <c r="DP101" s="2">
        <f>Table7[[#This Row],[WaistCal Res]]^2</f>
        <v>1.7492779705465267</v>
      </c>
      <c r="DQ101">
        <f>Regression!$R$29+(Regression!$R$28*Table83[[#This Row],[Carbs]])</f>
        <v>44.274411976503451</v>
      </c>
      <c r="DR101" s="2">
        <f>Table83[[#This Row],[Waist]]-Table7[[#This Row],[Waist v Carbs]]</f>
        <v>-1.2744119765034512</v>
      </c>
      <c r="DS101" s="2">
        <f>Table7[[#This Row],[WaistCarb Res]]^2</f>
        <v>1.624125885855433</v>
      </c>
      <c r="DT101">
        <f>Regression!$S$29+(Regression!$S$28*Table83[[#This Row],[Fat ]])</f>
        <v>44.391547961266845</v>
      </c>
      <c r="DU101" s="2">
        <f>Table83[[#This Row],[Waist]]-Table7[[#This Row],[Waist v Fat]]</f>
        <v>-1.3915479612668449</v>
      </c>
      <c r="DV101" s="2">
        <f>Table7[[#This Row],[WaistF Res]]^2</f>
        <v>1.9364057285059124</v>
      </c>
      <c r="DW101">
        <f>Regression!$T$29+(Regression!$T$28*Table83[[#This Row],[Protein]])</f>
        <v>44.347434397380212</v>
      </c>
      <c r="DX101" s="2">
        <f>Table83[[#This Row],[Waist]]-Table7[[#This Row],[Waist v Protein]]</f>
        <v>-1.3474343973802121</v>
      </c>
      <c r="DY101" s="2">
        <f>Table7[[#This Row],[WaistP Res]]^2</f>
        <v>1.8155794552433753</v>
      </c>
      <c r="DZ101">
        <f>Regression!$U$29+(Regression!$U$28*Table83[[#This Row],[Fiber]])</f>
        <v>44.584004052611483</v>
      </c>
      <c r="EA101" s="2">
        <f>Table83[[#This Row],[Waist]]-Table7[[#This Row],[Waist v Fiber]]</f>
        <v>-1.5840040526114834</v>
      </c>
      <c r="EB101" s="2">
        <f>Table7[[#This Row],[WaistFib Res]]^2</f>
        <v>2.5090688386896027</v>
      </c>
      <c r="EC101">
        <f>Regression!$V$29+(Regression!$V$28*Table83[[#This Row],[Sugar]])</f>
        <v>44.152180589406605</v>
      </c>
      <c r="ED101" s="2">
        <f>Table83[[#This Row],[Waist]]-Table7[[#This Row],[Waist v Sugar]]</f>
        <v>-1.1521805894066048</v>
      </c>
      <c r="EE101" s="2">
        <f>Table7[[#This Row],[WaistSugar Res]]^2</f>
        <v>1.3275201106053514</v>
      </c>
      <c r="EF101">
        <f>Regression!$W$29+(Regression!$W$28*Table83[[#This Row],[Servings]])</f>
        <v>44.033104085819275</v>
      </c>
      <c r="EG101" s="2">
        <f>Table83[[#This Row],[Waist]]-Table7[[#This Row],[Waist v Servings]]</f>
        <v>-1.033104085819275</v>
      </c>
      <c r="EH101" s="2">
        <f>Table7[[#This Row],[WaistServ Res]]^2</f>
        <v>1.0673040521364801</v>
      </c>
      <c r="EI101">
        <f>Regression!$X$29+(Regression!$X$28*Table83[[#This Row],[Water]])</f>
        <v>44.386198474840633</v>
      </c>
      <c r="EJ101" s="2">
        <f>Table83[[#This Row],[Waist]]-Table7[[#This Row],[Waist v Water]]</f>
        <v>-1.3861984748406329</v>
      </c>
      <c r="EK101" s="2">
        <f>Table7[[#This Row],[WaistWat Res]]^2</f>
        <v>1.9215462116504967</v>
      </c>
      <c r="EL101">
        <f>Regression!$Y$29+(Regression!$Y$28*Table83[[#This Row],[Fat Calories]])</f>
        <v>44.386420885923833</v>
      </c>
      <c r="EM101" s="2">
        <f>Table83[[#This Row],[Waist]]-Table7[[#This Row],[Waist v Fat Calories]]</f>
        <v>-1.3864208859238332</v>
      </c>
      <c r="EN101" s="2">
        <f>Table7[[#This Row],[WaistFatCal Res]]^2</f>
        <v>1.9221628729258264</v>
      </c>
    </row>
    <row r="102" spans="1:144" x14ac:dyDescent="0.25">
      <c r="A102">
        <f>Regression!$B$10+(Regression!$B$9*Table83[[#This Row],[Waist]])</f>
        <v>249.67228149328892</v>
      </c>
      <c r="B102" s="2">
        <f>Table83[[#This Row],[Weight]]-Table7[[#This Row],[Weight v Waist]]</f>
        <v>1.1277185067110906</v>
      </c>
      <c r="C102" s="2">
        <f>Table7[[#This Row],[Weight v Waist Res]]^2</f>
        <v>1.2717490303786922</v>
      </c>
      <c r="D102">
        <f>Regression!$C$10+(Regression!$C$9*Table83[[#This Row],[Neck]])</f>
        <v>253.29286486487842</v>
      </c>
      <c r="E102" s="2">
        <f>Table83[[#This Row],[Weight]]-Table7[[#This Row],[Weight v Neck]]</f>
        <v>-2.4928648648784133</v>
      </c>
      <c r="F102" s="2">
        <f>Table7[[#This Row],[WN Res]]^2</f>
        <v>6.2143752345452699</v>
      </c>
      <c r="G102">
        <f>Regression!$D$10+(Regression!$D$9*Table83[[#This Row],[Morning Body Temp]])</f>
        <v>254.91876934063959</v>
      </c>
      <c r="H102" s="2">
        <f>Table83[[#This Row],[Weight]]-Table7[[#This Row],[Weight v Morning Temp]]</f>
        <v>-4.1187693406395738</v>
      </c>
      <c r="I102" s="2">
        <f>Table7[[#This Row],[WMT Res]]^2</f>
        <v>16.964260881392548</v>
      </c>
      <c r="J102">
        <f>Regression!$E$10+(Regression!$E$9*Table83[[#This Row],[Morning Systolic Pressure]])</f>
        <v>256.04610790988636</v>
      </c>
      <c r="K102" s="2">
        <f>Table83[[#This Row],[Weight]]-Table7[[#This Row],[Weight v Morning Sys]]</f>
        <v>-5.2461079098863479</v>
      </c>
      <c r="L102" s="2">
        <f>Table7[[#This Row],[WMS Res]]^2</f>
        <v>27.521648202172106</v>
      </c>
      <c r="M102">
        <f>Regression!$F$10+(Regression!$F$9*Table83[[#This Row],[Morning Diastolic Pressure]])</f>
        <v>255.40607264438131</v>
      </c>
      <c r="N102" s="2">
        <f>Table83[[#This Row],[Weight]]-Table7[[#This Row],[Weight v Morning Dia]]</f>
        <v>-4.6060726443812996</v>
      </c>
      <c r="O102" s="2">
        <f>Table7[[#This Row],[WMD Res]]^2</f>
        <v>21.215905205317739</v>
      </c>
      <c r="P102">
        <f>Regression!$G$10+(Regression!$G$9*Table83[[#This Row],[Morning Pulse]])</f>
        <v>255.12643966469878</v>
      </c>
      <c r="Q102" s="2">
        <f>Table83[[#This Row],[Weight]]-Table7[[#This Row],[Weight v Morning Pulse]]</f>
        <v>-4.3264396646987677</v>
      </c>
      <c r="R102" s="2">
        <f>Table7[[#This Row],[WMP Res]]^2</f>
        <v>18.718080172278786</v>
      </c>
      <c r="S102">
        <f>Regression!$H$10+(Regression!$H$9*Table83[[#This Row],[Night Body Temp]])</f>
        <v>254.95418324800676</v>
      </c>
      <c r="T102" s="2">
        <f>Table83[[#This Row],[Weight]]-Table7[[#This Row],[Weight v Night Temp]]</f>
        <v>-4.1541832480067455</v>
      </c>
      <c r="U102" s="2">
        <f>Table7[[#This Row],[WNT Res]]^2</f>
        <v>17.257238458019874</v>
      </c>
      <c r="V102">
        <f>Regression!$I$10+(Regression!$I$9*Table83[[#This Row],[Night Systolic Pressure]])</f>
        <v>255.03329172511027</v>
      </c>
      <c r="W102" s="2">
        <f>Table83[[#This Row],[Weight]]-Table7[[#This Row],[Weight v Night Sys]]</f>
        <v>-4.2332917251102629</v>
      </c>
      <c r="X102" s="2">
        <f>Table7[[#This Row],[WNS Res]]^2</f>
        <v>17.920758829887024</v>
      </c>
      <c r="Y102">
        <f>Regression!$J$10+(Regression!$J$9*Table83[[#This Row],[Night Diastolic Pressure]])</f>
        <v>255.1330822426622</v>
      </c>
      <c r="Z102" s="2">
        <f>Table83[[#This Row],[Weight]]-Table7[[#This Row],[Weight v Night Dia]]</f>
        <v>-4.3330822426621864</v>
      </c>
      <c r="AA102" s="2">
        <f>Table7[[#This Row],[WND Res]]^2</f>
        <v>18.775601721674363</v>
      </c>
      <c r="AB102">
        <f>Regression!$K$10+(Regression!$K$9*Table83[[#This Row],[Night Pulse]])</f>
        <v>255.04872519626778</v>
      </c>
      <c r="AC102" s="2">
        <f>Table83[[#This Row],[Weight]]-Table7[[#This Row],[Weight v Night Pulse]]</f>
        <v>-4.2487251962677703</v>
      </c>
      <c r="AD102" s="2">
        <f>Table7[[#This Row],[WNP Res ]]^2</f>
        <v>18.051665793400602</v>
      </c>
      <c r="AE102">
        <f>Regression!$L$10+(Regression!$L$9*Table83[[#This Row],[Sleep]])</f>
        <v>255.45250391075515</v>
      </c>
      <c r="AF102" s="2">
        <f>Table83[[#This Row],[Weight]]-Table7[[#This Row],[Weight v Sleep]]</f>
        <v>-4.6525039107551436</v>
      </c>
      <c r="AG102" s="2">
        <f>Table7[[#This Row],[WS Res]]^2</f>
        <v>21.645792639591907</v>
      </c>
      <c r="AH102">
        <f>Regression!$M$10+(Regression!$M$9*Table83[[#This Row],[BMI]])</f>
        <v>250.8000000000097</v>
      </c>
      <c r="AI102" s="2">
        <f>Table83[[#This Row],[Weight]]-Table7[[#This Row],[Weight v BMI]]</f>
        <v>-9.6918029157677665E-12</v>
      </c>
      <c r="AJ102" s="2">
        <f>Table7[[#This Row],[WBMI Res]]^2</f>
        <v>9.3931043758084581E-23</v>
      </c>
      <c r="AK102">
        <f>Regression!$N$10+(Regression!$N$9*Table83[[#This Row],[CBF]])</f>
        <v>250.04675133427031</v>
      </c>
      <c r="AL102" s="2">
        <f>Table83[[#This Row],[Weight]]-Table7[[#This Row],[Weight v CBF]]</f>
        <v>0.75324866572969995</v>
      </c>
      <c r="AM102" s="2">
        <f>Table7[[#This Row],[WCBF Res]]^2</f>
        <v>0.5673835524235733</v>
      </c>
      <c r="AN102">
        <f>Regression!$O$10+(Regression!$O$9*Table83[[#This Row],[Gym]])</f>
        <v>254.72962962962998</v>
      </c>
      <c r="AO102" s="2">
        <f>Table83[[#This Row],[Weight]]-Table7[[#This Row],[Weight v Gym]]</f>
        <v>-3.9296296296299715</v>
      </c>
      <c r="AP102" s="2">
        <f>Table7[[#This Row],[WG Res]]^2</f>
        <v>15.441989026065787</v>
      </c>
      <c r="AQ102">
        <f>Regression!$P$10+(Regression!$P$9*Table83[[#This Row],[Cardio]])</f>
        <v>254.19242424242461</v>
      </c>
      <c r="AR102" s="2">
        <f>Table83[[#This Row],[Weight]]-Table7[[#This Row],[Weight v Cardio]]</f>
        <v>-3.3924242424245961</v>
      </c>
      <c r="AS102" s="2">
        <f>Table7[[#This Row],[WC Res]]^2</f>
        <v>11.508542240590094</v>
      </c>
      <c r="AT102">
        <f>Regression!$Q$10+(Regression!$Q$9*Table83[[#This Row],[Calories]])</f>
        <v>253.77300638892569</v>
      </c>
      <c r="AU102" s="2">
        <f>Table83[[#This Row],[Weight]]-Table7[[#This Row],[Weight v Calories]]</f>
        <v>-2.9730063889256826</v>
      </c>
      <c r="AV102" s="2">
        <f>Table7[[#This Row],[WCAL Res]]^2</f>
        <v>8.8387669885929263</v>
      </c>
      <c r="AW102">
        <f>Regression!$R$10+(Regression!$R$9*Table83[[#This Row],[Carbs]])</f>
        <v>253.69075779608582</v>
      </c>
      <c r="AX102" s="2">
        <f>Table83[[#This Row],[Weight]]-Table7[[#This Row],[Weight v Carbs]]</f>
        <v>-2.8907577960858077</v>
      </c>
      <c r="AY102" s="2">
        <f>Table7[[#This Row],[Wcarb Res]]^2</f>
        <v>8.3564806356308772</v>
      </c>
      <c r="AZ102">
        <f>Regression!$S$10+(Regression!$S$9*Table83[[#This Row],[Fat ]])</f>
        <v>254.18729987079803</v>
      </c>
      <c r="BA102" s="2">
        <f>Table83[[#This Row],[Weight]]-Table7[[#This Row],[Weight v Fat]]</f>
        <v>-3.3872998707980173</v>
      </c>
      <c r="BB102" s="2">
        <f>Table7[[#This Row],[WF Res]]^2</f>
        <v>11.473800414708265</v>
      </c>
      <c r="BC102">
        <f>Regression!$T$10+(Regression!$T$9*Table83[[#This Row],[Protein]])</f>
        <v>254.27428685537578</v>
      </c>
      <c r="BD102" s="2">
        <f>Table83[[#This Row],[Weight]]-Table7[[#This Row],[Weight v Protein]]</f>
        <v>-3.474286855375766</v>
      </c>
      <c r="BE102" s="2">
        <f>Table7[[#This Row],[WP Res]]^2</f>
        <v>12.070669153436828</v>
      </c>
      <c r="BF102">
        <f>Regression!$U$10+(Regression!$U$9*Table83[[#This Row],[Fiber]])</f>
        <v>255.09954908312034</v>
      </c>
      <c r="BG102" s="2">
        <f>Table83[[#This Row],[Weight]]-Table7[[#This Row],[Weight v Fiber]]</f>
        <v>-4.2995490831203256</v>
      </c>
      <c r="BH102" s="2">
        <f>Table7[[#This Row],[Wfib Res]]^2</f>
        <v>18.486122318160831</v>
      </c>
      <c r="BI102">
        <f>Regression!$V$10+(Regression!$V$9*Table83[[#This Row],[Sugar]])</f>
        <v>252.3733922130817</v>
      </c>
      <c r="BJ102" s="2">
        <f>Table83[[#This Row],[Weight]]-Table7[[#This Row],[Weight v Sugar]]</f>
        <v>-1.5733922130816893</v>
      </c>
      <c r="BK102" s="2">
        <f>Table7[[#This Row],[Wsugar Res]]^2</f>
        <v>2.475563056186096</v>
      </c>
      <c r="BL102">
        <f>Regression!$W$10+(Regression!$W$9*Table83[[#This Row],[Servings]])</f>
        <v>252.876394864411</v>
      </c>
      <c r="BM102" s="2">
        <f>Table83[[#This Row],[Weight]]-Table7[[#This Row],[Weight v Servings]]</f>
        <v>-2.076394864410986</v>
      </c>
      <c r="BN102" s="2">
        <f>Table7[[#This Row],[Wserv Res]]^2</f>
        <v>4.3114156329523166</v>
      </c>
      <c r="BO102">
        <f>Regression!$X$10+(Regression!$X$9*Table83[[#This Row],[Water]])</f>
        <v>255.06345001025522</v>
      </c>
      <c r="BP102" s="2">
        <f>Table83[[#This Row],[Weight]]-Table7[[#This Row],[Weight v Water]]</f>
        <v>-4.2634500102552124</v>
      </c>
      <c r="BQ102" s="2">
        <f>Table7[[#This Row],[Wwater Res]]^2</f>
        <v>18.177005989945172</v>
      </c>
      <c r="BR102">
        <f>Regression!$Y$10+(Regression!$Y$9*Table83[[#This Row],[Fat Calories]])</f>
        <v>254.12282923439872</v>
      </c>
      <c r="BS102" s="2">
        <f>Table83[[#This Row],[Weight]]-Table7[[#This Row],[Weight v Fat Calories]]</f>
        <v>-3.3228292343987107</v>
      </c>
      <c r="BT102" s="2">
        <f>Table7[[#This Row],[WFC Res]]^2</f>
        <v>11.041194120974723</v>
      </c>
      <c r="BU102">
        <f>Regression!$B$29+(Regression!$B$28*Table83[[#This Row],[Weight]])</f>
        <v>43.865561060584724</v>
      </c>
      <c r="BV102" s="2">
        <f>Table83[[#This Row],[Waist]]-Table7[[#This Row],[Waist v Weight]]</f>
        <v>-0.36556106058472437</v>
      </c>
      <c r="BW102" s="2">
        <f>Table7[[#This Row],[WaistW Res]]^2</f>
        <v>0.13363488901582851</v>
      </c>
      <c r="BX102">
        <f>Regression!$C$29+(Regression!$C$28*Table83[[#This Row],[Neck]])</f>
        <v>44.175585585585594</v>
      </c>
      <c r="BY102" s="2">
        <f>Table83[[#This Row],[Waist]]-Table7[[#This Row],[Waist v Neck]]</f>
        <v>-0.67558558558559412</v>
      </c>
      <c r="BZ102" s="2">
        <f>Table7[[#This Row],[WaistN Res]]^2</f>
        <v>0.45641588345103012</v>
      </c>
      <c r="CA102">
        <f>Regression!$D$29+(Regression!$D$28*Table83[[#This Row],[Morning Body Temp]])</f>
        <v>44.400157491229571</v>
      </c>
      <c r="CB102" s="2">
        <f>Table83[[#This Row],[Waist]]-Table7[[#This Row],[Waist v Morning Temp]]</f>
        <v>-0.90015749122957089</v>
      </c>
      <c r="CC102" s="2">
        <f>Table7[[#This Row],[WaistMT Res]]^2</f>
        <v>0.81028350901671498</v>
      </c>
      <c r="CD102">
        <f>Regression!$E$29+(Regression!$E$28*Table83[[#This Row],[Morning Systolic Pressure]])</f>
        <v>44.672283237485168</v>
      </c>
      <c r="CE102" s="2">
        <f>Table83[[#This Row],[Waist]]-Table7[[#This Row],[Waist v Morning Sys]]</f>
        <v>-1.1722832374851677</v>
      </c>
      <c r="CF102" s="2">
        <f>Table7[[#This Row],[WaistMS Res]]^2</f>
        <v>1.374247988888706</v>
      </c>
      <c r="CG102">
        <f>Regression!$F$29+(Regression!$F$28*Table83[[#This Row],[Morning Diastolic Pressure]])</f>
        <v>44.469723530150823</v>
      </c>
      <c r="CH102" s="2">
        <f>Table83[[#This Row],[Waist]]-Table7[[#This Row],[Waist v Morning Dia]]</f>
        <v>-0.96972353015082291</v>
      </c>
      <c r="CI102" s="2">
        <f>Table7[[#This Row],[WaistMD Res]]^2</f>
        <v>0.94036372492817399</v>
      </c>
      <c r="CJ102">
        <f>Regression!$G$29+(Regression!$G$28*Table83[[#This Row],[Morning Pulse]])</f>
        <v>44.458773712947881</v>
      </c>
      <c r="CK102" s="2">
        <f>Table83[[#This Row],[Waist]]-Table7[[#This Row],[Waist v Morning Pulse]]</f>
        <v>-0.95877371294788105</v>
      </c>
      <c r="CL102" s="2">
        <f>Table7[[#This Row],[WaistMP Res]]^2</f>
        <v>0.91924703263986585</v>
      </c>
      <c r="CM102">
        <f>Regression!$H$29+(Regression!$H$28*Table83[[#This Row],[Night Body Temp]])</f>
        <v>44.440857030854289</v>
      </c>
      <c r="CN102" s="2">
        <f>Table83[[#This Row],[Waist]]-Table7[[#This Row],[Waist v Night Temp]]</f>
        <v>-0.94085703085428918</v>
      </c>
      <c r="CO102" s="2">
        <f>Table7[[#This Row],[WaistNT Res]]^2</f>
        <v>0.88521195250794882</v>
      </c>
      <c r="CP102">
        <f>Regression!$I$29+(Regression!$I$28*Table83[[#This Row],[Night Systolic Pressure]])</f>
        <v>44.441959200979596</v>
      </c>
      <c r="CQ102" s="2">
        <f>Table83[[#This Row],[Waist]]-Table7[[#This Row],[Waist v  Night Sys]]</f>
        <v>-0.94195920097959629</v>
      </c>
      <c r="CR102" s="2">
        <f>Table7[[#This Row],[WaistNS Res]]^2</f>
        <v>0.88728713631011946</v>
      </c>
      <c r="CS102">
        <f>Regression!$J$29+(Regression!$J$28*Table83[[#This Row],[Night Diastolic Pressure]])</f>
        <v>44.461092011153731</v>
      </c>
      <c r="CT102" s="2">
        <f>Table83[[#This Row],[Waist]]-Table7[[#This Row],[Waist v Night Dia]]</f>
        <v>-0.96109201115373111</v>
      </c>
      <c r="CU102" s="2">
        <f>Table7[[#This Row],[WaistND Res]]^2</f>
        <v>0.92369785390352355</v>
      </c>
      <c r="CV102">
        <f>Regression!$K$29+(Regression!$K$28*Table83[[#This Row],[Night Pulse]])</f>
        <v>44.459708372565267</v>
      </c>
      <c r="CW102" s="2">
        <f>Table83[[#This Row],[Waist]]-Table7[[#This Row],[Waist v Night Pulse]]</f>
        <v>-0.95970837256526664</v>
      </c>
      <c r="CX102" s="2">
        <f>Table7[[#This Row],[WaistNP Res]]^2</f>
        <v>0.92104016037187264</v>
      </c>
      <c r="CY102">
        <f>Regression!$L$29+(Regression!$L$28*Table83[[#This Row],[Sleep]])</f>
        <v>44.504990820853756</v>
      </c>
      <c r="CZ102" s="2">
        <f>Table83[[#This Row],[Waist]]-Table7[[#This Row],[Waist v  Sleep]]</f>
        <v>-1.0049908208537559</v>
      </c>
      <c r="DA102" s="2">
        <f>Table7[[#This Row],[WaistS Res]]^2</f>
        <v>1.0100065500003061</v>
      </c>
      <c r="DB102">
        <f>Regression!$M$29+(Regression!$M$28*Table83[[#This Row],[BMI]])</f>
        <v>43.865561060586593</v>
      </c>
      <c r="DC102" s="2">
        <f>Table83[[#This Row],[Waist]]-Table7[[#This Row],[Waist v BMI]]</f>
        <v>-0.3655610605865931</v>
      </c>
      <c r="DD102" s="2">
        <f>Table7[[#This Row],[WaistBMI Res]]^2</f>
        <v>0.13363488901719478</v>
      </c>
      <c r="DE102">
        <f>Regression!$N$29+(Regression!$N$28*Table83[[#This Row],[CBF]])</f>
        <v>43.540887941991329</v>
      </c>
      <c r="DF102" s="2">
        <f>Table83[[#This Row],[Waist]]-Table7[[#This Row],[Waist v  CBF]]</f>
        <v>-4.0887941991329058E-2</v>
      </c>
      <c r="DG102" s="2">
        <f>Table7[[#This Row],[WaistCBF Res]]^2</f>
        <v>1.6718238002862899E-3</v>
      </c>
      <c r="DH102">
        <f>Regression!$O$29+(Regression!$O$28*Table83[[#This Row],[Gym]])</f>
        <v>44.347222222222221</v>
      </c>
      <c r="DI102" s="2">
        <f>Table83[[#This Row],[Waist]]-Table7[[#This Row],[Waist v  Gym]]</f>
        <v>-0.84722222222222143</v>
      </c>
      <c r="DJ102" s="2">
        <f>Table7[[#This Row],[WaistGYM Res]]^2</f>
        <v>0.71778549382715917</v>
      </c>
      <c r="DK102">
        <f>Regression!$P$29+(Regression!$P$28*Table83[[#This Row],[Cardio]])</f>
        <v>44.291666666666664</v>
      </c>
      <c r="DL102" s="2">
        <f>Table83[[#This Row],[Waist]]-Table7[[#This Row],[Waist v Cardio]]</f>
        <v>-0.7916666666666643</v>
      </c>
      <c r="DM102" s="2">
        <f>Table7[[#This Row],[WaistC Res]]^2</f>
        <v>0.62673611111110739</v>
      </c>
      <c r="DN102">
        <f>Regression!$Q$29+(Regression!$Q$28*Table83[[#This Row],[Calories]])</f>
        <v>44.152013682069828</v>
      </c>
      <c r="DO102" s="2">
        <f>Table83[[#This Row],[Waist]]-Table7[[#This Row],[Waist v Calories]]</f>
        <v>-0.65201368206982835</v>
      </c>
      <c r="DP102" s="2">
        <f>Table7[[#This Row],[WaistCal Res]]^2</f>
        <v>0.42512184160625521</v>
      </c>
      <c r="DQ102">
        <f>Regression!$R$29+(Regression!$R$28*Table83[[#This Row],[Carbs]])</f>
        <v>44.157012105752457</v>
      </c>
      <c r="DR102" s="2">
        <f>Table83[[#This Row],[Waist]]-Table7[[#This Row],[Waist v Carbs]]</f>
        <v>-0.65701210575245739</v>
      </c>
      <c r="DS102" s="2">
        <f>Table7[[#This Row],[WaistCarb Res]]^2</f>
        <v>0.43166490710527827</v>
      </c>
      <c r="DT102">
        <f>Regression!$S$29+(Regression!$S$28*Table83[[#This Row],[Fat ]])</f>
        <v>44.169948000548487</v>
      </c>
      <c r="DU102" s="2">
        <f>Table83[[#This Row],[Waist]]-Table7[[#This Row],[Waist v Fat]]</f>
        <v>-0.66994800054848724</v>
      </c>
      <c r="DV102" s="2">
        <f>Table7[[#This Row],[WaistF Res]]^2</f>
        <v>0.44883032343891588</v>
      </c>
      <c r="DW102">
        <f>Regression!$T$29+(Regression!$T$28*Table83[[#This Row],[Protein]])</f>
        <v>44.299649989043587</v>
      </c>
      <c r="DX102" s="2">
        <f>Table83[[#This Row],[Waist]]-Table7[[#This Row],[Waist v Protein]]</f>
        <v>-0.79964998904358708</v>
      </c>
      <c r="DY102" s="2">
        <f>Table7[[#This Row],[WaistP Res]]^2</f>
        <v>0.639440104977409</v>
      </c>
      <c r="DZ102">
        <f>Regression!$U$29+(Regression!$U$28*Table83[[#This Row],[Fiber]])</f>
        <v>44.447560859507846</v>
      </c>
      <c r="EA102" s="2">
        <f>Table83[[#This Row],[Waist]]-Table7[[#This Row],[Waist v Fiber]]</f>
        <v>-0.94756085950784552</v>
      </c>
      <c r="EB102" s="2">
        <f>Table7[[#This Row],[WaistFib Res]]^2</f>
        <v>0.89787158247124699</v>
      </c>
      <c r="EC102">
        <f>Regression!$V$29+(Regression!$V$28*Table83[[#This Row],[Sugar]])</f>
        <v>43.96103261269284</v>
      </c>
      <c r="ED102" s="2">
        <f>Table83[[#This Row],[Waist]]-Table7[[#This Row],[Waist v Sugar]]</f>
        <v>-0.4610326126928399</v>
      </c>
      <c r="EE102" s="2">
        <f>Table7[[#This Row],[WaistSugar Res]]^2</f>
        <v>0.21255106996638612</v>
      </c>
      <c r="EF102">
        <f>Regression!$W$29+(Regression!$W$28*Table83[[#This Row],[Servings]])</f>
        <v>44.111959222993889</v>
      </c>
      <c r="EG102" s="2">
        <f>Table83[[#This Row],[Waist]]-Table7[[#This Row],[Waist v Servings]]</f>
        <v>-0.61195922299388883</v>
      </c>
      <c r="EH102" s="2">
        <f>Table7[[#This Row],[WaistServ Res]]^2</f>
        <v>0.37449409060728417</v>
      </c>
      <c r="EI102">
        <f>Regression!$X$29+(Regression!$X$28*Table83[[#This Row],[Water]])</f>
        <v>44.386198474840633</v>
      </c>
      <c r="EJ102" s="2">
        <f>Table83[[#This Row],[Waist]]-Table7[[#This Row],[Waist v Water]]</f>
        <v>-0.88619847484063285</v>
      </c>
      <c r="EK102" s="2">
        <f>Table7[[#This Row],[WaistWat Res]]^2</f>
        <v>0.78534773680986381</v>
      </c>
      <c r="EL102">
        <f>Regression!$Y$29+(Regression!$Y$28*Table83[[#This Row],[Fat Calories]])</f>
        <v>44.151778693744021</v>
      </c>
      <c r="EM102" s="2">
        <f>Table83[[#This Row],[Waist]]-Table7[[#This Row],[Waist v Fat Calories]]</f>
        <v>-0.65177869374402064</v>
      </c>
      <c r="EN102" s="2">
        <f>Table7[[#This Row],[WaistFatCal Res]]^2</f>
        <v>0.42481546561866185</v>
      </c>
    </row>
    <row r="103" spans="1:144" x14ac:dyDescent="0.25">
      <c r="A103">
        <f>Regression!$B$10+(Regression!$B$9*Table83[[#This Row],[Waist]])</f>
        <v>246.8183038076352</v>
      </c>
      <c r="B103" s="2">
        <f>Table83[[#This Row],[Weight]]-Table7[[#This Row],[Weight v Waist]]</f>
        <v>5.3816961923647852</v>
      </c>
      <c r="C103" s="2">
        <f>Table7[[#This Row],[Weight v Waist Res]]^2</f>
        <v>28.962653906913626</v>
      </c>
      <c r="D103">
        <f>Regression!$C$10+(Regression!$C$9*Table83[[#This Row],[Neck]])</f>
        <v>253.29286486487842</v>
      </c>
      <c r="E103" s="2">
        <f>Table83[[#This Row],[Weight]]-Table7[[#This Row],[Weight v Neck]]</f>
        <v>-1.092864864878436</v>
      </c>
      <c r="F103" s="2">
        <f>Table7[[#This Row],[WN Res]]^2</f>
        <v>1.1943536128857624</v>
      </c>
      <c r="G103">
        <f>Regression!$D$10+(Regression!$D$9*Table83[[#This Row],[Morning Body Temp]])</f>
        <v>254.84837078641723</v>
      </c>
      <c r="H103" s="2">
        <f>Table83[[#This Row],[Weight]]-Table7[[#This Row],[Weight v Morning Temp]]</f>
        <v>-2.6483707864172459</v>
      </c>
      <c r="I103" s="2">
        <f>Table7[[#This Row],[WMT Res]]^2</f>
        <v>7.0138678223483018</v>
      </c>
      <c r="J103">
        <f>Regression!$E$10+(Regression!$E$9*Table83[[#This Row],[Morning Systolic Pressure]])</f>
        <v>255.27979544420887</v>
      </c>
      <c r="K103" s="2">
        <f>Table83[[#This Row],[Weight]]-Table7[[#This Row],[Weight v Morning Sys]]</f>
        <v>-3.0797954442088837</v>
      </c>
      <c r="L103" s="2">
        <f>Table7[[#This Row],[WMS Res]]^2</f>
        <v>9.485139978169796</v>
      </c>
      <c r="M103">
        <f>Regression!$F$10+(Regression!$F$9*Table83[[#This Row],[Morning Diastolic Pressure]])</f>
        <v>256.41951513483008</v>
      </c>
      <c r="N103" s="2">
        <f>Table83[[#This Row],[Weight]]-Table7[[#This Row],[Weight v Morning Dia]]</f>
        <v>-4.2195151348300897</v>
      </c>
      <c r="O103" s="2">
        <f>Table7[[#This Row],[WMD Res]]^2</f>
        <v>17.80430797306019</v>
      </c>
      <c r="P103">
        <f>Regression!$G$10+(Regression!$G$9*Table83[[#This Row],[Morning Pulse]])</f>
        <v>255.1081617071269</v>
      </c>
      <c r="Q103" s="2">
        <f>Table83[[#This Row],[Weight]]-Table7[[#This Row],[Weight v Morning Pulse]]</f>
        <v>-2.9081617071269079</v>
      </c>
      <c r="R103" s="2">
        <f>Table7[[#This Row],[WMP Res]]^2</f>
        <v>8.4574045147992916</v>
      </c>
      <c r="S103">
        <f>Regression!$H$10+(Regression!$H$9*Table83[[#This Row],[Night Body Temp]])</f>
        <v>255.05687981848845</v>
      </c>
      <c r="T103" s="2">
        <f>Table83[[#This Row],[Weight]]-Table7[[#This Row],[Weight v Night Temp]]</f>
        <v>-2.8568798184884656</v>
      </c>
      <c r="U103" s="2">
        <f>Table7[[#This Row],[WNT Res]]^2</f>
        <v>8.161762297286689</v>
      </c>
      <c r="V103">
        <f>Regression!$I$10+(Regression!$I$9*Table83[[#This Row],[Night Systolic Pressure]])</f>
        <v>255.13593655913874</v>
      </c>
      <c r="W103" s="2">
        <f>Table83[[#This Row],[Weight]]-Table7[[#This Row],[Weight v Night Sys]]</f>
        <v>-2.935936559138753</v>
      </c>
      <c r="X103" s="2">
        <f>Table7[[#This Row],[WNS Res]]^2</f>
        <v>8.6197234792875008</v>
      </c>
      <c r="Y103">
        <f>Regression!$J$10+(Regression!$J$9*Table83[[#This Row],[Night Diastolic Pressure]])</f>
        <v>255.09231637424611</v>
      </c>
      <c r="Z103" s="2">
        <f>Table83[[#This Row],[Weight]]-Table7[[#This Row],[Weight v Night Dia]]</f>
        <v>-2.8923163742461213</v>
      </c>
      <c r="AA103" s="2">
        <f>Table7[[#This Row],[WND Res]]^2</f>
        <v>8.3654940087322291</v>
      </c>
      <c r="AB103">
        <f>Regression!$K$10+(Regression!$K$9*Table83[[#This Row],[Night Pulse]])</f>
        <v>255.07943852750452</v>
      </c>
      <c r="AC103" s="2">
        <f>Table83[[#This Row],[Weight]]-Table7[[#This Row],[Weight v Night Pulse]]</f>
        <v>-2.8794385275045329</v>
      </c>
      <c r="AD103" s="2">
        <f>Table7[[#This Row],[WNP Res ]]^2</f>
        <v>8.2911662336774725</v>
      </c>
      <c r="AE103">
        <f>Regression!$L$10+(Regression!$L$9*Table83[[#This Row],[Sleep]])</f>
        <v>255.76797809412898</v>
      </c>
      <c r="AF103" s="2">
        <f>Table83[[#This Row],[Weight]]-Table7[[#This Row],[Weight v Sleep]]</f>
        <v>-3.5679780941289891</v>
      </c>
      <c r="AG103" s="2">
        <f>Table7[[#This Row],[WS Res]]^2</f>
        <v>12.730467680184333</v>
      </c>
      <c r="AH103">
        <f>Regression!$M$10+(Regression!$M$9*Table83[[#This Row],[BMI]])</f>
        <v>252.20000000000653</v>
      </c>
      <c r="AI103" s="2">
        <f>Table83[[#This Row],[Weight]]-Table7[[#This Row],[Weight v BMI]]</f>
        <v>-6.5369931689929217E-12</v>
      </c>
      <c r="AJ103" s="2">
        <f>Table7[[#This Row],[WBMI Res]]^2</f>
        <v>4.2732279691460121E-23</v>
      </c>
      <c r="AK103">
        <f>Regression!$N$10+(Regression!$N$9*Table83[[#This Row],[CBF]])</f>
        <v>246.85529009284974</v>
      </c>
      <c r="AL103" s="2">
        <f>Table83[[#This Row],[Weight]]-Table7[[#This Row],[Weight v CBF]]</f>
        <v>5.3447099071502464</v>
      </c>
      <c r="AM103" s="2">
        <f>Table7[[#This Row],[WCBF Res]]^2</f>
        <v>28.565923991589994</v>
      </c>
      <c r="AN103">
        <f>Regression!$O$10+(Regression!$O$9*Table83[[#This Row],[Gym]])</f>
        <v>254.72962962962998</v>
      </c>
      <c r="AO103" s="2">
        <f>Table83[[#This Row],[Weight]]-Table7[[#This Row],[Weight v Gym]]</f>
        <v>-2.5296296296299943</v>
      </c>
      <c r="AP103" s="2">
        <f>Table7[[#This Row],[WG Res]]^2</f>
        <v>6.3990260631019824</v>
      </c>
      <c r="AQ103">
        <f>Regression!$P$10+(Regression!$P$9*Table83[[#This Row],[Cardio]])</f>
        <v>254.19242424242461</v>
      </c>
      <c r="AR103" s="2">
        <f>Table83[[#This Row],[Weight]]-Table7[[#This Row],[Weight v Cardio]]</f>
        <v>-1.9924242424246188</v>
      </c>
      <c r="AS103" s="2">
        <f>Table7[[#This Row],[WC Res]]^2</f>
        <v>3.969754361801316</v>
      </c>
      <c r="AT103">
        <f>Regression!$Q$10+(Regression!$Q$9*Table83[[#This Row],[Calories]])</f>
        <v>253.16438562723508</v>
      </c>
      <c r="AU103" s="2">
        <f>Table83[[#This Row],[Weight]]-Table7[[#This Row],[Weight v Calories]]</f>
        <v>-0.9643856272350888</v>
      </c>
      <c r="AV103" s="2">
        <f>Table7[[#This Row],[WCAL Res]]^2</f>
        <v>0.93003963801761569</v>
      </c>
      <c r="AW103">
        <f>Regression!$R$10+(Regression!$R$9*Table83[[#This Row],[Carbs]])</f>
        <v>252.6143896334373</v>
      </c>
      <c r="AX103" s="2">
        <f>Table83[[#This Row],[Weight]]-Table7[[#This Row],[Weight v Carbs]]</f>
        <v>-0.41438963343730961</v>
      </c>
      <c r="AY103" s="2">
        <f>Table7[[#This Row],[Wcarb Res]]^2</f>
        <v>0.17171876830030783</v>
      </c>
      <c r="AZ103">
        <f>Regression!$S$10+(Regression!$S$9*Table83[[#This Row],[Fat ]])</f>
        <v>254.21491587859336</v>
      </c>
      <c r="BA103" s="2">
        <f>Table83[[#This Row],[Weight]]-Table7[[#This Row],[Weight v Fat]]</f>
        <v>-2.0149158785933707</v>
      </c>
      <c r="BB103" s="2">
        <f>Table7[[#This Row],[WF Res]]^2</f>
        <v>4.0598859978076955</v>
      </c>
      <c r="BC103">
        <f>Regression!$T$10+(Regression!$T$9*Table83[[#This Row],[Protein]])</f>
        <v>253.27952856019266</v>
      </c>
      <c r="BD103" s="2">
        <f>Table83[[#This Row],[Weight]]-Table7[[#This Row],[Weight v Protein]]</f>
        <v>-1.0795285601926707</v>
      </c>
      <c r="BE103" s="2">
        <f>Table7[[#This Row],[WP Res]]^2</f>
        <v>1.1653819122716607</v>
      </c>
      <c r="BF103">
        <f>Regression!$U$10+(Regression!$U$9*Table83[[#This Row],[Fiber]])</f>
        <v>255.28331408857653</v>
      </c>
      <c r="BG103" s="2">
        <f>Table83[[#This Row],[Weight]]-Table7[[#This Row],[Weight v Fiber]]</f>
        <v>-3.0833140885765431</v>
      </c>
      <c r="BH103" s="2">
        <f>Table7[[#This Row],[Wfib Res]]^2</f>
        <v>9.5068257688145987</v>
      </c>
      <c r="BI103">
        <f>Regression!$V$10+(Regression!$V$9*Table83[[#This Row],[Sugar]])</f>
        <v>251.02610835027488</v>
      </c>
      <c r="BJ103" s="2">
        <f>Table83[[#This Row],[Weight]]-Table7[[#This Row],[Weight v Sugar]]</f>
        <v>1.1738916497251068</v>
      </c>
      <c r="BK103" s="2">
        <f>Table7[[#This Row],[Wsugar Res]]^2</f>
        <v>1.378021605294333</v>
      </c>
      <c r="BL103">
        <f>Regression!$W$10+(Regression!$W$9*Table83[[#This Row],[Servings]])</f>
        <v>251.3473994812781</v>
      </c>
      <c r="BM103" s="2">
        <f>Table83[[#This Row],[Weight]]-Table7[[#This Row],[Weight v Servings]]</f>
        <v>0.85260051872188569</v>
      </c>
      <c r="BN103" s="2">
        <f>Table7[[#This Row],[Wserv Res]]^2</f>
        <v>0.72692764452482861</v>
      </c>
      <c r="BO103">
        <f>Regression!$X$10+(Regression!$X$9*Table83[[#This Row],[Water]])</f>
        <v>255.06345001025522</v>
      </c>
      <c r="BP103" s="2">
        <f>Table83[[#This Row],[Weight]]-Table7[[#This Row],[Weight v Water]]</f>
        <v>-2.8634500102552352</v>
      </c>
      <c r="BQ103" s="2">
        <f>Table7[[#This Row],[Wwater Res]]^2</f>
        <v>8.1993459612307067</v>
      </c>
      <c r="BR103">
        <f>Regression!$Y$10+(Regression!$Y$9*Table83[[#This Row],[Fat Calories]])</f>
        <v>254.15221961401505</v>
      </c>
      <c r="BS103" s="2">
        <f>Table83[[#This Row],[Weight]]-Table7[[#This Row],[Weight v Fat Calories]]</f>
        <v>-1.9522196140150641</v>
      </c>
      <c r="BT103" s="2">
        <f>Table7[[#This Row],[WFC Res]]^2</f>
        <v>3.8111614213451257</v>
      </c>
      <c r="BU103">
        <f>Regression!$B$29+(Regression!$B$28*Table83[[#This Row],[Weight]])</f>
        <v>44.056328575382693</v>
      </c>
      <c r="BV103" s="2">
        <f>Table83[[#This Row],[Waist]]-Table7[[#This Row],[Waist v Weight]]</f>
        <v>-1.0563285753826932</v>
      </c>
      <c r="BW103" s="2">
        <f>Table7[[#This Row],[WaistW Res]]^2</f>
        <v>1.1158300591700301</v>
      </c>
      <c r="BX103">
        <f>Regression!$C$29+(Regression!$C$28*Table83[[#This Row],[Neck]])</f>
        <v>44.175585585585594</v>
      </c>
      <c r="BY103" s="2">
        <f>Table83[[#This Row],[Waist]]-Table7[[#This Row],[Waist v Neck]]</f>
        <v>-1.1755855855855941</v>
      </c>
      <c r="BZ103" s="2">
        <f>Table7[[#This Row],[WaistN Res]]^2</f>
        <v>1.3820014690366242</v>
      </c>
      <c r="CA103">
        <f>Regression!$D$29+(Regression!$D$28*Table83[[#This Row],[Morning Body Temp]])</f>
        <v>44.381010678053698</v>
      </c>
      <c r="CB103" s="2">
        <f>Table83[[#This Row],[Waist]]-Table7[[#This Row],[Waist v Morning Temp]]</f>
        <v>-1.3810106780536984</v>
      </c>
      <c r="CC103" s="2">
        <f>Table7[[#This Row],[WaistMT Res]]^2</f>
        <v>1.9071904928983356</v>
      </c>
      <c r="CD103">
        <f>Regression!$E$29+(Regression!$E$28*Table83[[#This Row],[Morning Systolic Pressure]])</f>
        <v>44.492246348363913</v>
      </c>
      <c r="CE103" s="2">
        <f>Table83[[#This Row],[Waist]]-Table7[[#This Row],[Waist v Morning Sys]]</f>
        <v>-1.4922463483639135</v>
      </c>
      <c r="CF103" s="2">
        <f>Table7[[#This Row],[WaistMS Res]]^2</f>
        <v>2.2267991642054343</v>
      </c>
      <c r="CG103">
        <f>Regression!$F$29+(Regression!$F$28*Table83[[#This Row],[Morning Diastolic Pressure]])</f>
        <v>44.526079736839364</v>
      </c>
      <c r="CH103" s="2">
        <f>Table83[[#This Row],[Waist]]-Table7[[#This Row],[Waist v Morning Dia]]</f>
        <v>-1.5260797368393639</v>
      </c>
      <c r="CI103" s="2">
        <f>Table7[[#This Row],[WaistMD Res]]^2</f>
        <v>2.3289193631917025</v>
      </c>
      <c r="CJ103">
        <f>Regression!$G$29+(Regression!$G$28*Table83[[#This Row],[Morning Pulse]])</f>
        <v>44.450378687211739</v>
      </c>
      <c r="CK103" s="2">
        <f>Table83[[#This Row],[Waist]]-Table7[[#This Row],[Waist v Morning Pulse]]</f>
        <v>-1.4503786872117388</v>
      </c>
      <c r="CL103" s="2">
        <f>Table7[[#This Row],[WaistMP Res]]^2</f>
        <v>2.103598336318047</v>
      </c>
      <c r="CM103">
        <f>Regression!$H$29+(Regression!$H$28*Table83[[#This Row],[Night Body Temp]])</f>
        <v>44.448953954659181</v>
      </c>
      <c r="CN103" s="2">
        <f>Table83[[#This Row],[Waist]]-Table7[[#This Row],[Waist v Night Temp]]</f>
        <v>-1.4489539546591814</v>
      </c>
      <c r="CO103" s="2">
        <f>Table7[[#This Row],[WaistNT Res]]^2</f>
        <v>2.0994675627224813</v>
      </c>
      <c r="CP103">
        <f>Regression!$I$29+(Regression!$I$28*Table83[[#This Row],[Night Systolic Pressure]])</f>
        <v>44.456499315305209</v>
      </c>
      <c r="CQ103" s="2">
        <f>Table83[[#This Row],[Waist]]-Table7[[#This Row],[Waist v  Night Sys]]</f>
        <v>-1.4564993153052086</v>
      </c>
      <c r="CR103" s="2">
        <f>Table7[[#This Row],[WaistNS Res]]^2</f>
        <v>2.1213902554845414</v>
      </c>
      <c r="CS103">
        <f>Regression!$J$29+(Regression!$J$28*Table83[[#This Row],[Night Diastolic Pressure]])</f>
        <v>44.444024065946287</v>
      </c>
      <c r="CT103" s="2">
        <f>Table83[[#This Row],[Waist]]-Table7[[#This Row],[Waist v Night Dia]]</f>
        <v>-1.4440240659462873</v>
      </c>
      <c r="CU103" s="2">
        <f>Table7[[#This Row],[WaistND Res]]^2</f>
        <v>2.0852055030320473</v>
      </c>
      <c r="CV103">
        <f>Regression!$K$29+(Regression!$K$28*Table83[[#This Row],[Night Pulse]])</f>
        <v>44.456851626254306</v>
      </c>
      <c r="CW103" s="2">
        <f>Table83[[#This Row],[Waist]]-Table7[[#This Row],[Waist v Night Pulse]]</f>
        <v>-1.4568516262543056</v>
      </c>
      <c r="CX103" s="2">
        <f>Table7[[#This Row],[WaistNP Res]]^2</f>
        <v>2.1224166609198152</v>
      </c>
      <c r="CY103">
        <f>Regression!$L$29+(Regression!$L$28*Table83[[#This Row],[Sleep]])</f>
        <v>44.553089788849412</v>
      </c>
      <c r="CZ103" s="2">
        <f>Table83[[#This Row],[Waist]]-Table7[[#This Row],[Waist v  Sleep]]</f>
        <v>-1.5530897888494124</v>
      </c>
      <c r="DA103" s="2">
        <f>Table7[[#This Row],[WaistS Res]]^2</f>
        <v>2.4120878922283122</v>
      </c>
      <c r="DB103">
        <f>Regression!$M$29+(Regression!$M$28*Table83[[#This Row],[BMI]])</f>
        <v>44.056328575383958</v>
      </c>
      <c r="DC103" s="2">
        <f>Table83[[#This Row],[Waist]]-Table7[[#This Row],[Waist v BMI]]</f>
        <v>-1.056328575383958</v>
      </c>
      <c r="DD103" s="2">
        <f>Table7[[#This Row],[WaistBMI Res]]^2</f>
        <v>1.1158300591727022</v>
      </c>
      <c r="DE103">
        <f>Regression!$N$29+(Regression!$N$28*Table83[[#This Row],[CBF]])</f>
        <v>42.966198760667851</v>
      </c>
      <c r="DF103" s="2">
        <f>Table83[[#This Row],[Waist]]-Table7[[#This Row],[Waist v  CBF]]</f>
        <v>3.380123933214918E-2</v>
      </c>
      <c r="DG103" s="2">
        <f>Table7[[#This Row],[WaistCBF Res]]^2</f>
        <v>1.1425237803892288E-3</v>
      </c>
      <c r="DH103">
        <f>Regression!$O$29+(Regression!$O$28*Table83[[#This Row],[Gym]])</f>
        <v>44.347222222222221</v>
      </c>
      <c r="DI103" s="2">
        <f>Table83[[#This Row],[Waist]]-Table7[[#This Row],[Waist v  Gym]]</f>
        <v>-1.3472222222222214</v>
      </c>
      <c r="DJ103" s="2">
        <f>Table7[[#This Row],[WaistGYM Res]]^2</f>
        <v>1.8150077160493805</v>
      </c>
      <c r="DK103">
        <f>Regression!$P$29+(Regression!$P$28*Table83[[#This Row],[Cardio]])</f>
        <v>44.291666666666664</v>
      </c>
      <c r="DL103" s="2">
        <f>Table83[[#This Row],[Waist]]-Table7[[#This Row],[Waist v Cardio]]</f>
        <v>-1.2916666666666643</v>
      </c>
      <c r="DM103" s="2">
        <f>Table7[[#This Row],[WaistC Res]]^2</f>
        <v>1.6684027777777717</v>
      </c>
      <c r="DN103">
        <f>Regression!$Q$29+(Regression!$Q$28*Table83[[#This Row],[Calories]])</f>
        <v>44.015270095921259</v>
      </c>
      <c r="DO103" s="2">
        <f>Table83[[#This Row],[Waist]]-Table7[[#This Row],[Waist v Calories]]</f>
        <v>-1.0152700959212595</v>
      </c>
      <c r="DP103" s="2">
        <f>Table7[[#This Row],[WaistCal Res]]^2</f>
        <v>1.0307733676719635</v>
      </c>
      <c r="DQ103">
        <f>Regression!$R$29+(Regression!$R$28*Table83[[#This Row],[Carbs]])</f>
        <v>43.932918845709004</v>
      </c>
      <c r="DR103" s="2">
        <f>Table83[[#This Row],[Waist]]-Table7[[#This Row],[Waist v Carbs]]</f>
        <v>-0.93291884570900407</v>
      </c>
      <c r="DS103" s="2">
        <f>Table7[[#This Row],[WaistCarb Res]]^2</f>
        <v>0.87033757267902057</v>
      </c>
      <c r="DT103">
        <f>Regression!$S$29+(Regression!$S$28*Table83[[#This Row],[Fat ]])</f>
        <v>44.178389629701947</v>
      </c>
      <c r="DU103" s="2">
        <f>Table83[[#This Row],[Waist]]-Table7[[#This Row],[Waist v Fat]]</f>
        <v>-1.1783896297019467</v>
      </c>
      <c r="DV103" s="2">
        <f>Table7[[#This Row],[WaistF Res]]^2</f>
        <v>1.3886021193890912</v>
      </c>
      <c r="DW103">
        <f>Regression!$T$29+(Regression!$T$28*Table83[[#This Row],[Protein]])</f>
        <v>44.117572269284118</v>
      </c>
      <c r="DX103" s="2">
        <f>Table83[[#This Row],[Waist]]-Table7[[#This Row],[Waist v Protein]]</f>
        <v>-1.1175722692841177</v>
      </c>
      <c r="DY103" s="2">
        <f>Table7[[#This Row],[WaistP Res]]^2</f>
        <v>1.2489677770728524</v>
      </c>
      <c r="DZ103">
        <f>Regression!$U$29+(Regression!$U$28*Table83[[#This Row],[Fiber]])</f>
        <v>44.518468415765717</v>
      </c>
      <c r="EA103" s="2">
        <f>Table83[[#This Row],[Waist]]-Table7[[#This Row],[Waist v Fiber]]</f>
        <v>-1.5184684157657173</v>
      </c>
      <c r="EB103" s="2">
        <f>Table7[[#This Row],[WaistFib Res]]^2</f>
        <v>2.3057463296780476</v>
      </c>
      <c r="EC103">
        <f>Regression!$V$29+(Regression!$V$28*Table83[[#This Row],[Sugar]])</f>
        <v>43.719008093032784</v>
      </c>
      <c r="ED103" s="2">
        <f>Table83[[#This Row],[Waist]]-Table7[[#This Row],[Waist v Sugar]]</f>
        <v>-0.71900809303278379</v>
      </c>
      <c r="EE103" s="2">
        <f>Table7[[#This Row],[WaistSugar Res]]^2</f>
        <v>0.51697263784664027</v>
      </c>
      <c r="EF103">
        <f>Regression!$W$29+(Regression!$W$28*Table83[[#This Row],[Servings]])</f>
        <v>43.878660000583793</v>
      </c>
      <c r="EG103" s="2">
        <f>Table83[[#This Row],[Waist]]-Table7[[#This Row],[Waist v Servings]]</f>
        <v>-0.87866000058379257</v>
      </c>
      <c r="EH103" s="2">
        <f>Table7[[#This Row],[WaistServ Res]]^2</f>
        <v>0.77204339662591037</v>
      </c>
      <c r="EI103">
        <f>Regression!$X$29+(Regression!$X$28*Table83[[#This Row],[Water]])</f>
        <v>44.386198474840633</v>
      </c>
      <c r="EJ103" s="2">
        <f>Table83[[#This Row],[Waist]]-Table7[[#This Row],[Waist v Water]]</f>
        <v>-1.3861984748406329</v>
      </c>
      <c r="EK103" s="2">
        <f>Table7[[#This Row],[WaistWat Res]]^2</f>
        <v>1.9215462116504967</v>
      </c>
      <c r="EL103">
        <f>Regression!$Y$29+(Regression!$Y$28*Table83[[#This Row],[Fat Calories]])</f>
        <v>44.160717153677474</v>
      </c>
      <c r="EM103" s="2">
        <f>Table83[[#This Row],[Waist]]-Table7[[#This Row],[Waist v Fat Calories]]</f>
        <v>-1.1607171536774743</v>
      </c>
      <c r="EN103" s="2">
        <f>Table7[[#This Row],[WaistFatCal Res]]^2</f>
        <v>1.3472643108411375</v>
      </c>
    </row>
    <row r="104" spans="1:144" x14ac:dyDescent="0.25">
      <c r="A104">
        <f>Regression!$B$10+(Regression!$B$9*Table83[[#This Row],[Waist]])</f>
        <v>252.52625917894264</v>
      </c>
      <c r="B104" s="2">
        <f>Table83[[#This Row],[Weight]]-Table7[[#This Row],[Weight v Waist]]</f>
        <v>5.2737408210573733</v>
      </c>
      <c r="C104" s="2">
        <f>Table7[[#This Row],[Weight v Waist Res]]^2</f>
        <v>27.8123422476869</v>
      </c>
      <c r="D104">
        <f>Regression!$C$10+(Regression!$C$9*Table83[[#This Row],[Neck]])</f>
        <v>253.29286486487842</v>
      </c>
      <c r="E104" s="2">
        <f>Table83[[#This Row],[Weight]]-Table7[[#This Row],[Weight v Neck]]</f>
        <v>4.5071351351215867</v>
      </c>
      <c r="F104" s="2">
        <f>Table7[[#This Row],[WN Res]]^2</f>
        <v>20.314267126247483</v>
      </c>
      <c r="G104">
        <f>Regression!$D$10+(Regression!$D$9*Table83[[#This Row],[Morning Body Temp]])</f>
        <v>255.05956644908434</v>
      </c>
      <c r="H104" s="2">
        <f>Table83[[#This Row],[Weight]]-Table7[[#This Row],[Weight v Morning Temp]]</f>
        <v>2.7404335509156681</v>
      </c>
      <c r="I104" s="2">
        <f>Table7[[#This Row],[WMT Res]]^2</f>
        <v>7.5099760469842574</v>
      </c>
      <c r="J104">
        <f>Regression!$E$10+(Regression!$E$9*Table83[[#This Row],[Morning Systolic Pressure]])</f>
        <v>255.09948662875533</v>
      </c>
      <c r="K104" s="2">
        <f>Table83[[#This Row],[Weight]]-Table7[[#This Row],[Weight v Morning Sys]]</f>
        <v>2.700513371244682</v>
      </c>
      <c r="L104" s="2">
        <f>Table7[[#This Row],[WMS Res]]^2</f>
        <v>7.292772468271318</v>
      </c>
      <c r="M104">
        <f>Regression!$F$10+(Regression!$F$9*Table83[[#This Row],[Morning Diastolic Pressure]])</f>
        <v>255.00069564820177</v>
      </c>
      <c r="N104" s="2">
        <f>Table83[[#This Row],[Weight]]-Table7[[#This Row],[Weight v Morning Dia]]</f>
        <v>2.7993043517982414</v>
      </c>
      <c r="O104" s="2">
        <f>Table7[[#This Row],[WMD Res]]^2</f>
        <v>7.8361048539965727</v>
      </c>
      <c r="P104">
        <f>Regression!$G$10+(Regression!$G$9*Table83[[#This Row],[Morning Pulse]])</f>
        <v>255.12095627742721</v>
      </c>
      <c r="Q104" s="2">
        <f>Table83[[#This Row],[Weight]]-Table7[[#This Row],[Weight v Morning Pulse]]</f>
        <v>2.6790437225727999</v>
      </c>
      <c r="R104" s="2">
        <f>Table7[[#This Row],[WMP Res]]^2</f>
        <v>7.1772752674567251</v>
      </c>
      <c r="S104">
        <f>Regression!$H$10+(Regression!$H$9*Table83[[#This Row],[Night Body Temp]])</f>
        <v>255.77575581186025</v>
      </c>
      <c r="T104" s="2">
        <f>Table83[[#This Row],[Weight]]-Table7[[#This Row],[Weight v Night Temp]]</f>
        <v>2.024244188139761</v>
      </c>
      <c r="U104" s="2">
        <f>Table7[[#This Row],[WNT Res]]^2</f>
        <v>4.0975645332176001</v>
      </c>
      <c r="V104">
        <f>Regression!$I$10+(Regression!$I$9*Table83[[#This Row],[Night Systolic Pressure]])</f>
        <v>254.00684338482557</v>
      </c>
      <c r="W104" s="2">
        <f>Table83[[#This Row],[Weight]]-Table7[[#This Row],[Weight v Night Sys]]</f>
        <v>3.7931566151744391</v>
      </c>
      <c r="X104" s="2">
        <f>Table7[[#This Row],[WNS Res]]^2</f>
        <v>14.388037107241608</v>
      </c>
      <c r="Y104">
        <f>Regression!$J$10+(Regression!$J$9*Table83[[#This Row],[Night Diastolic Pressure]])</f>
        <v>253.78780858493084</v>
      </c>
      <c r="Z104" s="2">
        <f>Table83[[#This Row],[Weight]]-Table7[[#This Row],[Weight v Night Dia]]</f>
        <v>4.012191415069168</v>
      </c>
      <c r="AA104" s="2">
        <f>Table7[[#This Row],[WND Res]]^2</f>
        <v>16.097679951154731</v>
      </c>
      <c r="AB104">
        <f>Regression!$K$10+(Regression!$K$9*Table83[[#This Row],[Night Pulse]])</f>
        <v>255.20229185245142</v>
      </c>
      <c r="AC104" s="2">
        <f>Table83[[#This Row],[Weight]]-Table7[[#This Row],[Weight v Night Pulse]]</f>
        <v>2.5977081475485875</v>
      </c>
      <c r="AD104" s="2">
        <f>Table7[[#This Row],[WNP Res ]]^2</f>
        <v>6.7480876198403141</v>
      </c>
      <c r="AE104">
        <f>Regression!$L$10+(Regression!$L$9*Table83[[#This Row],[Sleep]])</f>
        <v>255.29476681906823</v>
      </c>
      <c r="AF104" s="2">
        <f>Table83[[#This Row],[Weight]]-Table7[[#This Row],[Weight v Sleep]]</f>
        <v>2.505233180931782</v>
      </c>
      <c r="AG104" s="2">
        <f>Table7[[#This Row],[WS Res]]^2</f>
        <v>6.276193290841575</v>
      </c>
      <c r="AH104">
        <f>Regression!$M$10+(Regression!$M$9*Table83[[#This Row],[BMI]])</f>
        <v>257.79999999999404</v>
      </c>
      <c r="AI104" s="2">
        <f>Table83[[#This Row],[Weight]]-Table7[[#This Row],[Weight v BMI]]</f>
        <v>5.9685589803848416E-12</v>
      </c>
      <c r="AJ104" s="2">
        <f>Table7[[#This Row],[WBMI Res]]^2</f>
        <v>3.562369630233254E-23</v>
      </c>
      <c r="AK104">
        <f>Regression!$N$10+(Regression!$N$9*Table83[[#This Row],[CBF]])</f>
        <v>253.17965033701802</v>
      </c>
      <c r="AL104" s="2">
        <f>Table83[[#This Row],[Weight]]-Table7[[#This Row],[Weight v CBF]]</f>
        <v>4.6203496629819938</v>
      </c>
      <c r="AM104" s="2">
        <f>Table7[[#This Row],[WCBF Res]]^2</f>
        <v>21.347631008217824</v>
      </c>
      <c r="AN104">
        <f>Regression!$O$10+(Regression!$O$9*Table83[[#This Row],[Gym]])</f>
        <v>255.46779661016953</v>
      </c>
      <c r="AO104" s="2">
        <f>Table83[[#This Row],[Weight]]-Table7[[#This Row],[Weight v Gym]]</f>
        <v>2.3322033898304824</v>
      </c>
      <c r="AP104" s="2">
        <f>Table7[[#This Row],[WG Res]]^2</f>
        <v>5.4391726515367926</v>
      </c>
      <c r="AQ104">
        <f>Regression!$P$10+(Regression!$P$9*Table83[[#This Row],[Cardio]])</f>
        <v>256.41063829787231</v>
      </c>
      <c r="AR104" s="2">
        <f>Table83[[#This Row],[Weight]]-Table7[[#This Row],[Weight v Cardio]]</f>
        <v>1.3893617021277009</v>
      </c>
      <c r="AS104" s="2">
        <f>Table7[[#This Row],[WC Res]]^2</f>
        <v>1.9303259393391823</v>
      </c>
      <c r="AT104">
        <f>Regression!$Q$10+(Regression!$Q$9*Table83[[#This Row],[Calories]])</f>
        <v>255.54762516163703</v>
      </c>
      <c r="AU104" s="2">
        <f>Table83[[#This Row],[Weight]]-Table7[[#This Row],[Weight v Calories]]</f>
        <v>2.2523748383629822</v>
      </c>
      <c r="AV104" s="2">
        <f>Table7[[#This Row],[WCAL Res]]^2</f>
        <v>5.0731924124906707</v>
      </c>
      <c r="AW104">
        <f>Regression!$R$10+(Regression!$R$9*Table83[[#This Row],[Carbs]])</f>
        <v>255.45414014459666</v>
      </c>
      <c r="AX104" s="2">
        <f>Table83[[#This Row],[Weight]]-Table7[[#This Row],[Weight v Carbs]]</f>
        <v>2.3458598554033472</v>
      </c>
      <c r="AY104" s="2">
        <f>Table7[[#This Row],[Wcarb Res]]^2</f>
        <v>5.5030584611930129</v>
      </c>
      <c r="AZ104">
        <f>Regression!$S$10+(Regression!$S$9*Table83[[#This Row],[Fat ]])</f>
        <v>255.49163286719769</v>
      </c>
      <c r="BA104" s="2">
        <f>Table83[[#This Row],[Weight]]-Table7[[#This Row],[Weight v Fat]]</f>
        <v>2.3083671328023172</v>
      </c>
      <c r="BB104" s="2">
        <f>Table7[[#This Row],[WF Res]]^2</f>
        <v>5.3285588198019909</v>
      </c>
      <c r="BC104">
        <f>Regression!$T$10+(Regression!$T$9*Table83[[#This Row],[Protein]])</f>
        <v>255.76258923279886</v>
      </c>
      <c r="BD104" s="2">
        <f>Table83[[#This Row],[Weight]]-Table7[[#This Row],[Weight v Protein]]</f>
        <v>2.0374107672011519</v>
      </c>
      <c r="BE104" s="2">
        <f>Table7[[#This Row],[WP Res]]^2</f>
        <v>4.1510426343071867</v>
      </c>
      <c r="BF104">
        <f>Regression!$U$10+(Regression!$U$9*Table83[[#This Row],[Fiber]])</f>
        <v>255.00040918037897</v>
      </c>
      <c r="BG104" s="2">
        <f>Table83[[#This Row],[Weight]]-Table7[[#This Row],[Weight v Fiber]]</f>
        <v>2.7995908196210451</v>
      </c>
      <c r="BH104" s="2">
        <f>Table7[[#This Row],[Wfib Res]]^2</f>
        <v>7.8377087573064346</v>
      </c>
      <c r="BI104">
        <f>Regression!$V$10+(Regression!$V$9*Table83[[#This Row],[Sugar]])</f>
        <v>255.44937910686073</v>
      </c>
      <c r="BJ104" s="2">
        <f>Table83[[#This Row],[Weight]]-Table7[[#This Row],[Weight v Sugar]]</f>
        <v>2.3506208931392791</v>
      </c>
      <c r="BK104" s="2">
        <f>Table7[[#This Row],[Wsugar Res]]^2</f>
        <v>5.5254185832629021</v>
      </c>
      <c r="BL104">
        <f>Regression!$W$10+(Regression!$W$9*Table83[[#This Row],[Servings]])</f>
        <v>254.85109240172716</v>
      </c>
      <c r="BM104" s="2">
        <f>Table83[[#This Row],[Weight]]-Table7[[#This Row],[Weight v Servings]]</f>
        <v>2.9489075982728536</v>
      </c>
      <c r="BN104" s="2">
        <f>Table7[[#This Row],[Wserv Res]]^2</f>
        <v>8.6960560231513693</v>
      </c>
      <c r="BO104">
        <f>Regression!$X$10+(Regression!$X$9*Table83[[#This Row],[Water]])</f>
        <v>255.06345001025522</v>
      </c>
      <c r="BP104" s="2">
        <f>Table83[[#This Row],[Weight]]-Table7[[#This Row],[Weight v Water]]</f>
        <v>2.7365499897447876</v>
      </c>
      <c r="BQ104" s="2">
        <f>Table7[[#This Row],[Wwater Res]]^2</f>
        <v>7.4887058463721967</v>
      </c>
      <c r="BR104">
        <f>Regression!$Y$10+(Regression!$Y$9*Table83[[#This Row],[Fat Calories]])</f>
        <v>255.51096767187471</v>
      </c>
      <c r="BS104" s="2">
        <f>Table83[[#This Row],[Weight]]-Table7[[#This Row],[Weight v Fat Calories]]</f>
        <v>2.2890323281253018</v>
      </c>
      <c r="BT104" s="2">
        <f>Table7[[#This Row],[WFC Res]]^2</f>
        <v>5.2396689992027392</v>
      </c>
      <c r="BU104">
        <f>Regression!$B$29+(Regression!$B$28*Table83[[#This Row],[Weight]])</f>
        <v>44.819398634574597</v>
      </c>
      <c r="BV104" s="2">
        <f>Table83[[#This Row],[Waist]]-Table7[[#This Row],[Waist v Weight]]</f>
        <v>-0.81939863457459694</v>
      </c>
      <c r="BW104" s="2">
        <f>Table7[[#This Row],[WaistW Res]]^2</f>
        <v>0.6714141223427138</v>
      </c>
      <c r="BX104">
        <f>Regression!$C$29+(Regression!$C$28*Table83[[#This Row],[Neck]])</f>
        <v>44.175585585585594</v>
      </c>
      <c r="BY104" s="2">
        <f>Table83[[#This Row],[Waist]]-Table7[[#This Row],[Waist v Neck]]</f>
        <v>-0.17558558558559412</v>
      </c>
      <c r="BZ104" s="2">
        <f>Table7[[#This Row],[WaistN Res]]^2</f>
        <v>3.0830297865435997E-2</v>
      </c>
      <c r="CA104">
        <f>Regression!$D$29+(Regression!$D$28*Table83[[#This Row],[Morning Body Temp]])</f>
        <v>44.438451117581323</v>
      </c>
      <c r="CB104" s="2">
        <f>Table83[[#This Row],[Waist]]-Table7[[#This Row],[Waist v Morning Temp]]</f>
        <v>-0.43845111758132305</v>
      </c>
      <c r="CC104" s="2">
        <f>Table7[[#This Row],[WaistMT Res]]^2</f>
        <v>0.19223938250831116</v>
      </c>
      <c r="CD104">
        <f>Regression!$E$29+(Regression!$E$28*Table83[[#This Row],[Morning Systolic Pressure]])</f>
        <v>44.449884727394206</v>
      </c>
      <c r="CE104" s="2">
        <f>Table83[[#This Row],[Waist]]-Table7[[#This Row],[Waist v Morning Sys]]</f>
        <v>-0.44988472739420615</v>
      </c>
      <c r="CF104" s="2">
        <f>Table7[[#This Row],[WaistMS Res]]^2</f>
        <v>0.20239626794255919</v>
      </c>
      <c r="CG104">
        <f>Regression!$F$29+(Regression!$F$28*Table83[[#This Row],[Morning Diastolic Pressure]])</f>
        <v>44.447181047475404</v>
      </c>
      <c r="CH104" s="2">
        <f>Table83[[#This Row],[Waist]]-Table7[[#This Row],[Waist v Morning Dia]]</f>
        <v>-0.44718104747540366</v>
      </c>
      <c r="CI104" s="2">
        <f>Table7[[#This Row],[WaistMD Res]]^2</f>
        <v>0.19997088922119921</v>
      </c>
      <c r="CJ104">
        <f>Regression!$G$29+(Regression!$G$28*Table83[[#This Row],[Morning Pulse]])</f>
        <v>44.456255205227038</v>
      </c>
      <c r="CK104" s="2">
        <f>Table83[[#This Row],[Waist]]-Table7[[#This Row],[Waist v Morning Pulse]]</f>
        <v>-0.45625520522703766</v>
      </c>
      <c r="CL104" s="2">
        <f>Table7[[#This Row],[WaistMP Res]]^2</f>
        <v>0.20816881229676626</v>
      </c>
      <c r="CM104">
        <f>Regression!$H$29+(Regression!$H$28*Table83[[#This Row],[Night Body Temp]])</f>
        <v>44.505632421293377</v>
      </c>
      <c r="CN104" s="2">
        <f>Table83[[#This Row],[Waist]]-Table7[[#This Row],[Waist v Night Temp]]</f>
        <v>-0.50563242129337738</v>
      </c>
      <c r="CO104" s="2">
        <f>Table7[[#This Row],[WaistNT Res]]^2</f>
        <v>0.25566414546300348</v>
      </c>
      <c r="CP104">
        <f>Regression!$I$29+(Regression!$I$28*Table83[[#This Row],[Night Systolic Pressure]])</f>
        <v>44.296558057723466</v>
      </c>
      <c r="CQ104" s="2">
        <f>Table83[[#This Row],[Waist]]-Table7[[#This Row],[Waist v  Night Sys]]</f>
        <v>-0.29655805772346611</v>
      </c>
      <c r="CR104" s="2">
        <f>Table7[[#This Row],[WaistNS Res]]^2</f>
        <v>8.7946681600714657E-2</v>
      </c>
      <c r="CS104">
        <f>Regression!$J$29+(Regression!$J$28*Table83[[#This Row],[Night Diastolic Pressure]])</f>
        <v>43.897849819308142</v>
      </c>
      <c r="CT104" s="2">
        <f>Table83[[#This Row],[Waist]]-Table7[[#This Row],[Waist v Night Dia]]</f>
        <v>0.10215018069185788</v>
      </c>
      <c r="CU104" s="2">
        <f>Table7[[#This Row],[WaistND Res]]^2</f>
        <v>1.0434659415379216E-2</v>
      </c>
      <c r="CV104">
        <f>Regression!$K$29+(Regression!$K$28*Table83[[#This Row],[Night Pulse]])</f>
        <v>44.44542464101044</v>
      </c>
      <c r="CW104" s="2">
        <f>Table83[[#This Row],[Waist]]-Table7[[#This Row],[Waist v Night Pulse]]</f>
        <v>-0.44542464101044033</v>
      </c>
      <c r="CX104" s="2">
        <f>Table7[[#This Row],[WaistNP Res]]^2</f>
        <v>0.19840311081927964</v>
      </c>
      <c r="CY104">
        <f>Regression!$L$29+(Regression!$L$28*Table83[[#This Row],[Sleep]])</f>
        <v>44.480941336855928</v>
      </c>
      <c r="CZ104" s="2">
        <f>Table83[[#This Row],[Waist]]-Table7[[#This Row],[Waist v  Sleep]]</f>
        <v>-0.48094133685592766</v>
      </c>
      <c r="DA104" s="2">
        <f>Table7[[#This Row],[WaistS Res]]^2</f>
        <v>0.23130456949676689</v>
      </c>
      <c r="DB104">
        <f>Regression!$M$29+(Regression!$M$28*Table83[[#This Row],[BMI]])</f>
        <v>44.819398634573439</v>
      </c>
      <c r="DC104" s="2">
        <f>Table83[[#This Row],[Waist]]-Table7[[#This Row],[Waist v BMI]]</f>
        <v>-0.81939863457343876</v>
      </c>
      <c r="DD104" s="2">
        <f>Table7[[#This Row],[WaistBMI Res]]^2</f>
        <v>0.67141412234081588</v>
      </c>
      <c r="DE104">
        <f>Regression!$N$29+(Regression!$N$28*Table83[[#This Row],[CBF]])</f>
        <v>44.105031770433015</v>
      </c>
      <c r="DF104" s="2">
        <f>Table83[[#This Row],[Waist]]-Table7[[#This Row],[Waist v  CBF]]</f>
        <v>-0.10503177043301548</v>
      </c>
      <c r="DG104" s="2">
        <f>Table7[[#This Row],[WaistCBF Res]]^2</f>
        <v>1.1031672800293666E-2</v>
      </c>
      <c r="DH104">
        <f>Regression!$O$29+(Regression!$O$28*Table83[[#This Row],[Gym]])</f>
        <v>44.550847457627107</v>
      </c>
      <c r="DI104" s="2">
        <f>Table83[[#This Row],[Waist]]-Table7[[#This Row],[Waist v  Gym]]</f>
        <v>-0.55084745762710696</v>
      </c>
      <c r="DJ104" s="2">
        <f>Table7[[#This Row],[WaistGYM Res]]^2</f>
        <v>0.30343292157424739</v>
      </c>
      <c r="DK104">
        <f>Regression!$P$29+(Regression!$P$28*Table83[[#This Row],[Cardio]])</f>
        <v>44.680851063829778</v>
      </c>
      <c r="DL104" s="2">
        <f>Table83[[#This Row],[Waist]]-Table7[[#This Row],[Waist v Cardio]]</f>
        <v>-0.68085106382977756</v>
      </c>
      <c r="DM104" s="2">
        <f>Table7[[#This Row],[WaistC Res]]^2</f>
        <v>0.46355817111813985</v>
      </c>
      <c r="DN104">
        <f>Regression!$Q$29+(Regression!$Q$28*Table83[[#This Row],[Calories]])</f>
        <v>44.550731159851935</v>
      </c>
      <c r="DO104" s="2">
        <f>Table83[[#This Row],[Waist]]-Table7[[#This Row],[Waist v Calories]]</f>
        <v>-0.5507311598519351</v>
      </c>
      <c r="DP104" s="2">
        <f>Table7[[#This Row],[WaistCal Res]]^2</f>
        <v>0.3033048104318577</v>
      </c>
      <c r="DQ104">
        <f>Regression!$R$29+(Regression!$R$28*Table83[[#This Row],[Carbs]])</f>
        <v>44.524137512182669</v>
      </c>
      <c r="DR104" s="2">
        <f>Table83[[#This Row],[Waist]]-Table7[[#This Row],[Waist v Carbs]]</f>
        <v>-0.52413751218266924</v>
      </c>
      <c r="DS104" s="2">
        <f>Table7[[#This Row],[WaistCarb Res]]^2</f>
        <v>0.27472013167703774</v>
      </c>
      <c r="DT104">
        <f>Regression!$S$29+(Regression!$S$28*Table83[[#This Row],[Fat ]])</f>
        <v>44.568654994326621</v>
      </c>
      <c r="DU104" s="2">
        <f>Table83[[#This Row],[Waist]]-Table7[[#This Row],[Waist v Fat]]</f>
        <v>-0.56865499432662148</v>
      </c>
      <c r="DV104" s="2">
        <f>Table7[[#This Row],[WaistF Res]]^2</f>
        <v>0.32336850257260991</v>
      </c>
      <c r="DW104">
        <f>Regression!$T$29+(Regression!$T$28*Table83[[#This Row],[Protein]])</f>
        <v>44.572064609264373</v>
      </c>
      <c r="DX104" s="2">
        <f>Table83[[#This Row],[Waist]]-Table7[[#This Row],[Waist v Protein]]</f>
        <v>-0.5720646092643733</v>
      </c>
      <c r="DY104" s="2">
        <f>Table7[[#This Row],[WaistP Res]]^2</f>
        <v>0.32725791717280012</v>
      </c>
      <c r="DZ104">
        <f>Regression!$U$29+(Regression!$U$28*Table83[[#This Row],[Fiber]])</f>
        <v>44.409306741355252</v>
      </c>
      <c r="EA104" s="2">
        <f>Table83[[#This Row],[Waist]]-Table7[[#This Row],[Waist v Fiber]]</f>
        <v>-0.4093067413552518</v>
      </c>
      <c r="EB104" s="2">
        <f>Table7[[#This Row],[WaistFib Res]]^2</f>
        <v>0.167532008518855</v>
      </c>
      <c r="EC104">
        <f>Regression!$V$29+(Regression!$V$28*Table83[[#This Row],[Sugar]])</f>
        <v>44.513599351595616</v>
      </c>
      <c r="ED104" s="2">
        <f>Table83[[#This Row],[Waist]]-Table7[[#This Row],[Waist v Sugar]]</f>
        <v>-0.51359935159561587</v>
      </c>
      <c r="EE104" s="2">
        <f>Table7[[#This Row],[WaistSugar Res]]^2</f>
        <v>0.26378429395943703</v>
      </c>
      <c r="EF104">
        <f>Regression!$W$29+(Regression!$W$28*Table83[[#This Row],[Servings]])</f>
        <v>44.413265168736523</v>
      </c>
      <c r="EG104" s="2">
        <f>Table83[[#This Row],[Waist]]-Table7[[#This Row],[Waist v Servings]]</f>
        <v>-0.41326516873652253</v>
      </c>
      <c r="EH104" s="2">
        <f>Table7[[#This Row],[WaistServ Res]]^2</f>
        <v>0.17078809969082642</v>
      </c>
      <c r="EI104">
        <f>Regression!$X$29+(Regression!$X$28*Table83[[#This Row],[Water]])</f>
        <v>44.386198474840633</v>
      </c>
      <c r="EJ104" s="2">
        <f>Table83[[#This Row],[Waist]]-Table7[[#This Row],[Waist v Water]]</f>
        <v>-0.38619847484063285</v>
      </c>
      <c r="EK104" s="2">
        <f>Table7[[#This Row],[WaistWat Res]]^2</f>
        <v>0.14914926196923092</v>
      </c>
      <c r="EL104">
        <f>Regression!$Y$29+(Regression!$Y$28*Table83[[#This Row],[Fat Calories]])</f>
        <v>44.573951526059759</v>
      </c>
      <c r="EM104" s="2">
        <f>Table83[[#This Row],[Waist]]-Table7[[#This Row],[Waist v Fat Calories]]</f>
        <v>-0.57395152605975852</v>
      </c>
      <c r="EN104" s="2">
        <f>Table7[[#This Row],[WaistFatCal Res]]^2</f>
        <v>0.32942035426632565</v>
      </c>
    </row>
    <row r="105" spans="1:144" x14ac:dyDescent="0.25">
      <c r="A105">
        <f>Regression!$B$10+(Regression!$B$9*Table83[[#This Row],[Waist]])</f>
        <v>255.38023686459636</v>
      </c>
      <c r="B105" s="2">
        <f>Table83[[#This Row],[Weight]]-Table7[[#This Row],[Weight v Waist]]</f>
        <v>2.8197631354036332</v>
      </c>
      <c r="C105" s="2">
        <f>Table7[[#This Row],[Weight v Waist Res]]^2</f>
        <v>7.9510641397813284</v>
      </c>
      <c r="D105">
        <f>Regression!$C$10+(Regression!$C$9*Table83[[#This Row],[Neck]])</f>
        <v>253.29286486487842</v>
      </c>
      <c r="E105" s="2">
        <f>Table83[[#This Row],[Weight]]-Table7[[#This Row],[Weight v Neck]]</f>
        <v>4.907135135121564</v>
      </c>
      <c r="F105" s="2">
        <f>Table7[[#This Row],[WN Res]]^2</f>
        <v>24.079975234344531</v>
      </c>
      <c r="G105">
        <f>Regression!$D$10+(Regression!$D$9*Table83[[#This Row],[Morning Body Temp]])</f>
        <v>255.9747476539751</v>
      </c>
      <c r="H105" s="2">
        <f>Table83[[#This Row],[Weight]]-Table7[[#This Row],[Weight v Morning Temp]]</f>
        <v>2.2252523460248881</v>
      </c>
      <c r="I105" s="2">
        <f>Table7[[#This Row],[WMT Res]]^2</f>
        <v>4.9517480034892687</v>
      </c>
      <c r="J105">
        <f>Regression!$E$10+(Regression!$E$9*Table83[[#This Row],[Morning Systolic Pressure]])</f>
        <v>254.73886899784827</v>
      </c>
      <c r="K105" s="2">
        <f>Table83[[#This Row],[Weight]]-Table7[[#This Row],[Weight v Morning Sys]]</f>
        <v>3.461131002151717</v>
      </c>
      <c r="L105" s="2">
        <f>Table7[[#This Row],[WMS Res]]^2</f>
        <v>11.979427814055748</v>
      </c>
      <c r="M105">
        <f>Regression!$F$10+(Regression!$F$9*Table83[[#This Row],[Morning Diastolic Pressure]])</f>
        <v>254.8993513991569</v>
      </c>
      <c r="N105" s="2">
        <f>Table83[[#This Row],[Weight]]-Table7[[#This Row],[Weight v Morning Dia]]</f>
        <v>3.3006486008430898</v>
      </c>
      <c r="O105" s="2">
        <f>Table7[[#This Row],[WMD Res]]^2</f>
        <v>10.894281186247445</v>
      </c>
      <c r="P105">
        <f>Regression!$G$10+(Regression!$G$9*Table83[[#This Row],[Morning Pulse]])</f>
        <v>255.10633391136972</v>
      </c>
      <c r="Q105" s="2">
        <f>Table83[[#This Row],[Weight]]-Table7[[#This Row],[Weight v Morning Pulse]]</f>
        <v>3.0936660886302718</v>
      </c>
      <c r="R105" s="2">
        <f>Table7[[#This Row],[WMP Res]]^2</f>
        <v>9.5707698679409248</v>
      </c>
      <c r="S105">
        <f>Regression!$H$10+(Regression!$H$9*Table83[[#This Row],[Night Body Temp]])</f>
        <v>255.67305924137855</v>
      </c>
      <c r="T105" s="2">
        <f>Table83[[#This Row],[Weight]]-Table7[[#This Row],[Weight v Night Temp]]</f>
        <v>2.5269407586214356</v>
      </c>
      <c r="U105" s="2">
        <f>Table7[[#This Row],[WNT Res]]^2</f>
        <v>6.3854295975822764</v>
      </c>
      <c r="V105">
        <f>Regression!$I$10+(Regression!$I$9*Table83[[#This Row],[Night Systolic Pressure]])</f>
        <v>257.49676774179352</v>
      </c>
      <c r="W105" s="2">
        <f>Table83[[#This Row],[Weight]]-Table7[[#This Row],[Weight v Night Sys]]</f>
        <v>0.7032322582064694</v>
      </c>
      <c r="X105" s="2">
        <f>Table7[[#This Row],[WNS Res]]^2</f>
        <v>0.49453560898217042</v>
      </c>
      <c r="Y105">
        <f>Regression!$J$10+(Regression!$J$9*Table83[[#This Row],[Night Diastolic Pressure]])</f>
        <v>255.25537984791052</v>
      </c>
      <c r="Z105" s="2">
        <f>Table83[[#This Row],[Weight]]-Table7[[#This Row],[Weight v Night Dia]]</f>
        <v>2.9446201520894704</v>
      </c>
      <c r="AA105" s="2">
        <f>Table7[[#This Row],[WND Res]]^2</f>
        <v>8.6707878400914158</v>
      </c>
      <c r="AB105">
        <f>Regression!$K$10+(Regression!$K$9*Table83[[#This Row],[Night Pulse]])</f>
        <v>255.29443184616159</v>
      </c>
      <c r="AC105" s="2">
        <f>Table83[[#This Row],[Weight]]-Table7[[#This Row],[Weight v Night Pulse]]</f>
        <v>2.9055681538384022</v>
      </c>
      <c r="AD105" s="2">
        <f>Table7[[#This Row],[WNP Res ]]^2</f>
        <v>8.4423262965999015</v>
      </c>
      <c r="AE105">
        <f>Regression!$L$10+(Regression!$L$9*Table83[[#This Row],[Sleep]])</f>
        <v>255.13702972738133</v>
      </c>
      <c r="AF105" s="2">
        <f>Table83[[#This Row],[Weight]]-Table7[[#This Row],[Weight v Sleep]]</f>
        <v>3.0629702726186565</v>
      </c>
      <c r="AG105" s="2">
        <f>Table7[[#This Row],[WS Res]]^2</f>
        <v>9.381786890945607</v>
      </c>
      <c r="AH105">
        <f>Regression!$M$10+(Regression!$M$9*Table83[[#This Row],[BMI]])</f>
        <v>258.19999999999311</v>
      </c>
      <c r="AI105" s="2">
        <f>Table83[[#This Row],[Weight]]-Table7[[#This Row],[Weight v BMI]]</f>
        <v>6.8780536821577698E-12</v>
      </c>
      <c r="AJ105" s="2">
        <f>Table7[[#This Row],[WBMI Res]]^2</f>
        <v>4.7307622454644055E-23</v>
      </c>
      <c r="AK105">
        <f>Regression!$N$10+(Regression!$N$9*Table83[[#This Row],[CBF]])</f>
        <v>256.25609762651322</v>
      </c>
      <c r="AL105" s="2">
        <f>Table83[[#This Row],[Weight]]-Table7[[#This Row],[Weight v CBF]]</f>
        <v>1.9439023734867646</v>
      </c>
      <c r="AM105" s="2">
        <f>Table7[[#This Row],[WCBF Res]]^2</f>
        <v>3.7787564376474769</v>
      </c>
      <c r="AN105">
        <f>Regression!$O$10+(Regression!$O$9*Table83[[#This Row],[Gym]])</f>
        <v>254.72962962962998</v>
      </c>
      <c r="AO105" s="2">
        <f>Table83[[#This Row],[Weight]]-Table7[[#This Row],[Weight v Gym]]</f>
        <v>3.4703703703700057</v>
      </c>
      <c r="AP105" s="2">
        <f>Table7[[#This Row],[WG Res]]^2</f>
        <v>12.04347050754205</v>
      </c>
      <c r="AQ105">
        <f>Regression!$P$10+(Regression!$P$9*Table83[[#This Row],[Cardio]])</f>
        <v>254.19242424242461</v>
      </c>
      <c r="AR105" s="2">
        <f>Table83[[#This Row],[Weight]]-Table7[[#This Row],[Weight v Cardio]]</f>
        <v>4.0075757575753812</v>
      </c>
      <c r="AS105" s="2">
        <f>Table7[[#This Row],[WC Res]]^2</f>
        <v>16.060663452705892</v>
      </c>
      <c r="AT105">
        <f>Regression!$Q$10+(Regression!$Q$9*Table83[[#This Row],[Calories]])</f>
        <v>255.50609411570082</v>
      </c>
      <c r="AU105" s="2">
        <f>Table83[[#This Row],[Weight]]-Table7[[#This Row],[Weight v Calories]]</f>
        <v>2.6939058842991699</v>
      </c>
      <c r="AV105" s="2">
        <f>Table7[[#This Row],[WCAL Res]]^2</f>
        <v>7.2571289134616928</v>
      </c>
      <c r="AW105">
        <f>Regression!$R$10+(Regression!$R$9*Table83[[#This Row],[Carbs]])</f>
        <v>255.63296533140704</v>
      </c>
      <c r="AX105" s="2">
        <f>Table83[[#This Row],[Weight]]-Table7[[#This Row],[Weight v Carbs]]</f>
        <v>2.567034668592953</v>
      </c>
      <c r="AY105" s="2">
        <f>Table7[[#This Row],[Wcarb Res]]^2</f>
        <v>6.5896669897581326</v>
      </c>
      <c r="AZ105">
        <f>Regression!$S$10+(Regression!$S$9*Table83[[#This Row],[Fat ]])</f>
        <v>255.28199361179401</v>
      </c>
      <c r="BA105" s="2">
        <f>Table83[[#This Row],[Weight]]-Table7[[#This Row],[Weight v Fat]]</f>
        <v>2.9180063882059812</v>
      </c>
      <c r="BB105" s="2">
        <f>Table7[[#This Row],[WF Res]]^2</f>
        <v>8.5147612816109159</v>
      </c>
      <c r="BC105">
        <f>Regression!$T$10+(Regression!$T$9*Table83[[#This Row],[Protein]])</f>
        <v>255.51382540375141</v>
      </c>
      <c r="BD105" s="2">
        <f>Table83[[#This Row],[Weight]]-Table7[[#This Row],[Weight v Protein]]</f>
        <v>2.686174596248577</v>
      </c>
      <c r="BE105" s="2">
        <f>Table7[[#This Row],[WP Res]]^2</f>
        <v>7.2155339615312055</v>
      </c>
      <c r="BF105">
        <f>Regression!$U$10+(Regression!$U$9*Table83[[#This Row],[Fiber]])</f>
        <v>255.01955152862183</v>
      </c>
      <c r="BG105" s="2">
        <f>Table83[[#This Row],[Weight]]-Table7[[#This Row],[Weight v Fiber]]</f>
        <v>3.1804484713781562</v>
      </c>
      <c r="BH105" s="2">
        <f>Table7[[#This Row],[Wfib Res]]^2</f>
        <v>10.11525247909165</v>
      </c>
      <c r="BI105">
        <f>Regression!$V$10+(Regression!$V$9*Table83[[#This Row],[Sugar]])</f>
        <v>255.92475374682573</v>
      </c>
      <c r="BJ105" s="2">
        <f>Table83[[#This Row],[Weight]]-Table7[[#This Row],[Weight v Sugar]]</f>
        <v>2.2752462531742594</v>
      </c>
      <c r="BK105" s="2">
        <f>Table7[[#This Row],[Wsugar Res]]^2</f>
        <v>5.1767455125835067</v>
      </c>
      <c r="BL105">
        <f>Regression!$W$10+(Regression!$W$9*Table83[[#This Row],[Servings]])</f>
        <v>256.07849344553711</v>
      </c>
      <c r="BM105" s="2">
        <f>Table83[[#This Row],[Weight]]-Table7[[#This Row],[Weight v Servings]]</f>
        <v>2.1215065544628828</v>
      </c>
      <c r="BN105" s="2">
        <f>Table7[[#This Row],[Wserv Res]]^2</f>
        <v>4.5007900606289732</v>
      </c>
      <c r="BO105">
        <f>Regression!$X$10+(Regression!$X$9*Table83[[#This Row],[Water]])</f>
        <v>255.06345001025522</v>
      </c>
      <c r="BP105" s="2">
        <f>Table83[[#This Row],[Weight]]-Table7[[#This Row],[Weight v Water]]</f>
        <v>3.1365499897447648</v>
      </c>
      <c r="BQ105" s="2">
        <f>Table7[[#This Row],[Wwater Res]]^2</f>
        <v>9.8379458381678848</v>
      </c>
      <c r="BR105">
        <f>Regression!$Y$10+(Regression!$Y$9*Table83[[#This Row],[Fat Calories]])</f>
        <v>255.29589661320236</v>
      </c>
      <c r="BS105" s="2">
        <f>Table83[[#This Row],[Weight]]-Table7[[#This Row],[Weight v Fat Calories]]</f>
        <v>2.9041033867976296</v>
      </c>
      <c r="BT105" s="2">
        <f>Table7[[#This Row],[WFC Res]]^2</f>
        <v>8.4338164812094618</v>
      </c>
      <c r="BU105">
        <f>Regression!$B$29+(Regression!$B$28*Table83[[#This Row],[Weight]])</f>
        <v>44.873903638802588</v>
      </c>
      <c r="BV105" s="2">
        <f>Table83[[#This Row],[Waist]]-Table7[[#This Row],[Waist v Weight]]</f>
        <v>-0.37390363880258803</v>
      </c>
      <c r="BW105" s="2">
        <f>Table7[[#This Row],[WaistW Res]]^2</f>
        <v>0.1398039311098162</v>
      </c>
      <c r="BX105">
        <f>Regression!$C$29+(Regression!$C$28*Table83[[#This Row],[Neck]])</f>
        <v>44.175585585585594</v>
      </c>
      <c r="BY105" s="2">
        <f>Table83[[#This Row],[Waist]]-Table7[[#This Row],[Waist v Neck]]</f>
        <v>0.32441441441440588</v>
      </c>
      <c r="BZ105" s="2">
        <f>Table7[[#This Row],[WaistN Res]]^2</f>
        <v>0.10524471227984188</v>
      </c>
      <c r="CA105">
        <f>Regression!$D$29+(Regression!$D$28*Table83[[#This Row],[Morning Body Temp]])</f>
        <v>44.687359688867737</v>
      </c>
      <c r="CB105" s="2">
        <f>Table83[[#This Row],[Waist]]-Table7[[#This Row],[Waist v Morning Temp]]</f>
        <v>-0.18735968886773691</v>
      </c>
      <c r="CC105" s="2">
        <f>Table7[[#This Row],[WaistMT Res]]^2</f>
        <v>3.5103653012615178E-2</v>
      </c>
      <c r="CD105">
        <f>Regression!$E$29+(Regression!$E$28*Table83[[#This Row],[Morning Systolic Pressure]])</f>
        <v>44.365161485454784</v>
      </c>
      <c r="CE105" s="2">
        <f>Table83[[#This Row],[Waist]]-Table7[[#This Row],[Waist v Morning Sys]]</f>
        <v>0.13483851454521556</v>
      </c>
      <c r="CF105" s="2">
        <f>Table7[[#This Row],[WaistMS Res]]^2</f>
        <v>1.8181425004760308E-2</v>
      </c>
      <c r="CG105">
        <f>Regression!$F$29+(Regression!$F$28*Table83[[#This Row],[Morning Diastolic Pressure]])</f>
        <v>44.441545426806556</v>
      </c>
      <c r="CH105" s="2">
        <f>Table83[[#This Row],[Waist]]-Table7[[#This Row],[Waist v Morning Dia]]</f>
        <v>5.8454573193444048E-2</v>
      </c>
      <c r="CI105" s="2">
        <f>Table7[[#This Row],[WaistMD Res]]^2</f>
        <v>3.4169371272277076E-3</v>
      </c>
      <c r="CJ105">
        <f>Regression!$G$29+(Regression!$G$28*Table83[[#This Row],[Morning Pulse]])</f>
        <v>44.449539184638127</v>
      </c>
      <c r="CK105" s="2">
        <f>Table83[[#This Row],[Waist]]-Table7[[#This Row],[Waist v Morning Pulse]]</f>
        <v>5.0460815361873301E-2</v>
      </c>
      <c r="CL105" s="2">
        <f>Table7[[#This Row],[WaistMP Res]]^2</f>
        <v>2.5462938869850685E-3</v>
      </c>
      <c r="CM105">
        <f>Regression!$H$29+(Regression!$H$28*Table83[[#This Row],[Night Body Temp]])</f>
        <v>44.497535497488492</v>
      </c>
      <c r="CN105" s="2">
        <f>Table83[[#This Row],[Waist]]-Table7[[#This Row],[Waist v Night Temp]]</f>
        <v>2.4645025115077601E-3</v>
      </c>
      <c r="CO105" s="2">
        <f>Table7[[#This Row],[WaistNT Res]]^2</f>
        <v>6.0737726292280576E-6</v>
      </c>
      <c r="CP105">
        <f>Regression!$I$29+(Regression!$I$28*Table83[[#This Row],[Night Systolic Pressure]])</f>
        <v>44.79092194479432</v>
      </c>
      <c r="CQ105" s="2">
        <f>Table83[[#This Row],[Waist]]-Table7[[#This Row],[Waist v  Night Sys]]</f>
        <v>-0.2909219447943201</v>
      </c>
      <c r="CR105" s="2">
        <f>Table7[[#This Row],[WaistNS Res]]^2</f>
        <v>8.4635577962909436E-2</v>
      </c>
      <c r="CS105">
        <f>Regression!$J$29+(Regression!$J$28*Table83[[#This Row],[Night Diastolic Pressure]])</f>
        <v>44.512295846776055</v>
      </c>
      <c r="CT105" s="2">
        <f>Table83[[#This Row],[Waist]]-Table7[[#This Row],[Waist v Night Dia]]</f>
        <v>-1.2295846776055441E-2</v>
      </c>
      <c r="CU105" s="2">
        <f>Table7[[#This Row],[WaistND Res]]^2</f>
        <v>1.5118784794023298E-4</v>
      </c>
      <c r="CV105">
        <f>Regression!$K$29+(Regression!$K$28*Table83[[#This Row],[Night Pulse]])</f>
        <v>44.43685440207755</v>
      </c>
      <c r="CW105" s="2">
        <f>Table83[[#This Row],[Waist]]-Table7[[#This Row],[Waist v Night Pulse]]</f>
        <v>6.3145597922449781E-2</v>
      </c>
      <c r="CX105" s="2">
        <f>Table7[[#This Row],[WaistNP Res]]^2</f>
        <v>3.9873665369836945E-3</v>
      </c>
      <c r="CY105">
        <f>Regression!$L$29+(Regression!$L$28*Table83[[#This Row],[Sleep]])</f>
        <v>44.456891852858099</v>
      </c>
      <c r="CZ105" s="2">
        <f>Table83[[#This Row],[Waist]]-Table7[[#This Row],[Waist v  Sleep]]</f>
        <v>4.3108147141900588E-2</v>
      </c>
      <c r="DA105" s="2">
        <f>Table7[[#This Row],[WaistS Res]]^2</f>
        <v>1.8583123500077519E-3</v>
      </c>
      <c r="DB105">
        <f>Regression!$M$29+(Regression!$M$28*Table83[[#This Row],[BMI]])</f>
        <v>44.873903638801252</v>
      </c>
      <c r="DC105" s="2">
        <f>Table83[[#This Row],[Waist]]-Table7[[#This Row],[Waist v BMI]]</f>
        <v>-0.37390363880125221</v>
      </c>
      <c r="DD105" s="2">
        <f>Table7[[#This Row],[WaistBMI Res]]^2</f>
        <v>0.13980393110881728</v>
      </c>
      <c r="DE105">
        <f>Regression!$N$29+(Regression!$N$28*Table83[[#This Row],[CBF]])</f>
        <v>44.659010290127611</v>
      </c>
      <c r="DF105" s="2">
        <f>Table83[[#This Row],[Waist]]-Table7[[#This Row],[Waist v  CBF]]</f>
        <v>-0.15901029012761114</v>
      </c>
      <c r="DG105" s="2">
        <f>Table7[[#This Row],[WaistCBF Res]]^2</f>
        <v>2.5284272366467068E-2</v>
      </c>
      <c r="DH105">
        <f>Regression!$O$29+(Regression!$O$28*Table83[[#This Row],[Gym]])</f>
        <v>44.347222222222221</v>
      </c>
      <c r="DI105" s="2">
        <f>Table83[[#This Row],[Waist]]-Table7[[#This Row],[Waist v  Gym]]</f>
        <v>0.15277777777777857</v>
      </c>
      <c r="DJ105" s="2">
        <f>Table7[[#This Row],[WaistGYM Res]]^2</f>
        <v>2.3341049382716292E-2</v>
      </c>
      <c r="DK105">
        <f>Regression!$P$29+(Regression!$P$28*Table83[[#This Row],[Cardio]])</f>
        <v>44.291666666666664</v>
      </c>
      <c r="DL105" s="2">
        <f>Table83[[#This Row],[Waist]]-Table7[[#This Row],[Waist v Cardio]]</f>
        <v>0.2083333333333357</v>
      </c>
      <c r="DM105" s="2">
        <f>Table7[[#This Row],[WaistC Res]]^2</f>
        <v>4.3402777777778762E-2</v>
      </c>
      <c r="DN105">
        <f>Regression!$Q$29+(Regression!$Q$28*Table83[[#This Row],[Calories]])</f>
        <v>44.541400054974666</v>
      </c>
      <c r="DO105" s="2">
        <f>Table83[[#This Row],[Waist]]-Table7[[#This Row],[Waist v Calories]]</f>
        <v>-4.1400054974666034E-2</v>
      </c>
      <c r="DP105" s="2">
        <f>Table7[[#This Row],[WaistCal Res]]^2</f>
        <v>1.7139645519053698E-3</v>
      </c>
      <c r="DQ105">
        <f>Regression!$R$29+(Regression!$R$28*Table83[[#This Row],[Carbs]])</f>
        <v>44.561367820994121</v>
      </c>
      <c r="DR105" s="2">
        <f>Table83[[#This Row],[Waist]]-Table7[[#This Row],[Waist v Carbs]]</f>
        <v>-6.1367820994121303E-2</v>
      </c>
      <c r="DS105" s="2">
        <f>Table7[[#This Row],[WaistCarb Res]]^2</f>
        <v>3.7660094535665154E-3</v>
      </c>
      <c r="DT105">
        <f>Regression!$S$29+(Regression!$S$28*Table83[[#This Row],[Fat ]])</f>
        <v>44.504572710484524</v>
      </c>
      <c r="DU105" s="2">
        <f>Table83[[#This Row],[Waist]]-Table7[[#This Row],[Waist v Fat]]</f>
        <v>-4.5727104845241229E-3</v>
      </c>
      <c r="DV105" s="2">
        <f>Table7[[#This Row],[WaistF Res]]^2</f>
        <v>2.0909681175276838E-5</v>
      </c>
      <c r="DW105">
        <f>Regression!$T$29+(Regression!$T$28*Table83[[#This Row],[Protein]])</f>
        <v>44.526531587855132</v>
      </c>
      <c r="DX105" s="2">
        <f>Table83[[#This Row],[Waist]]-Table7[[#This Row],[Waist v Protein]]</f>
        <v>-2.6531587855131988E-2</v>
      </c>
      <c r="DY105" s="2">
        <f>Table7[[#This Row],[WaistP Res]]^2</f>
        <v>7.0392515411458719E-4</v>
      </c>
      <c r="DZ105">
        <f>Regression!$U$29+(Regression!$U$28*Table83[[#This Row],[Fiber]])</f>
        <v>44.416693006937045</v>
      </c>
      <c r="EA105" s="2">
        <f>Table83[[#This Row],[Waist]]-Table7[[#This Row],[Waist v Fiber]]</f>
        <v>8.3306993062954859E-2</v>
      </c>
      <c r="EB105" s="2">
        <f>Table7[[#This Row],[WaistFib Res]]^2</f>
        <v>6.9400550931912088E-3</v>
      </c>
      <c r="EC105">
        <f>Regression!$V$29+(Regression!$V$28*Table83[[#This Row],[Sugar]])</f>
        <v>44.598995103799169</v>
      </c>
      <c r="ED105" s="2">
        <f>Table83[[#This Row],[Waist]]-Table7[[#This Row],[Waist v Sugar]]</f>
        <v>-9.899510379916876E-2</v>
      </c>
      <c r="EE105" s="2">
        <f>Table7[[#This Row],[WaistSugar Res]]^2</f>
        <v>9.800030576208197E-3</v>
      </c>
      <c r="EF105">
        <f>Regression!$W$29+(Regression!$W$28*Table83[[#This Row],[Servings]])</f>
        <v>44.600546119526221</v>
      </c>
      <c r="EG105" s="2">
        <f>Table83[[#This Row],[Waist]]-Table7[[#This Row],[Waist v Servings]]</f>
        <v>-0.10054611952622139</v>
      </c>
      <c r="EH105" s="2">
        <f>Table7[[#This Row],[WaistServ Res]]^2</f>
        <v>1.0109522151781198E-2</v>
      </c>
      <c r="EI105">
        <f>Regression!$X$29+(Regression!$X$28*Table83[[#This Row],[Water]])</f>
        <v>44.386198474840633</v>
      </c>
      <c r="EJ105" s="2">
        <f>Table83[[#This Row],[Waist]]-Table7[[#This Row],[Waist v Water]]</f>
        <v>0.11380152515936715</v>
      </c>
      <c r="EK105" s="2">
        <f>Table7[[#This Row],[WaistWat Res]]^2</f>
        <v>1.2950787128598073E-2</v>
      </c>
      <c r="EL105">
        <f>Regression!$Y$29+(Regression!$Y$28*Table83[[#This Row],[Fat Calories]])</f>
        <v>44.50854223002878</v>
      </c>
      <c r="EM105" s="2">
        <f>Table83[[#This Row],[Waist]]-Table7[[#This Row],[Waist v Fat Calories]]</f>
        <v>-8.5422300287802955E-3</v>
      </c>
      <c r="EN105" s="2">
        <f>Table7[[#This Row],[WaistFatCal Res]]^2</f>
        <v>7.2969693864595811E-5</v>
      </c>
    </row>
    <row r="106" spans="1:144" x14ac:dyDescent="0.25">
      <c r="A106">
        <f>Regression!$B$10+(Regression!$B$9*Table83[[#This Row],[Waist]])</f>
        <v>255.38023686459636</v>
      </c>
      <c r="B106" s="2">
        <f>Table83[[#This Row],[Weight]]-Table7[[#This Row],[Weight v Waist]]</f>
        <v>1.2197631354036673</v>
      </c>
      <c r="C106" s="2">
        <f>Table7[[#This Row],[Weight v Waist Res]]^2</f>
        <v>1.4878221064897852</v>
      </c>
      <c r="D106">
        <f>Regression!$C$10+(Regression!$C$9*Table83[[#This Row],[Neck]])</f>
        <v>253.29286486487842</v>
      </c>
      <c r="E106" s="2">
        <f>Table83[[#This Row],[Weight]]-Table7[[#This Row],[Weight v Neck]]</f>
        <v>3.3071351351215981</v>
      </c>
      <c r="F106" s="2">
        <f>Table7[[#This Row],[WN Res]]^2</f>
        <v>10.937142801955751</v>
      </c>
      <c r="G106">
        <f>Regression!$D$10+(Regression!$D$9*Table83[[#This Row],[Morning Body Temp]])</f>
        <v>255.05956644908434</v>
      </c>
      <c r="H106" s="2">
        <f>Table83[[#This Row],[Weight]]-Table7[[#This Row],[Weight v Morning Temp]]</f>
        <v>1.5404335509156795</v>
      </c>
      <c r="I106" s="2">
        <f>Table7[[#This Row],[WMT Res]]^2</f>
        <v>2.3729355247866892</v>
      </c>
      <c r="J106">
        <f>Regression!$E$10+(Regression!$E$9*Table83[[#This Row],[Morning Systolic Pressure]])</f>
        <v>255.09948662875533</v>
      </c>
      <c r="K106" s="2">
        <f>Table83[[#This Row],[Weight]]-Table7[[#This Row],[Weight v Morning Sys]]</f>
        <v>1.5005133712446934</v>
      </c>
      <c r="L106" s="2">
        <f>Table7[[#This Row],[WMS Res]]^2</f>
        <v>2.2515403772841149</v>
      </c>
      <c r="M106">
        <f>Regression!$F$10+(Regression!$F$9*Table83[[#This Row],[Morning Diastolic Pressure]])</f>
        <v>255.00069564820177</v>
      </c>
      <c r="N106" s="2">
        <f>Table83[[#This Row],[Weight]]-Table7[[#This Row],[Weight v Morning Dia]]</f>
        <v>1.5993043517982528</v>
      </c>
      <c r="O106" s="2">
        <f>Table7[[#This Row],[WMD Res]]^2</f>
        <v>2.5577744096808295</v>
      </c>
      <c r="P106">
        <f>Regression!$G$10+(Regression!$G$9*Table83[[#This Row],[Morning Pulse]])</f>
        <v>255.12095627742721</v>
      </c>
      <c r="Q106" s="2">
        <f>Table83[[#This Row],[Weight]]-Table7[[#This Row],[Weight v Morning Pulse]]</f>
        <v>1.4790437225728112</v>
      </c>
      <c r="R106" s="2">
        <f>Table7[[#This Row],[WMP Res]]^2</f>
        <v>2.1875703332820389</v>
      </c>
      <c r="S106">
        <f>Regression!$H$10+(Regression!$H$9*Table83[[#This Row],[Night Body Temp]])</f>
        <v>254.95418324800676</v>
      </c>
      <c r="T106" s="2">
        <f>Table83[[#This Row],[Weight]]-Table7[[#This Row],[Weight v Night Temp]]</f>
        <v>1.6458167519932658</v>
      </c>
      <c r="U106" s="2">
        <f>Table7[[#This Row],[WNT Res]]^2</f>
        <v>2.7087127811416631</v>
      </c>
      <c r="V106">
        <f>Regression!$I$10+(Regression!$I$9*Table83[[#This Row],[Night Systolic Pressure]])</f>
        <v>255.13593655913874</v>
      </c>
      <c r="W106" s="2">
        <f>Table83[[#This Row],[Weight]]-Table7[[#This Row],[Weight v Night Sys]]</f>
        <v>1.4640634408612812</v>
      </c>
      <c r="X106" s="2">
        <f>Table7[[#This Row],[WNS Res]]^2</f>
        <v>2.143481758866574</v>
      </c>
      <c r="Y106">
        <f>Regression!$J$10+(Regression!$J$9*Table83[[#This Row],[Night Diastolic Pressure]])</f>
        <v>255.1330822426622</v>
      </c>
      <c r="Z106" s="2">
        <f>Table83[[#This Row],[Weight]]-Table7[[#This Row],[Weight v Night Dia]]</f>
        <v>1.4669177573378249</v>
      </c>
      <c r="AA106" s="2">
        <f>Table7[[#This Row],[WND Res]]^2</f>
        <v>2.1518477067930339</v>
      </c>
      <c r="AB106">
        <f>Regression!$K$10+(Regression!$K$9*Table83[[#This Row],[Night Pulse]])</f>
        <v>255.07943852750452</v>
      </c>
      <c r="AC106" s="2">
        <f>Table83[[#This Row],[Weight]]-Table7[[#This Row],[Weight v Night Pulse]]</f>
        <v>1.5205614724955012</v>
      </c>
      <c r="AD106" s="2">
        <f>Table7[[#This Row],[WNP Res ]]^2</f>
        <v>2.3121071916376867</v>
      </c>
      <c r="AE106">
        <f>Regression!$L$10+(Regression!$L$9*Table83[[#This Row],[Sleep]])</f>
        <v>255.13702972738133</v>
      </c>
      <c r="AF106" s="2">
        <f>Table83[[#This Row],[Weight]]-Table7[[#This Row],[Weight v Sleep]]</f>
        <v>1.4629702726186906</v>
      </c>
      <c r="AG106" s="2">
        <f>Table7[[#This Row],[WS Res]]^2</f>
        <v>2.1402820185660061</v>
      </c>
      <c r="AH106">
        <f>Regression!$M$10+(Regression!$M$9*Table83[[#This Row],[BMI]])</f>
        <v>256.59999999999673</v>
      </c>
      <c r="AI106" s="2">
        <f>Table83[[#This Row],[Weight]]-Table7[[#This Row],[Weight v BMI]]</f>
        <v>3.2969182939268649E-12</v>
      </c>
      <c r="AJ106" s="2">
        <f>Table7[[#This Row],[WBMI Res]]^2</f>
        <v>1.0869670236829629E-23</v>
      </c>
      <c r="AK106">
        <f>Regression!$N$10+(Regression!$N$9*Table83[[#This Row],[CBF]])</f>
        <v>256.25609762651322</v>
      </c>
      <c r="AL106" s="2">
        <f>Table83[[#This Row],[Weight]]-Table7[[#This Row],[Weight v CBF]]</f>
        <v>0.34390237348679875</v>
      </c>
      <c r="AM106" s="2">
        <f>Table7[[#This Row],[WCBF Res]]^2</f>
        <v>0.11826884248985362</v>
      </c>
      <c r="AN106">
        <f>Regression!$O$10+(Regression!$O$9*Table83[[#This Row],[Gym]])</f>
        <v>255.46779661016953</v>
      </c>
      <c r="AO106" s="2">
        <f>Table83[[#This Row],[Weight]]-Table7[[#This Row],[Weight v Gym]]</f>
        <v>1.1322033898304937</v>
      </c>
      <c r="AP106" s="2">
        <f>Table7[[#This Row],[WG Res]]^2</f>
        <v>1.2818845159436609</v>
      </c>
      <c r="AQ106">
        <f>Regression!$P$10+(Regression!$P$9*Table83[[#This Row],[Cardio]])</f>
        <v>256.41063829787231</v>
      </c>
      <c r="AR106" s="2">
        <f>Table83[[#This Row],[Weight]]-Table7[[#This Row],[Weight v Cardio]]</f>
        <v>0.18936170212771231</v>
      </c>
      <c r="AS106" s="2">
        <f>Table7[[#This Row],[WC Res]]^2</f>
        <v>3.5857854232704441E-2</v>
      </c>
      <c r="AT106">
        <f>Regression!$Q$10+(Regression!$Q$9*Table83[[#This Row],[Calories]])</f>
        <v>255.50609411570082</v>
      </c>
      <c r="AU106" s="2">
        <f>Table83[[#This Row],[Weight]]-Table7[[#This Row],[Weight v Calories]]</f>
        <v>1.093905884299204</v>
      </c>
      <c r="AV106" s="2">
        <f>Table7[[#This Row],[WCAL Res]]^2</f>
        <v>1.1966300837044235</v>
      </c>
      <c r="AW106">
        <f>Regression!$R$10+(Regression!$R$9*Table83[[#This Row],[Carbs]])</f>
        <v>255.63296533140704</v>
      </c>
      <c r="AX106" s="2">
        <f>Table83[[#This Row],[Weight]]-Table7[[#This Row],[Weight v Carbs]]</f>
        <v>0.96703466859298715</v>
      </c>
      <c r="AY106" s="2">
        <f>Table7[[#This Row],[Wcarb Res]]^2</f>
        <v>0.93515605026074844</v>
      </c>
      <c r="AZ106">
        <f>Regression!$S$10+(Regression!$S$9*Table83[[#This Row],[Fat ]])</f>
        <v>255.28199361179401</v>
      </c>
      <c r="BA106" s="2">
        <f>Table83[[#This Row],[Weight]]-Table7[[#This Row],[Weight v Fat]]</f>
        <v>1.3180063882060153</v>
      </c>
      <c r="BB106" s="2">
        <f>Table7[[#This Row],[WF Res]]^2</f>
        <v>1.7371408393518657</v>
      </c>
      <c r="BC106">
        <f>Regression!$T$10+(Regression!$T$9*Table83[[#This Row],[Protein]])</f>
        <v>255.51382540375141</v>
      </c>
      <c r="BD106" s="2">
        <f>Table83[[#This Row],[Weight]]-Table7[[#This Row],[Weight v Protein]]</f>
        <v>1.0861745962486111</v>
      </c>
      <c r="BE106" s="2">
        <f>Table7[[#This Row],[WP Res]]^2</f>
        <v>1.1797752535358335</v>
      </c>
      <c r="BF106">
        <f>Regression!$U$10+(Regression!$U$9*Table83[[#This Row],[Fiber]])</f>
        <v>255.01955152862183</v>
      </c>
      <c r="BG106" s="2">
        <f>Table83[[#This Row],[Weight]]-Table7[[#This Row],[Weight v Fiber]]</f>
        <v>1.5804484713781903</v>
      </c>
      <c r="BH106" s="2">
        <f>Table7[[#This Row],[Wfib Res]]^2</f>
        <v>2.4978173706816587</v>
      </c>
      <c r="BI106">
        <f>Regression!$V$10+(Regression!$V$9*Table83[[#This Row],[Sugar]])</f>
        <v>255.92475374682573</v>
      </c>
      <c r="BJ106" s="2">
        <f>Table83[[#This Row],[Weight]]-Table7[[#This Row],[Weight v Sugar]]</f>
        <v>0.67524625317429354</v>
      </c>
      <c r="BK106" s="2">
        <f>Table7[[#This Row],[Wsugar Res]]^2</f>
        <v>0.45595750242592215</v>
      </c>
      <c r="BL106">
        <f>Regression!$W$10+(Regression!$W$9*Table83[[#This Row],[Servings]])</f>
        <v>256.07849344553711</v>
      </c>
      <c r="BM106" s="2">
        <f>Table83[[#This Row],[Weight]]-Table7[[#This Row],[Weight v Servings]]</f>
        <v>0.52150655446291694</v>
      </c>
      <c r="BN106" s="2">
        <f>Table7[[#This Row],[Wserv Res]]^2</f>
        <v>0.27196908634778333</v>
      </c>
      <c r="BO106">
        <f>Regression!$X$10+(Regression!$X$9*Table83[[#This Row],[Water]])</f>
        <v>255.06345001025522</v>
      </c>
      <c r="BP106" s="2">
        <f>Table83[[#This Row],[Weight]]-Table7[[#This Row],[Weight v Water]]</f>
        <v>1.5365499897447989</v>
      </c>
      <c r="BQ106" s="2">
        <f>Table7[[#This Row],[Wwater Res]]^2</f>
        <v>2.3609858709847416</v>
      </c>
      <c r="BR106">
        <f>Regression!$Y$10+(Regression!$Y$9*Table83[[#This Row],[Fat Calories]])</f>
        <v>255.29589661320236</v>
      </c>
      <c r="BS106" s="2">
        <f>Table83[[#This Row],[Weight]]-Table7[[#This Row],[Weight v Fat Calories]]</f>
        <v>1.3041033867976637</v>
      </c>
      <c r="BT106" s="2">
        <f>Table7[[#This Row],[WFC Res]]^2</f>
        <v>1.7006856434571369</v>
      </c>
      <c r="BU106">
        <f>Regression!$B$29+(Regression!$B$28*Table83[[#This Row],[Weight]])</f>
        <v>44.655883621890624</v>
      </c>
      <c r="BV106" s="2">
        <f>Table83[[#This Row],[Waist]]-Table7[[#This Row],[Waist v Weight]]</f>
        <v>-0.15588362189062366</v>
      </c>
      <c r="BW106" s="2">
        <f>Table7[[#This Row],[WaistW Res]]^2</f>
        <v>2.4299703573738923E-2</v>
      </c>
      <c r="BX106">
        <f>Regression!$C$29+(Regression!$C$28*Table83[[#This Row],[Neck]])</f>
        <v>44.175585585585594</v>
      </c>
      <c r="BY106" s="2">
        <f>Table83[[#This Row],[Waist]]-Table7[[#This Row],[Waist v Neck]]</f>
        <v>0.32441441441440588</v>
      </c>
      <c r="BZ106" s="2">
        <f>Table7[[#This Row],[WaistN Res]]^2</f>
        <v>0.10524471227984188</v>
      </c>
      <c r="CA106">
        <f>Regression!$D$29+(Regression!$D$28*Table83[[#This Row],[Morning Body Temp]])</f>
        <v>44.438451117581323</v>
      </c>
      <c r="CB106" s="2">
        <f>Table83[[#This Row],[Waist]]-Table7[[#This Row],[Waist v Morning Temp]]</f>
        <v>6.1548882418676953E-2</v>
      </c>
      <c r="CC106" s="2">
        <f>Table7[[#This Row],[WaistMT Res]]^2</f>
        <v>3.7882649269881208E-3</v>
      </c>
      <c r="CD106">
        <f>Regression!$E$29+(Regression!$E$28*Table83[[#This Row],[Morning Systolic Pressure]])</f>
        <v>44.449884727394206</v>
      </c>
      <c r="CE106" s="2">
        <f>Table83[[#This Row],[Waist]]-Table7[[#This Row],[Waist v Morning Sys]]</f>
        <v>5.0115272605793848E-2</v>
      </c>
      <c r="CF106" s="2">
        <f>Table7[[#This Row],[WaistMS Res]]^2</f>
        <v>2.5115405483530314E-3</v>
      </c>
      <c r="CG106">
        <f>Regression!$F$29+(Regression!$F$28*Table83[[#This Row],[Morning Diastolic Pressure]])</f>
        <v>44.447181047475404</v>
      </c>
      <c r="CH106" s="2">
        <f>Table83[[#This Row],[Waist]]-Table7[[#This Row],[Waist v Morning Dia]]</f>
        <v>5.2818952524596341E-2</v>
      </c>
      <c r="CI106" s="2">
        <f>Table7[[#This Row],[WaistMD Res]]^2</f>
        <v>2.789841745795562E-3</v>
      </c>
      <c r="CJ106">
        <f>Regression!$G$29+(Regression!$G$28*Table83[[#This Row],[Morning Pulse]])</f>
        <v>44.456255205227038</v>
      </c>
      <c r="CK106" s="2">
        <f>Table83[[#This Row],[Waist]]-Table7[[#This Row],[Waist v Morning Pulse]]</f>
        <v>4.3744794772962337E-2</v>
      </c>
      <c r="CL106" s="2">
        <f>Table7[[#This Row],[WaistMP Res]]^2</f>
        <v>1.913607069728593E-3</v>
      </c>
      <c r="CM106">
        <f>Regression!$H$29+(Regression!$H$28*Table83[[#This Row],[Night Body Temp]])</f>
        <v>44.440857030854289</v>
      </c>
      <c r="CN106" s="2">
        <f>Table83[[#This Row],[Waist]]-Table7[[#This Row],[Waist v Night Temp]]</f>
        <v>5.9142969145710822E-2</v>
      </c>
      <c r="CO106" s="2">
        <f>Table7[[#This Row],[WaistNT Res]]^2</f>
        <v>3.4978907993705021E-3</v>
      </c>
      <c r="CP106">
        <f>Regression!$I$29+(Regression!$I$28*Table83[[#This Row],[Night Systolic Pressure]])</f>
        <v>44.456499315305209</v>
      </c>
      <c r="CQ106" s="2">
        <f>Table83[[#This Row],[Waist]]-Table7[[#This Row],[Waist v  Night Sys]]</f>
        <v>4.3500684694791403E-2</v>
      </c>
      <c r="CR106" s="2">
        <f>Table7[[#This Row],[WaistNS Res]]^2</f>
        <v>1.8923095689156589E-3</v>
      </c>
      <c r="CS106">
        <f>Regression!$J$29+(Regression!$J$28*Table83[[#This Row],[Night Diastolic Pressure]])</f>
        <v>44.461092011153731</v>
      </c>
      <c r="CT106" s="2">
        <f>Table83[[#This Row],[Waist]]-Table7[[#This Row],[Waist v Night Dia]]</f>
        <v>3.8907988846268893E-2</v>
      </c>
      <c r="CU106" s="2">
        <f>Table7[[#This Row],[WaistND Res]]^2</f>
        <v>1.5138315960613845E-3</v>
      </c>
      <c r="CV106">
        <f>Regression!$K$29+(Regression!$K$28*Table83[[#This Row],[Night Pulse]])</f>
        <v>44.456851626254306</v>
      </c>
      <c r="CW106" s="2">
        <f>Table83[[#This Row],[Waist]]-Table7[[#This Row],[Waist v Night Pulse]]</f>
        <v>4.3148373745694357E-2</v>
      </c>
      <c r="CX106" s="2">
        <f>Table7[[#This Row],[WaistNP Res]]^2</f>
        <v>1.8617821568981262E-3</v>
      </c>
      <c r="CY106">
        <f>Regression!$L$29+(Regression!$L$28*Table83[[#This Row],[Sleep]])</f>
        <v>44.456891852858099</v>
      </c>
      <c r="CZ106" s="2">
        <f>Table83[[#This Row],[Waist]]-Table7[[#This Row],[Waist v  Sleep]]</f>
        <v>4.3108147141900588E-2</v>
      </c>
      <c r="DA106" s="2">
        <f>Table7[[#This Row],[WaistS Res]]^2</f>
        <v>1.8583123500077519E-3</v>
      </c>
      <c r="DB106">
        <f>Regression!$M$29+(Regression!$M$28*Table83[[#This Row],[BMI]])</f>
        <v>44.655883621889984</v>
      </c>
      <c r="DC106" s="2">
        <f>Table83[[#This Row],[Waist]]-Table7[[#This Row],[Waist v BMI]]</f>
        <v>-0.15588362188998417</v>
      </c>
      <c r="DD106" s="2">
        <f>Table7[[#This Row],[WaistBMI Res]]^2</f>
        <v>2.4299703573539552E-2</v>
      </c>
      <c r="DE106">
        <f>Regression!$N$29+(Regression!$N$28*Table83[[#This Row],[CBF]])</f>
        <v>44.659010290127611</v>
      </c>
      <c r="DF106" s="2">
        <f>Table83[[#This Row],[Waist]]-Table7[[#This Row],[Waist v  CBF]]</f>
        <v>-0.15901029012761114</v>
      </c>
      <c r="DG106" s="2">
        <f>Table7[[#This Row],[WaistCBF Res]]^2</f>
        <v>2.5284272366467068E-2</v>
      </c>
      <c r="DH106">
        <f>Regression!$O$29+(Regression!$O$28*Table83[[#This Row],[Gym]])</f>
        <v>44.550847457627107</v>
      </c>
      <c r="DI106" s="2">
        <f>Table83[[#This Row],[Waist]]-Table7[[#This Row],[Waist v  Gym]]</f>
        <v>-5.0847457627106962E-2</v>
      </c>
      <c r="DJ106" s="2">
        <f>Table7[[#This Row],[WaistGYM Res]]^2</f>
        <v>2.5854639471404378E-3</v>
      </c>
      <c r="DK106">
        <f>Regression!$P$29+(Regression!$P$28*Table83[[#This Row],[Cardio]])</f>
        <v>44.680851063829778</v>
      </c>
      <c r="DL106" s="2">
        <f>Table83[[#This Row],[Waist]]-Table7[[#This Row],[Waist v Cardio]]</f>
        <v>-0.18085106382977756</v>
      </c>
      <c r="DM106" s="2">
        <f>Table7[[#This Row],[WaistC Res]]^2</f>
        <v>3.2707107288362278E-2</v>
      </c>
      <c r="DN106">
        <f>Regression!$Q$29+(Regression!$Q$28*Table83[[#This Row],[Calories]])</f>
        <v>44.541400054974666</v>
      </c>
      <c r="DO106" s="2">
        <f>Table83[[#This Row],[Waist]]-Table7[[#This Row],[Waist v Calories]]</f>
        <v>-4.1400054974666034E-2</v>
      </c>
      <c r="DP106" s="2">
        <f>Table7[[#This Row],[WaistCal Res]]^2</f>
        <v>1.7139645519053698E-3</v>
      </c>
      <c r="DQ106">
        <f>Regression!$R$29+(Regression!$R$28*Table83[[#This Row],[Carbs]])</f>
        <v>44.561367820994121</v>
      </c>
      <c r="DR106" s="2">
        <f>Table83[[#This Row],[Waist]]-Table7[[#This Row],[Waist v Carbs]]</f>
        <v>-6.1367820994121303E-2</v>
      </c>
      <c r="DS106" s="2">
        <f>Table7[[#This Row],[WaistCarb Res]]^2</f>
        <v>3.7660094535665154E-3</v>
      </c>
      <c r="DT106">
        <f>Regression!$S$29+(Regression!$S$28*Table83[[#This Row],[Fat ]])</f>
        <v>44.504572710484524</v>
      </c>
      <c r="DU106" s="2">
        <f>Table83[[#This Row],[Waist]]-Table7[[#This Row],[Waist v Fat]]</f>
        <v>-4.5727104845241229E-3</v>
      </c>
      <c r="DV106" s="2">
        <f>Table7[[#This Row],[WaistF Res]]^2</f>
        <v>2.0909681175276838E-5</v>
      </c>
      <c r="DW106">
        <f>Regression!$T$29+(Regression!$T$28*Table83[[#This Row],[Protein]])</f>
        <v>44.526531587855132</v>
      </c>
      <c r="DX106" s="2">
        <f>Table83[[#This Row],[Waist]]-Table7[[#This Row],[Waist v Protein]]</f>
        <v>-2.6531587855131988E-2</v>
      </c>
      <c r="DY106" s="2">
        <f>Table7[[#This Row],[WaistP Res]]^2</f>
        <v>7.0392515411458719E-4</v>
      </c>
      <c r="DZ106">
        <f>Regression!$U$29+(Regression!$U$28*Table83[[#This Row],[Fiber]])</f>
        <v>44.416693006937045</v>
      </c>
      <c r="EA106" s="2">
        <f>Table83[[#This Row],[Waist]]-Table7[[#This Row],[Waist v Fiber]]</f>
        <v>8.3306993062954859E-2</v>
      </c>
      <c r="EB106" s="2">
        <f>Table7[[#This Row],[WaistFib Res]]^2</f>
        <v>6.9400550931912088E-3</v>
      </c>
      <c r="EC106">
        <f>Regression!$V$29+(Regression!$V$28*Table83[[#This Row],[Sugar]])</f>
        <v>44.598995103799169</v>
      </c>
      <c r="ED106" s="2">
        <f>Table83[[#This Row],[Waist]]-Table7[[#This Row],[Waist v Sugar]]</f>
        <v>-9.899510379916876E-2</v>
      </c>
      <c r="EE106" s="2">
        <f>Table7[[#This Row],[WaistSugar Res]]^2</f>
        <v>9.800030576208197E-3</v>
      </c>
      <c r="EF106">
        <f>Regression!$W$29+(Regression!$W$28*Table83[[#This Row],[Servings]])</f>
        <v>44.600546119526221</v>
      </c>
      <c r="EG106" s="2">
        <f>Table83[[#This Row],[Waist]]-Table7[[#This Row],[Waist v Servings]]</f>
        <v>-0.10054611952622139</v>
      </c>
      <c r="EH106" s="2">
        <f>Table7[[#This Row],[WaistServ Res]]^2</f>
        <v>1.0109522151781198E-2</v>
      </c>
      <c r="EI106">
        <f>Regression!$X$29+(Regression!$X$28*Table83[[#This Row],[Water]])</f>
        <v>44.386198474840633</v>
      </c>
      <c r="EJ106" s="2">
        <f>Table83[[#This Row],[Waist]]-Table7[[#This Row],[Waist v Water]]</f>
        <v>0.11380152515936715</v>
      </c>
      <c r="EK106" s="2">
        <f>Table7[[#This Row],[WaistWat Res]]^2</f>
        <v>1.2950787128598073E-2</v>
      </c>
      <c r="EL106">
        <f>Regression!$Y$29+(Regression!$Y$28*Table83[[#This Row],[Fat Calories]])</f>
        <v>44.50854223002878</v>
      </c>
      <c r="EM106" s="2">
        <f>Table83[[#This Row],[Waist]]-Table7[[#This Row],[Waist v Fat Calories]]</f>
        <v>-8.5422300287802955E-3</v>
      </c>
      <c r="EN106" s="2">
        <f>Table7[[#This Row],[WaistFatCal Res]]^2</f>
        <v>7.2969693864595811E-5</v>
      </c>
    </row>
    <row r="107" spans="1:144" x14ac:dyDescent="0.25">
      <c r="A107">
        <f>Regression!$B$10+(Regression!$B$9*Table83[[#This Row],[Waist]])</f>
        <v>255.38023686459636</v>
      </c>
      <c r="B107" s="2">
        <f>Table83[[#This Row],[Weight]]-Table7[[#This Row],[Weight v Waist]]</f>
        <v>0.2197631354036389</v>
      </c>
      <c r="C107" s="2">
        <f>Table7[[#This Row],[Weight v Waist Res]]^2</f>
        <v>4.8295835682438122E-2</v>
      </c>
      <c r="D107">
        <f>Regression!$C$10+(Regression!$C$9*Table83[[#This Row],[Neck]])</f>
        <v>253.29286486487842</v>
      </c>
      <c r="E107" s="2">
        <f>Table83[[#This Row],[Weight]]-Table7[[#This Row],[Weight v Neck]]</f>
        <v>2.3071351351215696</v>
      </c>
      <c r="F107" s="2">
        <f>Table7[[#This Row],[WN Res]]^2</f>
        <v>5.3228725317124237</v>
      </c>
      <c r="G107">
        <f>Regression!$D$10+(Regression!$D$9*Table83[[#This Row],[Morning Body Temp]])</f>
        <v>255.3411606659738</v>
      </c>
      <c r="H107" s="2">
        <f>Table83[[#This Row],[Weight]]-Table7[[#This Row],[Weight v Morning Temp]]</f>
        <v>0.25883933402619164</v>
      </c>
      <c r="I107" s="2">
        <f>Table7[[#This Row],[WMT Res]]^2</f>
        <v>6.6997800839122407E-2</v>
      </c>
      <c r="J107">
        <f>Regression!$E$10+(Regression!$E$9*Table83[[#This Row],[Morning Systolic Pressure]])</f>
        <v>254.91917781330181</v>
      </c>
      <c r="K107" s="2">
        <f>Table83[[#This Row],[Weight]]-Table7[[#This Row],[Weight v Morning Sys]]</f>
        <v>0.68082218669817962</v>
      </c>
      <c r="L107" s="2">
        <f>Table7[[#This Row],[WMS Res]]^2</f>
        <v>0.46351884990049097</v>
      </c>
      <c r="M107">
        <f>Regression!$F$10+(Regression!$F$9*Table83[[#This Row],[Morning Diastolic Pressure]])</f>
        <v>255.81144964056082</v>
      </c>
      <c r="N107" s="2">
        <f>Table83[[#This Row],[Weight]]-Table7[[#This Row],[Weight v Morning Dia]]</f>
        <v>-0.21144964056082927</v>
      </c>
      <c r="O107" s="2">
        <f>Table7[[#This Row],[WMD Res]]^2</f>
        <v>4.471095049330389E-2</v>
      </c>
      <c r="P107">
        <f>Regression!$G$10+(Regression!$G$9*Table83[[#This Row],[Morning Pulse]])</f>
        <v>255.10450611561251</v>
      </c>
      <c r="Q107" s="2">
        <f>Table83[[#This Row],[Weight]]-Table7[[#This Row],[Weight v Morning Pulse]]</f>
        <v>0.49549388438748565</v>
      </c>
      <c r="R107" s="2">
        <f>Table7[[#This Row],[WMP Res]]^2</f>
        <v>0.24551418946539899</v>
      </c>
      <c r="S107">
        <f>Regression!$H$10+(Regression!$H$9*Table83[[#This Row],[Night Body Temp]])</f>
        <v>253.9272175431899</v>
      </c>
      <c r="T107" s="2">
        <f>Table83[[#This Row],[Weight]]-Table7[[#This Row],[Weight v Night Temp]]</f>
        <v>1.6727824568100971</v>
      </c>
      <c r="U107" s="2">
        <f>Table7[[#This Row],[WNT Res]]^2</f>
        <v>2.7982011478116244</v>
      </c>
      <c r="V107">
        <f>Regression!$I$10+(Regression!$I$9*Table83[[#This Row],[Night Systolic Pressure]])</f>
        <v>255.85445039733804</v>
      </c>
      <c r="W107" s="2">
        <f>Table83[[#This Row],[Weight]]-Table7[[#This Row],[Weight v Night Sys]]</f>
        <v>-0.2544503973380472</v>
      </c>
      <c r="X107" s="2">
        <f>Table7[[#This Row],[WNS Res]]^2</f>
        <v>6.4745004705490092E-2</v>
      </c>
      <c r="Y107">
        <f>Regression!$J$10+(Regression!$J$9*Table83[[#This Row],[Night Diastolic Pressure]])</f>
        <v>255.05155050582999</v>
      </c>
      <c r="Z107" s="2">
        <f>Table83[[#This Row],[Weight]]-Table7[[#This Row],[Weight v Night Dia]]</f>
        <v>0.54844949417000066</v>
      </c>
      <c r="AA107" s="2">
        <f>Table7[[#This Row],[WND Res]]^2</f>
        <v>0.3007968476553296</v>
      </c>
      <c r="AB107">
        <f>Regression!$K$10+(Regression!$K$9*Table83[[#This Row],[Night Pulse]])</f>
        <v>255.14086518997797</v>
      </c>
      <c r="AC107" s="2">
        <f>Table83[[#This Row],[Weight]]-Table7[[#This Row],[Weight v Night Pulse]]</f>
        <v>0.45913481002202161</v>
      </c>
      <c r="AD107" s="2">
        <f>Table7[[#This Row],[WNP Res ]]^2</f>
        <v>0.21080477377395787</v>
      </c>
      <c r="AE107">
        <f>Regression!$L$10+(Regression!$L$9*Table83[[#This Row],[Sleep]])</f>
        <v>254.58494990647714</v>
      </c>
      <c r="AF107" s="2">
        <f>Table83[[#This Row],[Weight]]-Table7[[#This Row],[Weight v Sleep]]</f>
        <v>1.0150500935228592</v>
      </c>
      <c r="AG107" s="2">
        <f>Table7[[#This Row],[WS Res]]^2</f>
        <v>1.0303266923607652</v>
      </c>
      <c r="AH107">
        <f>Regression!$M$10+(Regression!$M$9*Table83[[#This Row],[BMI]])</f>
        <v>255.59999999999894</v>
      </c>
      <c r="AI107" s="2">
        <f>Table83[[#This Row],[Weight]]-Table7[[#This Row],[Weight v BMI]]</f>
        <v>1.0516032489249483E-12</v>
      </c>
      <c r="AJ107" s="2">
        <f>Table7[[#This Row],[WBMI Res]]^2</f>
        <v>1.1058693931495067E-24</v>
      </c>
      <c r="AK107">
        <f>Regression!$N$10+(Regression!$N$9*Table83[[#This Row],[CBF]])</f>
        <v>256.25609762651322</v>
      </c>
      <c r="AL107" s="2">
        <f>Table83[[#This Row],[Weight]]-Table7[[#This Row],[Weight v CBF]]</f>
        <v>-0.65609762651322967</v>
      </c>
      <c r="AM107" s="2">
        <f>Table7[[#This Row],[WCBF Res]]^2</f>
        <v>0.43046409551629339</v>
      </c>
      <c r="AN107">
        <f>Regression!$O$10+(Regression!$O$9*Table83[[#This Row],[Gym]])</f>
        <v>254.72962962962998</v>
      </c>
      <c r="AO107" s="2">
        <f>Table83[[#This Row],[Weight]]-Table7[[#This Row],[Weight v Gym]]</f>
        <v>0.87037037037001141</v>
      </c>
      <c r="AP107" s="2">
        <f>Table7[[#This Row],[WG Res]]^2</f>
        <v>0.75754458161803084</v>
      </c>
      <c r="AQ107">
        <f>Regression!$P$10+(Regression!$P$9*Table83[[#This Row],[Cardio]])</f>
        <v>256.41063829787231</v>
      </c>
      <c r="AR107" s="2">
        <f>Table83[[#This Row],[Weight]]-Table7[[#This Row],[Weight v Cardio]]</f>
        <v>-0.81063829787231612</v>
      </c>
      <c r="AS107" s="2">
        <f>Table7[[#This Row],[WC Res]]^2</f>
        <v>0.65713444997732595</v>
      </c>
      <c r="AT107">
        <f>Regression!$Q$10+(Regression!$Q$9*Table83[[#This Row],[Calories]])</f>
        <v>255.29821136716808</v>
      </c>
      <c r="AU107" s="2">
        <f>Table83[[#This Row],[Weight]]-Table7[[#This Row],[Weight v Calories]]</f>
        <v>0.30178863283191504</v>
      </c>
      <c r="AV107" s="2">
        <f>Table7[[#This Row],[WCAL Res]]^2</f>
        <v>9.1076378906556427E-2</v>
      </c>
      <c r="AW107">
        <f>Regression!$R$10+(Regression!$R$9*Table83[[#This Row],[Carbs]])</f>
        <v>255.42546447256592</v>
      </c>
      <c r="AX107" s="2">
        <f>Table83[[#This Row],[Weight]]-Table7[[#This Row],[Weight v Carbs]]</f>
        <v>0.17453552743407386</v>
      </c>
      <c r="AY107" s="2">
        <f>Table7[[#This Row],[Wcarb Res]]^2</f>
        <v>3.0462650336690347E-2</v>
      </c>
      <c r="AZ107">
        <f>Regression!$S$10+(Regression!$S$9*Table83[[#This Row],[Fat ]])</f>
        <v>255.20217763975361</v>
      </c>
      <c r="BA107" s="2">
        <f>Table83[[#This Row],[Weight]]-Table7[[#This Row],[Weight v Fat]]</f>
        <v>0.39782236024637996</v>
      </c>
      <c r="BB107" s="2">
        <f>Table7[[#This Row],[WF Res]]^2</f>
        <v>0.15826263031200052</v>
      </c>
      <c r="BC107">
        <f>Regression!$T$10+(Regression!$T$9*Table83[[#This Row],[Protein]])</f>
        <v>254.72693522174808</v>
      </c>
      <c r="BD107" s="2">
        <f>Table83[[#This Row],[Weight]]-Table7[[#This Row],[Weight v Protein]]</f>
        <v>0.87306477825191564</v>
      </c>
      <c r="BE107" s="2">
        <f>Table7[[#This Row],[WP Res]]^2</f>
        <v>0.76224210702406658</v>
      </c>
      <c r="BF107">
        <f>Regression!$U$10+(Regression!$U$9*Table83[[#This Row],[Fiber]])</f>
        <v>255.36793406570723</v>
      </c>
      <c r="BG107" s="2">
        <f>Table83[[#This Row],[Weight]]-Table7[[#This Row],[Weight v Fiber]]</f>
        <v>0.23206593429276268</v>
      </c>
      <c r="BH107" s="2">
        <f>Table7[[#This Row],[Wfib Res]]^2</f>
        <v>5.3854597859172841E-2</v>
      </c>
      <c r="BI107">
        <f>Regression!$V$10+(Regression!$V$9*Table83[[#This Row],[Sugar]])</f>
        <v>255.83779996902953</v>
      </c>
      <c r="BJ107" s="2">
        <f>Table83[[#This Row],[Weight]]-Table7[[#This Row],[Weight v Sugar]]</f>
        <v>-0.23779996902953826</v>
      </c>
      <c r="BK107" s="2">
        <f>Table7[[#This Row],[Wsugar Res]]^2</f>
        <v>5.6548825270449354E-2</v>
      </c>
      <c r="BL107">
        <f>Regression!$W$10+(Regression!$W$9*Table83[[#This Row],[Servings]])</f>
        <v>256.29599303878774</v>
      </c>
      <c r="BM107" s="2">
        <f>Table83[[#This Row],[Weight]]-Table7[[#This Row],[Weight v Servings]]</f>
        <v>-0.69599303878774776</v>
      </c>
      <c r="BN107" s="2">
        <f>Table7[[#This Row],[Wserv Res]]^2</f>
        <v>0.48440631004100337</v>
      </c>
      <c r="BO107">
        <f>Regression!$X$10+(Regression!$X$9*Table83[[#This Row],[Water]])</f>
        <v>255.10626599365665</v>
      </c>
      <c r="BP107" s="2">
        <f>Table83[[#This Row],[Weight]]-Table7[[#This Row],[Weight v Water]]</f>
        <v>0.4937340063433453</v>
      </c>
      <c r="BQ107" s="2">
        <f>Table7[[#This Row],[Wwater Res]]^2</f>
        <v>0.24377326901985052</v>
      </c>
      <c r="BR107">
        <f>Regression!$Y$10+(Regression!$Y$9*Table83[[#This Row],[Fat Calories]])</f>
        <v>255.20291449200991</v>
      </c>
      <c r="BS107" s="2">
        <f>Table83[[#This Row],[Weight]]-Table7[[#This Row],[Weight v Fat Calories]]</f>
        <v>0.39708550799008435</v>
      </c>
      <c r="BT107" s="2">
        <f>Table7[[#This Row],[WFC Res]]^2</f>
        <v>0.15767690065574336</v>
      </c>
      <c r="BU107">
        <f>Regression!$B$29+(Regression!$B$28*Table83[[#This Row],[Weight]])</f>
        <v>44.519621111320639</v>
      </c>
      <c r="BV107" s="2">
        <f>Table83[[#This Row],[Waist]]-Table7[[#This Row],[Waist v Weight]]</f>
        <v>-1.9621111320638818E-2</v>
      </c>
      <c r="BW107" s="2">
        <f>Table7[[#This Row],[WaistW Res]]^2</f>
        <v>3.8498800945690077E-4</v>
      </c>
      <c r="BX107">
        <f>Regression!$C$29+(Regression!$C$28*Table83[[#This Row],[Neck]])</f>
        <v>44.175585585585594</v>
      </c>
      <c r="BY107" s="2">
        <f>Table83[[#This Row],[Waist]]-Table7[[#This Row],[Waist v Neck]]</f>
        <v>0.32441441441440588</v>
      </c>
      <c r="BZ107" s="2">
        <f>Table7[[#This Row],[WaistN Res]]^2</f>
        <v>0.10524471227984188</v>
      </c>
      <c r="CA107">
        <f>Regression!$D$29+(Regression!$D$28*Table83[[#This Row],[Morning Body Temp]])</f>
        <v>44.515038370284842</v>
      </c>
      <c r="CB107" s="2">
        <f>Table83[[#This Row],[Waist]]-Table7[[#This Row],[Waist v Morning Temp]]</f>
        <v>-1.5038370284841562E-2</v>
      </c>
      <c r="CC107" s="2">
        <f>Table7[[#This Row],[WaistMT Res]]^2</f>
        <v>2.261525808240057E-4</v>
      </c>
      <c r="CD107">
        <f>Regression!$E$29+(Regression!$E$28*Table83[[#This Row],[Morning Systolic Pressure]])</f>
        <v>44.407523106424492</v>
      </c>
      <c r="CE107" s="2">
        <f>Table83[[#This Row],[Waist]]-Table7[[#This Row],[Waist v Morning Sys]]</f>
        <v>9.2476893575508257E-2</v>
      </c>
      <c r="CF107" s="2">
        <f>Table7[[#This Row],[WaistMS Res]]^2</f>
        <v>8.5519758453758803E-3</v>
      </c>
      <c r="CG107">
        <f>Regression!$F$29+(Regression!$F$28*Table83[[#This Row],[Morning Diastolic Pressure]])</f>
        <v>44.492266012826242</v>
      </c>
      <c r="CH107" s="2">
        <f>Table83[[#This Row],[Waist]]-Table7[[#This Row],[Waist v Morning Dia]]</f>
        <v>7.7339871737578392E-3</v>
      </c>
      <c r="CI107" s="2">
        <f>Table7[[#This Row],[WaistMD Res]]^2</f>
        <v>5.9814557603850768E-5</v>
      </c>
      <c r="CJ107">
        <f>Regression!$G$29+(Regression!$G$28*Table83[[#This Row],[Morning Pulse]])</f>
        <v>44.448699682064515</v>
      </c>
      <c r="CK107" s="2">
        <f>Table83[[#This Row],[Waist]]-Table7[[#This Row],[Waist v Morning Pulse]]</f>
        <v>5.1300317935485396E-2</v>
      </c>
      <c r="CL107" s="2">
        <f>Table7[[#This Row],[WaistMP Res]]^2</f>
        <v>2.6317226202818844E-3</v>
      </c>
      <c r="CM107">
        <f>Regression!$H$29+(Regression!$H$28*Table83[[#This Row],[Night Body Temp]])</f>
        <v>44.359887792805431</v>
      </c>
      <c r="CN107" s="2">
        <f>Table83[[#This Row],[Waist]]-Table7[[#This Row],[Waist v Night Temp]]</f>
        <v>0.14011220719456929</v>
      </c>
      <c r="CO107" s="2">
        <f>Table7[[#This Row],[WaistNT Res]]^2</f>
        <v>1.9631430604933914E-2</v>
      </c>
      <c r="CP107">
        <f>Regression!$I$29+(Regression!$I$28*Table83[[#This Row],[Night Systolic Pressure]])</f>
        <v>44.558280115584509</v>
      </c>
      <c r="CQ107" s="2">
        <f>Table83[[#This Row],[Waist]]-Table7[[#This Row],[Waist v  Night Sys]]</f>
        <v>-5.8280115584508962E-2</v>
      </c>
      <c r="CR107" s="2">
        <f>Table7[[#This Row],[WaistNS Res]]^2</f>
        <v>3.3965718725437245E-3</v>
      </c>
      <c r="CS107">
        <f>Regression!$J$29+(Regression!$J$28*Table83[[#This Row],[Night Diastolic Pressure]])</f>
        <v>44.426956120738851</v>
      </c>
      <c r="CT107" s="2">
        <f>Table83[[#This Row],[Waist]]-Table7[[#This Row],[Waist v Night Dia]]</f>
        <v>7.3043879261149414E-2</v>
      </c>
      <c r="CU107" s="2">
        <f>Table7[[#This Row],[WaistND Res]]^2</f>
        <v>5.3354082975173734E-3</v>
      </c>
      <c r="CV107">
        <f>Regression!$K$29+(Regression!$K$28*Table83[[#This Row],[Night Pulse]])</f>
        <v>44.451138133632369</v>
      </c>
      <c r="CW107" s="2">
        <f>Table83[[#This Row],[Waist]]-Table7[[#This Row],[Waist v Night Pulse]]</f>
        <v>4.8861866367630569E-2</v>
      </c>
      <c r="CX107" s="2">
        <f>Table7[[#This Row],[WaistNP Res]]^2</f>
        <v>2.3874819849281875E-3</v>
      </c>
      <c r="CY107">
        <f>Regression!$L$29+(Regression!$L$28*Table83[[#This Row],[Sleep]])</f>
        <v>44.372718658865708</v>
      </c>
      <c r="CZ107" s="2">
        <f>Table83[[#This Row],[Waist]]-Table7[[#This Row],[Waist v  Sleep]]</f>
        <v>0.12728134113429235</v>
      </c>
      <c r="DA107" s="2">
        <f>Table7[[#This Row],[WaistS Res]]^2</f>
        <v>1.6200539800944103E-2</v>
      </c>
      <c r="DB107">
        <f>Regression!$M$29+(Regression!$M$28*Table83[[#This Row],[BMI]])</f>
        <v>44.519621111320426</v>
      </c>
      <c r="DC107" s="2">
        <f>Table83[[#This Row],[Waist]]-Table7[[#This Row],[Waist v BMI]]</f>
        <v>-1.9621111320425655E-2</v>
      </c>
      <c r="DD107" s="2">
        <f>Table7[[#This Row],[WaistBMI Res]]^2</f>
        <v>3.8498800944853577E-4</v>
      </c>
      <c r="DE107">
        <f>Regression!$N$29+(Regression!$N$28*Table83[[#This Row],[CBF]])</f>
        <v>44.659010290127611</v>
      </c>
      <c r="DF107" s="2">
        <f>Table83[[#This Row],[Waist]]-Table7[[#This Row],[Waist v  CBF]]</f>
        <v>-0.15901029012761114</v>
      </c>
      <c r="DG107" s="2">
        <f>Table7[[#This Row],[WaistCBF Res]]^2</f>
        <v>2.5284272366467068E-2</v>
      </c>
      <c r="DH107">
        <f>Regression!$O$29+(Regression!$O$28*Table83[[#This Row],[Gym]])</f>
        <v>44.347222222222221</v>
      </c>
      <c r="DI107" s="2">
        <f>Table83[[#This Row],[Waist]]-Table7[[#This Row],[Waist v  Gym]]</f>
        <v>0.15277777777777857</v>
      </c>
      <c r="DJ107" s="2">
        <f>Table7[[#This Row],[WaistGYM Res]]^2</f>
        <v>2.3341049382716292E-2</v>
      </c>
      <c r="DK107">
        <f>Regression!$P$29+(Regression!$P$28*Table83[[#This Row],[Cardio]])</f>
        <v>44.680851063829778</v>
      </c>
      <c r="DL107" s="2">
        <f>Table83[[#This Row],[Waist]]-Table7[[#This Row],[Waist v Cardio]]</f>
        <v>-0.18085106382977756</v>
      </c>
      <c r="DM107" s="2">
        <f>Table7[[#This Row],[WaistC Res]]^2</f>
        <v>3.2707107288362278E-2</v>
      </c>
      <c r="DN107">
        <f>Regression!$Q$29+(Regression!$Q$28*Table83[[#This Row],[Calories]])</f>
        <v>44.494693412148642</v>
      </c>
      <c r="DO107" s="2">
        <f>Table83[[#This Row],[Waist]]-Table7[[#This Row],[Waist v Calories]]</f>
        <v>5.3065878513578468E-3</v>
      </c>
      <c r="DP107" s="2">
        <f>Table7[[#This Row],[WaistCal Res]]^2</f>
        <v>2.8159874624178691E-5</v>
      </c>
      <c r="DQ107">
        <f>Regression!$R$29+(Regression!$R$28*Table83[[#This Row],[Carbs]])</f>
        <v>44.518167412868799</v>
      </c>
      <c r="DR107" s="2">
        <f>Table83[[#This Row],[Waist]]-Table7[[#This Row],[Waist v Carbs]]</f>
        <v>-1.8167412868798749E-2</v>
      </c>
      <c r="DS107" s="2">
        <f>Table7[[#This Row],[WaistCarb Res]]^2</f>
        <v>3.300548903453944E-4</v>
      </c>
      <c r="DT107">
        <f>Regression!$S$29+(Regression!$S$28*Table83[[#This Row],[Fat ]])</f>
        <v>44.48017465695407</v>
      </c>
      <c r="DU107" s="2">
        <f>Table83[[#This Row],[Waist]]-Table7[[#This Row],[Waist v Fat]]</f>
        <v>1.982534304593031E-2</v>
      </c>
      <c r="DV107" s="2">
        <f>Table7[[#This Row],[WaistF Res]]^2</f>
        <v>3.930442268888173E-4</v>
      </c>
      <c r="DW107">
        <f>Regression!$T$29+(Regression!$T$28*Table83[[#This Row],[Protein]])</f>
        <v>44.382501454370392</v>
      </c>
      <c r="DX107" s="2">
        <f>Table83[[#This Row],[Waist]]-Table7[[#This Row],[Waist v Protein]]</f>
        <v>0.11749854562960849</v>
      </c>
      <c r="DY107" s="2">
        <f>Table7[[#This Row],[WaistP Res]]^2</f>
        <v>1.3805908225073188E-2</v>
      </c>
      <c r="DZ107">
        <f>Regression!$U$29+(Regression!$U$28*Table83[[#This Row],[Fiber]])</f>
        <v>44.55111987611334</v>
      </c>
      <c r="EA107" s="2">
        <f>Table83[[#This Row],[Waist]]-Table7[[#This Row],[Waist v Fiber]]</f>
        <v>-5.1119876113340013E-2</v>
      </c>
      <c r="EB107" s="2">
        <f>Table7[[#This Row],[WaistFib Res]]^2</f>
        <v>2.6132417338432306E-3</v>
      </c>
      <c r="EC107">
        <f>Regression!$V$29+(Regression!$V$28*Table83[[#This Row],[Sugar]])</f>
        <v>44.583374827415909</v>
      </c>
      <c r="ED107" s="2">
        <f>Table83[[#This Row],[Waist]]-Table7[[#This Row],[Waist v Sugar]]</f>
        <v>-8.3374827415909181E-2</v>
      </c>
      <c r="EE107" s="2">
        <f>Table7[[#This Row],[WaistSugar Res]]^2</f>
        <v>6.9513618466326412E-3</v>
      </c>
      <c r="EF107">
        <f>Regression!$W$29+(Regression!$W$28*Table83[[#This Row],[Servings]])</f>
        <v>44.633732933914061</v>
      </c>
      <c r="EG107" s="2">
        <f>Table83[[#This Row],[Waist]]-Table7[[#This Row],[Waist v Servings]]</f>
        <v>-0.13373293391406094</v>
      </c>
      <c r="EH107" s="2">
        <f>Table7[[#This Row],[WaistServ Res]]^2</f>
        <v>1.7884497613262589E-2</v>
      </c>
      <c r="EI107">
        <f>Regression!$X$29+(Regression!$X$28*Table83[[#This Row],[Water]])</f>
        <v>44.442082352251923</v>
      </c>
      <c r="EJ107" s="2">
        <f>Table83[[#This Row],[Waist]]-Table7[[#This Row],[Waist v Water]]</f>
        <v>5.7917647748077172E-2</v>
      </c>
      <c r="EK107" s="2">
        <f>Table7[[#This Row],[WaistWat Res]]^2</f>
        <v>3.3544539206703488E-3</v>
      </c>
      <c r="EL107">
        <f>Regression!$Y$29+(Regression!$Y$28*Table83[[#This Row],[Fat Calories]])</f>
        <v>44.480263692097132</v>
      </c>
      <c r="EM107" s="2">
        <f>Table83[[#This Row],[Waist]]-Table7[[#This Row],[Waist v Fat Calories]]</f>
        <v>1.9736307902867622E-2</v>
      </c>
      <c r="EN107" s="2">
        <f>Table7[[#This Row],[WaistFatCal Res]]^2</f>
        <v>3.8952184963679499E-4</v>
      </c>
    </row>
    <row r="108" spans="1:144" x14ac:dyDescent="0.25">
      <c r="A108">
        <f>Regression!$B$10+(Regression!$B$9*Table83[[#This Row],[Waist]])</f>
        <v>252.52625917894264</v>
      </c>
      <c r="B108" s="2">
        <f>Table83[[#This Row],[Weight]]-Table7[[#This Row],[Weight v Waist]]</f>
        <v>2.8737408210573676</v>
      </c>
      <c r="C108" s="2">
        <f>Table7[[#This Row],[Weight v Waist Res]]^2</f>
        <v>8.2583863066114738</v>
      </c>
      <c r="D108">
        <f>Regression!$C$10+(Regression!$C$9*Table83[[#This Row],[Neck]])</f>
        <v>253.29286486487842</v>
      </c>
      <c r="E108" s="2">
        <f>Table83[[#This Row],[Weight]]-Table7[[#This Row],[Weight v Neck]]</f>
        <v>2.107135135121581</v>
      </c>
      <c r="F108" s="2">
        <f>Table7[[#This Row],[WN Res]]^2</f>
        <v>4.4400184776638438</v>
      </c>
      <c r="G108">
        <f>Regression!$D$10+(Regression!$D$9*Table83[[#This Row],[Morning Body Temp]])</f>
        <v>254.7075736779725</v>
      </c>
      <c r="H108" s="2">
        <f>Table83[[#This Row],[Weight]]-Table7[[#This Row],[Weight v Morning Temp]]</f>
        <v>0.69242632202750087</v>
      </c>
      <c r="I108" s="2">
        <f>Table7[[#This Row],[WMT Res]]^2</f>
        <v>0.47945421143653233</v>
      </c>
      <c r="J108">
        <f>Regression!$E$10+(Regression!$E$9*Table83[[#This Row],[Morning Systolic Pressure]])</f>
        <v>255.59533587125256</v>
      </c>
      <c r="K108" s="2">
        <f>Table83[[#This Row],[Weight]]-Table7[[#This Row],[Weight v Morning Sys]]</f>
        <v>-0.19533587125255281</v>
      </c>
      <c r="L108" s="2">
        <f>Table7[[#This Row],[WMS Res]]^2</f>
        <v>3.8156102597993888E-2</v>
      </c>
      <c r="M108">
        <f>Regression!$F$10+(Regression!$F$9*Table83[[#This Row],[Morning Diastolic Pressure]])</f>
        <v>256.52085938387495</v>
      </c>
      <c r="N108" s="2">
        <f>Table83[[#This Row],[Weight]]-Table7[[#This Row],[Weight v Morning Dia]]</f>
        <v>-1.1208593838749437</v>
      </c>
      <c r="O108" s="2">
        <f>Table7[[#This Row],[WMD Res]]^2</f>
        <v>1.2563257584205183</v>
      </c>
      <c r="P108">
        <f>Regression!$G$10+(Regression!$G$9*Table83[[#This Row],[Morning Pulse]])</f>
        <v>255.11912848167003</v>
      </c>
      <c r="Q108" s="2">
        <f>Table83[[#This Row],[Weight]]-Table7[[#This Row],[Weight v Morning Pulse]]</f>
        <v>0.28087151832997392</v>
      </c>
      <c r="R108" s="2">
        <f>Table7[[#This Row],[WMP Res]]^2</f>
        <v>7.8888809808984883E-2</v>
      </c>
      <c r="S108">
        <f>Regression!$H$10+(Regression!$H$9*Table83[[#This Row],[Night Body Temp]])</f>
        <v>253.51643126126316</v>
      </c>
      <c r="T108" s="2">
        <f>Table83[[#This Row],[Weight]]-Table7[[#This Row],[Weight v Night Temp]]</f>
        <v>1.8835687387368409</v>
      </c>
      <c r="U108" s="2">
        <f>Table7[[#This Row],[WNT Res]]^2</f>
        <v>3.5478311935466937</v>
      </c>
      <c r="V108">
        <f>Regression!$I$10+(Regression!$I$9*Table83[[#This Row],[Night Systolic Pressure]])</f>
        <v>255.54651589525261</v>
      </c>
      <c r="W108" s="2">
        <f>Table83[[#This Row],[Weight]]-Table7[[#This Row],[Weight v Night Sys]]</f>
        <v>-0.14651589525260533</v>
      </c>
      <c r="X108" s="2">
        <f>Table7[[#This Row],[WNS Res]]^2</f>
        <v>2.1466907561672417E-2</v>
      </c>
      <c r="Y108">
        <f>Regression!$J$10+(Regression!$J$9*Table83[[#This Row],[Night Diastolic Pressure]])</f>
        <v>255.2146139794944</v>
      </c>
      <c r="Z108" s="2">
        <f>Table83[[#This Row],[Weight]]-Table7[[#This Row],[Weight v Night Dia]]</f>
        <v>0.18538602050560371</v>
      </c>
      <c r="AA108" s="2">
        <f>Table7[[#This Row],[WND Res]]^2</f>
        <v>3.4367976598904122E-2</v>
      </c>
      <c r="AB108">
        <f>Regression!$K$10+(Regression!$K$9*Table83[[#This Row],[Night Pulse]])</f>
        <v>254.68016522142707</v>
      </c>
      <c r="AC108" s="2">
        <f>Table83[[#This Row],[Weight]]-Table7[[#This Row],[Weight v Night Pulse]]</f>
        <v>0.7198347785729311</v>
      </c>
      <c r="AD108" s="2">
        <f>Table7[[#This Row],[WNP Res ]]^2</f>
        <v>0.5181621084431407</v>
      </c>
      <c r="AE108">
        <f>Regression!$L$10+(Regression!$L$9*Table83[[#This Row],[Sleep]])</f>
        <v>254.82155554400751</v>
      </c>
      <c r="AF108" s="2">
        <f>Table83[[#This Row],[Weight]]-Table7[[#This Row],[Weight v Sleep]]</f>
        <v>0.57844445599249639</v>
      </c>
      <c r="AG108" s="2">
        <f>Table7[[#This Row],[WS Res]]^2</f>
        <v>0.33459798866845508</v>
      </c>
      <c r="AH108">
        <f>Regression!$M$10+(Regression!$M$9*Table83[[#This Row],[BMI]])</f>
        <v>255.39999999999944</v>
      </c>
      <c r="AI108" s="2">
        <f>Table83[[#This Row],[Weight]]-Table7[[#This Row],[Weight v BMI]]</f>
        <v>5.6843418860808015E-13</v>
      </c>
      <c r="AJ108" s="2">
        <f>Table7[[#This Row],[WBMI Res]]^2</f>
        <v>3.2311742677852644E-25</v>
      </c>
      <c r="AK108">
        <f>Regression!$N$10+(Regression!$N$9*Table83[[#This Row],[CBF]])</f>
        <v>253.17965033701802</v>
      </c>
      <c r="AL108" s="2">
        <f>Table83[[#This Row],[Weight]]-Table7[[#This Row],[Weight v CBF]]</f>
        <v>2.2203496629819881</v>
      </c>
      <c r="AM108" s="2">
        <f>Table7[[#This Row],[WCBF Res]]^2</f>
        <v>4.9299526259042281</v>
      </c>
      <c r="AN108">
        <f>Regression!$O$10+(Regression!$O$9*Table83[[#This Row],[Gym]])</f>
        <v>255.46779661016953</v>
      </c>
      <c r="AO108" s="2">
        <f>Table83[[#This Row],[Weight]]-Table7[[#This Row],[Weight v Gym]]</f>
        <v>-6.7796610169523319E-2</v>
      </c>
      <c r="AP108" s="2">
        <f>Table7[[#This Row],[WG Res]]^2</f>
        <v>4.5963803504783128E-3</v>
      </c>
      <c r="AQ108">
        <f>Regression!$P$10+(Regression!$P$9*Table83[[#This Row],[Cardio]])</f>
        <v>256.41063829787231</v>
      </c>
      <c r="AR108" s="2">
        <f>Table83[[#This Row],[Weight]]-Table7[[#This Row],[Weight v Cardio]]</f>
        <v>-1.0106382978723047</v>
      </c>
      <c r="AS108" s="2">
        <f>Table7[[#This Row],[WC Res]]^2</f>
        <v>1.0213897691262295</v>
      </c>
      <c r="AT108">
        <f>Regression!$Q$10+(Regression!$Q$9*Table83[[#This Row],[Calories]])</f>
        <v>255.08512838236916</v>
      </c>
      <c r="AU108" s="2">
        <f>Table83[[#This Row],[Weight]]-Table7[[#This Row],[Weight v Calories]]</f>
        <v>0.31487161763084259</v>
      </c>
      <c r="AV108" s="2">
        <f>Table7[[#This Row],[WCAL Res]]^2</f>
        <v>9.9144135589463542E-2</v>
      </c>
      <c r="AW108">
        <f>Regression!$R$10+(Regression!$R$9*Table83[[#This Row],[Carbs]])</f>
        <v>254.91373467146664</v>
      </c>
      <c r="AX108" s="2">
        <f>Table83[[#This Row],[Weight]]-Table7[[#This Row],[Weight v Carbs]]</f>
        <v>0.48626532853336357</v>
      </c>
      <c r="AY108" s="2">
        <f>Table7[[#This Row],[Wcarb Res]]^2</f>
        <v>0.23645396973366001</v>
      </c>
      <c r="AZ108">
        <f>Regression!$S$10+(Regression!$S$9*Table83[[#This Row],[Fat ]])</f>
        <v>255.15946448036269</v>
      </c>
      <c r="BA108" s="2">
        <f>Table83[[#This Row],[Weight]]-Table7[[#This Row],[Weight v Fat]]</f>
        <v>0.24053551963731934</v>
      </c>
      <c r="BB108" s="2">
        <f>Table7[[#This Row],[WF Res]]^2</f>
        <v>5.7857336207195235E-2</v>
      </c>
      <c r="BC108">
        <f>Regression!$T$10+(Regression!$T$9*Table83[[#This Row],[Protein]])</f>
        <v>255.45346025208971</v>
      </c>
      <c r="BD108" s="2">
        <f>Table83[[#This Row],[Weight]]-Table7[[#This Row],[Weight v Protein]]</f>
        <v>-5.3460252089706728E-2</v>
      </c>
      <c r="BE108" s="2">
        <f>Table7[[#This Row],[WP Res]]^2</f>
        <v>2.8579985534949925E-3</v>
      </c>
      <c r="BF108">
        <f>Regression!$U$10+(Regression!$U$9*Table83[[#This Row],[Fiber]])</f>
        <v>255.00243207758706</v>
      </c>
      <c r="BG108" s="2">
        <f>Table83[[#This Row],[Weight]]-Table7[[#This Row],[Weight v Fiber]]</f>
        <v>0.39756792241294647</v>
      </c>
      <c r="BH108" s="2">
        <f>Table7[[#This Row],[Wfib Res]]^2</f>
        <v>0.15806025293174664</v>
      </c>
      <c r="BI108">
        <f>Regression!$V$10+(Regression!$V$9*Table83[[#This Row],[Sugar]])</f>
        <v>254.49538002475083</v>
      </c>
      <c r="BJ108" s="2">
        <f>Table83[[#This Row],[Weight]]-Table7[[#This Row],[Weight v Sugar]]</f>
        <v>0.90461997524917592</v>
      </c>
      <c r="BK108" s="2">
        <f>Table7[[#This Row],[Wsugar Res]]^2</f>
        <v>0.81833729961981971</v>
      </c>
      <c r="BL108">
        <f>Regression!$W$10+(Regression!$W$9*Table83[[#This Row],[Servings]])</f>
        <v>256.54598378393001</v>
      </c>
      <c r="BM108" s="2">
        <f>Table83[[#This Row],[Weight]]-Table7[[#This Row],[Weight v Servings]]</f>
        <v>-1.1459837839300064</v>
      </c>
      <c r="BN108" s="2">
        <f>Table7[[#This Row],[Wserv Res]]^2</f>
        <v>1.3132788330305356</v>
      </c>
      <c r="BO108">
        <f>Regression!$X$10+(Regression!$X$9*Table83[[#This Row],[Water]])</f>
        <v>255.10626599365665</v>
      </c>
      <c r="BP108" s="2">
        <f>Table83[[#This Row],[Weight]]-Table7[[#This Row],[Weight v Water]]</f>
        <v>0.29373400634335667</v>
      </c>
      <c r="BQ108" s="2">
        <f>Table7[[#This Row],[Wwater Res]]^2</f>
        <v>8.6279666482519099E-2</v>
      </c>
      <c r="BR108">
        <f>Regression!$Y$10+(Regression!$Y$9*Table83[[#This Row],[Fat Calories]])</f>
        <v>255.15745694512563</v>
      </c>
      <c r="BS108" s="2">
        <f>Table83[[#This Row],[Weight]]-Table7[[#This Row],[Weight v Fat Calories]]</f>
        <v>0.24254305487437477</v>
      </c>
      <c r="BT108" s="2">
        <f>Table7[[#This Row],[WFC Res]]^2</f>
        <v>5.8827133467793974E-2</v>
      </c>
      <c r="BU108">
        <f>Regression!$B$29+(Regression!$B$28*Table83[[#This Row],[Weight]])</f>
        <v>44.492368609206643</v>
      </c>
      <c r="BV108" s="2">
        <f>Table83[[#This Row],[Waist]]-Table7[[#This Row],[Waist v Weight]]</f>
        <v>-0.49236860920664327</v>
      </c>
      <c r="BW108" s="2">
        <f>Table7[[#This Row],[WaistW Res]]^2</f>
        <v>0.24242684733208419</v>
      </c>
      <c r="BX108">
        <f>Regression!$C$29+(Regression!$C$28*Table83[[#This Row],[Neck]])</f>
        <v>44.175585585585594</v>
      </c>
      <c r="BY108" s="2">
        <f>Table83[[#This Row],[Waist]]-Table7[[#This Row],[Waist v Neck]]</f>
        <v>-0.17558558558559412</v>
      </c>
      <c r="BZ108" s="2">
        <f>Table7[[#This Row],[WaistN Res]]^2</f>
        <v>3.0830297865435997E-2</v>
      </c>
      <c r="CA108">
        <f>Regression!$D$29+(Regression!$D$28*Table83[[#This Row],[Morning Body Temp]])</f>
        <v>44.342717051701939</v>
      </c>
      <c r="CB108" s="2">
        <f>Table83[[#This Row],[Waist]]-Table7[[#This Row],[Waist v Morning Temp]]</f>
        <v>-0.34271705170193911</v>
      </c>
      <c r="CC108" s="2">
        <f>Table7[[#This Row],[WaistMT Res]]^2</f>
        <v>0.11745497752726961</v>
      </c>
      <c r="CD108">
        <f>Regression!$E$29+(Regression!$E$28*Table83[[#This Row],[Morning Systolic Pressure]])</f>
        <v>44.566379185060903</v>
      </c>
      <c r="CE108" s="2">
        <f>Table83[[#This Row],[Waist]]-Table7[[#This Row],[Waist v Morning Sys]]</f>
        <v>-0.56637918506090301</v>
      </c>
      <c r="CF108" s="2">
        <f>Table7[[#This Row],[WaistMS Res]]^2</f>
        <v>0.32078538127025263</v>
      </c>
      <c r="CG108">
        <f>Regression!$F$29+(Regression!$F$28*Table83[[#This Row],[Morning Diastolic Pressure]])</f>
        <v>44.531715357508219</v>
      </c>
      <c r="CH108" s="2">
        <f>Table83[[#This Row],[Waist]]-Table7[[#This Row],[Waist v Morning Dia]]</f>
        <v>-0.53171535750821874</v>
      </c>
      <c r="CI108" s="2">
        <f>Table7[[#This Row],[WaistMD Res]]^2</f>
        <v>0.28272122141009287</v>
      </c>
      <c r="CJ108">
        <f>Regression!$G$29+(Regression!$G$28*Table83[[#This Row],[Morning Pulse]])</f>
        <v>44.455415702653426</v>
      </c>
      <c r="CK108" s="2">
        <f>Table83[[#This Row],[Waist]]-Table7[[#This Row],[Waist v Morning Pulse]]</f>
        <v>-0.45541570265342557</v>
      </c>
      <c r="CL108" s="2">
        <f>Table7[[#This Row],[WaistMP Res]]^2</f>
        <v>0.20740346222331332</v>
      </c>
      <c r="CM108">
        <f>Regression!$H$29+(Regression!$H$28*Table83[[#This Row],[Night Body Temp]])</f>
        <v>44.32750009758589</v>
      </c>
      <c r="CN108" s="2">
        <f>Table83[[#This Row],[Waist]]-Table7[[#This Row],[Waist v Night Temp]]</f>
        <v>-0.32750009758589016</v>
      </c>
      <c r="CO108" s="2">
        <f>Table7[[#This Row],[WaistNT Res]]^2</f>
        <v>0.10725631391876758</v>
      </c>
      <c r="CP108">
        <f>Regression!$I$29+(Regression!$I$28*Table83[[#This Row],[Night Systolic Pressure]])</f>
        <v>44.514659772607665</v>
      </c>
      <c r="CQ108" s="2">
        <f>Table83[[#This Row],[Waist]]-Table7[[#This Row],[Waist v  Night Sys]]</f>
        <v>-0.51465977260766493</v>
      </c>
      <c r="CR108" s="2">
        <f>Table7[[#This Row],[WaistNS Res]]^2</f>
        <v>0.26487468154057336</v>
      </c>
      <c r="CS108">
        <f>Regression!$J$29+(Regression!$J$28*Table83[[#This Row],[Night Diastolic Pressure]])</f>
        <v>44.495227901568619</v>
      </c>
      <c r="CT108" s="2">
        <f>Table83[[#This Row],[Waist]]-Table7[[#This Row],[Waist v Night Dia]]</f>
        <v>-0.49522790156861873</v>
      </c>
      <c r="CU108" s="2">
        <f>Table7[[#This Row],[WaistND Res]]^2</f>
        <v>0.24525067449205754</v>
      </c>
      <c r="CV108">
        <f>Regression!$K$29+(Regression!$K$28*Table83[[#This Row],[Night Pulse]])</f>
        <v>44.493989328296848</v>
      </c>
      <c r="CW108" s="2">
        <f>Table83[[#This Row],[Waist]]-Table7[[#This Row],[Waist v Night Pulse]]</f>
        <v>-0.49398932829684838</v>
      </c>
      <c r="CX108" s="2">
        <f>Table7[[#This Row],[WaistNP Res]]^2</f>
        <v>0.24402545647117146</v>
      </c>
      <c r="CY108">
        <f>Regression!$L$29+(Regression!$L$28*Table83[[#This Row],[Sleep]])</f>
        <v>44.408792884862443</v>
      </c>
      <c r="CZ108" s="2">
        <f>Table83[[#This Row],[Waist]]-Table7[[#This Row],[Waist v  Sleep]]</f>
        <v>-0.40879288486244292</v>
      </c>
      <c r="DA108" s="2">
        <f>Table7[[#This Row],[WaistS Res]]^2</f>
        <v>0.16711162271415853</v>
      </c>
      <c r="DB108">
        <f>Regression!$M$29+(Regression!$M$28*Table83[[#This Row],[BMI]])</f>
        <v>44.492368609206522</v>
      </c>
      <c r="DC108" s="2">
        <f>Table83[[#This Row],[Waist]]-Table7[[#This Row],[Waist v BMI]]</f>
        <v>-0.49236860920652248</v>
      </c>
      <c r="DD108" s="2">
        <f>Table7[[#This Row],[WaistBMI Res]]^2</f>
        <v>0.24242684733196526</v>
      </c>
      <c r="DE108">
        <f>Regression!$N$29+(Regression!$N$28*Table83[[#This Row],[CBF]])</f>
        <v>44.105031770433015</v>
      </c>
      <c r="DF108" s="2">
        <f>Table83[[#This Row],[Waist]]-Table7[[#This Row],[Waist v  CBF]]</f>
        <v>-0.10503177043301548</v>
      </c>
      <c r="DG108" s="2">
        <f>Table7[[#This Row],[WaistCBF Res]]^2</f>
        <v>1.1031672800293666E-2</v>
      </c>
      <c r="DH108">
        <f>Regression!$O$29+(Regression!$O$28*Table83[[#This Row],[Gym]])</f>
        <v>44.550847457627107</v>
      </c>
      <c r="DI108" s="2">
        <f>Table83[[#This Row],[Waist]]-Table7[[#This Row],[Waist v  Gym]]</f>
        <v>-0.55084745762710696</v>
      </c>
      <c r="DJ108" s="2">
        <f>Table7[[#This Row],[WaistGYM Res]]^2</f>
        <v>0.30343292157424739</v>
      </c>
      <c r="DK108">
        <f>Regression!$P$29+(Regression!$P$28*Table83[[#This Row],[Cardio]])</f>
        <v>44.680851063829778</v>
      </c>
      <c r="DL108" s="2">
        <f>Table83[[#This Row],[Waist]]-Table7[[#This Row],[Waist v Cardio]]</f>
        <v>-0.68085106382977756</v>
      </c>
      <c r="DM108" s="2">
        <f>Table7[[#This Row],[WaistC Res]]^2</f>
        <v>0.46355817111813985</v>
      </c>
      <c r="DN108">
        <f>Regression!$Q$29+(Regression!$Q$28*Table83[[#This Row],[Calories]])</f>
        <v>44.446818391573089</v>
      </c>
      <c r="DO108" s="2">
        <f>Table83[[#This Row],[Waist]]-Table7[[#This Row],[Waist v Calories]]</f>
        <v>-0.446818391573089</v>
      </c>
      <c r="DP108" s="2">
        <f>Table7[[#This Row],[WaistCal Res]]^2</f>
        <v>0.1996466750479623</v>
      </c>
      <c r="DQ108">
        <f>Regression!$R$29+(Regression!$R$28*Table83[[#This Row],[Carbs]])</f>
        <v>44.411628401990257</v>
      </c>
      <c r="DR108" s="2">
        <f>Table83[[#This Row],[Waist]]-Table7[[#This Row],[Waist v Carbs]]</f>
        <v>-0.41162840199025652</v>
      </c>
      <c r="DS108" s="2">
        <f>Table7[[#This Row],[WaistCarb Res]]^2</f>
        <v>0.16943794132505222</v>
      </c>
      <c r="DT108">
        <f>Regression!$S$29+(Regression!$S$28*Table83[[#This Row],[Fat ]])</f>
        <v>44.467118148054482</v>
      </c>
      <c r="DU108" s="2">
        <f>Table83[[#This Row],[Waist]]-Table7[[#This Row],[Waist v Fat]]</f>
        <v>-0.46711814805448171</v>
      </c>
      <c r="DV108" s="2">
        <f>Table7[[#This Row],[WaistF Res]]^2</f>
        <v>0.21819936424184869</v>
      </c>
      <c r="DW108">
        <f>Regression!$T$29+(Regression!$T$28*Table83[[#This Row],[Protein]])</f>
        <v>44.515482522749856</v>
      </c>
      <c r="DX108" s="2">
        <f>Table83[[#This Row],[Waist]]-Table7[[#This Row],[Waist v Protein]]</f>
        <v>-0.51548252274985629</v>
      </c>
      <c r="DY108" s="2">
        <f>Table7[[#This Row],[WaistP Res]]^2</f>
        <v>0.26572223126055611</v>
      </c>
      <c r="DZ108">
        <f>Regression!$U$29+(Regression!$U$28*Table83[[#This Row],[Fiber]])</f>
        <v>44.410087296375679</v>
      </c>
      <c r="EA108" s="2">
        <f>Table83[[#This Row],[Waist]]-Table7[[#This Row],[Waist v Fiber]]</f>
        <v>-0.41008729637567853</v>
      </c>
      <c r="EB108" s="2">
        <f>Table7[[#This Row],[WaistFib Res]]^2</f>
        <v>0.16817159064871359</v>
      </c>
      <c r="EC108">
        <f>Regression!$V$29+(Regression!$V$28*Table83[[#This Row],[Sugar]])</f>
        <v>44.342224056472013</v>
      </c>
      <c r="ED108" s="2">
        <f>Table83[[#This Row],[Waist]]-Table7[[#This Row],[Waist v Sugar]]</f>
        <v>-0.34222405647201271</v>
      </c>
      <c r="EE108" s="2">
        <f>Table7[[#This Row],[WaistSugar Res]]^2</f>
        <v>0.11711730482815934</v>
      </c>
      <c r="EF108">
        <f>Regression!$W$29+(Regression!$W$28*Table83[[#This Row],[Servings]])</f>
        <v>44.671877356778111</v>
      </c>
      <c r="EG108" s="2">
        <f>Table83[[#This Row],[Waist]]-Table7[[#This Row],[Waist v Servings]]</f>
        <v>-0.67187735677811133</v>
      </c>
      <c r="EH108" s="2">
        <f>Table7[[#This Row],[WaistServ Res]]^2</f>
        <v>0.4514191825511415</v>
      </c>
      <c r="EI108">
        <f>Regression!$X$29+(Regression!$X$28*Table83[[#This Row],[Water]])</f>
        <v>44.442082352251923</v>
      </c>
      <c r="EJ108" s="2">
        <f>Table83[[#This Row],[Waist]]-Table7[[#This Row],[Waist v Water]]</f>
        <v>-0.44208235225192283</v>
      </c>
      <c r="EK108" s="2">
        <f>Table7[[#This Row],[WaistWat Res]]^2</f>
        <v>0.19543680617259318</v>
      </c>
      <c r="EL108">
        <f>Regression!$Y$29+(Regression!$Y$28*Table83[[#This Row],[Fat Calories]])</f>
        <v>44.46643874438287</v>
      </c>
      <c r="EM108" s="2">
        <f>Table83[[#This Row],[Waist]]-Table7[[#This Row],[Waist v Fat Calories]]</f>
        <v>-0.46643874438287014</v>
      </c>
      <c r="EN108" s="2">
        <f>Table7[[#This Row],[WaistFatCal Res]]^2</f>
        <v>0.21756510226146847</v>
      </c>
    </row>
    <row r="109" spans="1:144" x14ac:dyDescent="0.25">
      <c r="A109">
        <f>Regression!$B$10+(Regression!$B$9*Table83[[#This Row],[Waist]])</f>
        <v>252.52625917894264</v>
      </c>
      <c r="B109" s="2">
        <f>Table83[[#This Row],[Weight]]-Table7[[#This Row],[Weight v Waist]]</f>
        <v>-1.1262591789426324</v>
      </c>
      <c r="C109" s="2">
        <f>Table7[[#This Row],[Weight v Waist Res]]^2</f>
        <v>1.2684597381525324</v>
      </c>
      <c r="D109">
        <f>Regression!$C$10+(Regression!$C$9*Table83[[#This Row],[Neck]])</f>
        <v>253.29286486487842</v>
      </c>
      <c r="E109" s="2">
        <f>Table83[[#This Row],[Weight]]-Table7[[#This Row],[Weight v Neck]]</f>
        <v>-1.892864864878419</v>
      </c>
      <c r="F109" s="2">
        <f>Table7[[#This Row],[WN Res]]^2</f>
        <v>3.5829373966911953</v>
      </c>
      <c r="G109">
        <f>Regression!$D$10+(Regression!$D$9*Table83[[#This Row],[Morning Body Temp]])</f>
        <v>255.9747476539751</v>
      </c>
      <c r="H109" s="2">
        <f>Table83[[#This Row],[Weight]]-Table7[[#This Row],[Weight v Morning Temp]]</f>
        <v>-4.5747476539750949</v>
      </c>
      <c r="I109" s="2">
        <f>Table7[[#This Row],[WMT Res]]^2</f>
        <v>20.928316097550635</v>
      </c>
      <c r="J109">
        <f>Regression!$E$10+(Regression!$E$9*Table83[[#This Row],[Morning Systolic Pressure]])</f>
        <v>254.96425501716519</v>
      </c>
      <c r="K109" s="2">
        <f>Table83[[#This Row],[Weight]]-Table7[[#This Row],[Weight v Morning Sys]]</f>
        <v>-3.5642550171651806</v>
      </c>
      <c r="L109" s="2">
        <f>Table7[[#This Row],[WMS Res]]^2</f>
        <v>12.703913827387161</v>
      </c>
      <c r="M109">
        <f>Regression!$F$10+(Regression!$F$9*Table83[[#This Row],[Morning Diastolic Pressure]])</f>
        <v>254.79800715011203</v>
      </c>
      <c r="N109" s="2">
        <f>Table83[[#This Row],[Weight]]-Table7[[#This Row],[Weight v Morning Dia]]</f>
        <v>-3.3980071501120221</v>
      </c>
      <c r="O109" s="2">
        <f>Table7[[#This Row],[WMD Res]]^2</f>
        <v>11.546452592212427</v>
      </c>
      <c r="P109">
        <f>Regression!$G$10+(Regression!$G$9*Table83[[#This Row],[Morning Pulse]])</f>
        <v>255.12095627742721</v>
      </c>
      <c r="Q109" s="2">
        <f>Table83[[#This Row],[Weight]]-Table7[[#This Row],[Weight v Morning Pulse]]</f>
        <v>-3.7209562774272058</v>
      </c>
      <c r="R109" s="2">
        <f>Table7[[#This Row],[WMP Res]]^2</f>
        <v>13.84551561852493</v>
      </c>
      <c r="S109">
        <f>Regression!$H$10+(Regression!$H$9*Table83[[#This Row],[Night Body Temp]])</f>
        <v>254.74879010704339</v>
      </c>
      <c r="T109" s="2">
        <f>Table83[[#This Row],[Weight]]-Table7[[#This Row],[Weight v Night Temp]]</f>
        <v>-3.348790107043385</v>
      </c>
      <c r="U109" s="2">
        <f>Table7[[#This Row],[WNT Res]]^2</f>
        <v>11.214395181031646</v>
      </c>
      <c r="V109">
        <f>Regression!$I$10+(Regression!$I$9*Table83[[#This Row],[Night Systolic Pressure]])</f>
        <v>254.41742272093947</v>
      </c>
      <c r="W109" s="2">
        <f>Table83[[#This Row],[Weight]]-Table7[[#This Row],[Weight v Night Sys]]</f>
        <v>-3.0174227209394644</v>
      </c>
      <c r="X109" s="2">
        <f>Table7[[#This Row],[WNS Res]]^2</f>
        <v>9.1048398768417211</v>
      </c>
      <c r="Y109">
        <f>Regression!$J$10+(Regression!$J$9*Table83[[#This Row],[Night Diastolic Pressure]])</f>
        <v>254.88848703216559</v>
      </c>
      <c r="Z109" s="2">
        <f>Table83[[#This Row],[Weight]]-Table7[[#This Row],[Weight v Night Dia]]</f>
        <v>-3.4884870321655796</v>
      </c>
      <c r="AA109" s="2">
        <f>Table7[[#This Row],[WND Res]]^2</f>
        <v>12.169541773587413</v>
      </c>
      <c r="AB109">
        <f>Regression!$K$10+(Regression!$K$9*Table83[[#This Row],[Night Pulse]])</f>
        <v>254.92587187132088</v>
      </c>
      <c r="AC109" s="2">
        <f>Table83[[#This Row],[Weight]]-Table7[[#This Row],[Weight v Night Pulse]]</f>
        <v>-3.5258718713208737</v>
      </c>
      <c r="AD109" s="2">
        <f>Table7[[#This Row],[WNP Res ]]^2</f>
        <v>12.43177245297176</v>
      </c>
      <c r="AE109">
        <f>Regression!$L$10+(Regression!$L$9*Table83[[#This Row],[Sleep]])</f>
        <v>255.76797809412898</v>
      </c>
      <c r="AF109" s="2">
        <f>Table83[[#This Row],[Weight]]-Table7[[#This Row],[Weight v Sleep]]</f>
        <v>-4.3679780941289721</v>
      </c>
      <c r="AG109" s="2">
        <f>Table7[[#This Row],[WS Res]]^2</f>
        <v>19.079232630790568</v>
      </c>
      <c r="AH109">
        <f>Regression!$M$10+(Regression!$M$9*Table83[[#This Row],[BMI]])</f>
        <v>251.4000000000083</v>
      </c>
      <c r="AI109" s="2">
        <f>Table83[[#This Row],[Weight]]-Table7[[#This Row],[Weight v BMI]]</f>
        <v>-8.2991391536779702E-12</v>
      </c>
      <c r="AJ109" s="2">
        <f>Table7[[#This Row],[WBMI Res]]^2</f>
        <v>6.8875710692110695E-23</v>
      </c>
      <c r="AK109">
        <f>Regression!$N$10+(Regression!$N$9*Table83[[#This Row],[CBF]])</f>
        <v>253.17965033701802</v>
      </c>
      <c r="AL109" s="2">
        <f>Table83[[#This Row],[Weight]]-Table7[[#This Row],[Weight v CBF]]</f>
        <v>-1.7796503370180119</v>
      </c>
      <c r="AM109" s="2">
        <f>Table7[[#This Row],[WCBF Res]]^2</f>
        <v>3.1671553220483233</v>
      </c>
      <c r="AN109">
        <f>Regression!$O$10+(Regression!$O$9*Table83[[#This Row],[Gym]])</f>
        <v>255.46779661016953</v>
      </c>
      <c r="AO109" s="2">
        <f>Table83[[#This Row],[Weight]]-Table7[[#This Row],[Weight v Gym]]</f>
        <v>-4.0677966101695233</v>
      </c>
      <c r="AP109" s="2">
        <f>Table7[[#This Row],[WG Res]]^2</f>
        <v>16.546969261706664</v>
      </c>
      <c r="AQ109">
        <f>Regression!$P$10+(Regression!$P$9*Table83[[#This Row],[Cardio]])</f>
        <v>254.19242424242461</v>
      </c>
      <c r="AR109" s="2">
        <f>Table83[[#This Row],[Weight]]-Table7[[#This Row],[Weight v Cardio]]</f>
        <v>-2.7924242424246017</v>
      </c>
      <c r="AS109" s="2">
        <f>Table7[[#This Row],[WC Res]]^2</f>
        <v>7.7976331496806113</v>
      </c>
      <c r="AT109">
        <f>Regression!$Q$10+(Regression!$Q$9*Table83[[#This Row],[Calories]])</f>
        <v>255.597056697515</v>
      </c>
      <c r="AU109" s="2">
        <f>Table83[[#This Row],[Weight]]-Table7[[#This Row],[Weight v Calories]]</f>
        <v>-4.197056697514995</v>
      </c>
      <c r="AV109" s="2">
        <f>Table7[[#This Row],[WCAL Res]]^2</f>
        <v>17.615284922155475</v>
      </c>
      <c r="AW109">
        <f>Regression!$R$10+(Regression!$R$9*Table83[[#This Row],[Carbs]])</f>
        <v>255.82667111639498</v>
      </c>
      <c r="AX109" s="2">
        <f>Table83[[#This Row],[Weight]]-Table7[[#This Row],[Weight v Carbs]]</f>
        <v>-4.4266711163949708</v>
      </c>
      <c r="AY109" s="2">
        <f>Table7[[#This Row],[Wcarb Res]]^2</f>
        <v>19.595417172725497</v>
      </c>
      <c r="AZ109">
        <f>Regression!$S$10+(Regression!$S$9*Table83[[#This Row],[Fat ]])</f>
        <v>255.35207937347081</v>
      </c>
      <c r="BA109" s="2">
        <f>Table83[[#This Row],[Weight]]-Table7[[#This Row],[Weight v Fat]]</f>
        <v>-3.9520793734708093</v>
      </c>
      <c r="BB109" s="2">
        <f>Table7[[#This Row],[WF Res]]^2</f>
        <v>15.618931374213425</v>
      </c>
      <c r="BC109">
        <f>Regression!$T$10+(Regression!$T$9*Table83[[#This Row],[Protein]])</f>
        <v>254.82067155710695</v>
      </c>
      <c r="BD109" s="2">
        <f>Table83[[#This Row],[Weight]]-Table7[[#This Row],[Weight v Protein]]</f>
        <v>-3.4206715571069424</v>
      </c>
      <c r="BE109" s="2">
        <f>Table7[[#This Row],[WP Res]]^2</f>
        <v>11.700993901600434</v>
      </c>
      <c r="BF109">
        <f>Regression!$U$10+(Regression!$U$9*Table83[[#This Row],[Fiber]])</f>
        <v>255.35358243010924</v>
      </c>
      <c r="BG109" s="2">
        <f>Table83[[#This Row],[Weight]]-Table7[[#This Row],[Weight v Fiber]]</f>
        <v>-3.9535824301092362</v>
      </c>
      <c r="BH109" s="2">
        <f>Table7[[#This Row],[Wfib Res]]^2</f>
        <v>15.630814031668454</v>
      </c>
      <c r="BI109">
        <f>Regression!$V$10+(Regression!$V$9*Table83[[#This Row],[Sugar]])</f>
        <v>256.55041256473754</v>
      </c>
      <c r="BJ109" s="2">
        <f>Table83[[#This Row],[Weight]]-Table7[[#This Row],[Weight v Sugar]]</f>
        <v>-5.1504125647375361</v>
      </c>
      <c r="BK109" s="2">
        <f>Table7[[#This Row],[Wsugar Res]]^2</f>
        <v>26.526749587006282</v>
      </c>
      <c r="BL109">
        <f>Regression!$W$10+(Regression!$W$9*Table83[[#This Row],[Servings]])</f>
        <v>256.26273738920463</v>
      </c>
      <c r="BM109" s="2">
        <f>Table83[[#This Row],[Weight]]-Table7[[#This Row],[Weight v Servings]]</f>
        <v>-4.8627373892046251</v>
      </c>
      <c r="BN109" s="2">
        <f>Table7[[#This Row],[Wserv Res]]^2</f>
        <v>23.646214916368614</v>
      </c>
      <c r="BO109">
        <f>Regression!$X$10+(Regression!$X$9*Table83[[#This Row],[Water]])</f>
        <v>255.27752992726238</v>
      </c>
      <c r="BP109" s="2">
        <f>Table83[[#This Row],[Weight]]-Table7[[#This Row],[Weight v Water]]</f>
        <v>-3.8775299272623727</v>
      </c>
      <c r="BQ109" s="2">
        <f>Table7[[#This Row],[Wwater Res]]^2</f>
        <v>15.035238336815341</v>
      </c>
      <c r="BR109">
        <f>Regression!$Y$10+(Regression!$Y$9*Table83[[#This Row],[Fat Calories]])</f>
        <v>255.36244764726362</v>
      </c>
      <c r="BS109" s="2">
        <f>Table83[[#This Row],[Weight]]-Table7[[#This Row],[Weight v Fat Calories]]</f>
        <v>-3.9624476472636161</v>
      </c>
      <c r="BT109" s="2">
        <f>Table7[[#This Row],[WFC Res]]^2</f>
        <v>15.700991357304966</v>
      </c>
      <c r="BU109">
        <f>Regression!$B$29+(Regression!$B$28*Table83[[#This Row],[Weight]])</f>
        <v>43.947318566926711</v>
      </c>
      <c r="BV109" s="2">
        <f>Table83[[#This Row],[Waist]]-Table7[[#This Row],[Waist v Weight]]</f>
        <v>5.2681433073288986E-2</v>
      </c>
      <c r="BW109" s="2">
        <f>Table7[[#This Row],[WaistW Res]]^2</f>
        <v>2.7753333906554265E-3</v>
      </c>
      <c r="BX109">
        <f>Regression!$C$29+(Regression!$C$28*Table83[[#This Row],[Neck]])</f>
        <v>44.175585585585594</v>
      </c>
      <c r="BY109" s="2">
        <f>Table83[[#This Row],[Waist]]-Table7[[#This Row],[Waist v Neck]]</f>
        <v>-0.17558558558559412</v>
      </c>
      <c r="BZ109" s="2">
        <f>Table7[[#This Row],[WaistN Res]]^2</f>
        <v>3.0830297865435997E-2</v>
      </c>
      <c r="CA109">
        <f>Regression!$D$29+(Regression!$D$28*Table83[[#This Row],[Morning Body Temp]])</f>
        <v>44.687359688867737</v>
      </c>
      <c r="CB109" s="2">
        <f>Table83[[#This Row],[Waist]]-Table7[[#This Row],[Waist v Morning Temp]]</f>
        <v>-0.68735968886773691</v>
      </c>
      <c r="CC109" s="2">
        <f>Table7[[#This Row],[WaistMT Res]]^2</f>
        <v>0.47246334188035211</v>
      </c>
      <c r="CD109">
        <f>Regression!$E$29+(Regression!$E$28*Table83[[#This Row],[Morning Systolic Pressure]])</f>
        <v>44.418113511666924</v>
      </c>
      <c r="CE109" s="2">
        <f>Table83[[#This Row],[Waist]]-Table7[[#This Row],[Waist v Morning Sys]]</f>
        <v>-0.4181135116669239</v>
      </c>
      <c r="CF109" s="2">
        <f>Table7[[#This Row],[WaistMS Res]]^2</f>
        <v>0.1748189086384469</v>
      </c>
      <c r="CG109">
        <f>Regression!$F$29+(Regression!$F$28*Table83[[#This Row],[Morning Diastolic Pressure]])</f>
        <v>44.435909806137701</v>
      </c>
      <c r="CH109" s="2">
        <f>Table83[[#This Row],[Waist]]-Table7[[#This Row],[Waist v Morning Dia]]</f>
        <v>-0.43590980613770114</v>
      </c>
      <c r="CI109" s="2">
        <f>Table7[[#This Row],[WaistMD Res]]^2</f>
        <v>0.1900173590870082</v>
      </c>
      <c r="CJ109">
        <f>Regression!$G$29+(Regression!$G$28*Table83[[#This Row],[Morning Pulse]])</f>
        <v>44.456255205227038</v>
      </c>
      <c r="CK109" s="2">
        <f>Table83[[#This Row],[Waist]]-Table7[[#This Row],[Waist v Morning Pulse]]</f>
        <v>-0.45625520522703766</v>
      </c>
      <c r="CL109" s="2">
        <f>Table7[[#This Row],[WaistMP Res]]^2</f>
        <v>0.20816881229676626</v>
      </c>
      <c r="CM109">
        <f>Regression!$H$29+(Regression!$H$28*Table83[[#This Row],[Night Body Temp]])</f>
        <v>44.424663183244519</v>
      </c>
      <c r="CN109" s="2">
        <f>Table83[[#This Row],[Waist]]-Table7[[#This Row],[Waist v Night Temp]]</f>
        <v>-0.4246631832445189</v>
      </c>
      <c r="CO109" s="2">
        <f>Table7[[#This Row],[WaistNT Res]]^2</f>
        <v>0.18033881920336783</v>
      </c>
      <c r="CP109">
        <f>Regression!$I$29+(Regression!$I$28*Table83[[#This Row],[Night Systolic Pressure]])</f>
        <v>44.354718515025915</v>
      </c>
      <c r="CQ109" s="2">
        <f>Table83[[#This Row],[Waist]]-Table7[[#This Row],[Waist v  Night Sys]]</f>
        <v>-0.35471851502591534</v>
      </c>
      <c r="CR109" s="2">
        <f>Table7[[#This Row],[WaistNS Res]]^2</f>
        <v>0.12582522490219053</v>
      </c>
      <c r="CS109">
        <f>Regression!$J$29+(Regression!$J$28*Table83[[#This Row],[Night Diastolic Pressure]])</f>
        <v>44.358684339909082</v>
      </c>
      <c r="CT109" s="2">
        <f>Table83[[#This Row],[Waist]]-Table7[[#This Row],[Waist v Night Dia]]</f>
        <v>-0.35868433990908244</v>
      </c>
      <c r="CU109" s="2">
        <f>Table7[[#This Row],[WaistND Res]]^2</f>
        <v>0.12865445569601419</v>
      </c>
      <c r="CV109">
        <f>Regression!$K$29+(Regression!$K$28*Table83[[#This Row],[Night Pulse]])</f>
        <v>44.471135357809125</v>
      </c>
      <c r="CW109" s="2">
        <f>Table83[[#This Row],[Waist]]-Table7[[#This Row],[Waist v Night Pulse]]</f>
        <v>-0.47113535780912486</v>
      </c>
      <c r="CX109" s="2">
        <f>Table7[[#This Row],[WaistNP Res]]^2</f>
        <v>0.2219685253779321</v>
      </c>
      <c r="CY109">
        <f>Regression!$L$29+(Regression!$L$28*Table83[[#This Row],[Sleep]])</f>
        <v>44.553089788849412</v>
      </c>
      <c r="CZ109" s="2">
        <f>Table83[[#This Row],[Waist]]-Table7[[#This Row],[Waist v  Sleep]]</f>
        <v>-0.5530897888494124</v>
      </c>
      <c r="DA109" s="2">
        <f>Table7[[#This Row],[WaistS Res]]^2</f>
        <v>0.30590831452948758</v>
      </c>
      <c r="DB109">
        <f>Regression!$M$29+(Regression!$M$28*Table83[[#This Row],[BMI]])</f>
        <v>43.947318566928317</v>
      </c>
      <c r="DC109" s="2">
        <f>Table83[[#This Row],[Waist]]-Table7[[#This Row],[Waist v BMI]]</f>
        <v>5.2681433071683159E-2</v>
      </c>
      <c r="DD109" s="2">
        <f>Table7[[#This Row],[WaistBMI Res]]^2</f>
        <v>2.7753333904862319E-3</v>
      </c>
      <c r="DE109">
        <f>Regression!$N$29+(Regression!$N$28*Table83[[#This Row],[CBF]])</f>
        <v>44.105031770433015</v>
      </c>
      <c r="DF109" s="2">
        <f>Table83[[#This Row],[Waist]]-Table7[[#This Row],[Waist v  CBF]]</f>
        <v>-0.10503177043301548</v>
      </c>
      <c r="DG109" s="2">
        <f>Table7[[#This Row],[WaistCBF Res]]^2</f>
        <v>1.1031672800293666E-2</v>
      </c>
      <c r="DH109">
        <f>Regression!$O$29+(Regression!$O$28*Table83[[#This Row],[Gym]])</f>
        <v>44.550847457627107</v>
      </c>
      <c r="DI109" s="2">
        <f>Table83[[#This Row],[Waist]]-Table7[[#This Row],[Waist v  Gym]]</f>
        <v>-0.55084745762710696</v>
      </c>
      <c r="DJ109" s="2">
        <f>Table7[[#This Row],[WaistGYM Res]]^2</f>
        <v>0.30343292157424739</v>
      </c>
      <c r="DK109">
        <f>Regression!$P$29+(Regression!$P$28*Table83[[#This Row],[Cardio]])</f>
        <v>44.291666666666664</v>
      </c>
      <c r="DL109" s="2">
        <f>Table83[[#This Row],[Waist]]-Table7[[#This Row],[Waist v Cardio]]</f>
        <v>-0.2916666666666643</v>
      </c>
      <c r="DM109" s="2">
        <f>Table7[[#This Row],[WaistC Res]]^2</f>
        <v>8.506944444444306E-2</v>
      </c>
      <c r="DN109">
        <f>Regression!$Q$29+(Regression!$Q$28*Table83[[#This Row],[Calories]])</f>
        <v>44.561837329588919</v>
      </c>
      <c r="DO109" s="2">
        <f>Table83[[#This Row],[Waist]]-Table7[[#This Row],[Waist v Calories]]</f>
        <v>-0.56183732958891852</v>
      </c>
      <c r="DP109" s="2">
        <f>Table7[[#This Row],[WaistCal Res]]^2</f>
        <v>0.31566118491960704</v>
      </c>
      <c r="DQ109">
        <f>Regression!$R$29+(Regression!$R$28*Table83[[#This Row],[Carbs]])</f>
        <v>44.60169617922093</v>
      </c>
      <c r="DR109" s="2">
        <f>Table83[[#This Row],[Waist]]-Table7[[#This Row],[Waist v Carbs]]</f>
        <v>-0.60169617922093011</v>
      </c>
      <c r="DS109" s="2">
        <f>Table7[[#This Row],[WaistCarb Res]]^2</f>
        <v>0.36203829208906563</v>
      </c>
      <c r="DT109">
        <f>Regression!$S$29+(Regression!$S$28*Table83[[#This Row],[Fat ]])</f>
        <v>44.525996444624468</v>
      </c>
      <c r="DU109" s="2">
        <f>Table83[[#This Row],[Waist]]-Table7[[#This Row],[Waist v Fat]]</f>
        <v>-0.52599644462446804</v>
      </c>
      <c r="DV109" s="2">
        <f>Table7[[#This Row],[WaistF Res]]^2</f>
        <v>0.27667225975758108</v>
      </c>
      <c r="DW109">
        <f>Regression!$T$29+(Regression!$T$28*Table83[[#This Row],[Protein]])</f>
        <v>44.39965868571332</v>
      </c>
      <c r="DX109" s="2">
        <f>Table83[[#This Row],[Waist]]-Table7[[#This Row],[Waist v Protein]]</f>
        <v>-0.39965868571331953</v>
      </c>
      <c r="DY109" s="2">
        <f>Table7[[#This Row],[WaistP Res]]^2</f>
        <v>0.15972706506609791</v>
      </c>
      <c r="DZ109">
        <f>Regression!$U$29+(Regression!$U$28*Table83[[#This Row],[Fiber]])</f>
        <v>44.545582154684652</v>
      </c>
      <c r="EA109" s="2">
        <f>Table83[[#This Row],[Waist]]-Table7[[#This Row],[Waist v Fiber]]</f>
        <v>-0.54558215468465221</v>
      </c>
      <c r="EB109" s="2">
        <f>Table7[[#This Row],[WaistFib Res]]^2</f>
        <v>0.29765988751034778</v>
      </c>
      <c r="EC109">
        <f>Regression!$V$29+(Regression!$V$28*Table83[[#This Row],[Sugar]])</f>
        <v>44.711387732447392</v>
      </c>
      <c r="ED109" s="2">
        <f>Table83[[#This Row],[Waist]]-Table7[[#This Row],[Waist v Sugar]]</f>
        <v>-0.71138773244739184</v>
      </c>
      <c r="EE109" s="2">
        <f>Table7[[#This Row],[WaistSugar Res]]^2</f>
        <v>0.50607250587664199</v>
      </c>
      <c r="EF109">
        <f>Regression!$W$29+(Regression!$W$28*Table83[[#This Row],[Servings]])</f>
        <v>44.628658675826635</v>
      </c>
      <c r="EG109" s="2">
        <f>Table83[[#This Row],[Waist]]-Table7[[#This Row],[Waist v Servings]]</f>
        <v>-0.62865867582663526</v>
      </c>
      <c r="EH109" s="2">
        <f>Table7[[#This Row],[WaistServ Res]]^2</f>
        <v>0.39521173069209847</v>
      </c>
      <c r="EI109">
        <f>Regression!$X$29+(Regression!$X$28*Table83[[#This Row],[Water]])</f>
        <v>44.665617861897069</v>
      </c>
      <c r="EJ109" s="2">
        <f>Table83[[#This Row],[Waist]]-Table7[[#This Row],[Waist v Water]]</f>
        <v>-0.66561786189706851</v>
      </c>
      <c r="EK109" s="2">
        <f>Table7[[#This Row],[WaistWat Res]]^2</f>
        <v>0.44304713807642498</v>
      </c>
      <c r="EL109">
        <f>Regression!$Y$29+(Regression!$Y$28*Table83[[#This Row],[Fat Calories]])</f>
        <v>44.528782314003593</v>
      </c>
      <c r="EM109" s="2">
        <f>Table83[[#This Row],[Waist]]-Table7[[#This Row],[Waist v Fat Calories]]</f>
        <v>-0.52878231400359255</v>
      </c>
      <c r="EN109" s="2">
        <f>Table7[[#This Row],[WaistFatCal Res]]^2</f>
        <v>0.27961073560299393</v>
      </c>
    </row>
    <row r="110" spans="1:144" x14ac:dyDescent="0.25">
      <c r="A110">
        <f>Regression!$B$10+(Regression!$B$9*Table83[[#This Row],[Waist]])</f>
        <v>249.67228149328892</v>
      </c>
      <c r="B110" s="2">
        <f>Table83[[#This Row],[Weight]]-Table7[[#This Row],[Weight v Waist]]</f>
        <v>0.72771850671108496</v>
      </c>
      <c r="C110" s="2">
        <f>Table7[[#This Row],[Weight v Waist Res]]^2</f>
        <v>0.52957422500981144</v>
      </c>
      <c r="D110">
        <f>Regression!$C$10+(Regression!$C$9*Table83[[#This Row],[Neck]])</f>
        <v>253.29286486487842</v>
      </c>
      <c r="E110" s="2">
        <f>Table83[[#This Row],[Weight]]-Table7[[#This Row],[Weight v Neck]]</f>
        <v>-2.892864864878419</v>
      </c>
      <c r="F110" s="2">
        <f>Table7[[#This Row],[WN Res]]^2</f>
        <v>8.3686671264480328</v>
      </c>
      <c r="G110">
        <f>Regression!$D$10+(Regression!$D$9*Table83[[#This Row],[Morning Body Temp]])</f>
        <v>255.20036355752904</v>
      </c>
      <c r="H110" s="2">
        <f>Table83[[#This Row],[Weight]]-Table7[[#This Row],[Weight v Morning Temp]]</f>
        <v>-4.8003635575290389</v>
      </c>
      <c r="I110" s="2">
        <f>Table7[[#This Row],[WMT Res]]^2</f>
        <v>23.043490284452851</v>
      </c>
      <c r="J110">
        <f>Regression!$E$10+(Regression!$E$9*Table83[[#This Row],[Morning Systolic Pressure]])</f>
        <v>254.96425501716519</v>
      </c>
      <c r="K110" s="2">
        <f>Table83[[#This Row],[Weight]]-Table7[[#This Row],[Weight v Morning Sys]]</f>
        <v>-4.5642550171651806</v>
      </c>
      <c r="L110" s="2">
        <f>Table7[[#This Row],[WMS Res]]^2</f>
        <v>20.832423861717523</v>
      </c>
      <c r="M110">
        <f>Regression!$F$10+(Regression!$F$9*Table83[[#This Row],[Morning Diastolic Pressure]])</f>
        <v>255.00069564820177</v>
      </c>
      <c r="N110" s="2">
        <f>Table83[[#This Row],[Weight]]-Table7[[#This Row],[Weight v Morning Dia]]</f>
        <v>-4.6006956482017642</v>
      </c>
      <c r="O110" s="2">
        <f>Table7[[#This Row],[WMD Res]]^2</f>
        <v>21.166400447382653</v>
      </c>
      <c r="P110">
        <f>Regression!$G$10+(Regression!$G$9*Table83[[#This Row],[Morning Pulse]])</f>
        <v>255.12278407318442</v>
      </c>
      <c r="Q110" s="2">
        <f>Table83[[#This Row],[Weight]]-Table7[[#This Row],[Weight v Morning Pulse]]</f>
        <v>-4.722784073184414</v>
      </c>
      <c r="R110" s="2">
        <f>Table7[[#This Row],[WMP Res]]^2</f>
        <v>22.304689401924364</v>
      </c>
      <c r="S110">
        <f>Regression!$H$10+(Regression!$H$9*Table83[[#This Row],[Night Body Temp]])</f>
        <v>254.44070039559833</v>
      </c>
      <c r="T110" s="2">
        <f>Table83[[#This Row],[Weight]]-Table7[[#This Row],[Weight v Night Temp]]</f>
        <v>-4.0407003955983214</v>
      </c>
      <c r="U110" s="2">
        <f>Table7[[#This Row],[WNT Res]]^2</f>
        <v>16.32725968698843</v>
      </c>
      <c r="V110">
        <f>Regression!$I$10+(Regression!$I$9*Table83[[#This Row],[Night Systolic Pressure]])</f>
        <v>254.00684338482557</v>
      </c>
      <c r="W110" s="2">
        <f>Table83[[#This Row],[Weight]]-Table7[[#This Row],[Weight v Night Sys]]</f>
        <v>-3.6068433848255665</v>
      </c>
      <c r="X110" s="2">
        <f>Table7[[#This Row],[WNS Res]]^2</f>
        <v>13.009319202659951</v>
      </c>
      <c r="Y110">
        <f>Regression!$J$10+(Regression!$J$9*Table83[[#This Row],[Night Diastolic Pressure]])</f>
        <v>255.09231637424611</v>
      </c>
      <c r="Z110" s="2">
        <f>Table83[[#This Row],[Weight]]-Table7[[#This Row],[Weight v Night Dia]]</f>
        <v>-4.6923163742461043</v>
      </c>
      <c r="AA110" s="2">
        <f>Table7[[#This Row],[WND Res]]^2</f>
        <v>22.017832956018108</v>
      </c>
      <c r="AB110">
        <f>Regression!$K$10+(Regression!$K$9*Table83[[#This Row],[Night Pulse]])</f>
        <v>254.95658520255759</v>
      </c>
      <c r="AC110" s="2">
        <f>Table83[[#This Row],[Weight]]-Table7[[#This Row],[Weight v Night Pulse]]</f>
        <v>-4.556585202557585</v>
      </c>
      <c r="AD110" s="2">
        <f>Table7[[#This Row],[WNP Res ]]^2</f>
        <v>20.762468708166747</v>
      </c>
      <c r="AE110">
        <f>Regression!$L$10+(Regression!$L$9*Table83[[#This Row],[Sleep]])</f>
        <v>254.82155554400751</v>
      </c>
      <c r="AF110" s="2">
        <f>Table83[[#This Row],[Weight]]-Table7[[#This Row],[Weight v Sleep]]</f>
        <v>-4.4215555440075036</v>
      </c>
      <c r="AG110" s="2">
        <f>Table7[[#This Row],[WS Res]]^2</f>
        <v>19.550153428743492</v>
      </c>
      <c r="AH110">
        <f>Regression!$M$10+(Regression!$M$9*Table83[[#This Row],[BMI]])</f>
        <v>250.40000000001052</v>
      </c>
      <c r="AI110" s="2">
        <f>Table83[[#This Row],[Weight]]-Table7[[#This Row],[Weight v BMI]]</f>
        <v>-1.0516032489249483E-11</v>
      </c>
      <c r="AJ110" s="2">
        <f>Table7[[#This Row],[WBMI Res]]^2</f>
        <v>1.1058693931495067E-22</v>
      </c>
      <c r="AK110">
        <f>Regression!$N$10+(Regression!$N$9*Table83[[#This Row],[CBF]])</f>
        <v>250.04675133427031</v>
      </c>
      <c r="AL110" s="2">
        <f>Table83[[#This Row],[Weight]]-Table7[[#This Row],[Weight v CBF]]</f>
        <v>0.35324866572969427</v>
      </c>
      <c r="AM110" s="2">
        <f>Table7[[#This Row],[WCBF Res]]^2</f>
        <v>0.12478461983980928</v>
      </c>
      <c r="AN110">
        <f>Regression!$O$10+(Regression!$O$9*Table83[[#This Row],[Gym]])</f>
        <v>255.46779661016953</v>
      </c>
      <c r="AO110" s="2">
        <f>Table83[[#This Row],[Weight]]-Table7[[#This Row],[Weight v Gym]]</f>
        <v>-5.0677966101695233</v>
      </c>
      <c r="AP110" s="2">
        <f>Table7[[#This Row],[WG Res]]^2</f>
        <v>25.682562482045711</v>
      </c>
      <c r="AQ110">
        <f>Regression!$P$10+(Regression!$P$9*Table83[[#This Row],[Cardio]])</f>
        <v>254.19242424242461</v>
      </c>
      <c r="AR110" s="2">
        <f>Table83[[#This Row],[Weight]]-Table7[[#This Row],[Weight v Cardio]]</f>
        <v>-3.7924242424246017</v>
      </c>
      <c r="AS110" s="2">
        <f>Table7[[#This Row],[WC Res]]^2</f>
        <v>14.382481634529814</v>
      </c>
      <c r="AT110">
        <f>Regression!$Q$10+(Regression!$Q$9*Table83[[#This Row],[Calories]])</f>
        <v>255.8136887039208</v>
      </c>
      <c r="AU110" s="2">
        <f>Table83[[#This Row],[Weight]]-Table7[[#This Row],[Weight v Calories]]</f>
        <v>-5.4136887039207977</v>
      </c>
      <c r="AV110" s="2">
        <f>Table7[[#This Row],[WCAL Res]]^2</f>
        <v>29.308025382959645</v>
      </c>
      <c r="AW110">
        <f>Regression!$R$10+(Regression!$R$9*Table83[[#This Row],[Carbs]])</f>
        <v>255.95183364421513</v>
      </c>
      <c r="AX110" s="2">
        <f>Table83[[#This Row],[Weight]]-Table7[[#This Row],[Weight v Carbs]]</f>
        <v>-5.5518336442151224</v>
      </c>
      <c r="AY110" s="2">
        <f>Table7[[#This Row],[Wcarb Res]]^2</f>
        <v>30.822856813038968</v>
      </c>
      <c r="AZ110">
        <f>Regression!$S$10+(Regression!$S$9*Table83[[#This Row],[Fat ]])</f>
        <v>255.49697777171696</v>
      </c>
      <c r="BA110" s="2">
        <f>Table83[[#This Row],[Weight]]-Table7[[#This Row],[Weight v Fat]]</f>
        <v>-5.0969777717169507</v>
      </c>
      <c r="BB110" s="2">
        <f>Table7[[#This Row],[WF Res]]^2</f>
        <v>25.97918240537669</v>
      </c>
      <c r="BC110">
        <f>Regression!$T$10+(Regression!$T$9*Table83[[#This Row],[Protein]])</f>
        <v>255.63571467139514</v>
      </c>
      <c r="BD110" s="2">
        <f>Table83[[#This Row],[Weight]]-Table7[[#This Row],[Weight v Protein]]</f>
        <v>-5.2357146713951295</v>
      </c>
      <c r="BE110" s="2">
        <f>Table7[[#This Row],[WP Res]]^2</f>
        <v>27.412708120262209</v>
      </c>
      <c r="BF110">
        <f>Regression!$U$10+(Regression!$U$9*Table83[[#This Row],[Fiber]])</f>
        <v>255.22511478917053</v>
      </c>
      <c r="BG110" s="2">
        <f>Table83[[#This Row],[Weight]]-Table7[[#This Row],[Weight v Fiber]]</f>
        <v>-4.8251147891705273</v>
      </c>
      <c r="BH110" s="2">
        <f>Table7[[#This Row],[Wfib Res]]^2</f>
        <v>23.281732728672143</v>
      </c>
      <c r="BI110">
        <f>Regression!$V$10+(Regression!$V$9*Table83[[#This Row],[Sugar]])</f>
        <v>256.6331746729079</v>
      </c>
      <c r="BJ110" s="2">
        <f>Table83[[#This Row],[Weight]]-Table7[[#This Row],[Weight v Sugar]]</f>
        <v>-6.233174672907893</v>
      </c>
      <c r="BK110" s="2">
        <f>Table7[[#This Row],[Wsugar Res]]^2</f>
        <v>38.85246650298042</v>
      </c>
      <c r="BL110">
        <f>Regression!$W$10+(Regression!$W$9*Table83[[#This Row],[Servings]])</f>
        <v>256.44851032825528</v>
      </c>
      <c r="BM110" s="2">
        <f>Table83[[#This Row],[Weight]]-Table7[[#This Row],[Weight v Servings]]</f>
        <v>-6.0485103282552757</v>
      </c>
      <c r="BN110" s="2">
        <f>Table7[[#This Row],[Wserv Res]]^2</f>
        <v>36.584477191010741</v>
      </c>
      <c r="BO110">
        <f>Regression!$X$10+(Regression!$X$9*Table83[[#This Row],[Water]])</f>
        <v>255.19189796045953</v>
      </c>
      <c r="BP110" s="2">
        <f>Table83[[#This Row],[Weight]]-Table7[[#This Row],[Weight v Water]]</f>
        <v>-4.7918979604595222</v>
      </c>
      <c r="BQ110" s="2">
        <f>Table7[[#This Row],[Wwater Res]]^2</f>
        <v>22.96228606345613</v>
      </c>
      <c r="BR110">
        <f>Regression!$Y$10+(Regression!$Y$9*Table83[[#This Row],[Fat Calories]])</f>
        <v>255.51665599489368</v>
      </c>
      <c r="BS110" s="2">
        <f>Table83[[#This Row],[Weight]]-Table7[[#This Row],[Weight v Fat Calories]]</f>
        <v>-5.1166559948936765</v>
      </c>
      <c r="BT110" s="2">
        <f>Table7[[#This Row],[WFC Res]]^2</f>
        <v>26.180168570081399</v>
      </c>
      <c r="BU110">
        <f>Regression!$B$29+(Regression!$B$28*Table83[[#This Row],[Weight]])</f>
        <v>43.811056056356733</v>
      </c>
      <c r="BV110" s="2">
        <f>Table83[[#This Row],[Waist]]-Table7[[#This Row],[Waist v Weight]]</f>
        <v>-0.31105605635673328</v>
      </c>
      <c r="BW110" s="2">
        <f>Table7[[#This Row],[WaistW Res]]^2</f>
        <v>9.6755870196203228E-2</v>
      </c>
      <c r="BX110">
        <f>Regression!$C$29+(Regression!$C$28*Table83[[#This Row],[Neck]])</f>
        <v>44.175585585585594</v>
      </c>
      <c r="BY110" s="2">
        <f>Table83[[#This Row],[Waist]]-Table7[[#This Row],[Waist v Neck]]</f>
        <v>-0.67558558558559412</v>
      </c>
      <c r="BZ110" s="2">
        <f>Table7[[#This Row],[WaistN Res]]^2</f>
        <v>0.45641588345103012</v>
      </c>
      <c r="CA110">
        <f>Regression!$D$29+(Regression!$D$28*Table83[[#This Row],[Morning Body Temp]])</f>
        <v>44.476744743933082</v>
      </c>
      <c r="CB110" s="2">
        <f>Table83[[#This Row],[Waist]]-Table7[[#This Row],[Waist v Morning Temp]]</f>
        <v>-0.9767447439330823</v>
      </c>
      <c r="CC110" s="2">
        <f>Table7[[#This Row],[WaistMT Res]]^2</f>
        <v>0.95403029480090251</v>
      </c>
      <c r="CD110">
        <f>Regression!$E$29+(Regression!$E$28*Table83[[#This Row],[Morning Systolic Pressure]])</f>
        <v>44.418113511666924</v>
      </c>
      <c r="CE110" s="2">
        <f>Table83[[#This Row],[Waist]]-Table7[[#This Row],[Waist v Morning Sys]]</f>
        <v>-0.9181135116669239</v>
      </c>
      <c r="CF110" s="2">
        <f>Table7[[#This Row],[WaistMS Res]]^2</f>
        <v>0.84293242030537086</v>
      </c>
      <c r="CG110">
        <f>Regression!$F$29+(Regression!$F$28*Table83[[#This Row],[Morning Diastolic Pressure]])</f>
        <v>44.447181047475404</v>
      </c>
      <c r="CH110" s="2">
        <f>Table83[[#This Row],[Waist]]-Table7[[#This Row],[Waist v Morning Dia]]</f>
        <v>-0.94718104747540366</v>
      </c>
      <c r="CI110" s="2">
        <f>Table7[[#This Row],[WaistMD Res]]^2</f>
        <v>0.89715193669660287</v>
      </c>
      <c r="CJ110">
        <f>Regression!$G$29+(Regression!$G$28*Table83[[#This Row],[Morning Pulse]])</f>
        <v>44.45709470780065</v>
      </c>
      <c r="CK110" s="2">
        <f>Table83[[#This Row],[Waist]]-Table7[[#This Row],[Waist v Morning Pulse]]</f>
        <v>-0.95709470780064976</v>
      </c>
      <c r="CL110" s="2">
        <f>Table7[[#This Row],[WaistMP Res]]^2</f>
        <v>0.91603027970001116</v>
      </c>
      <c r="CM110">
        <f>Regression!$H$29+(Regression!$H$28*Table83[[#This Row],[Night Body Temp]])</f>
        <v>44.400372411829863</v>
      </c>
      <c r="CN110" s="2">
        <f>Table83[[#This Row],[Waist]]-Table7[[#This Row],[Waist v Night Temp]]</f>
        <v>-0.90037241182986349</v>
      </c>
      <c r="CO110" s="2">
        <f>Table7[[#This Row],[WaistNT Res]]^2</f>
        <v>0.81067047998432529</v>
      </c>
      <c r="CP110">
        <f>Regression!$I$29+(Regression!$I$28*Table83[[#This Row],[Night Systolic Pressure]])</f>
        <v>44.296558057723466</v>
      </c>
      <c r="CQ110" s="2">
        <f>Table83[[#This Row],[Waist]]-Table7[[#This Row],[Waist v  Night Sys]]</f>
        <v>-0.79655805772346611</v>
      </c>
      <c r="CR110" s="2">
        <f>Table7[[#This Row],[WaistNS Res]]^2</f>
        <v>0.63450473932418072</v>
      </c>
      <c r="CS110">
        <f>Regression!$J$29+(Regression!$J$28*Table83[[#This Row],[Night Diastolic Pressure]])</f>
        <v>44.444024065946287</v>
      </c>
      <c r="CT110" s="2">
        <f>Table83[[#This Row],[Waist]]-Table7[[#This Row],[Waist v Night Dia]]</f>
        <v>-0.94402406594628729</v>
      </c>
      <c r="CU110" s="2">
        <f>Table7[[#This Row],[WaistND Res]]^2</f>
        <v>0.89118143708576014</v>
      </c>
      <c r="CV110">
        <f>Regression!$K$29+(Regression!$K$28*Table83[[#This Row],[Night Pulse]])</f>
        <v>44.468278611498164</v>
      </c>
      <c r="CW110" s="2">
        <f>Table83[[#This Row],[Waist]]-Table7[[#This Row],[Waist v Night Pulse]]</f>
        <v>-0.96827861149816385</v>
      </c>
      <c r="CX110" s="2">
        <f>Table7[[#This Row],[WaistNP Res]]^2</f>
        <v>0.93756346948481217</v>
      </c>
      <c r="CY110">
        <f>Regression!$L$29+(Regression!$L$28*Table83[[#This Row],[Sleep]])</f>
        <v>44.408792884862443</v>
      </c>
      <c r="CZ110" s="2">
        <f>Table83[[#This Row],[Waist]]-Table7[[#This Row],[Waist v  Sleep]]</f>
        <v>-0.90879288486244292</v>
      </c>
      <c r="DA110" s="2">
        <f>Table7[[#This Row],[WaistS Res]]^2</f>
        <v>0.82590450757660139</v>
      </c>
      <c r="DB110">
        <f>Regression!$M$29+(Regression!$M$28*Table83[[#This Row],[BMI]])</f>
        <v>43.811056056358765</v>
      </c>
      <c r="DC110" s="2">
        <f>Table83[[#This Row],[Waist]]-Table7[[#This Row],[Waist v BMI]]</f>
        <v>-0.31105605635876543</v>
      </c>
      <c r="DD110" s="2">
        <f>Table7[[#This Row],[WaistBMI Res]]^2</f>
        <v>9.6755870197467453E-2</v>
      </c>
      <c r="DE110">
        <f>Regression!$N$29+(Regression!$N$28*Table83[[#This Row],[CBF]])</f>
        <v>43.540887941991329</v>
      </c>
      <c r="DF110" s="2">
        <f>Table83[[#This Row],[Waist]]-Table7[[#This Row],[Waist v  CBF]]</f>
        <v>-4.0887941991329058E-2</v>
      </c>
      <c r="DG110" s="2">
        <f>Table7[[#This Row],[WaistCBF Res]]^2</f>
        <v>1.6718238002862899E-3</v>
      </c>
      <c r="DH110">
        <f>Regression!$O$29+(Regression!$O$28*Table83[[#This Row],[Gym]])</f>
        <v>44.550847457627107</v>
      </c>
      <c r="DI110" s="2">
        <f>Table83[[#This Row],[Waist]]-Table7[[#This Row],[Waist v  Gym]]</f>
        <v>-1.050847457627107</v>
      </c>
      <c r="DJ110" s="2">
        <f>Table7[[#This Row],[WaistGYM Res]]^2</f>
        <v>1.1042803792013545</v>
      </c>
      <c r="DK110">
        <f>Regression!$P$29+(Regression!$P$28*Table83[[#This Row],[Cardio]])</f>
        <v>44.291666666666664</v>
      </c>
      <c r="DL110" s="2">
        <f>Table83[[#This Row],[Waist]]-Table7[[#This Row],[Waist v Cardio]]</f>
        <v>-0.7916666666666643</v>
      </c>
      <c r="DM110" s="2">
        <f>Table7[[#This Row],[WaistC Res]]^2</f>
        <v>0.62673611111110739</v>
      </c>
      <c r="DN110">
        <f>Regression!$Q$29+(Regression!$Q$28*Table83[[#This Row],[Calories]])</f>
        <v>44.610509736603426</v>
      </c>
      <c r="DO110" s="2">
        <f>Table83[[#This Row],[Waist]]-Table7[[#This Row],[Waist v Calories]]</f>
        <v>-1.1105097366034258</v>
      </c>
      <c r="DP110" s="2">
        <f>Table7[[#This Row],[WaistCal Res]]^2</f>
        <v>1.2332318750910101</v>
      </c>
      <c r="DQ110">
        <f>Regression!$R$29+(Regression!$R$28*Table83[[#This Row],[Carbs]])</f>
        <v>44.62775425104784</v>
      </c>
      <c r="DR110" s="2">
        <f>Table83[[#This Row],[Waist]]-Table7[[#This Row],[Waist v Carbs]]</f>
        <v>-1.1277542510478398</v>
      </c>
      <c r="DS110" s="2">
        <f>Table7[[#This Row],[WaistCarb Res]]^2</f>
        <v>1.2718296507564739</v>
      </c>
      <c r="DT110">
        <f>Regression!$S$29+(Regression!$S$28*Table83[[#This Row],[Fat ]])</f>
        <v>44.570288818525491</v>
      </c>
      <c r="DU110" s="2">
        <f>Table83[[#This Row],[Waist]]-Table7[[#This Row],[Waist v Fat]]</f>
        <v>-1.0702888185254906</v>
      </c>
      <c r="DV110" s="2">
        <f>Table7[[#This Row],[WaistF Res]]^2</f>
        <v>1.1455181550606905</v>
      </c>
      <c r="DW110">
        <f>Regression!$T$29+(Regression!$T$28*Table83[[#This Row],[Protein]])</f>
        <v>44.548841851587724</v>
      </c>
      <c r="DX110" s="2">
        <f>Table83[[#This Row],[Waist]]-Table7[[#This Row],[Waist v Protein]]</f>
        <v>-1.0488418515877242</v>
      </c>
      <c r="DY110" s="2">
        <f>Table7[[#This Row],[WaistP Res]]^2</f>
        <v>1.1000692296419659</v>
      </c>
      <c r="DZ110">
        <f>Regression!$U$29+(Regression!$U$28*Table83[[#This Row],[Fiber]])</f>
        <v>44.49601163686728</v>
      </c>
      <c r="EA110" s="2">
        <f>Table83[[#This Row],[Waist]]-Table7[[#This Row],[Waist v Fiber]]</f>
        <v>-0.99601163686728</v>
      </c>
      <c r="EB110" s="2">
        <f>Table7[[#This Row],[WaistFib Res]]^2</f>
        <v>0.9920391807750385</v>
      </c>
      <c r="EC110">
        <f>Regression!$V$29+(Regression!$V$28*Table83[[#This Row],[Sugar]])</f>
        <v>44.726255022132172</v>
      </c>
      <c r="ED110" s="2">
        <f>Table83[[#This Row],[Waist]]-Table7[[#This Row],[Waist v Sugar]]</f>
        <v>-1.2262550221321717</v>
      </c>
      <c r="EE110" s="2">
        <f>Table7[[#This Row],[WaistSugar Res]]^2</f>
        <v>1.503701379304373</v>
      </c>
      <c r="EF110">
        <f>Regression!$W$29+(Regression!$W$28*Table83[[#This Row],[Servings]])</f>
        <v>44.657004531349465</v>
      </c>
      <c r="EG110" s="2">
        <f>Table83[[#This Row],[Waist]]-Table7[[#This Row],[Waist v Servings]]</f>
        <v>-1.1570045313494646</v>
      </c>
      <c r="EH110" s="2">
        <f>Table7[[#This Row],[WaistServ Res]]^2</f>
        <v>1.3386594855631941</v>
      </c>
      <c r="EI110">
        <f>Regression!$X$29+(Regression!$X$28*Table83[[#This Row],[Water]])</f>
        <v>44.553850107074496</v>
      </c>
      <c r="EJ110" s="2">
        <f>Table83[[#This Row],[Waist]]-Table7[[#This Row],[Waist v Water]]</f>
        <v>-1.0538501070744957</v>
      </c>
      <c r="EK110" s="2">
        <f>Table7[[#This Row],[WaistWat Res]]^2</f>
        <v>1.1106000481809259</v>
      </c>
      <c r="EL110">
        <f>Regression!$Y$29+(Regression!$Y$28*Table83[[#This Row],[Fat Calories]])</f>
        <v>44.57568150872951</v>
      </c>
      <c r="EM110" s="2">
        <f>Table83[[#This Row],[Waist]]-Table7[[#This Row],[Waist v Fat Calories]]</f>
        <v>-1.0756815087295095</v>
      </c>
      <c r="EN110" s="2">
        <f>Table7[[#This Row],[WaistFatCal Res]]^2</f>
        <v>1.1570907082225939</v>
      </c>
    </row>
    <row r="111" spans="1:144" x14ac:dyDescent="0.25">
      <c r="A111">
        <f>Regression!$B$10+(Regression!$B$9*Table83[[#This Row],[Waist]])</f>
        <v>249.67228149328892</v>
      </c>
      <c r="B111" s="2">
        <f>Table83[[#This Row],[Weight]]-Table7[[#This Row],[Weight v Waist]]</f>
        <v>1.1277185067110906</v>
      </c>
      <c r="C111" s="2">
        <f>Table7[[#This Row],[Weight v Waist Res]]^2</f>
        <v>1.2717490303786922</v>
      </c>
      <c r="D111">
        <f>Regression!$C$10+(Regression!$C$9*Table83[[#This Row],[Neck]])</f>
        <v>253.29286486487842</v>
      </c>
      <c r="E111" s="2">
        <f>Table83[[#This Row],[Weight]]-Table7[[#This Row],[Weight v Neck]]</f>
        <v>-2.4928648648784133</v>
      </c>
      <c r="F111" s="2">
        <f>Table7[[#This Row],[WN Res]]^2</f>
        <v>6.2143752345452699</v>
      </c>
      <c r="G111">
        <f>Regression!$D$10+(Regression!$D$9*Table83[[#This Row],[Morning Body Temp]])</f>
        <v>254.49637801530542</v>
      </c>
      <c r="H111" s="2">
        <f>Table83[[#This Row],[Weight]]-Table7[[#This Row],[Weight v Morning Temp]]</f>
        <v>-3.6963780153054131</v>
      </c>
      <c r="I111" s="2">
        <f>Table7[[#This Row],[WMT Res]]^2</f>
        <v>13.663210432033186</v>
      </c>
      <c r="J111">
        <f>Regression!$E$10+(Regression!$E$9*Table83[[#This Row],[Morning Systolic Pressure]])</f>
        <v>254.82902340557504</v>
      </c>
      <c r="K111" s="2">
        <f>Table83[[#This Row],[Weight]]-Table7[[#This Row],[Weight v Morning Sys]]</f>
        <v>-4.0290234055750318</v>
      </c>
      <c r="L111" s="2">
        <f>Table7[[#This Row],[WMS Res]]^2</f>
        <v>16.233029602671426</v>
      </c>
      <c r="M111">
        <f>Regression!$F$10+(Regression!$F$9*Table83[[#This Row],[Morning Diastolic Pressure]])</f>
        <v>256.21682663674034</v>
      </c>
      <c r="N111" s="2">
        <f>Table83[[#This Row],[Weight]]-Table7[[#This Row],[Weight v Morning Dia]]</f>
        <v>-5.4168266367403248</v>
      </c>
      <c r="O111" s="2">
        <f>Table7[[#This Row],[WMD Res]]^2</f>
        <v>29.342010812499499</v>
      </c>
      <c r="P111">
        <f>Regression!$G$10+(Regression!$G$9*Table83[[#This Row],[Morning Pulse]])</f>
        <v>255.11364509439846</v>
      </c>
      <c r="Q111" s="2">
        <f>Table83[[#This Row],[Weight]]-Table7[[#This Row],[Weight v Morning Pulse]]</f>
        <v>-4.3136450943984528</v>
      </c>
      <c r="R111" s="2">
        <f>Table7[[#This Row],[WMP Res]]^2</f>
        <v>18.607534000427837</v>
      </c>
      <c r="S111">
        <f>Regression!$H$10+(Regression!$H$9*Table83[[#This Row],[Night Body Temp]])</f>
        <v>254.23530725463496</v>
      </c>
      <c r="T111" s="2">
        <f>Table83[[#This Row],[Weight]]-Table7[[#This Row],[Weight v Night Temp]]</f>
        <v>-3.4353072546349495</v>
      </c>
      <c r="U111" s="2">
        <f>Table7[[#This Row],[WNT Res]]^2</f>
        <v>11.801335933747513</v>
      </c>
      <c r="V111">
        <f>Regression!$I$10+(Regression!$I$9*Table83[[#This Row],[Night Systolic Pressure]])</f>
        <v>255.23858139316721</v>
      </c>
      <c r="W111" s="2">
        <f>Table83[[#This Row],[Weight]]-Table7[[#This Row],[Weight v Night Sys]]</f>
        <v>-4.4385813931671976</v>
      </c>
      <c r="X111" s="2">
        <f>Table7[[#This Row],[WNS Res]]^2</f>
        <v>19.70100478377006</v>
      </c>
      <c r="Y111">
        <f>Regression!$J$10+(Regression!$J$9*Table83[[#This Row],[Night Diastolic Pressure]])</f>
        <v>254.68465769008509</v>
      </c>
      <c r="Z111" s="2">
        <f>Table83[[#This Row],[Weight]]-Table7[[#This Row],[Weight v Night Dia]]</f>
        <v>-3.8846576900850778</v>
      </c>
      <c r="AA111" s="2">
        <f>Table7[[#This Row],[WND Res]]^2</f>
        <v>15.090565369137131</v>
      </c>
      <c r="AB111">
        <f>Regression!$K$10+(Regression!$K$9*Table83[[#This Row],[Night Pulse]])</f>
        <v>255.57085182729213</v>
      </c>
      <c r="AC111" s="2">
        <f>Table83[[#This Row],[Weight]]-Table7[[#This Row],[Weight v Night Pulse]]</f>
        <v>-4.7708518272921197</v>
      </c>
      <c r="AD111" s="2">
        <f>Table7[[#This Row],[WNP Res ]]^2</f>
        <v>22.761027157976557</v>
      </c>
      <c r="AE111">
        <f>Regression!$L$10+(Regression!$L$9*Table83[[#This Row],[Sleep]])</f>
        <v>254.50608136063369</v>
      </c>
      <c r="AF111" s="2">
        <f>Table83[[#This Row],[Weight]]-Table7[[#This Row],[Weight v Sleep]]</f>
        <v>-3.7060813606336751</v>
      </c>
      <c r="AG111" s="2">
        <f>Table7[[#This Row],[WS Res]]^2</f>
        <v>13.735039051636353</v>
      </c>
      <c r="AH111">
        <f>Regression!$M$10+(Regression!$M$9*Table83[[#This Row],[BMI]])</f>
        <v>250.8000000000097</v>
      </c>
      <c r="AI111" s="2">
        <f>Table83[[#This Row],[Weight]]-Table7[[#This Row],[Weight v BMI]]</f>
        <v>-9.6918029157677665E-12</v>
      </c>
      <c r="AJ111" s="2">
        <f>Table7[[#This Row],[WBMI Res]]^2</f>
        <v>9.3931043758084581E-23</v>
      </c>
      <c r="AK111">
        <f>Regression!$N$10+(Regression!$N$9*Table83[[#This Row],[CBF]])</f>
        <v>250.04675133427031</v>
      </c>
      <c r="AL111" s="2">
        <f>Table83[[#This Row],[Weight]]-Table7[[#This Row],[Weight v CBF]]</f>
        <v>0.75324866572969995</v>
      </c>
      <c r="AM111" s="2">
        <f>Table7[[#This Row],[WCBF Res]]^2</f>
        <v>0.5673835524235733</v>
      </c>
      <c r="AN111">
        <f>Regression!$O$10+(Regression!$O$9*Table83[[#This Row],[Gym]])</f>
        <v>254.72962962962998</v>
      </c>
      <c r="AO111" s="2">
        <f>Table83[[#This Row],[Weight]]-Table7[[#This Row],[Weight v Gym]]</f>
        <v>-3.9296296296299715</v>
      </c>
      <c r="AP111" s="2">
        <f>Table7[[#This Row],[WG Res]]^2</f>
        <v>15.441989026065787</v>
      </c>
      <c r="AQ111">
        <f>Regression!$P$10+(Regression!$P$9*Table83[[#This Row],[Cardio]])</f>
        <v>256.41063829787231</v>
      </c>
      <c r="AR111" s="2">
        <f>Table83[[#This Row],[Weight]]-Table7[[#This Row],[Weight v Cardio]]</f>
        <v>-5.6106382978722991</v>
      </c>
      <c r="AS111" s="2">
        <f>Table7[[#This Row],[WC Res]]^2</f>
        <v>31.479262109551371</v>
      </c>
      <c r="AT111">
        <f>Regression!$Q$10+(Regression!$Q$9*Table83[[#This Row],[Calories]])</f>
        <v>255.08776460379306</v>
      </c>
      <c r="AU111" s="2">
        <f>Table83[[#This Row],[Weight]]-Table7[[#This Row],[Weight v Calories]]</f>
        <v>-4.2877646037930504</v>
      </c>
      <c r="AV111" s="2">
        <f>Table7[[#This Row],[WCAL Res]]^2</f>
        <v>18.384925297540573</v>
      </c>
      <c r="AW111">
        <f>Regression!$R$10+(Regression!$R$9*Table83[[#This Row],[Carbs]])</f>
        <v>254.83877056414082</v>
      </c>
      <c r="AX111" s="2">
        <f>Table83[[#This Row],[Weight]]-Table7[[#This Row],[Weight v Carbs]]</f>
        <v>-4.0387705641408047</v>
      </c>
      <c r="AY111" s="2">
        <f>Table7[[#This Row],[Wcarb Res]]^2</f>
        <v>16.311667669770234</v>
      </c>
      <c r="AZ111">
        <f>Regression!$S$10+(Regression!$S$9*Table83[[#This Row],[Fat ]])</f>
        <v>255.28665137154184</v>
      </c>
      <c r="BA111" s="2">
        <f>Table83[[#This Row],[Weight]]-Table7[[#This Row],[Weight v Fat]]</f>
        <v>-4.486651371541825</v>
      </c>
      <c r="BB111" s="2">
        <f>Table7[[#This Row],[WF Res]]^2</f>
        <v>20.130040529758141</v>
      </c>
      <c r="BC111">
        <f>Regression!$T$10+(Regression!$T$9*Table83[[#This Row],[Protein]])</f>
        <v>255.05379227980004</v>
      </c>
      <c r="BD111" s="2">
        <f>Table83[[#This Row],[Weight]]-Table7[[#This Row],[Weight v Protein]]</f>
        <v>-4.2537922798000238</v>
      </c>
      <c r="BE111" s="2">
        <f>Table7[[#This Row],[WP Res]]^2</f>
        <v>18.094748759686283</v>
      </c>
      <c r="BF111">
        <f>Regression!$U$10+(Regression!$U$9*Table83[[#This Row],[Fiber]])</f>
        <v>255.13159679796908</v>
      </c>
      <c r="BG111" s="2">
        <f>Table83[[#This Row],[Weight]]-Table7[[#This Row],[Weight v Fiber]]</f>
        <v>-4.3315967979690697</v>
      </c>
      <c r="BH111" s="2">
        <f>Table7[[#This Row],[Wfib Res]]^2</f>
        <v>18.762730820175896</v>
      </c>
      <c r="BI111">
        <f>Regression!$V$10+(Regression!$V$9*Table83[[#This Row],[Sugar]])</f>
        <v>254.55379737588314</v>
      </c>
      <c r="BJ111" s="2">
        <f>Table83[[#This Row],[Weight]]-Table7[[#This Row],[Weight v Sugar]]</f>
        <v>-3.7537973758831242</v>
      </c>
      <c r="BK111" s="2">
        <f>Table7[[#This Row],[Wsugar Res]]^2</f>
        <v>14.09099473918703</v>
      </c>
      <c r="BL111">
        <f>Regression!$W$10+(Regression!$W$9*Table83[[#This Row],[Servings]])</f>
        <v>255.20811282368868</v>
      </c>
      <c r="BM111" s="2">
        <f>Table83[[#This Row],[Weight]]-Table7[[#This Row],[Weight v Servings]]</f>
        <v>-4.4081128236886684</v>
      </c>
      <c r="BN111" s="2">
        <f>Table7[[#This Row],[Wserv Res]]^2</f>
        <v>19.431458666368485</v>
      </c>
      <c r="BO111">
        <f>Regression!$X$10+(Regression!$X$9*Table83[[#This Row],[Water]])</f>
        <v>255.10626599365665</v>
      </c>
      <c r="BP111" s="2">
        <f>Table83[[#This Row],[Weight]]-Table7[[#This Row],[Weight v Water]]</f>
        <v>-4.3062659936566376</v>
      </c>
      <c r="BQ111" s="2">
        <f>Table7[[#This Row],[Wwater Res]]^2</f>
        <v>18.54392680812359</v>
      </c>
      <c r="BR111">
        <f>Regression!$Y$10+(Regression!$Y$9*Table83[[#This Row],[Fat Calories]])</f>
        <v>255.2928157935763</v>
      </c>
      <c r="BS111" s="2">
        <f>Table83[[#This Row],[Weight]]-Table7[[#This Row],[Weight v Fat Calories]]</f>
        <v>-4.492815793576284</v>
      </c>
      <c r="BT111" s="2">
        <f>Table7[[#This Row],[WFC Res]]^2</f>
        <v>20.185393755008494</v>
      </c>
      <c r="BU111">
        <f>Regression!$B$29+(Regression!$B$28*Table83[[#This Row],[Weight]])</f>
        <v>43.865561060584724</v>
      </c>
      <c r="BV111" s="2">
        <f>Table83[[#This Row],[Waist]]-Table7[[#This Row],[Waist v Weight]]</f>
        <v>-0.36556106058472437</v>
      </c>
      <c r="BW111" s="2">
        <f>Table7[[#This Row],[WaistW Res]]^2</f>
        <v>0.13363488901582851</v>
      </c>
      <c r="BX111">
        <f>Regression!$C$29+(Regression!$C$28*Table83[[#This Row],[Neck]])</f>
        <v>44.175585585585594</v>
      </c>
      <c r="BY111" s="2">
        <f>Table83[[#This Row],[Waist]]-Table7[[#This Row],[Waist v Neck]]</f>
        <v>-0.67558558558559412</v>
      </c>
      <c r="BZ111" s="2">
        <f>Table7[[#This Row],[WaistN Res]]^2</f>
        <v>0.45641588345103012</v>
      </c>
      <c r="CA111">
        <f>Regression!$D$29+(Regression!$D$28*Table83[[#This Row],[Morning Body Temp]])</f>
        <v>44.2852766121743</v>
      </c>
      <c r="CB111" s="2">
        <f>Table83[[#This Row],[Waist]]-Table7[[#This Row],[Waist v Morning Temp]]</f>
        <v>-0.78527661217430023</v>
      </c>
      <c r="CC111" s="2">
        <f>Table7[[#This Row],[WaistMT Res]]^2</f>
        <v>0.61665935762794633</v>
      </c>
      <c r="CD111">
        <f>Regression!$E$29+(Regression!$E$28*Table83[[#This Row],[Morning Systolic Pressure]])</f>
        <v>44.386342295939642</v>
      </c>
      <c r="CE111" s="2">
        <f>Table83[[#This Row],[Waist]]-Table7[[#This Row],[Waist v Morning Sys]]</f>
        <v>-0.88634229593964164</v>
      </c>
      <c r="CF111" s="2">
        <f>Table7[[#This Row],[WaistMS Res]]^2</f>
        <v>0.78560266557155534</v>
      </c>
      <c r="CG111">
        <f>Regression!$F$29+(Regression!$F$28*Table83[[#This Row],[Morning Diastolic Pressure]])</f>
        <v>44.514808495501654</v>
      </c>
      <c r="CH111" s="2">
        <f>Table83[[#This Row],[Waist]]-Table7[[#This Row],[Waist v Morning Dia]]</f>
        <v>-1.0148084955016543</v>
      </c>
      <c r="CI111" s="2">
        <f>Table7[[#This Row],[WaistMD Res]]^2</f>
        <v>1.0298362825423311</v>
      </c>
      <c r="CJ111">
        <f>Regression!$G$29+(Regression!$G$28*Table83[[#This Row],[Morning Pulse]])</f>
        <v>44.452897194932582</v>
      </c>
      <c r="CK111" s="2">
        <f>Table83[[#This Row],[Waist]]-Table7[[#This Row],[Waist v Morning Pulse]]</f>
        <v>-0.95289719493258218</v>
      </c>
      <c r="CL111" s="2">
        <f>Table7[[#This Row],[WaistMP Res]]^2</f>
        <v>0.90801306411038352</v>
      </c>
      <c r="CM111">
        <f>Regression!$H$29+(Regression!$H$28*Table83[[#This Row],[Night Body Temp]])</f>
        <v>44.384178564220093</v>
      </c>
      <c r="CN111" s="2">
        <f>Table83[[#This Row],[Waist]]-Table7[[#This Row],[Waist v Night Temp]]</f>
        <v>-0.88417856422009322</v>
      </c>
      <c r="CO111" s="2">
        <f>Table7[[#This Row],[WaistNT Res]]^2</f>
        <v>0.78177173342630546</v>
      </c>
      <c r="CP111">
        <f>Regression!$I$29+(Regression!$I$28*Table83[[#This Row],[Night Systolic Pressure]])</f>
        <v>44.471039429630828</v>
      </c>
      <c r="CQ111" s="2">
        <f>Table83[[#This Row],[Waist]]-Table7[[#This Row],[Waist v  Night Sys]]</f>
        <v>-0.97103942963082801</v>
      </c>
      <c r="CR111" s="2">
        <f>Table7[[#This Row],[WaistNS Res]]^2</f>
        <v>0.94291757389776376</v>
      </c>
      <c r="CS111">
        <f>Regression!$J$29+(Regression!$J$28*Table83[[#This Row],[Night Diastolic Pressure]])</f>
        <v>44.27334461387187</v>
      </c>
      <c r="CT111" s="2">
        <f>Table83[[#This Row],[Waist]]-Table7[[#This Row],[Waist v Night Dia]]</f>
        <v>-0.77334461387187048</v>
      </c>
      <c r="CU111" s="2">
        <f>Table7[[#This Row],[WaistND Res]]^2</f>
        <v>0.59806189180463243</v>
      </c>
      <c r="CV111">
        <f>Regression!$K$29+(Regression!$K$28*Table83[[#This Row],[Night Pulse]])</f>
        <v>44.411143685278866</v>
      </c>
      <c r="CW111" s="2">
        <f>Table83[[#This Row],[Waist]]-Table7[[#This Row],[Waist v Night Pulse]]</f>
        <v>-0.91114368527886569</v>
      </c>
      <c r="CX111" s="2">
        <f>Table7[[#This Row],[WaistNP Res]]^2</f>
        <v>0.83018281522355264</v>
      </c>
      <c r="CY111">
        <f>Regression!$L$29+(Regression!$L$28*Table83[[#This Row],[Sleep]])</f>
        <v>44.360693916866794</v>
      </c>
      <c r="CZ111" s="2">
        <f>Table83[[#This Row],[Waist]]-Table7[[#This Row],[Waist v  Sleep]]</f>
        <v>-0.86069391686679353</v>
      </c>
      <c r="DA111" s="2">
        <f>Table7[[#This Row],[WaistS Res]]^2</f>
        <v>0.74079401853150284</v>
      </c>
      <c r="DB111">
        <f>Regression!$M$29+(Regression!$M$28*Table83[[#This Row],[BMI]])</f>
        <v>43.865561060586593</v>
      </c>
      <c r="DC111" s="2">
        <f>Table83[[#This Row],[Waist]]-Table7[[#This Row],[Waist v BMI]]</f>
        <v>-0.3655610605865931</v>
      </c>
      <c r="DD111" s="2">
        <f>Table7[[#This Row],[WaistBMI Res]]^2</f>
        <v>0.13363488901719478</v>
      </c>
      <c r="DE111">
        <f>Regression!$N$29+(Regression!$N$28*Table83[[#This Row],[CBF]])</f>
        <v>43.540887941991329</v>
      </c>
      <c r="DF111" s="2">
        <f>Table83[[#This Row],[Waist]]-Table7[[#This Row],[Waist v  CBF]]</f>
        <v>-4.0887941991329058E-2</v>
      </c>
      <c r="DG111" s="2">
        <f>Table7[[#This Row],[WaistCBF Res]]^2</f>
        <v>1.6718238002862899E-3</v>
      </c>
      <c r="DH111">
        <f>Regression!$O$29+(Regression!$O$28*Table83[[#This Row],[Gym]])</f>
        <v>44.347222222222221</v>
      </c>
      <c r="DI111" s="2">
        <f>Table83[[#This Row],[Waist]]-Table7[[#This Row],[Waist v  Gym]]</f>
        <v>-0.84722222222222143</v>
      </c>
      <c r="DJ111" s="2">
        <f>Table7[[#This Row],[WaistGYM Res]]^2</f>
        <v>0.71778549382715917</v>
      </c>
      <c r="DK111">
        <f>Regression!$P$29+(Regression!$P$28*Table83[[#This Row],[Cardio]])</f>
        <v>44.680851063829778</v>
      </c>
      <c r="DL111" s="2">
        <f>Table83[[#This Row],[Waist]]-Table7[[#This Row],[Waist v Cardio]]</f>
        <v>-1.1808510638297776</v>
      </c>
      <c r="DM111" s="2">
        <f>Table7[[#This Row],[WaistC Res]]^2</f>
        <v>1.3944092349479174</v>
      </c>
      <c r="DN111">
        <f>Regression!$Q$29+(Regression!$Q$28*Table83[[#This Row],[Calories]])</f>
        <v>44.447410692056543</v>
      </c>
      <c r="DO111" s="2">
        <f>Table83[[#This Row],[Waist]]-Table7[[#This Row],[Waist v Calories]]</f>
        <v>-0.94741069205654327</v>
      </c>
      <c r="DP111" s="2">
        <f>Table7[[#This Row],[WaistCal Res]]^2</f>
        <v>0.8975870194230583</v>
      </c>
      <c r="DQ111">
        <f>Regression!$R$29+(Regression!$R$28*Table83[[#This Row],[Carbs]])</f>
        <v>44.396021333907193</v>
      </c>
      <c r="DR111" s="2">
        <f>Table83[[#This Row],[Waist]]-Table7[[#This Row],[Waist v Carbs]]</f>
        <v>-0.89602133390719274</v>
      </c>
      <c r="DS111" s="2">
        <f>Table7[[#This Row],[WaistCarb Res]]^2</f>
        <v>0.80285423081682494</v>
      </c>
      <c r="DT111">
        <f>Regression!$S$29+(Regression!$S$28*Table83[[#This Row],[Fat ]])</f>
        <v>44.505996489068622</v>
      </c>
      <c r="DU111" s="2">
        <f>Table83[[#This Row],[Waist]]-Table7[[#This Row],[Waist v Fat]]</f>
        <v>-1.0059964890686217</v>
      </c>
      <c r="DV111" s="2">
        <f>Table7[[#This Row],[WaistF Res]]^2</f>
        <v>1.0120289360183936</v>
      </c>
      <c r="DW111">
        <f>Regression!$T$29+(Regression!$T$28*Table83[[#This Row],[Protein]])</f>
        <v>44.442328437573813</v>
      </c>
      <c r="DX111" s="2">
        <f>Table83[[#This Row],[Waist]]-Table7[[#This Row],[Waist v Protein]]</f>
        <v>-0.94232843757381346</v>
      </c>
      <c r="DY111" s="2">
        <f>Table7[[#This Row],[WaistP Res]]^2</f>
        <v>0.88798288426030447</v>
      </c>
      <c r="DZ111">
        <f>Regression!$U$29+(Regression!$U$28*Table83[[#This Row],[Fiber]])</f>
        <v>44.459926789233869</v>
      </c>
      <c r="EA111" s="2">
        <f>Table83[[#This Row],[Waist]]-Table7[[#This Row],[Waist v Fiber]]</f>
        <v>-0.95992678923386876</v>
      </c>
      <c r="EB111" s="2">
        <f>Table7[[#This Row],[WaistFib Res]]^2</f>
        <v>0.92145944068884433</v>
      </c>
      <c r="EC111">
        <f>Regression!$V$29+(Regression!$V$28*Table83[[#This Row],[Sugar]])</f>
        <v>44.352718082072649</v>
      </c>
      <c r="ED111" s="2">
        <f>Table83[[#This Row],[Waist]]-Table7[[#This Row],[Waist v Sugar]]</f>
        <v>-0.85271808207264854</v>
      </c>
      <c r="EE111" s="2">
        <f>Table7[[#This Row],[WaistSugar Res]]^2</f>
        <v>0.72712812749365618</v>
      </c>
      <c r="EF111">
        <f>Regression!$W$29+(Regression!$W$28*Table83[[#This Row],[Servings]])</f>
        <v>44.467740537169277</v>
      </c>
      <c r="EG111" s="2">
        <f>Table83[[#This Row],[Waist]]-Table7[[#This Row],[Waist v Servings]]</f>
        <v>-0.9677405371692771</v>
      </c>
      <c r="EH111" s="2">
        <f>Table7[[#This Row],[WaistServ Res]]^2</f>
        <v>0.93652174728068105</v>
      </c>
      <c r="EI111">
        <f>Regression!$X$29+(Regression!$X$28*Table83[[#This Row],[Water]])</f>
        <v>44.442082352251923</v>
      </c>
      <c r="EJ111" s="2">
        <f>Table83[[#This Row],[Waist]]-Table7[[#This Row],[Waist v Water]]</f>
        <v>-0.94208235225192283</v>
      </c>
      <c r="EK111" s="2">
        <f>Table7[[#This Row],[WaistWat Res]]^2</f>
        <v>0.88751915842451601</v>
      </c>
      <c r="EL111">
        <f>Regression!$Y$29+(Regression!$Y$28*Table83[[#This Row],[Fat Calories]])</f>
        <v>44.507605264152552</v>
      </c>
      <c r="EM111" s="2">
        <f>Table83[[#This Row],[Waist]]-Table7[[#This Row],[Waist v Fat Calories]]</f>
        <v>-1.0076052641525521</v>
      </c>
      <c r="EN111" s="2">
        <f>Table7[[#This Row],[WaistFatCal Res]]^2</f>
        <v>1.0152683683479344</v>
      </c>
    </row>
    <row r="112" spans="1:144" x14ac:dyDescent="0.25">
      <c r="A112">
        <f>Regression!$B$10+(Regression!$B$9*Table83[[#This Row],[Waist]])</f>
        <v>249.67228149328892</v>
      </c>
      <c r="B112" s="2">
        <f>Table83[[#This Row],[Weight]]-Table7[[#This Row],[Weight v Waist]]</f>
        <v>-0.4722814932889321</v>
      </c>
      <c r="C112" s="2">
        <f>Table7[[#This Row],[Weight v Waist Res]]^2</f>
        <v>0.22304980890322362</v>
      </c>
      <c r="D112">
        <f>Regression!$C$10+(Regression!$C$9*Table83[[#This Row],[Neck]])</f>
        <v>253.29286486487842</v>
      </c>
      <c r="E112" s="2">
        <f>Table83[[#This Row],[Weight]]-Table7[[#This Row],[Weight v Neck]]</f>
        <v>-4.092864864878436</v>
      </c>
      <c r="F112" s="2">
        <f>Table7[[#This Row],[WN Res]]^2</f>
        <v>16.751542802156379</v>
      </c>
      <c r="G112">
        <f>Regression!$D$10+(Regression!$D$9*Table83[[#This Row],[Morning Body Temp]])</f>
        <v>254.98916789486196</v>
      </c>
      <c r="H112" s="2">
        <f>Table83[[#This Row],[Weight]]-Table7[[#This Row],[Weight v Morning Temp]]</f>
        <v>-5.7891678948619756</v>
      </c>
      <c r="I112" s="2">
        <f>Table7[[#This Row],[WMT Res]]^2</f>
        <v>33.514464914900636</v>
      </c>
      <c r="J112">
        <f>Regression!$E$10+(Regression!$E$9*Table83[[#This Row],[Morning Systolic Pressure]])</f>
        <v>254.6487145901215</v>
      </c>
      <c r="K112" s="2">
        <f>Table83[[#This Row],[Weight]]-Table7[[#This Row],[Weight v Morning Sys]]</f>
        <v>-5.4487145901215115</v>
      </c>
      <c r="L112" s="2">
        <f>Table7[[#This Row],[WMS Res]]^2</f>
        <v>29.688490684603032</v>
      </c>
      <c r="M112">
        <f>Regression!$F$10+(Regression!$F$9*Table83[[#This Row],[Morning Diastolic Pressure]])</f>
        <v>255.91279388960569</v>
      </c>
      <c r="N112" s="2">
        <f>Table83[[#This Row],[Weight]]-Table7[[#This Row],[Weight v Morning Dia]]</f>
        <v>-6.712793889605706</v>
      </c>
      <c r="O112" s="2">
        <f>Table7[[#This Row],[WMD Res]]^2</f>
        <v>45.061601804327701</v>
      </c>
      <c r="P112">
        <f>Regression!$G$10+(Regression!$G$9*Table83[[#This Row],[Morning Pulse]])</f>
        <v>255.10267831985533</v>
      </c>
      <c r="Q112" s="2">
        <f>Table83[[#This Row],[Weight]]-Table7[[#This Row],[Weight v Morning Pulse]]</f>
        <v>-5.9026783198553403</v>
      </c>
      <c r="R112" s="2">
        <f>Table7[[#This Row],[WMP Res]]^2</f>
        <v>34.841611347690261</v>
      </c>
      <c r="S112">
        <f>Regression!$H$10+(Regression!$H$9*Table83[[#This Row],[Night Body Temp]])</f>
        <v>254.85148667752509</v>
      </c>
      <c r="T112" s="2">
        <f>Table83[[#This Row],[Weight]]-Table7[[#This Row],[Weight v Night Temp]]</f>
        <v>-5.6514866775250994</v>
      </c>
      <c r="U112" s="2">
        <f>Table7[[#This Row],[WNT Res]]^2</f>
        <v>31.939301666243686</v>
      </c>
      <c r="V112">
        <f>Regression!$I$10+(Regression!$I$9*Table83[[#This Row],[Night Systolic Pressure]])</f>
        <v>254.6227123889964</v>
      </c>
      <c r="W112" s="2">
        <f>Table83[[#This Row],[Weight]]-Table7[[#This Row],[Weight v Night Sys]]</f>
        <v>-5.4227123889964162</v>
      </c>
      <c r="X112" s="2">
        <f>Table7[[#This Row],[WNS Res]]^2</f>
        <v>29.405809653775218</v>
      </c>
      <c r="Y112">
        <f>Regression!$J$10+(Regression!$J$9*Table83[[#This Row],[Night Diastolic Pressure]])</f>
        <v>255.45920918999101</v>
      </c>
      <c r="Z112" s="2">
        <f>Table83[[#This Row],[Weight]]-Table7[[#This Row],[Weight v Night Dia]]</f>
        <v>-6.2592091899910258</v>
      </c>
      <c r="AA112" s="2">
        <f>Table7[[#This Row],[WND Res]]^2</f>
        <v>39.177699684068116</v>
      </c>
      <c r="AB112">
        <f>Regression!$K$10+(Regression!$K$9*Table83[[#This Row],[Night Pulse]])</f>
        <v>255.14086518997797</v>
      </c>
      <c r="AC112" s="2">
        <f>Table83[[#This Row],[Weight]]-Table7[[#This Row],[Weight v Night Pulse]]</f>
        <v>-5.9408651899779841</v>
      </c>
      <c r="AD112" s="2">
        <f>Table7[[#This Row],[WNP Res ]]^2</f>
        <v>35.293879205492146</v>
      </c>
      <c r="AE112">
        <f>Regression!$L$10+(Regression!$L$9*Table83[[#This Row],[Sleep]])</f>
        <v>255.76797809412898</v>
      </c>
      <c r="AF112" s="2">
        <f>Table83[[#This Row],[Weight]]-Table7[[#This Row],[Weight v Sleep]]</f>
        <v>-6.5679780941289891</v>
      </c>
      <c r="AG112" s="2">
        <f>Table7[[#This Row],[WS Res]]^2</f>
        <v>43.138336244958268</v>
      </c>
      <c r="AH112">
        <f>Regression!$M$10+(Regression!$M$9*Table83[[#This Row],[BMI]])</f>
        <v>249.20000000001323</v>
      </c>
      <c r="AI112" s="2">
        <f>Table83[[#This Row],[Weight]]-Table7[[#This Row],[Weight v BMI]]</f>
        <v>-1.3244516594568267E-11</v>
      </c>
      <c r="AJ112" s="2">
        <f>Table7[[#This Row],[WBMI Res]]^2</f>
        <v>1.7541721982379422E-22</v>
      </c>
      <c r="AK112">
        <f>Regression!$N$10+(Regression!$N$9*Table83[[#This Row],[CBF]])</f>
        <v>250.04675133427031</v>
      </c>
      <c r="AL112" s="2">
        <f>Table83[[#This Row],[Weight]]-Table7[[#This Row],[Weight v CBF]]</f>
        <v>-0.84675133427032279</v>
      </c>
      <c r="AM112" s="2">
        <f>Table7[[#This Row],[WCBF Res]]^2</f>
        <v>0.71698782208857192</v>
      </c>
      <c r="AN112">
        <f>Regression!$O$10+(Regression!$O$9*Table83[[#This Row],[Gym]])</f>
        <v>255.46779661016953</v>
      </c>
      <c r="AO112" s="2">
        <f>Table83[[#This Row],[Weight]]-Table7[[#This Row],[Weight v Gym]]</f>
        <v>-6.2677966101695404</v>
      </c>
      <c r="AP112" s="2">
        <f>Table7[[#This Row],[WG Res]]^2</f>
        <v>39.28527434645278</v>
      </c>
      <c r="AQ112">
        <f>Regression!$P$10+(Regression!$P$9*Table83[[#This Row],[Cardio]])</f>
        <v>254.19242424242461</v>
      </c>
      <c r="AR112" s="2">
        <f>Table83[[#This Row],[Weight]]-Table7[[#This Row],[Weight v Cardio]]</f>
        <v>-4.9924242424246188</v>
      </c>
      <c r="AS112" s="2">
        <f>Table7[[#This Row],[WC Res]]^2</f>
        <v>24.924299816349031</v>
      </c>
      <c r="AT112">
        <f>Regression!$Q$10+(Regression!$Q$9*Table83[[#This Row],[Calories]])</f>
        <v>255.2816338259349</v>
      </c>
      <c r="AU112" s="2">
        <f>Table83[[#This Row],[Weight]]-Table7[[#This Row],[Weight v Calories]]</f>
        <v>-6.0816338259349152</v>
      </c>
      <c r="AV112" s="2">
        <f>Table7[[#This Row],[WCAL Res]]^2</f>
        <v>36.986269992755751</v>
      </c>
      <c r="AW112">
        <f>Regression!$R$10+(Regression!$R$9*Table83[[#This Row],[Carbs]])</f>
        <v>255.08129033280358</v>
      </c>
      <c r="AX112" s="2">
        <f>Table83[[#This Row],[Weight]]-Table7[[#This Row],[Weight v Carbs]]</f>
        <v>-5.8812903328035873</v>
      </c>
      <c r="AY112" s="2">
        <f>Table7[[#This Row],[Wcarb Res]]^2</f>
        <v>34.589575978728931</v>
      </c>
      <c r="AZ112">
        <f>Regression!$S$10+(Regression!$S$9*Table83[[#This Row],[Fat ]])</f>
        <v>255.35704664886643</v>
      </c>
      <c r="BA112" s="2">
        <f>Table83[[#This Row],[Weight]]-Table7[[#This Row],[Weight v Fat]]</f>
        <v>-6.1570466488664408</v>
      </c>
      <c r="BB112" s="2">
        <f>Table7[[#This Row],[WF Res]]^2</f>
        <v>37.909223436317468</v>
      </c>
      <c r="BC112">
        <f>Regression!$T$10+(Regression!$T$9*Table83[[#This Row],[Protein]])</f>
        <v>255.3436207190131</v>
      </c>
      <c r="BD112" s="2">
        <f>Table83[[#This Row],[Weight]]-Table7[[#This Row],[Weight v Protein]]</f>
        <v>-6.1436207190131142</v>
      </c>
      <c r="BE112" s="2">
        <f>Table7[[#This Row],[WP Res]]^2</f>
        <v>37.744075539087213</v>
      </c>
      <c r="BF112">
        <f>Regression!$U$10+(Regression!$U$9*Table83[[#This Row],[Fiber]])</f>
        <v>255.23853356845467</v>
      </c>
      <c r="BG112" s="2">
        <f>Table83[[#This Row],[Weight]]-Table7[[#This Row],[Weight v Fiber]]</f>
        <v>-6.0385335684546817</v>
      </c>
      <c r="BH112" s="2">
        <f>Table7[[#This Row],[Wfib Res]]^2</f>
        <v>36.463887657354029</v>
      </c>
      <c r="BI112">
        <f>Regression!$V$10+(Regression!$V$9*Table83[[#This Row],[Sugar]])</f>
        <v>254.62304260772996</v>
      </c>
      <c r="BJ112" s="2">
        <f>Table83[[#This Row],[Weight]]-Table7[[#This Row],[Weight v Sugar]]</f>
        <v>-5.4230426077299683</v>
      </c>
      <c r="BK112" s="2">
        <f>Table7[[#This Row],[Wsugar Res]]^2</f>
        <v>29.409391125254654</v>
      </c>
      <c r="BL112">
        <f>Regression!$W$10+(Regression!$W$9*Table83[[#This Row],[Servings]])</f>
        <v>254.49024949130779</v>
      </c>
      <c r="BM112" s="2">
        <f>Table83[[#This Row],[Weight]]-Table7[[#This Row],[Weight v Servings]]</f>
        <v>-5.2902494913078044</v>
      </c>
      <c r="BN112" s="2">
        <f>Table7[[#This Row],[Wserv Res]]^2</f>
        <v>27.986739680282483</v>
      </c>
      <c r="BO112">
        <f>Regression!$X$10+(Regression!$X$9*Table83[[#This Row],[Water]])</f>
        <v>255.06345001025522</v>
      </c>
      <c r="BP112" s="2">
        <f>Table83[[#This Row],[Weight]]-Table7[[#This Row],[Weight v Water]]</f>
        <v>-5.8634500102552352</v>
      </c>
      <c r="BQ112" s="2">
        <f>Table7[[#This Row],[Wwater Res]]^2</f>
        <v>34.380046022762116</v>
      </c>
      <c r="BR112">
        <f>Regression!$Y$10+(Regression!$Y$9*Table83[[#This Row],[Fat Calories]])</f>
        <v>255.36773407789536</v>
      </c>
      <c r="BS112" s="2">
        <f>Table83[[#This Row],[Weight]]-Table7[[#This Row],[Weight v Fat Calories]]</f>
        <v>-6.1677340778953749</v>
      </c>
      <c r="BT112" s="2">
        <f>Table7[[#This Row],[WFC Res]]^2</f>
        <v>38.040943655631914</v>
      </c>
      <c r="BU112">
        <f>Regression!$B$29+(Regression!$B$28*Table83[[#This Row],[Weight]])</f>
        <v>43.647541043672753</v>
      </c>
      <c r="BV112" s="2">
        <f>Table83[[#This Row],[Waist]]-Table7[[#This Row],[Waist v Weight]]</f>
        <v>-0.14754104367275289</v>
      </c>
      <c r="BW112" s="2">
        <f>Table7[[#This Row],[WaistW Res]]^2</f>
        <v>2.1768359568045174E-2</v>
      </c>
      <c r="BX112">
        <f>Regression!$C$29+(Regression!$C$28*Table83[[#This Row],[Neck]])</f>
        <v>44.175585585585594</v>
      </c>
      <c r="BY112" s="2">
        <f>Table83[[#This Row],[Waist]]-Table7[[#This Row],[Waist v Neck]]</f>
        <v>-0.67558558558559412</v>
      </c>
      <c r="BZ112" s="2">
        <f>Table7[[#This Row],[WaistN Res]]^2</f>
        <v>0.45641588345103012</v>
      </c>
      <c r="CA112">
        <f>Regression!$D$29+(Regression!$D$28*Table83[[#This Row],[Morning Body Temp]])</f>
        <v>44.419304304405451</v>
      </c>
      <c r="CB112" s="2">
        <f>Table83[[#This Row],[Waist]]-Table7[[#This Row],[Waist v Morning Temp]]</f>
        <v>-0.91930430440545052</v>
      </c>
      <c r="CC112" s="2">
        <f>Table7[[#This Row],[WaistMT Res]]^2</f>
        <v>0.84512040409838929</v>
      </c>
      <c r="CD112">
        <f>Regression!$E$29+(Regression!$E$28*Table83[[#This Row],[Morning Systolic Pressure]])</f>
        <v>44.343980674969934</v>
      </c>
      <c r="CE112" s="2">
        <f>Table83[[#This Row],[Waist]]-Table7[[#This Row],[Waist v Morning Sys]]</f>
        <v>-0.84398067496993434</v>
      </c>
      <c r="CF112" s="2">
        <f>Table7[[#This Row],[WaistMS Res]]^2</f>
        <v>0.71230337972270596</v>
      </c>
      <c r="CG112">
        <f>Regression!$F$29+(Regression!$F$28*Table83[[#This Row],[Morning Diastolic Pressure]])</f>
        <v>44.497901633495097</v>
      </c>
      <c r="CH112" s="2">
        <f>Table83[[#This Row],[Waist]]-Table7[[#This Row],[Waist v Morning Dia]]</f>
        <v>-0.99790163349509697</v>
      </c>
      <c r="CI112" s="2">
        <f>Table7[[#This Row],[WaistMD Res]]^2</f>
        <v>0.99580767013218285</v>
      </c>
      <c r="CJ112">
        <f>Regression!$G$29+(Regression!$G$28*Table83[[#This Row],[Morning Pulse]])</f>
        <v>44.447860179490903</v>
      </c>
      <c r="CK112" s="2">
        <f>Table83[[#This Row],[Waist]]-Table7[[#This Row],[Waist v Morning Pulse]]</f>
        <v>-0.94786017949090251</v>
      </c>
      <c r="CL112" s="2">
        <f>Table7[[#This Row],[WaistMP Res]]^2</f>
        <v>0.89843891986452595</v>
      </c>
      <c r="CM112">
        <f>Regression!$H$29+(Regression!$H$28*Table83[[#This Row],[Night Body Temp]])</f>
        <v>44.432760107049404</v>
      </c>
      <c r="CN112" s="2">
        <f>Table83[[#This Row],[Waist]]-Table7[[#This Row],[Waist v Night Temp]]</f>
        <v>-0.93276010704940404</v>
      </c>
      <c r="CO112" s="2">
        <f>Table7[[#This Row],[WaistNT Res]]^2</f>
        <v>0.8700414173028157</v>
      </c>
      <c r="CP112">
        <f>Regression!$I$29+(Regression!$I$28*Table83[[#This Row],[Night Systolic Pressure]])</f>
        <v>44.383798743677147</v>
      </c>
      <c r="CQ112" s="2">
        <f>Table83[[#This Row],[Waist]]-Table7[[#This Row],[Waist v  Night Sys]]</f>
        <v>-0.88379874367714706</v>
      </c>
      <c r="CR112" s="2">
        <f>Table7[[#This Row],[WaistNS Res]]^2</f>
        <v>0.78110021932530349</v>
      </c>
      <c r="CS112">
        <f>Regression!$J$29+(Regression!$J$28*Table83[[#This Row],[Night Diastolic Pressure]])</f>
        <v>44.597635572813267</v>
      </c>
      <c r="CT112" s="2">
        <f>Table83[[#This Row],[Waist]]-Table7[[#This Row],[Waist v Night Dia]]</f>
        <v>-1.0976355728132674</v>
      </c>
      <c r="CU112" s="2">
        <f>Table7[[#This Row],[WaistND Res]]^2</f>
        <v>1.2048038507051095</v>
      </c>
      <c r="CV112">
        <f>Regression!$K$29+(Regression!$K$28*Table83[[#This Row],[Night Pulse]])</f>
        <v>44.451138133632369</v>
      </c>
      <c r="CW112" s="2">
        <f>Table83[[#This Row],[Waist]]-Table7[[#This Row],[Waist v Night Pulse]]</f>
        <v>-0.95113813363236943</v>
      </c>
      <c r="CX112" s="2">
        <f>Table7[[#This Row],[WaistNP Res]]^2</f>
        <v>0.90466374924966708</v>
      </c>
      <c r="CY112">
        <f>Regression!$L$29+(Regression!$L$28*Table83[[#This Row],[Sleep]])</f>
        <v>44.553089788849412</v>
      </c>
      <c r="CZ112" s="2">
        <f>Table83[[#This Row],[Waist]]-Table7[[#This Row],[Waist v  Sleep]]</f>
        <v>-1.0530897888494124</v>
      </c>
      <c r="DA112" s="2">
        <f>Table7[[#This Row],[WaistS Res]]^2</f>
        <v>1.1089981033789</v>
      </c>
      <c r="DB112">
        <f>Regression!$M$29+(Regression!$M$28*Table83[[#This Row],[BMI]])</f>
        <v>43.647541043675311</v>
      </c>
      <c r="DC112" s="2">
        <f>Table83[[#This Row],[Waist]]-Table7[[#This Row],[Waist v BMI]]</f>
        <v>-0.14754104367531085</v>
      </c>
      <c r="DD112" s="2">
        <f>Table7[[#This Row],[WaistBMI Res]]^2</f>
        <v>2.1768359568799984E-2</v>
      </c>
      <c r="DE112">
        <f>Regression!$N$29+(Regression!$N$28*Table83[[#This Row],[CBF]])</f>
        <v>43.540887941991329</v>
      </c>
      <c r="DF112" s="2">
        <f>Table83[[#This Row],[Waist]]-Table7[[#This Row],[Waist v  CBF]]</f>
        <v>-4.0887941991329058E-2</v>
      </c>
      <c r="DG112" s="2">
        <f>Table7[[#This Row],[WaistCBF Res]]^2</f>
        <v>1.6718238002862899E-3</v>
      </c>
      <c r="DH112">
        <f>Regression!$O$29+(Regression!$O$28*Table83[[#This Row],[Gym]])</f>
        <v>44.550847457627107</v>
      </c>
      <c r="DI112" s="2">
        <f>Table83[[#This Row],[Waist]]-Table7[[#This Row],[Waist v  Gym]]</f>
        <v>-1.050847457627107</v>
      </c>
      <c r="DJ112" s="2">
        <f>Table7[[#This Row],[WaistGYM Res]]^2</f>
        <v>1.1042803792013545</v>
      </c>
      <c r="DK112">
        <f>Regression!$P$29+(Regression!$P$28*Table83[[#This Row],[Cardio]])</f>
        <v>44.291666666666664</v>
      </c>
      <c r="DL112" s="2">
        <f>Table83[[#This Row],[Waist]]-Table7[[#This Row],[Waist v Cardio]]</f>
        <v>-0.7916666666666643</v>
      </c>
      <c r="DM112" s="2">
        <f>Table7[[#This Row],[WaistC Res]]^2</f>
        <v>0.62673611111110739</v>
      </c>
      <c r="DN112">
        <f>Regression!$Q$29+(Regression!$Q$28*Table83[[#This Row],[Calories]])</f>
        <v>44.490968806317824</v>
      </c>
      <c r="DO112" s="2">
        <f>Table83[[#This Row],[Waist]]-Table7[[#This Row],[Waist v Calories]]</f>
        <v>-0.99096880631782369</v>
      </c>
      <c r="DP112" s="2">
        <f>Table7[[#This Row],[WaistCal Res]]^2</f>
        <v>0.98201917509497239</v>
      </c>
      <c r="DQ112">
        <f>Regression!$R$29+(Regression!$R$28*Table83[[#This Row],[Carbs]])</f>
        <v>44.446512464609995</v>
      </c>
      <c r="DR112" s="2">
        <f>Table83[[#This Row],[Waist]]-Table7[[#This Row],[Waist v Carbs]]</f>
        <v>-0.94651246460999516</v>
      </c>
      <c r="DS112" s="2">
        <f>Table7[[#This Row],[WaistCarb Res]]^2</f>
        <v>0.8958858456620874</v>
      </c>
      <c r="DT112">
        <f>Regression!$S$29+(Regression!$S$28*Table83[[#This Row],[Fat ]])</f>
        <v>44.527514835591894</v>
      </c>
      <c r="DU112" s="2">
        <f>Table83[[#This Row],[Waist]]-Table7[[#This Row],[Waist v Fat]]</f>
        <v>-1.0275148355918944</v>
      </c>
      <c r="DV112" s="2">
        <f>Table7[[#This Row],[WaistF Res]]^2</f>
        <v>1.0557867373614378</v>
      </c>
      <c r="DW112">
        <f>Regression!$T$29+(Regression!$T$28*Table83[[#This Row],[Protein]])</f>
        <v>44.49537780804792</v>
      </c>
      <c r="DX112" s="2">
        <f>Table83[[#This Row],[Waist]]-Table7[[#This Row],[Waist v Protein]]</f>
        <v>-0.99537780804791964</v>
      </c>
      <c r="DY112" s="2">
        <f>Table7[[#This Row],[WaistP Res]]^2</f>
        <v>0.99077698075428111</v>
      </c>
      <c r="DZ112">
        <f>Regression!$U$29+(Regression!$U$28*Table83[[#This Row],[Fiber]])</f>
        <v>44.501189406403107</v>
      </c>
      <c r="EA112" s="2">
        <f>Table83[[#This Row],[Waist]]-Table7[[#This Row],[Waist v Fiber]]</f>
        <v>-1.0011894064031068</v>
      </c>
      <c r="EB112" s="2">
        <f>Table7[[#This Row],[WaistFib Res]]^2</f>
        <v>1.0023802274938054</v>
      </c>
      <c r="EC112">
        <f>Regression!$V$29+(Regression!$V$28*Table83[[#This Row],[Sugar]])</f>
        <v>44.365157215679986</v>
      </c>
      <c r="ED112" s="2">
        <f>Table83[[#This Row],[Waist]]-Table7[[#This Row],[Waist v Sugar]]</f>
        <v>-0.86515721567998582</v>
      </c>
      <c r="EE112" s="2">
        <f>Table7[[#This Row],[WaistSugar Res]]^2</f>
        <v>0.74849700784314555</v>
      </c>
      <c r="EF112">
        <f>Regression!$W$29+(Regression!$W$28*Table83[[#This Row],[Servings]])</f>
        <v>44.358206552247736</v>
      </c>
      <c r="EG112" s="2">
        <f>Table83[[#This Row],[Waist]]-Table7[[#This Row],[Waist v Servings]]</f>
        <v>-0.85820655224773645</v>
      </c>
      <c r="EH112" s="2">
        <f>Table7[[#This Row],[WaistServ Res]]^2</f>
        <v>0.73651848632094685</v>
      </c>
      <c r="EI112">
        <f>Regression!$X$29+(Regression!$X$28*Table83[[#This Row],[Water]])</f>
        <v>44.386198474840633</v>
      </c>
      <c r="EJ112" s="2">
        <f>Table83[[#This Row],[Waist]]-Table7[[#This Row],[Waist v Water]]</f>
        <v>-0.88619847484063285</v>
      </c>
      <c r="EK112" s="2">
        <f>Table7[[#This Row],[WaistWat Res]]^2</f>
        <v>0.78534773680986381</v>
      </c>
      <c r="EL112">
        <f>Regression!$Y$29+(Regression!$Y$28*Table83[[#This Row],[Fat Calories]])</f>
        <v>44.530390069636887</v>
      </c>
      <c r="EM112" s="2">
        <f>Table83[[#This Row],[Waist]]-Table7[[#This Row],[Waist v Fat Calories]]</f>
        <v>-1.0303900696368871</v>
      </c>
      <c r="EN112" s="2">
        <f>Table7[[#This Row],[WaistFatCal Res]]^2</f>
        <v>1.0617036956063091</v>
      </c>
    </row>
    <row r="113" spans="1:144" x14ac:dyDescent="0.25">
      <c r="A113">
        <f>Regression!$B$10+(Regression!$B$9*Table83[[#This Row],[Waist]])</f>
        <v>252.52625917894264</v>
      </c>
      <c r="B113" s="2">
        <f>Table83[[#This Row],[Weight]]-Table7[[#This Row],[Weight v Waist]]</f>
        <v>-2.1262591789426324</v>
      </c>
      <c r="C113" s="2">
        <f>Table7[[#This Row],[Weight v Waist Res]]^2</f>
        <v>4.5209780960377977</v>
      </c>
      <c r="D113">
        <f>Regression!$C$10+(Regression!$C$9*Table83[[#This Row],[Neck]])</f>
        <v>253.29286486487842</v>
      </c>
      <c r="E113" s="2">
        <f>Table83[[#This Row],[Weight]]-Table7[[#This Row],[Weight v Neck]]</f>
        <v>-2.892864864878419</v>
      </c>
      <c r="F113" s="2">
        <f>Table7[[#This Row],[WN Res]]^2</f>
        <v>8.3686671264480328</v>
      </c>
      <c r="G113">
        <f>Regression!$D$10+(Regression!$D$9*Table83[[#This Row],[Morning Body Temp]])</f>
        <v>254.98916789486196</v>
      </c>
      <c r="H113" s="2">
        <f>Table83[[#This Row],[Weight]]-Table7[[#This Row],[Weight v Morning Temp]]</f>
        <v>-4.5891678948619585</v>
      </c>
      <c r="I113" s="2">
        <f>Table7[[#This Row],[WMT Res]]^2</f>
        <v>21.060461967231738</v>
      </c>
      <c r="J113">
        <f>Regression!$E$10+(Regression!$E$9*Table83[[#This Row],[Morning Systolic Pressure]])</f>
        <v>255.82072189056947</v>
      </c>
      <c r="K113" s="2">
        <f>Table83[[#This Row],[Weight]]-Table7[[#This Row],[Weight v Morning Sys]]</f>
        <v>-5.4207218905694674</v>
      </c>
      <c r="L113" s="2">
        <f>Table7[[#This Row],[WMS Res]]^2</f>
        <v>29.384225814899022</v>
      </c>
      <c r="M113">
        <f>Regression!$F$10+(Regression!$F$9*Table83[[#This Row],[Morning Diastolic Pressure]])</f>
        <v>254.49397440297739</v>
      </c>
      <c r="N113" s="2">
        <f>Table83[[#This Row],[Weight]]-Table7[[#This Row],[Weight v Morning Dia]]</f>
        <v>-4.0939744029773806</v>
      </c>
      <c r="O113" s="2">
        <f>Table7[[#This Row],[WMD Res]]^2</f>
        <v>16.760626412234</v>
      </c>
      <c r="P113">
        <f>Regression!$G$10+(Regression!$G$9*Table83[[#This Row],[Morning Pulse]])</f>
        <v>255.1246118689416</v>
      </c>
      <c r="Q113" s="2">
        <f>Table83[[#This Row],[Weight]]-Table7[[#This Row],[Weight v Morning Pulse]]</f>
        <v>-4.7246118689415937</v>
      </c>
      <c r="R113" s="2">
        <f>Table7[[#This Row],[WMP Res]]^2</f>
        <v>22.32195731214378</v>
      </c>
      <c r="S113">
        <f>Regression!$H$10+(Regression!$H$9*Table83[[#This Row],[Night Body Temp]])</f>
        <v>254.95418324800676</v>
      </c>
      <c r="T113" s="2">
        <f>Table83[[#This Row],[Weight]]-Table7[[#This Row],[Weight v Night Temp]]</f>
        <v>-4.5541832480067512</v>
      </c>
      <c r="U113" s="2">
        <f>Table7[[#This Row],[WNT Res]]^2</f>
        <v>20.740585056425321</v>
      </c>
      <c r="V113">
        <f>Regression!$I$10+(Regression!$I$9*Table83[[#This Row],[Night Systolic Pressure]])</f>
        <v>254.21213305288254</v>
      </c>
      <c r="W113" s="2">
        <f>Table83[[#This Row],[Weight]]-Table7[[#This Row],[Weight v Night Sys]]</f>
        <v>-3.8121330528825297</v>
      </c>
      <c r="X113" s="2">
        <f>Table7[[#This Row],[WNS Res]]^2</f>
        <v>14.532358412879477</v>
      </c>
      <c r="Y113">
        <f>Regression!$J$10+(Regression!$J$9*Table83[[#This Row],[Night Diastolic Pressure]])</f>
        <v>253.95087205859525</v>
      </c>
      <c r="Z113" s="2">
        <f>Table83[[#This Row],[Weight]]-Table7[[#This Row],[Weight v Night Dia]]</f>
        <v>-3.550872058595246</v>
      </c>
      <c r="AA113" s="2">
        <f>Table7[[#This Row],[WND Res]]^2</f>
        <v>12.60869237651244</v>
      </c>
      <c r="AB113">
        <f>Regression!$K$10+(Regression!$K$9*Table83[[#This Row],[Night Pulse]])</f>
        <v>255.01801186503107</v>
      </c>
      <c r="AC113" s="2">
        <f>Table83[[#This Row],[Weight]]-Table7[[#This Row],[Weight v Night Pulse]]</f>
        <v>-4.6180118650310646</v>
      </c>
      <c r="AD113" s="2">
        <f>Table7[[#This Row],[WNP Res ]]^2</f>
        <v>21.326033585567693</v>
      </c>
      <c r="AE113">
        <f>Regression!$L$10+(Regression!$L$9*Table83[[#This Row],[Sleep]])</f>
        <v>254.50608136063369</v>
      </c>
      <c r="AF113" s="2">
        <f>Table83[[#This Row],[Weight]]-Table7[[#This Row],[Weight v Sleep]]</f>
        <v>-4.1060813606336808</v>
      </c>
      <c r="AG113" s="2">
        <f>Table7[[#This Row],[WS Res]]^2</f>
        <v>16.859904140143339</v>
      </c>
      <c r="AH113">
        <f>Regression!$M$10+(Regression!$M$9*Table83[[#This Row],[BMI]])</f>
        <v>250.40000000001052</v>
      </c>
      <c r="AI113" s="2">
        <f>Table83[[#This Row],[Weight]]-Table7[[#This Row],[Weight v BMI]]</f>
        <v>-1.0516032489249483E-11</v>
      </c>
      <c r="AJ113" s="2">
        <f>Table7[[#This Row],[WBMI Res]]^2</f>
        <v>1.1058693931495067E-22</v>
      </c>
      <c r="AK113">
        <f>Regression!$N$10+(Regression!$N$9*Table83[[#This Row],[CBF]])</f>
        <v>253.17965033701802</v>
      </c>
      <c r="AL113" s="2">
        <f>Table83[[#This Row],[Weight]]-Table7[[#This Row],[Weight v CBF]]</f>
        <v>-2.7796503370180119</v>
      </c>
      <c r="AM113" s="2">
        <f>Table7[[#This Row],[WCBF Res]]^2</f>
        <v>7.7264559960843471</v>
      </c>
      <c r="AN113">
        <f>Regression!$O$10+(Regression!$O$9*Table83[[#This Row],[Gym]])</f>
        <v>254.72962962962998</v>
      </c>
      <c r="AO113" s="2">
        <f>Table83[[#This Row],[Weight]]-Table7[[#This Row],[Weight v Gym]]</f>
        <v>-4.3296296296299772</v>
      </c>
      <c r="AP113" s="2">
        <f>Table7[[#This Row],[WG Res]]^2</f>
        <v>18.745692729769814</v>
      </c>
      <c r="AQ113">
        <f>Regression!$P$10+(Regression!$P$9*Table83[[#This Row],[Cardio]])</f>
        <v>254.19242424242461</v>
      </c>
      <c r="AR113" s="2">
        <f>Table83[[#This Row],[Weight]]-Table7[[#This Row],[Weight v Cardio]]</f>
        <v>-3.7924242424246017</v>
      </c>
      <c r="AS113" s="2">
        <f>Table7[[#This Row],[WC Res]]^2</f>
        <v>14.382481634529814</v>
      </c>
      <c r="AT113">
        <f>Regression!$Q$10+(Regression!$Q$9*Table83[[#This Row],[Calories]])</f>
        <v>254.80468755600964</v>
      </c>
      <c r="AU113" s="2">
        <f>Table83[[#This Row],[Weight]]-Table7[[#This Row],[Weight v Calories]]</f>
        <v>-4.4046875560096339</v>
      </c>
      <c r="AV113" s="2">
        <f>Table7[[#This Row],[WCAL Res]]^2</f>
        <v>19.401272466066121</v>
      </c>
      <c r="AW113">
        <f>Regression!$R$10+(Regression!$R$9*Table83[[#This Row],[Carbs]])</f>
        <v>254.23764180424138</v>
      </c>
      <c r="AX113" s="2">
        <f>Table83[[#This Row],[Weight]]-Table7[[#This Row],[Weight v Carbs]]</f>
        <v>-3.8376418042413718</v>
      </c>
      <c r="AY113" s="2">
        <f>Table7[[#This Row],[Wcarb Res]]^2</f>
        <v>14.727494617660971</v>
      </c>
      <c r="AZ113">
        <f>Regression!$S$10+(Regression!$S$9*Table83[[#This Row],[Fat ]])</f>
        <v>255.22279498790198</v>
      </c>
      <c r="BA113" s="2">
        <f>Table83[[#This Row],[Weight]]-Table7[[#This Row],[Weight v Fat]]</f>
        <v>-4.8227949879019718</v>
      </c>
      <c r="BB113" s="2">
        <f>Table7[[#This Row],[WF Res]]^2</f>
        <v>23.259351495332382</v>
      </c>
      <c r="BC113">
        <f>Regression!$T$10+(Regression!$T$9*Table83[[#This Row],[Protein]])</f>
        <v>255.47049528041683</v>
      </c>
      <c r="BD113" s="2">
        <f>Table83[[#This Row],[Weight]]-Table7[[#This Row],[Weight v Protein]]</f>
        <v>-5.0704952804168215</v>
      </c>
      <c r="BE113" s="2">
        <f>Table7[[#This Row],[WP Res]]^2</f>
        <v>25.709922388729261</v>
      </c>
      <c r="BF113">
        <f>Regression!$U$10+(Regression!$U$9*Table83[[#This Row],[Fiber]])</f>
        <v>255.05266280218007</v>
      </c>
      <c r="BG113" s="2">
        <f>Table83[[#This Row],[Weight]]-Table7[[#This Row],[Weight v Fiber]]</f>
        <v>-4.6526628021800605</v>
      </c>
      <c r="BH113" s="2">
        <f>Table7[[#This Row],[Wfib Res]]^2</f>
        <v>21.647271150790012</v>
      </c>
      <c r="BI113">
        <f>Regression!$V$10+(Regression!$V$9*Table83[[#This Row],[Sugar]])</f>
        <v>253.41456915595523</v>
      </c>
      <c r="BJ113" s="2">
        <f>Table83[[#This Row],[Weight]]-Table7[[#This Row],[Weight v Sugar]]</f>
        <v>-3.014569155955229</v>
      </c>
      <c r="BK113" s="2">
        <f>Table7[[#This Row],[Wsugar Res]]^2</f>
        <v>9.0876271960366211</v>
      </c>
      <c r="BL113">
        <f>Regression!$W$10+(Regression!$W$9*Table83[[#This Row],[Servings]])</f>
        <v>254.63473955501385</v>
      </c>
      <c r="BM113" s="2">
        <f>Table83[[#This Row],[Weight]]-Table7[[#This Row],[Weight v Servings]]</f>
        <v>-4.2347395550138458</v>
      </c>
      <c r="BN113" s="2">
        <f>Table7[[#This Row],[Wserv Res]]^2</f>
        <v>17.933019098798866</v>
      </c>
      <c r="BO113">
        <f>Regression!$X$10+(Regression!$X$9*Table83[[#This Row],[Water]])</f>
        <v>255.0206340268538</v>
      </c>
      <c r="BP113" s="2">
        <f>Table83[[#This Row],[Weight]]-Table7[[#This Row],[Weight v Water]]</f>
        <v>-4.6206340268537929</v>
      </c>
      <c r="BQ113" s="2">
        <f>Table7[[#This Row],[Wwater Res]]^2</f>
        <v>21.350258810119097</v>
      </c>
      <c r="BR113">
        <f>Regression!$Y$10+(Regression!$Y$9*Table83[[#This Row],[Fat Calories]])</f>
        <v>255.22485653711848</v>
      </c>
      <c r="BS113" s="2">
        <f>Table83[[#This Row],[Weight]]-Table7[[#This Row],[Weight v Fat Calories]]</f>
        <v>-4.8248565371184782</v>
      </c>
      <c r="BT113" s="2">
        <f>Table7[[#This Row],[WFC Res]]^2</f>
        <v>23.279240603774912</v>
      </c>
      <c r="BU113">
        <f>Regression!$B$29+(Regression!$B$28*Table83[[#This Row],[Weight]])</f>
        <v>43.811056056356733</v>
      </c>
      <c r="BV113" s="2">
        <f>Table83[[#This Row],[Waist]]-Table7[[#This Row],[Waist v Weight]]</f>
        <v>0.18894394364326672</v>
      </c>
      <c r="BW113" s="2">
        <f>Table7[[#This Row],[WaistW Res]]^2</f>
        <v>3.5699813839469949E-2</v>
      </c>
      <c r="BX113">
        <f>Regression!$C$29+(Regression!$C$28*Table83[[#This Row],[Neck]])</f>
        <v>44.175585585585594</v>
      </c>
      <c r="BY113" s="2">
        <f>Table83[[#This Row],[Waist]]-Table7[[#This Row],[Waist v Neck]]</f>
        <v>-0.17558558558559412</v>
      </c>
      <c r="BZ113" s="2">
        <f>Table7[[#This Row],[WaistN Res]]^2</f>
        <v>3.0830297865435997E-2</v>
      </c>
      <c r="CA113">
        <f>Regression!$D$29+(Regression!$D$28*Table83[[#This Row],[Morning Body Temp]])</f>
        <v>44.419304304405451</v>
      </c>
      <c r="CB113" s="2">
        <f>Table83[[#This Row],[Waist]]-Table7[[#This Row],[Waist v Morning Temp]]</f>
        <v>-0.41930430440545052</v>
      </c>
      <c r="CC113" s="2">
        <f>Table7[[#This Row],[WaistMT Res]]^2</f>
        <v>0.17581609969293871</v>
      </c>
      <c r="CD113">
        <f>Regression!$E$29+(Regression!$E$28*Table83[[#This Row],[Morning Systolic Pressure]])</f>
        <v>44.619331211273035</v>
      </c>
      <c r="CE113" s="2">
        <f>Table83[[#This Row],[Waist]]-Table7[[#This Row],[Waist v Morning Sys]]</f>
        <v>-0.61933121127303536</v>
      </c>
      <c r="CF113" s="2">
        <f>Table7[[#This Row],[WaistMS Res]]^2</f>
        <v>0.38357114925692515</v>
      </c>
      <c r="CG113">
        <f>Regression!$F$29+(Regression!$F$28*Table83[[#This Row],[Morning Diastolic Pressure]])</f>
        <v>44.419002944131137</v>
      </c>
      <c r="CH113" s="2">
        <f>Table83[[#This Row],[Waist]]-Table7[[#This Row],[Waist v Morning Dia]]</f>
        <v>-0.4190029441311367</v>
      </c>
      <c r="CI113" s="2">
        <f>Table7[[#This Row],[WaistMD Res]]^2</f>
        <v>0.17556346719056046</v>
      </c>
      <c r="CJ113">
        <f>Regression!$G$29+(Regression!$G$28*Table83[[#This Row],[Morning Pulse]])</f>
        <v>44.457934210374262</v>
      </c>
      <c r="CK113" s="2">
        <f>Table83[[#This Row],[Waist]]-Table7[[#This Row],[Waist v Morning Pulse]]</f>
        <v>-0.45793421037426185</v>
      </c>
      <c r="CL113" s="2">
        <f>Table7[[#This Row],[WaistMP Res]]^2</f>
        <v>0.20970374103109871</v>
      </c>
      <c r="CM113">
        <f>Regression!$H$29+(Regression!$H$28*Table83[[#This Row],[Night Body Temp]])</f>
        <v>44.440857030854289</v>
      </c>
      <c r="CN113" s="2">
        <f>Table83[[#This Row],[Waist]]-Table7[[#This Row],[Waist v Night Temp]]</f>
        <v>-0.44085703085428918</v>
      </c>
      <c r="CO113" s="2">
        <f>Table7[[#This Row],[WaistNT Res]]^2</f>
        <v>0.19435492165365967</v>
      </c>
      <c r="CP113">
        <f>Regression!$I$29+(Regression!$I$28*Table83[[#This Row],[Night Systolic Pressure]])</f>
        <v>44.325638286374691</v>
      </c>
      <c r="CQ113" s="2">
        <f>Table83[[#This Row],[Waist]]-Table7[[#This Row],[Waist v  Night Sys]]</f>
        <v>-0.32563828637469072</v>
      </c>
      <c r="CR113" s="2">
        <f>Table7[[#This Row],[WaistNS Res]]^2</f>
        <v>0.10604029355304509</v>
      </c>
      <c r="CS113">
        <f>Regression!$J$29+(Regression!$J$28*Table83[[#This Row],[Night Diastolic Pressure]])</f>
        <v>43.96612160013791</v>
      </c>
      <c r="CT113" s="2">
        <f>Table83[[#This Row],[Waist]]-Table7[[#This Row],[Waist v Night Dia]]</f>
        <v>3.3878399862089736E-2</v>
      </c>
      <c r="CU113" s="2">
        <f>Table7[[#This Row],[WaistND Res]]^2</f>
        <v>1.1477459772156419E-3</v>
      </c>
      <c r="CV113">
        <f>Regression!$K$29+(Regression!$K$28*Table83[[#This Row],[Night Pulse]])</f>
        <v>44.462565118876235</v>
      </c>
      <c r="CW113" s="2">
        <f>Table83[[#This Row],[Waist]]-Table7[[#This Row],[Waist v Night Pulse]]</f>
        <v>-0.46256511887623475</v>
      </c>
      <c r="CX113" s="2">
        <f>Table7[[#This Row],[WaistNP Res]]^2</f>
        <v>0.21396648920098518</v>
      </c>
      <c r="CY113">
        <f>Regression!$L$29+(Regression!$L$28*Table83[[#This Row],[Sleep]])</f>
        <v>44.360693916866794</v>
      </c>
      <c r="CZ113" s="2">
        <f>Table83[[#This Row],[Waist]]-Table7[[#This Row],[Waist v  Sleep]]</f>
        <v>-0.36069391686679353</v>
      </c>
      <c r="DA113" s="2">
        <f>Table7[[#This Row],[WaistS Res]]^2</f>
        <v>0.13010010166470937</v>
      </c>
      <c r="DB113">
        <f>Regression!$M$29+(Regression!$M$28*Table83[[#This Row],[BMI]])</f>
        <v>43.811056056358765</v>
      </c>
      <c r="DC113" s="2">
        <f>Table83[[#This Row],[Waist]]-Table7[[#This Row],[Waist v BMI]]</f>
        <v>0.18894394364123457</v>
      </c>
      <c r="DD113" s="2">
        <f>Table7[[#This Row],[WaistBMI Res]]^2</f>
        <v>3.5699813838702028E-2</v>
      </c>
      <c r="DE113">
        <f>Regression!$N$29+(Regression!$N$28*Table83[[#This Row],[CBF]])</f>
        <v>44.105031770433015</v>
      </c>
      <c r="DF113" s="2">
        <f>Table83[[#This Row],[Waist]]-Table7[[#This Row],[Waist v  CBF]]</f>
        <v>-0.10503177043301548</v>
      </c>
      <c r="DG113" s="2">
        <f>Table7[[#This Row],[WaistCBF Res]]^2</f>
        <v>1.1031672800293666E-2</v>
      </c>
      <c r="DH113">
        <f>Regression!$O$29+(Regression!$O$28*Table83[[#This Row],[Gym]])</f>
        <v>44.347222222222221</v>
      </c>
      <c r="DI113" s="2">
        <f>Table83[[#This Row],[Waist]]-Table7[[#This Row],[Waist v  Gym]]</f>
        <v>-0.34722222222222143</v>
      </c>
      <c r="DJ113" s="2">
        <f>Table7[[#This Row],[WaistGYM Res]]^2</f>
        <v>0.12056327160493772</v>
      </c>
      <c r="DK113">
        <f>Regression!$P$29+(Regression!$P$28*Table83[[#This Row],[Cardio]])</f>
        <v>44.291666666666664</v>
      </c>
      <c r="DL113" s="2">
        <f>Table83[[#This Row],[Waist]]-Table7[[#This Row],[Waist v Cardio]]</f>
        <v>-0.2916666666666643</v>
      </c>
      <c r="DM113" s="2">
        <f>Table7[[#This Row],[WaistC Res]]^2</f>
        <v>8.506944444444306E-2</v>
      </c>
      <c r="DN113">
        <f>Regression!$Q$29+(Regression!$Q$28*Table83[[#This Row],[Calories]])</f>
        <v>44.383809557973095</v>
      </c>
      <c r="DO113" s="2">
        <f>Table83[[#This Row],[Waist]]-Table7[[#This Row],[Waist v Calories]]</f>
        <v>-0.38380955797309468</v>
      </c>
      <c r="DP113" s="2">
        <f>Table7[[#This Row],[WaistCal Res]]^2</f>
        <v>0.14730977679150234</v>
      </c>
      <c r="DQ113">
        <f>Regression!$R$29+(Regression!$R$28*Table83[[#This Row],[Carbs]])</f>
        <v>44.2708700072642</v>
      </c>
      <c r="DR113" s="2">
        <f>Table83[[#This Row],[Waist]]-Table7[[#This Row],[Waist v Carbs]]</f>
        <v>-0.2708700072642003</v>
      </c>
      <c r="DS113" s="2">
        <f>Table7[[#This Row],[WaistCarb Res]]^2</f>
        <v>7.3370560835307921E-2</v>
      </c>
      <c r="DT113">
        <f>Regression!$S$29+(Regression!$S$28*Table83[[#This Row],[Fat ]])</f>
        <v>44.486476943964064</v>
      </c>
      <c r="DU113" s="2">
        <f>Table83[[#This Row],[Waist]]-Table7[[#This Row],[Waist v Fat]]</f>
        <v>-0.48647694396406393</v>
      </c>
      <c r="DV113" s="2">
        <f>Table7[[#This Row],[WaistF Res]]^2</f>
        <v>0.23665981700861499</v>
      </c>
      <c r="DW113">
        <f>Regression!$T$29+(Regression!$T$28*Table83[[#This Row],[Protein]])</f>
        <v>44.518600565724569</v>
      </c>
      <c r="DX113" s="2">
        <f>Table83[[#This Row],[Waist]]-Table7[[#This Row],[Waist v Protein]]</f>
        <v>-0.5186005657245687</v>
      </c>
      <c r="DY113" s="2">
        <f>Table7[[#This Row],[WaistP Res]]^2</f>
        <v>0.2689465467698427</v>
      </c>
      <c r="DZ113">
        <f>Regression!$U$29+(Regression!$U$28*Table83[[#This Row],[Fiber]])</f>
        <v>44.429469321376089</v>
      </c>
      <c r="EA113" s="2">
        <f>Table83[[#This Row],[Waist]]-Table7[[#This Row],[Waist v Fiber]]</f>
        <v>-0.4294693213760894</v>
      </c>
      <c r="EB113" s="2">
        <f>Table7[[#This Row],[WaistFib Res]]^2</f>
        <v>0.18444389800323877</v>
      </c>
      <c r="EC113">
        <f>Regression!$V$29+(Regression!$V$28*Table83[[#This Row],[Sugar]])</f>
        <v>44.148068438205598</v>
      </c>
      <c r="ED113" s="2">
        <f>Table83[[#This Row],[Waist]]-Table7[[#This Row],[Waist v Sugar]]</f>
        <v>-0.14806843820559834</v>
      </c>
      <c r="EE113" s="2">
        <f>Table7[[#This Row],[WaistSugar Res]]^2</f>
        <v>2.1924262392645093E-2</v>
      </c>
      <c r="EF113">
        <f>Regression!$W$29+(Regression!$W$28*Table83[[#This Row],[Servings]])</f>
        <v>44.380253328765491</v>
      </c>
      <c r="EG113" s="2">
        <f>Table83[[#This Row],[Waist]]-Table7[[#This Row],[Waist v Servings]]</f>
        <v>-0.38025332876549101</v>
      </c>
      <c r="EH113" s="2">
        <f>Table7[[#This Row],[WaistServ Res]]^2</f>
        <v>0.14459259403723659</v>
      </c>
      <c r="EI113">
        <f>Regression!$X$29+(Regression!$X$28*Table83[[#This Row],[Water]])</f>
        <v>44.33031459742935</v>
      </c>
      <c r="EJ113" s="2">
        <f>Table83[[#This Row],[Waist]]-Table7[[#This Row],[Waist v Water]]</f>
        <v>-0.33031459742934999</v>
      </c>
      <c r="EK113" s="2">
        <f>Table7[[#This Row],[WaistWat Res]]^2</f>
        <v>0.10910773327491355</v>
      </c>
      <c r="EL113">
        <f>Regression!$Y$29+(Regression!$Y$28*Table83[[#This Row],[Fat Calories]])</f>
        <v>44.486936899235701</v>
      </c>
      <c r="EM113" s="2">
        <f>Table83[[#This Row],[Waist]]-Table7[[#This Row],[Waist v Fat Calories]]</f>
        <v>-0.48693689923570105</v>
      </c>
      <c r="EN113" s="2">
        <f>Table7[[#This Row],[WaistFatCal Res]]^2</f>
        <v>0.23710754383727928</v>
      </c>
    </row>
    <row r="114" spans="1:144" x14ac:dyDescent="0.25">
      <c r="A114">
        <f>Regression!$B$10+(Regression!$B$9*Table83[[#This Row],[Waist]])</f>
        <v>249.67228149328892</v>
      </c>
      <c r="B114" s="2">
        <f>Table83[[#This Row],[Weight]]-Table7[[#This Row],[Weight v Waist]]</f>
        <v>2.1277185067110906</v>
      </c>
      <c r="C114" s="2">
        <f>Table7[[#This Row],[Weight v Waist Res]]^2</f>
        <v>4.5271860438008735</v>
      </c>
      <c r="D114">
        <f>Regression!$C$10+(Regression!$C$9*Table83[[#This Row],[Neck]])</f>
        <v>253.29286486487842</v>
      </c>
      <c r="E114" s="2">
        <f>Table83[[#This Row],[Weight]]-Table7[[#This Row],[Weight v Neck]]</f>
        <v>-1.4928648648784133</v>
      </c>
      <c r="F114" s="2">
        <f>Table7[[#This Row],[WN Res]]^2</f>
        <v>2.2286455047884433</v>
      </c>
      <c r="G114">
        <f>Regression!$D$10+(Regression!$D$9*Table83[[#This Row],[Morning Body Temp]])</f>
        <v>254.77797223219488</v>
      </c>
      <c r="H114" s="2">
        <f>Table83[[#This Row],[Weight]]-Table7[[#This Row],[Weight v Morning Temp]]</f>
        <v>-2.9779722321948725</v>
      </c>
      <c r="I114" s="2">
        <f>Table7[[#This Row],[WMT Res]]^2</f>
        <v>8.8683186157237124</v>
      </c>
      <c r="J114">
        <f>Regression!$E$10+(Regression!$E$9*Table83[[#This Row],[Morning Systolic Pressure]])</f>
        <v>255.27979544420887</v>
      </c>
      <c r="K114" s="2">
        <f>Table83[[#This Row],[Weight]]-Table7[[#This Row],[Weight v Morning Sys]]</f>
        <v>-3.479795444208861</v>
      </c>
      <c r="L114" s="2">
        <f>Table7[[#This Row],[WMS Res]]^2</f>
        <v>12.108976333536745</v>
      </c>
      <c r="M114">
        <f>Regression!$F$10+(Regression!$F$9*Table83[[#This Row],[Morning Diastolic Pressure]])</f>
        <v>254.79800715011203</v>
      </c>
      <c r="N114" s="2">
        <f>Table83[[#This Row],[Weight]]-Table7[[#This Row],[Weight v Morning Dia]]</f>
        <v>-2.9980071501120165</v>
      </c>
      <c r="O114" s="2">
        <f>Table7[[#This Row],[WMD Res]]^2</f>
        <v>8.9880468721227746</v>
      </c>
      <c r="P114">
        <f>Regression!$G$10+(Regression!$G$9*Table83[[#This Row],[Morning Pulse]])</f>
        <v>255.10633391136972</v>
      </c>
      <c r="Q114" s="2">
        <f>Table83[[#This Row],[Weight]]-Table7[[#This Row],[Weight v Morning Pulse]]</f>
        <v>-3.3063339113697054</v>
      </c>
      <c r="R114" s="2">
        <f>Table7[[#This Row],[WMP Res]]^2</f>
        <v>10.931843933473296</v>
      </c>
      <c r="S114">
        <f>Regression!$H$10+(Regression!$H$9*Table83[[#This Row],[Night Body Temp]])</f>
        <v>254.54339696608002</v>
      </c>
      <c r="T114" s="2">
        <f>Table83[[#This Row],[Weight]]-Table7[[#This Row],[Weight v Night Temp]]</f>
        <v>-2.743396966080013</v>
      </c>
      <c r="U114" s="2">
        <f>Table7[[#This Row],[WNT Res]]^2</f>
        <v>7.5262269134970206</v>
      </c>
      <c r="V114">
        <f>Regression!$I$10+(Regression!$I$9*Table83[[#This Row],[Night Systolic Pressure]])</f>
        <v>256.26502973345191</v>
      </c>
      <c r="W114" s="2">
        <f>Table83[[#This Row],[Weight]]-Table7[[#This Row],[Weight v Night Sys]]</f>
        <v>-4.4650297334518996</v>
      </c>
      <c r="X114" s="2">
        <f>Table7[[#This Row],[WNS Res]]^2</f>
        <v>19.936490520609542</v>
      </c>
      <c r="Y114">
        <f>Regression!$J$10+(Regression!$J$9*Table83[[#This Row],[Night Diastolic Pressure]])</f>
        <v>255.2146139794944</v>
      </c>
      <c r="Z114" s="2">
        <f>Table83[[#This Row],[Weight]]-Table7[[#This Row],[Weight v Night Dia]]</f>
        <v>-3.4146139794943906</v>
      </c>
      <c r="AA114" s="2">
        <f>Table7[[#This Row],[WND Res]]^2</f>
        <v>11.659588628958518</v>
      </c>
      <c r="AB114">
        <f>Regression!$K$10+(Regression!$K$9*Table83[[#This Row],[Night Pulse]])</f>
        <v>254.68016522142707</v>
      </c>
      <c r="AC114" s="2">
        <f>Table83[[#This Row],[Weight]]-Table7[[#This Row],[Weight v Night Pulse]]</f>
        <v>-2.8801652214270632</v>
      </c>
      <c r="AD114" s="2">
        <f>Table7[[#This Row],[WNP Res ]]^2</f>
        <v>8.2953517027180048</v>
      </c>
      <c r="AE114">
        <f>Regression!$L$10+(Regression!$L$9*Table83[[#This Row],[Sleep]])</f>
        <v>254.50608136063369</v>
      </c>
      <c r="AF114" s="2">
        <f>Table83[[#This Row],[Weight]]-Table7[[#This Row],[Weight v Sleep]]</f>
        <v>-2.7060813606336751</v>
      </c>
      <c r="AG114" s="2">
        <f>Table7[[#This Row],[WS Res]]^2</f>
        <v>7.3228763303690023</v>
      </c>
      <c r="AH114">
        <f>Regression!$M$10+(Regression!$M$9*Table83[[#This Row],[BMI]])</f>
        <v>251.80000000000746</v>
      </c>
      <c r="AI114" s="2">
        <f>Table83[[#This Row],[Weight]]-Table7[[#This Row],[Weight v BMI]]</f>
        <v>-7.4464878707658499E-12</v>
      </c>
      <c r="AJ114" s="2">
        <f>Table7[[#This Row],[WBMI Res]]^2</f>
        <v>5.5450181609462922E-23</v>
      </c>
      <c r="AK114">
        <f>Regression!$N$10+(Regression!$N$9*Table83[[#This Row],[CBF]])</f>
        <v>250.04675133427031</v>
      </c>
      <c r="AL114" s="2">
        <f>Table83[[#This Row],[Weight]]-Table7[[#This Row],[Weight v CBF]]</f>
        <v>1.7532486657297</v>
      </c>
      <c r="AM114" s="2">
        <f>Table7[[#This Row],[WCBF Res]]^2</f>
        <v>3.073880883882973</v>
      </c>
      <c r="AN114">
        <f>Regression!$O$10+(Regression!$O$9*Table83[[#This Row],[Gym]])</f>
        <v>255.46779661016953</v>
      </c>
      <c r="AO114" s="2">
        <f>Table83[[#This Row],[Weight]]-Table7[[#This Row],[Weight v Gym]]</f>
        <v>-3.6677966101695176</v>
      </c>
      <c r="AP114" s="2">
        <f>Table7[[#This Row],[WG Res]]^2</f>
        <v>13.452731973571005</v>
      </c>
      <c r="AQ114">
        <f>Regression!$P$10+(Regression!$P$9*Table83[[#This Row],[Cardio]])</f>
        <v>256.41063829787231</v>
      </c>
      <c r="AR114" s="2">
        <f>Table83[[#This Row],[Weight]]-Table7[[#This Row],[Weight v Cardio]]</f>
        <v>-4.6106382978722991</v>
      </c>
      <c r="AS114" s="2">
        <f>Table7[[#This Row],[WC Res]]^2</f>
        <v>21.257985513806773</v>
      </c>
      <c r="AT114">
        <f>Regression!$Q$10+(Regression!$Q$9*Table83[[#This Row],[Calories]])</f>
        <v>255.3391443246262</v>
      </c>
      <c r="AU114" s="2">
        <f>Table83[[#This Row],[Weight]]-Table7[[#This Row],[Weight v Calories]]</f>
        <v>-3.5391443246261929</v>
      </c>
      <c r="AV114" s="2">
        <f>Table7[[#This Row],[WCAL Res]]^2</f>
        <v>12.525542550533791</v>
      </c>
      <c r="AW114">
        <f>Regression!$R$10+(Regression!$R$9*Table83[[#This Row],[Carbs]])</f>
        <v>255.07677518090378</v>
      </c>
      <c r="AX114" s="2">
        <f>Table83[[#This Row],[Weight]]-Table7[[#This Row],[Weight v Carbs]]</f>
        <v>-3.2767751809037691</v>
      </c>
      <c r="AY114" s="2">
        <f>Table7[[#This Row],[Wcarb Res]]^2</f>
        <v>10.737255586186928</v>
      </c>
      <c r="AZ114">
        <f>Regression!$S$10+(Regression!$S$9*Table83[[#This Row],[Fat ]])</f>
        <v>255.3997718282825</v>
      </c>
      <c r="BA114" s="2">
        <f>Table83[[#This Row],[Weight]]-Table7[[#This Row],[Weight v Fat]]</f>
        <v>-3.5997718282824849</v>
      </c>
      <c r="BB114" s="2">
        <f>Table7[[#This Row],[WF Res]]^2</f>
        <v>12.958357215696223</v>
      </c>
      <c r="BC114">
        <f>Regression!$T$10+(Regression!$T$9*Table83[[#This Row],[Protein]])</f>
        <v>255.71112306345643</v>
      </c>
      <c r="BD114" s="2">
        <f>Table83[[#This Row],[Weight]]-Table7[[#This Row],[Weight v Protein]]</f>
        <v>-3.9111230634564151</v>
      </c>
      <c r="BE114" s="2">
        <f>Table7[[#This Row],[WP Res]]^2</f>
        <v>15.296883617500693</v>
      </c>
      <c r="BF114">
        <f>Regression!$U$10+(Regression!$U$9*Table83[[#This Row],[Fiber]])</f>
        <v>255.23272115603748</v>
      </c>
      <c r="BG114" s="2">
        <f>Table83[[#This Row],[Weight]]-Table7[[#This Row],[Weight v Fiber]]</f>
        <v>-3.4327211560374735</v>
      </c>
      <c r="BH114" s="2">
        <f>Table7[[#This Row],[Wfib Res]]^2</f>
        <v>11.783574535107249</v>
      </c>
      <c r="BI114">
        <f>Regression!$V$10+(Regression!$V$9*Table83[[#This Row],[Sugar]])</f>
        <v>254.6352653150438</v>
      </c>
      <c r="BJ114" s="2">
        <f>Table83[[#This Row],[Weight]]-Table7[[#This Row],[Weight v Sugar]]</f>
        <v>-2.8352653150437845</v>
      </c>
      <c r="BK114" s="2">
        <f>Table7[[#This Row],[Wsugar Res]]^2</f>
        <v>8.0387294066903312</v>
      </c>
      <c r="BL114">
        <f>Regression!$W$10+(Regression!$W$9*Table83[[#This Row],[Servings]])</f>
        <v>254.89887350745008</v>
      </c>
      <c r="BM114" s="2">
        <f>Table83[[#This Row],[Weight]]-Table7[[#This Row],[Weight v Servings]]</f>
        <v>-3.0988735074500653</v>
      </c>
      <c r="BN114" s="2">
        <f>Table7[[#This Row],[Wserv Res]]^2</f>
        <v>9.6030170151758707</v>
      </c>
      <c r="BO114">
        <f>Regression!$X$10+(Regression!$X$9*Table83[[#This Row],[Water]])</f>
        <v>255.04204201855453</v>
      </c>
      <c r="BP114" s="2">
        <f>Table83[[#This Row],[Weight]]-Table7[[#This Row],[Weight v Water]]</f>
        <v>-3.242042018554514</v>
      </c>
      <c r="BQ114" s="2">
        <f>Table7[[#This Row],[Wwater Res]]^2</f>
        <v>10.510836450073027</v>
      </c>
      <c r="BR114">
        <f>Regression!$Y$10+(Regression!$Y$9*Table83[[#This Row],[Fat Calories]])</f>
        <v>255.41320441711028</v>
      </c>
      <c r="BS114" s="2">
        <f>Table83[[#This Row],[Weight]]-Table7[[#This Row],[Weight v Fat Calories]]</f>
        <v>-3.6132044171102677</v>
      </c>
      <c r="BT114" s="2">
        <f>Table7[[#This Row],[WFC Res]]^2</f>
        <v>13.055246159825149</v>
      </c>
      <c r="BU114">
        <f>Regression!$B$29+(Regression!$B$28*Table83[[#This Row],[Weight]])</f>
        <v>44.001823571154709</v>
      </c>
      <c r="BV114" s="2">
        <f>Table83[[#This Row],[Waist]]-Table7[[#This Row],[Waist v Weight]]</f>
        <v>-0.50182357115470921</v>
      </c>
      <c r="BW114" s="2">
        <f>Table7[[#This Row],[WaistW Res]]^2</f>
        <v>0.25182689656646551</v>
      </c>
      <c r="BX114">
        <f>Regression!$C$29+(Regression!$C$28*Table83[[#This Row],[Neck]])</f>
        <v>44.175585585585594</v>
      </c>
      <c r="BY114" s="2">
        <f>Table83[[#This Row],[Waist]]-Table7[[#This Row],[Waist v Neck]]</f>
        <v>-0.67558558558559412</v>
      </c>
      <c r="BZ114" s="2">
        <f>Table7[[#This Row],[WaistN Res]]^2</f>
        <v>0.45641588345103012</v>
      </c>
      <c r="CA114">
        <f>Regression!$D$29+(Regression!$D$28*Table83[[#This Row],[Morning Body Temp]])</f>
        <v>44.361863864877819</v>
      </c>
      <c r="CB114" s="2">
        <f>Table83[[#This Row],[Waist]]-Table7[[#This Row],[Waist v Morning Temp]]</f>
        <v>-0.86186386487781874</v>
      </c>
      <c r="CC114" s="2">
        <f>Table7[[#This Row],[WaistMT Res]]^2</f>
        <v>0.74280932158213098</v>
      </c>
      <c r="CD114">
        <f>Regression!$E$29+(Regression!$E$28*Table83[[#This Row],[Morning Systolic Pressure]])</f>
        <v>44.492246348363913</v>
      </c>
      <c r="CE114" s="2">
        <f>Table83[[#This Row],[Waist]]-Table7[[#This Row],[Waist v Morning Sys]]</f>
        <v>-0.99224634836391346</v>
      </c>
      <c r="CF114" s="2">
        <f>Table7[[#This Row],[WaistMS Res]]^2</f>
        <v>0.98455281584152066</v>
      </c>
      <c r="CG114">
        <f>Regression!$F$29+(Regression!$F$28*Table83[[#This Row],[Morning Diastolic Pressure]])</f>
        <v>44.435909806137701</v>
      </c>
      <c r="CH114" s="2">
        <f>Table83[[#This Row],[Waist]]-Table7[[#This Row],[Waist v Morning Dia]]</f>
        <v>-0.93590980613770114</v>
      </c>
      <c r="CI114" s="2">
        <f>Table7[[#This Row],[WaistMD Res]]^2</f>
        <v>0.87592716522470937</v>
      </c>
      <c r="CJ114">
        <f>Regression!$G$29+(Regression!$G$28*Table83[[#This Row],[Morning Pulse]])</f>
        <v>44.449539184638127</v>
      </c>
      <c r="CK114" s="2">
        <f>Table83[[#This Row],[Waist]]-Table7[[#This Row],[Waist v Morning Pulse]]</f>
        <v>-0.9495391846381267</v>
      </c>
      <c r="CL114" s="2">
        <f>Table7[[#This Row],[WaistMP Res]]^2</f>
        <v>0.90162466316323842</v>
      </c>
      <c r="CM114">
        <f>Regression!$H$29+(Regression!$H$28*Table83[[#This Row],[Night Body Temp]])</f>
        <v>44.408469335634749</v>
      </c>
      <c r="CN114" s="2">
        <f>Table83[[#This Row],[Waist]]-Table7[[#This Row],[Waist v Night Temp]]</f>
        <v>-0.90846933563474863</v>
      </c>
      <c r="CO114" s="2">
        <f>Table7[[#This Row],[WaistNT Res]]^2</f>
        <v>0.82531653378864156</v>
      </c>
      <c r="CP114">
        <f>Regression!$I$29+(Regression!$I$28*Table83[[#This Row],[Night Systolic Pressure]])</f>
        <v>44.616440572886958</v>
      </c>
      <c r="CQ114" s="2">
        <f>Table83[[#This Row],[Waist]]-Table7[[#This Row],[Waist v  Night Sys]]</f>
        <v>-1.1164405728869582</v>
      </c>
      <c r="CR114" s="2">
        <f>Table7[[#This Row],[WaistNS Res]]^2</f>
        <v>1.2464395527881593</v>
      </c>
      <c r="CS114">
        <f>Regression!$J$29+(Regression!$J$28*Table83[[#This Row],[Night Diastolic Pressure]])</f>
        <v>44.495227901568619</v>
      </c>
      <c r="CT114" s="2">
        <f>Table83[[#This Row],[Waist]]-Table7[[#This Row],[Waist v Night Dia]]</f>
        <v>-0.99522790156861873</v>
      </c>
      <c r="CU114" s="2">
        <f>Table7[[#This Row],[WaistND Res]]^2</f>
        <v>0.99047857606067624</v>
      </c>
      <c r="CV114">
        <f>Regression!$K$29+(Regression!$K$28*Table83[[#This Row],[Night Pulse]])</f>
        <v>44.493989328296848</v>
      </c>
      <c r="CW114" s="2">
        <f>Table83[[#This Row],[Waist]]-Table7[[#This Row],[Waist v Night Pulse]]</f>
        <v>-0.99398932829684838</v>
      </c>
      <c r="CX114" s="2">
        <f>Table7[[#This Row],[WaistNP Res]]^2</f>
        <v>0.98801478476801985</v>
      </c>
      <c r="CY114">
        <f>Regression!$L$29+(Regression!$L$28*Table83[[#This Row],[Sleep]])</f>
        <v>44.360693916866794</v>
      </c>
      <c r="CZ114" s="2">
        <f>Table83[[#This Row],[Waist]]-Table7[[#This Row],[Waist v  Sleep]]</f>
        <v>-0.86069391686679353</v>
      </c>
      <c r="DA114" s="2">
        <f>Table7[[#This Row],[WaistS Res]]^2</f>
        <v>0.74079401853150284</v>
      </c>
      <c r="DB114">
        <f>Regression!$M$29+(Regression!$M$28*Table83[[#This Row],[BMI]])</f>
        <v>44.001823571156145</v>
      </c>
      <c r="DC114" s="2">
        <f>Table83[[#This Row],[Waist]]-Table7[[#This Row],[Waist v BMI]]</f>
        <v>-0.50182357115614451</v>
      </c>
      <c r="DD114" s="2">
        <f>Table7[[#This Row],[WaistBMI Res]]^2</f>
        <v>0.25182689656790602</v>
      </c>
      <c r="DE114">
        <f>Regression!$N$29+(Regression!$N$28*Table83[[#This Row],[CBF]])</f>
        <v>43.540887941991329</v>
      </c>
      <c r="DF114" s="2">
        <f>Table83[[#This Row],[Waist]]-Table7[[#This Row],[Waist v  CBF]]</f>
        <v>-4.0887941991329058E-2</v>
      </c>
      <c r="DG114" s="2">
        <f>Table7[[#This Row],[WaistCBF Res]]^2</f>
        <v>1.6718238002862899E-3</v>
      </c>
      <c r="DH114">
        <f>Regression!$O$29+(Regression!$O$28*Table83[[#This Row],[Gym]])</f>
        <v>44.550847457627107</v>
      </c>
      <c r="DI114" s="2">
        <f>Table83[[#This Row],[Waist]]-Table7[[#This Row],[Waist v  Gym]]</f>
        <v>-1.050847457627107</v>
      </c>
      <c r="DJ114" s="2">
        <f>Table7[[#This Row],[WaistGYM Res]]^2</f>
        <v>1.1042803792013545</v>
      </c>
      <c r="DK114">
        <f>Regression!$P$29+(Regression!$P$28*Table83[[#This Row],[Cardio]])</f>
        <v>44.680851063829778</v>
      </c>
      <c r="DL114" s="2">
        <f>Table83[[#This Row],[Waist]]-Table7[[#This Row],[Waist v Cardio]]</f>
        <v>-1.1808510638297776</v>
      </c>
      <c r="DM114" s="2">
        <f>Table7[[#This Row],[WaistC Res]]^2</f>
        <v>1.3944092349479174</v>
      </c>
      <c r="DN114">
        <f>Regression!$Q$29+(Regression!$Q$28*Table83[[#This Row],[Calories]])</f>
        <v>44.503890139810288</v>
      </c>
      <c r="DO114" s="2">
        <f>Table83[[#This Row],[Waist]]-Table7[[#This Row],[Waist v Calories]]</f>
        <v>-1.003890139810288</v>
      </c>
      <c r="DP114" s="2">
        <f>Table7[[#This Row],[WaistCal Res]]^2</f>
        <v>1.0077954128083195</v>
      </c>
      <c r="DQ114">
        <f>Regression!$R$29+(Regression!$R$28*Table83[[#This Row],[Carbs]])</f>
        <v>44.445572437634162</v>
      </c>
      <c r="DR114" s="2">
        <f>Table83[[#This Row],[Waist]]-Table7[[#This Row],[Waist v Carbs]]</f>
        <v>-0.9455724376341621</v>
      </c>
      <c r="DS114" s="2">
        <f>Table7[[#This Row],[WaistCarb Res]]^2</f>
        <v>0.89410723481341137</v>
      </c>
      <c r="DT114">
        <f>Regression!$S$29+(Regression!$S$28*Table83[[#This Row],[Fat ]])</f>
        <v>44.540575018758794</v>
      </c>
      <c r="DU114" s="2">
        <f>Table83[[#This Row],[Waist]]-Table7[[#This Row],[Waist v Fat]]</f>
        <v>-1.0405750187587941</v>
      </c>
      <c r="DV114" s="2">
        <f>Table7[[#This Row],[WaistF Res]]^2</f>
        <v>1.0827963696648646</v>
      </c>
      <c r="DW114">
        <f>Regression!$T$29+(Regression!$T$28*Table83[[#This Row],[Protein]])</f>
        <v>44.56264438848914</v>
      </c>
      <c r="DX114" s="2">
        <f>Table83[[#This Row],[Waist]]-Table7[[#This Row],[Waist v Protein]]</f>
        <v>-1.0626443884891401</v>
      </c>
      <c r="DY114" s="2">
        <f>Table7[[#This Row],[WaistP Res]]^2</f>
        <v>1.1292130963874585</v>
      </c>
      <c r="DZ114">
        <f>Regression!$U$29+(Regression!$U$28*Table83[[#This Row],[Fiber]])</f>
        <v>44.498946629224484</v>
      </c>
      <c r="EA114" s="2">
        <f>Table83[[#This Row],[Waist]]-Table7[[#This Row],[Waist v Fiber]]</f>
        <v>-0.99894662922448418</v>
      </c>
      <c r="EB114" s="2">
        <f>Table7[[#This Row],[WaistFib Res]]^2</f>
        <v>0.99789436803895903</v>
      </c>
      <c r="EC114">
        <f>Regression!$V$29+(Regression!$V$28*Table83[[#This Row],[Sugar]])</f>
        <v>44.367352888728732</v>
      </c>
      <c r="ED114" s="2">
        <f>Table83[[#This Row],[Waist]]-Table7[[#This Row],[Waist v Sugar]]</f>
        <v>-0.86735288872873184</v>
      </c>
      <c r="EE114" s="2">
        <f>Table7[[#This Row],[WaistSugar Res]]^2</f>
        <v>0.75230103358607592</v>
      </c>
      <c r="EF114">
        <f>Regression!$W$29+(Regression!$W$28*Table83[[#This Row],[Servings]])</f>
        <v>44.420555769436838</v>
      </c>
      <c r="EG114" s="2">
        <f>Table83[[#This Row],[Waist]]-Table7[[#This Row],[Waist v Servings]]</f>
        <v>-0.92055576943683803</v>
      </c>
      <c r="EH114" s="2">
        <f>Table7[[#This Row],[WaistServ Res]]^2</f>
        <v>0.84742292464344893</v>
      </c>
      <c r="EI114">
        <f>Regression!$X$29+(Regression!$X$28*Table83[[#This Row],[Water]])</f>
        <v>44.358256536134995</v>
      </c>
      <c r="EJ114" s="2">
        <f>Table83[[#This Row],[Waist]]-Table7[[#This Row],[Waist v Water]]</f>
        <v>-0.85825653613499497</v>
      </c>
      <c r="EK114" s="2">
        <f>Table7[[#This Row],[WaistWat Res]]^2</f>
        <v>0.73660428181843995</v>
      </c>
      <c r="EL114">
        <f>Regression!$Y$29+(Regression!$Y$28*Table83[[#This Row],[Fat Calories]])</f>
        <v>44.544218907866906</v>
      </c>
      <c r="EM114" s="2">
        <f>Table83[[#This Row],[Waist]]-Table7[[#This Row],[Waist v Fat Calories]]</f>
        <v>-1.044218907866906</v>
      </c>
      <c r="EN114" s="2">
        <f>Table7[[#This Row],[WaistFatCal Res]]^2</f>
        <v>1.0903931275467538</v>
      </c>
    </row>
    <row r="115" spans="1:144" x14ac:dyDescent="0.25">
      <c r="A115">
        <f>Regression!$B$10+(Regression!$B$9*Table83[[#This Row],[Waist]])</f>
        <v>249.67228149328892</v>
      </c>
      <c r="B115" s="2">
        <f>Table83[[#This Row],[Weight]]-Table7[[#This Row],[Weight v Waist]]</f>
        <v>-1.6722814932889207</v>
      </c>
      <c r="C115" s="2">
        <f>Table7[[#This Row],[Weight v Waist Res]]^2</f>
        <v>2.7965253927966227</v>
      </c>
      <c r="D115">
        <f>Regression!$C$10+(Regression!$C$9*Table83[[#This Row],[Neck]])</f>
        <v>253.29286486487842</v>
      </c>
      <c r="E115" s="2">
        <f>Table83[[#This Row],[Weight]]-Table7[[#This Row],[Weight v Neck]]</f>
        <v>-5.2928648648784247</v>
      </c>
      <c r="F115" s="2">
        <f>Table7[[#This Row],[WN Res]]^2</f>
        <v>28.014418477864506</v>
      </c>
      <c r="G115">
        <f>Regression!$D$10+(Regression!$D$9*Table83[[#This Row],[Morning Body Temp]])</f>
        <v>255.12996500330669</v>
      </c>
      <c r="H115" s="2">
        <f>Table83[[#This Row],[Weight]]-Table7[[#This Row],[Weight v Morning Temp]]</f>
        <v>-7.1299650033066939</v>
      </c>
      <c r="I115" s="2">
        <f>Table7[[#This Row],[WMT Res]]^2</f>
        <v>50.836400948378227</v>
      </c>
      <c r="J115">
        <f>Regression!$E$10+(Regression!$E$9*Table83[[#This Row],[Morning Systolic Pressure]])</f>
        <v>254.73886899784827</v>
      </c>
      <c r="K115" s="2">
        <f>Table83[[#This Row],[Weight]]-Table7[[#This Row],[Weight v Morning Sys]]</f>
        <v>-6.7388689978482716</v>
      </c>
      <c r="L115" s="2">
        <f>Table7[[#This Row],[WMS Res]]^2</f>
        <v>45.412355370160569</v>
      </c>
      <c r="M115">
        <f>Regression!$F$10+(Regression!$F$9*Table83[[#This Row],[Morning Diastolic Pressure]])</f>
        <v>254.79800715011203</v>
      </c>
      <c r="N115" s="2">
        <f>Table83[[#This Row],[Weight]]-Table7[[#This Row],[Weight v Morning Dia]]</f>
        <v>-6.7980071501120278</v>
      </c>
      <c r="O115" s="2">
        <f>Table7[[#This Row],[WMD Res]]^2</f>
        <v>46.212901212974252</v>
      </c>
      <c r="P115">
        <f>Regression!$G$10+(Regression!$G$9*Table83[[#This Row],[Morning Pulse]])</f>
        <v>255.11547289015564</v>
      </c>
      <c r="Q115" s="2">
        <f>Table83[[#This Row],[Weight]]-Table7[[#This Row],[Weight v Morning Pulse]]</f>
        <v>-7.1154728901556439</v>
      </c>
      <c r="R115" s="2">
        <f>Table7[[#This Row],[WMP Res]]^2</f>
        <v>50.629954450539913</v>
      </c>
      <c r="S115">
        <f>Regression!$H$10+(Regression!$H$9*Table83[[#This Row],[Night Body Temp]])</f>
        <v>254.33800382511666</v>
      </c>
      <c r="T115" s="2">
        <f>Table83[[#This Row],[Weight]]-Table7[[#This Row],[Weight v Night Temp]]</f>
        <v>-6.3380038251166582</v>
      </c>
      <c r="U115" s="2">
        <f>Table7[[#This Row],[WNT Res]]^2</f>
        <v>40.170292487193393</v>
      </c>
      <c r="V115">
        <f>Regression!$I$10+(Regression!$I$9*Table83[[#This Row],[Night Systolic Pressure]])</f>
        <v>255.34122622719568</v>
      </c>
      <c r="W115" s="2">
        <f>Table83[[#This Row],[Weight]]-Table7[[#This Row],[Weight v Night Sys]]</f>
        <v>-7.3412262271956763</v>
      </c>
      <c r="X115" s="2">
        <f>Table7[[#This Row],[WNS Res]]^2</f>
        <v>53.893602518865663</v>
      </c>
      <c r="Y115">
        <f>Regression!$J$10+(Regression!$J$9*Table83[[#This Row],[Night Diastolic Pressure]])</f>
        <v>255.1330822426622</v>
      </c>
      <c r="Z115" s="2">
        <f>Table83[[#This Row],[Weight]]-Table7[[#This Row],[Weight v Night Dia]]</f>
        <v>-7.1330822426621978</v>
      </c>
      <c r="AA115" s="2">
        <f>Table7[[#This Row],[WND Res]]^2</f>
        <v>50.880862280582768</v>
      </c>
      <c r="AB115">
        <f>Regression!$K$10+(Regression!$K$9*Table83[[#This Row],[Night Pulse]])</f>
        <v>254.55731189648014</v>
      </c>
      <c r="AC115" s="2">
        <f>Table83[[#This Row],[Weight]]-Table7[[#This Row],[Weight v Night Pulse]]</f>
        <v>-6.5573118964801438</v>
      </c>
      <c r="AD115" s="2">
        <f>Table7[[#This Row],[WNP Res ]]^2</f>
        <v>42.998339307720023</v>
      </c>
      <c r="AE115">
        <f>Regression!$L$10+(Regression!$L$9*Table83[[#This Row],[Sleep]])</f>
        <v>256.00458373165935</v>
      </c>
      <c r="AF115" s="2">
        <f>Table83[[#This Row],[Weight]]-Table7[[#This Row],[Weight v Sleep]]</f>
        <v>-8.004583731659352</v>
      </c>
      <c r="AG115" s="2">
        <f>Table7[[#This Row],[WS Res]]^2</f>
        <v>64.073360717145562</v>
      </c>
      <c r="AH115">
        <f>Regression!$M$10+(Regression!$M$9*Table83[[#This Row],[BMI]])</f>
        <v>248.00000000001594</v>
      </c>
      <c r="AI115" s="2">
        <f>Table83[[#This Row],[Weight]]-Table7[[#This Row],[Weight v BMI]]</f>
        <v>-1.5944578990456648E-11</v>
      </c>
      <c r="AJ115" s="2">
        <f>Table7[[#This Row],[WBMI Res]]^2</f>
        <v>2.5422959918291155E-22</v>
      </c>
      <c r="AK115">
        <f>Regression!$N$10+(Regression!$N$9*Table83[[#This Row],[CBF]])</f>
        <v>250.04675133427031</v>
      </c>
      <c r="AL115" s="2">
        <f>Table83[[#This Row],[Weight]]-Table7[[#This Row],[Weight v CBF]]</f>
        <v>-2.0467513342703114</v>
      </c>
      <c r="AM115" s="2">
        <f>Table7[[#This Row],[WCBF Res]]^2</f>
        <v>4.1891910243373003</v>
      </c>
      <c r="AN115">
        <f>Regression!$O$10+(Regression!$O$9*Table83[[#This Row],[Gym]])</f>
        <v>255.46779661016953</v>
      </c>
      <c r="AO115" s="2">
        <f>Table83[[#This Row],[Weight]]-Table7[[#This Row],[Weight v Gym]]</f>
        <v>-7.467796610169529</v>
      </c>
      <c r="AP115" s="2">
        <f>Table7[[#This Row],[WG Res]]^2</f>
        <v>55.767986210859512</v>
      </c>
      <c r="AQ115">
        <f>Regression!$P$10+(Regression!$P$9*Table83[[#This Row],[Cardio]])</f>
        <v>254.19242424242461</v>
      </c>
      <c r="AR115" s="2">
        <f>Table83[[#This Row],[Weight]]-Table7[[#This Row],[Weight v Cardio]]</f>
        <v>-6.1924242424246074</v>
      </c>
      <c r="AS115" s="2">
        <f>Table7[[#This Row],[WC Res]]^2</f>
        <v>38.346117998167976</v>
      </c>
      <c r="AT115">
        <f>Regression!$Q$10+(Regression!$Q$9*Table83[[#This Row],[Calories]])</f>
        <v>255.63756050264834</v>
      </c>
      <c r="AU115" s="2">
        <f>Table83[[#This Row],[Weight]]-Table7[[#This Row],[Weight v Calories]]</f>
        <v>-7.6375605026483413</v>
      </c>
      <c r="AV115" s="2">
        <f>Table7[[#This Row],[WCAL Res]]^2</f>
        <v>58.332330431613983</v>
      </c>
      <c r="AW115">
        <f>Regression!$R$10+(Regression!$R$9*Table83[[#This Row],[Carbs]])</f>
        <v>255.52274633071076</v>
      </c>
      <c r="AX115" s="2">
        <f>Table83[[#This Row],[Weight]]-Table7[[#This Row],[Weight v Carbs]]</f>
        <v>-7.5227463307107598</v>
      </c>
      <c r="AY115" s="2">
        <f>Table7[[#This Row],[Wcarb Res]]^2</f>
        <v>56.591712356222203</v>
      </c>
      <c r="AZ115">
        <f>Regression!$S$10+(Regression!$S$9*Table83[[#This Row],[Fat ]])</f>
        <v>255.52590396225423</v>
      </c>
      <c r="BA115" s="2">
        <f>Table83[[#This Row],[Weight]]-Table7[[#This Row],[Weight v Fat]]</f>
        <v>-7.5259039622542332</v>
      </c>
      <c r="BB115" s="2">
        <f>Table7[[#This Row],[WF Res]]^2</f>
        <v>56.639230449073963</v>
      </c>
      <c r="BC115">
        <f>Regression!$T$10+(Regression!$T$9*Table83[[#This Row],[Protein]])</f>
        <v>255.64719365971402</v>
      </c>
      <c r="BD115" s="2">
        <f>Table83[[#This Row],[Weight]]-Table7[[#This Row],[Weight v Protein]]</f>
        <v>-7.64719365971402</v>
      </c>
      <c r="BE115" s="2">
        <f>Table7[[#This Row],[WP Res]]^2</f>
        <v>58.47957086917031</v>
      </c>
      <c r="BF115">
        <f>Regression!$U$10+(Regression!$U$9*Table83[[#This Row],[Fiber]])</f>
        <v>255.23146026233852</v>
      </c>
      <c r="BG115" s="2">
        <f>Table83[[#This Row],[Weight]]-Table7[[#This Row],[Weight v Fiber]]</f>
        <v>-7.2314602623385156</v>
      </c>
      <c r="BH115" s="2">
        <f>Table7[[#This Row],[Wfib Res]]^2</f>
        <v>52.29401752578103</v>
      </c>
      <c r="BI115">
        <f>Regression!$V$10+(Regression!$V$9*Table83[[#This Row],[Sugar]])</f>
        <v>255.48094724426034</v>
      </c>
      <c r="BJ115" s="2">
        <f>Table83[[#This Row],[Weight]]-Table7[[#This Row],[Weight v Sugar]]</f>
        <v>-7.4809472442603351</v>
      </c>
      <c r="BK115" s="2">
        <f>Table7[[#This Row],[Wsugar Res]]^2</f>
        <v>55.964571671406304</v>
      </c>
      <c r="BL115">
        <f>Regression!$W$10+(Regression!$W$9*Table83[[#This Row],[Servings]])</f>
        <v>254.76890889988377</v>
      </c>
      <c r="BM115" s="2">
        <f>Table83[[#This Row],[Weight]]-Table7[[#This Row],[Weight v Servings]]</f>
        <v>-6.768908899883769</v>
      </c>
      <c r="BN115" s="2">
        <f>Table7[[#This Row],[Wserv Res]]^2</f>
        <v>45.818127694925693</v>
      </c>
      <c r="BO115">
        <f>Regression!$X$10+(Regression!$X$9*Table83[[#This Row],[Water]])</f>
        <v>255.27752992726238</v>
      </c>
      <c r="BP115" s="2">
        <f>Table83[[#This Row],[Weight]]-Table7[[#This Row],[Weight v Water]]</f>
        <v>-7.2775299272623784</v>
      </c>
      <c r="BQ115" s="2">
        <f>Table7[[#This Row],[Wwater Res]]^2</f>
        <v>52.96244184219956</v>
      </c>
      <c r="BR115">
        <f>Regression!$Y$10+(Regression!$Y$9*Table83[[#This Row],[Fat Calories]])</f>
        <v>255.5474407385484</v>
      </c>
      <c r="BS115" s="2">
        <f>Table83[[#This Row],[Weight]]-Table7[[#This Row],[Weight v Fat Calories]]</f>
        <v>-7.5474407385484028</v>
      </c>
      <c r="BT115" s="2">
        <f>Table7[[#This Row],[WFC Res]]^2</f>
        <v>56.963861701900058</v>
      </c>
      <c r="BU115">
        <f>Regression!$B$29+(Regression!$B$28*Table83[[#This Row],[Weight]])</f>
        <v>43.484026030988773</v>
      </c>
      <c r="BV115" s="2">
        <f>Table83[[#This Row],[Waist]]-Table7[[#This Row],[Waist v Weight]]</f>
        <v>1.5973969011227496E-2</v>
      </c>
      <c r="BW115" s="2">
        <f>Table7[[#This Row],[WaistW Res]]^2</f>
        <v>2.5516768597165631E-4</v>
      </c>
      <c r="BX115">
        <f>Regression!$C$29+(Regression!$C$28*Table83[[#This Row],[Neck]])</f>
        <v>44.175585585585594</v>
      </c>
      <c r="BY115" s="2">
        <f>Table83[[#This Row],[Waist]]-Table7[[#This Row],[Waist v Neck]]</f>
        <v>-0.67558558558559412</v>
      </c>
      <c r="BZ115" s="2">
        <f>Table7[[#This Row],[WaistN Res]]^2</f>
        <v>0.45641588345103012</v>
      </c>
      <c r="CA115">
        <f>Regression!$D$29+(Regression!$D$28*Table83[[#This Row],[Morning Body Temp]])</f>
        <v>44.457597930757203</v>
      </c>
      <c r="CB115" s="2">
        <f>Table83[[#This Row],[Waist]]-Table7[[#This Row],[Waist v Morning Temp]]</f>
        <v>-0.95759793075720268</v>
      </c>
      <c r="CC115" s="2">
        <f>Table7[[#This Row],[WaistMT Res]]^2</f>
        <v>0.91699379699047634</v>
      </c>
      <c r="CD115">
        <f>Regression!$E$29+(Regression!$E$28*Table83[[#This Row],[Morning Systolic Pressure]])</f>
        <v>44.365161485454784</v>
      </c>
      <c r="CE115" s="2">
        <f>Table83[[#This Row],[Waist]]-Table7[[#This Row],[Waist v Morning Sys]]</f>
        <v>-0.86516148545478444</v>
      </c>
      <c r="CF115" s="2">
        <f>Table7[[#This Row],[WaistMS Res]]^2</f>
        <v>0.74850439591432916</v>
      </c>
      <c r="CG115">
        <f>Regression!$F$29+(Regression!$F$28*Table83[[#This Row],[Morning Diastolic Pressure]])</f>
        <v>44.435909806137701</v>
      </c>
      <c r="CH115" s="2">
        <f>Table83[[#This Row],[Waist]]-Table7[[#This Row],[Waist v Morning Dia]]</f>
        <v>-0.93590980613770114</v>
      </c>
      <c r="CI115" s="2">
        <f>Table7[[#This Row],[WaistMD Res]]^2</f>
        <v>0.87592716522470937</v>
      </c>
      <c r="CJ115">
        <f>Regression!$G$29+(Regression!$G$28*Table83[[#This Row],[Morning Pulse]])</f>
        <v>44.453736697506194</v>
      </c>
      <c r="CK115" s="2">
        <f>Table83[[#This Row],[Waist]]-Table7[[#This Row],[Waist v Morning Pulse]]</f>
        <v>-0.95373669750619428</v>
      </c>
      <c r="CL115" s="2">
        <f>Table7[[#This Row],[WaistMP Res]]^2</f>
        <v>0.90961368817002197</v>
      </c>
      <c r="CM115">
        <f>Regression!$H$29+(Regression!$H$28*Table83[[#This Row],[Night Body Temp]])</f>
        <v>44.392275488024978</v>
      </c>
      <c r="CN115" s="2">
        <f>Table83[[#This Row],[Waist]]-Table7[[#This Row],[Waist v Night Temp]]</f>
        <v>-0.89227548802497836</v>
      </c>
      <c r="CO115" s="2">
        <f>Table7[[#This Row],[WaistNT Res]]^2</f>
        <v>0.79615554653021325</v>
      </c>
      <c r="CP115">
        <f>Regression!$I$29+(Regression!$I$28*Table83[[#This Row],[Night Systolic Pressure]])</f>
        <v>44.48557954395644</v>
      </c>
      <c r="CQ115" s="2">
        <f>Table83[[#This Row],[Waist]]-Table7[[#This Row],[Waist v  Night Sys]]</f>
        <v>-0.98557954395644032</v>
      </c>
      <c r="CR115" s="2">
        <f>Table7[[#This Row],[WaistNS Res]]^2</f>
        <v>0.97136703746538489</v>
      </c>
      <c r="CS115">
        <f>Regression!$J$29+(Regression!$J$28*Table83[[#This Row],[Night Diastolic Pressure]])</f>
        <v>44.461092011153731</v>
      </c>
      <c r="CT115" s="2">
        <f>Table83[[#This Row],[Waist]]-Table7[[#This Row],[Waist v Night Dia]]</f>
        <v>-0.96109201115373111</v>
      </c>
      <c r="CU115" s="2">
        <f>Table7[[#This Row],[WaistND Res]]^2</f>
        <v>0.92369785390352355</v>
      </c>
      <c r="CV115">
        <f>Regression!$K$29+(Regression!$K$28*Table83[[#This Row],[Night Pulse]])</f>
        <v>44.505416313540707</v>
      </c>
      <c r="CW115" s="2">
        <f>Table83[[#This Row],[Waist]]-Table7[[#This Row],[Waist v Night Pulse]]</f>
        <v>-1.0054163135407066</v>
      </c>
      <c r="CX115" s="2">
        <f>Table7[[#This Row],[WaistNP Res]]^2</f>
        <v>1.0108619635337843</v>
      </c>
      <c r="CY115">
        <f>Regression!$L$29+(Regression!$L$28*Table83[[#This Row],[Sleep]])</f>
        <v>44.589164014846155</v>
      </c>
      <c r="CZ115" s="2">
        <f>Table83[[#This Row],[Waist]]-Table7[[#This Row],[Waist v  Sleep]]</f>
        <v>-1.0891640148461548</v>
      </c>
      <c r="DA115" s="2">
        <f>Table7[[#This Row],[WaistS Res]]^2</f>
        <v>1.1862782512357948</v>
      </c>
      <c r="DB115">
        <f>Regression!$M$29+(Regression!$M$28*Table83[[#This Row],[BMI]])</f>
        <v>43.484026030991856</v>
      </c>
      <c r="DC115" s="2">
        <f>Table83[[#This Row],[Waist]]-Table7[[#This Row],[Waist v BMI]]</f>
        <v>1.597396900814374E-2</v>
      </c>
      <c r="DD115" s="2">
        <f>Table7[[#This Row],[WaistBMI Res]]^2</f>
        <v>2.5516768587313671E-4</v>
      </c>
      <c r="DE115">
        <f>Regression!$N$29+(Regression!$N$28*Table83[[#This Row],[CBF]])</f>
        <v>43.540887941991329</v>
      </c>
      <c r="DF115" s="2">
        <f>Table83[[#This Row],[Waist]]-Table7[[#This Row],[Waist v  CBF]]</f>
        <v>-4.0887941991329058E-2</v>
      </c>
      <c r="DG115" s="2">
        <f>Table7[[#This Row],[WaistCBF Res]]^2</f>
        <v>1.6718238002862899E-3</v>
      </c>
      <c r="DH115">
        <f>Regression!$O$29+(Regression!$O$28*Table83[[#This Row],[Gym]])</f>
        <v>44.550847457627107</v>
      </c>
      <c r="DI115" s="2">
        <f>Table83[[#This Row],[Waist]]-Table7[[#This Row],[Waist v  Gym]]</f>
        <v>-1.050847457627107</v>
      </c>
      <c r="DJ115" s="2">
        <f>Table7[[#This Row],[WaistGYM Res]]^2</f>
        <v>1.1042803792013545</v>
      </c>
      <c r="DK115">
        <f>Regression!$P$29+(Regression!$P$28*Table83[[#This Row],[Cardio]])</f>
        <v>44.291666666666664</v>
      </c>
      <c r="DL115" s="2">
        <f>Table83[[#This Row],[Waist]]-Table7[[#This Row],[Waist v Cardio]]</f>
        <v>-0.7916666666666643</v>
      </c>
      <c r="DM115" s="2">
        <f>Table7[[#This Row],[WaistC Res]]^2</f>
        <v>0.62673611111110739</v>
      </c>
      <c r="DN115">
        <f>Regression!$Q$29+(Regression!$Q$28*Table83[[#This Row],[Calories]])</f>
        <v>44.570937636241631</v>
      </c>
      <c r="DO115" s="2">
        <f>Table83[[#This Row],[Waist]]-Table7[[#This Row],[Waist v Calories]]</f>
        <v>-1.0709376362416307</v>
      </c>
      <c r="DP115" s="2">
        <f>Table7[[#This Row],[WaistCal Res]]^2</f>
        <v>1.1469074207188115</v>
      </c>
      <c r="DQ115">
        <f>Regression!$R$29+(Regression!$R$28*Table83[[#This Row],[Carbs]])</f>
        <v>44.538420900003828</v>
      </c>
      <c r="DR115" s="2">
        <f>Table83[[#This Row],[Waist]]-Table7[[#This Row],[Waist v Carbs]]</f>
        <v>-1.0384209000038283</v>
      </c>
      <c r="DS115" s="2">
        <f>Table7[[#This Row],[WaistCarb Res]]^2</f>
        <v>1.0783179655647606</v>
      </c>
      <c r="DT115">
        <f>Regression!$S$29+(Regression!$S$28*Table83[[#This Row],[Fat ]])</f>
        <v>44.57913094281615</v>
      </c>
      <c r="DU115" s="2">
        <f>Table83[[#This Row],[Waist]]-Table7[[#This Row],[Waist v Fat]]</f>
        <v>-1.0791309428161497</v>
      </c>
      <c r="DV115" s="2">
        <f>Table7[[#This Row],[WaistF Res]]^2</f>
        <v>1.1645235917432721</v>
      </c>
      <c r="DW115">
        <f>Regression!$T$29+(Regression!$T$28*Table83[[#This Row],[Protein]])</f>
        <v>44.550942932853765</v>
      </c>
      <c r="DX115" s="2">
        <f>Table83[[#This Row],[Waist]]-Table7[[#This Row],[Waist v Protein]]</f>
        <v>-1.0509429328537649</v>
      </c>
      <c r="DY115" s="2">
        <f>Table7[[#This Row],[WaistP Res]]^2</f>
        <v>1.1044810481152731</v>
      </c>
      <c r="DZ115">
        <f>Regression!$U$29+(Regression!$U$28*Table83[[#This Row],[Fiber]])</f>
        <v>44.498460100841825</v>
      </c>
      <c r="EA115" s="2">
        <f>Table83[[#This Row],[Waist]]-Table7[[#This Row],[Waist v Fiber]]</f>
        <v>-0.99846010084182524</v>
      </c>
      <c r="EB115" s="2">
        <f>Table7[[#This Row],[WaistFib Res]]^2</f>
        <v>0.99692257297306786</v>
      </c>
      <c r="EC115">
        <f>Regression!$V$29+(Regression!$V$28*Table83[[#This Row],[Sugar]])</f>
        <v>44.519270215399168</v>
      </c>
      <c r="ED115" s="2">
        <f>Table83[[#This Row],[Waist]]-Table7[[#This Row],[Waist v Sugar]]</f>
        <v>-1.0192702153991675</v>
      </c>
      <c r="EE115" s="2">
        <f>Table7[[#This Row],[WaistSugar Res]]^2</f>
        <v>1.0389117719998653</v>
      </c>
      <c r="EF115">
        <f>Regression!$W$29+(Regression!$W$28*Table83[[#This Row],[Servings]])</f>
        <v>44.40072533553198</v>
      </c>
      <c r="EG115" s="2">
        <f>Table83[[#This Row],[Waist]]-Table7[[#This Row],[Waist v Servings]]</f>
        <v>-0.90072533553198042</v>
      </c>
      <c r="EH115" s="2">
        <f>Table7[[#This Row],[WaistServ Res]]^2</f>
        <v>0.81130613006919872</v>
      </c>
      <c r="EI115">
        <f>Regression!$X$29+(Regression!$X$28*Table83[[#This Row],[Water]])</f>
        <v>44.665617861897069</v>
      </c>
      <c r="EJ115" s="2">
        <f>Table83[[#This Row],[Waist]]-Table7[[#This Row],[Waist v Water]]</f>
        <v>-1.1656178618970685</v>
      </c>
      <c r="EK115" s="2">
        <f>Table7[[#This Row],[WaistWat Res]]^2</f>
        <v>1.3586649999734934</v>
      </c>
      <c r="EL115">
        <f>Regression!$Y$29+(Regression!$Y$28*Table83[[#This Row],[Fat Calories]])</f>
        <v>44.585044034879608</v>
      </c>
      <c r="EM115" s="2">
        <f>Table83[[#This Row],[Waist]]-Table7[[#This Row],[Waist v Fat Calories]]</f>
        <v>-1.0850440348796084</v>
      </c>
      <c r="EN115" s="2">
        <f>Table7[[#This Row],[WaistFatCal Res]]^2</f>
        <v>1.177320557627821</v>
      </c>
    </row>
    <row r="116" spans="1:144" x14ac:dyDescent="0.25">
      <c r="A116">
        <f>Regression!$B$10+(Regression!$B$9*Table83[[#This Row],[Waist]])</f>
        <v>249.67228149328892</v>
      </c>
      <c r="B116" s="2">
        <f>Table83[[#This Row],[Weight]]-Table7[[#This Row],[Weight v Waist]]</f>
        <v>-1.272281493288915</v>
      </c>
      <c r="C116" s="2">
        <f>Table7[[#This Row],[Weight v Waist Res]]^2</f>
        <v>1.6187001981654716</v>
      </c>
      <c r="D116">
        <f>Regression!$C$10+(Regression!$C$9*Table83[[#This Row],[Neck]])</f>
        <v>253.29286486487842</v>
      </c>
      <c r="E116" s="2">
        <f>Table83[[#This Row],[Weight]]-Table7[[#This Row],[Weight v Neck]]</f>
        <v>-4.892864864878419</v>
      </c>
      <c r="F116" s="2">
        <f>Table7[[#This Row],[WN Res]]^2</f>
        <v>23.940126585961711</v>
      </c>
      <c r="G116">
        <f>Regression!$D$10+(Regression!$D$9*Table83[[#This Row],[Morning Body Temp]])</f>
        <v>254.98916789486196</v>
      </c>
      <c r="H116" s="2">
        <f>Table83[[#This Row],[Weight]]-Table7[[#This Row],[Weight v Morning Temp]]</f>
        <v>-6.5891678948619585</v>
      </c>
      <c r="I116" s="2">
        <f>Table7[[#This Row],[WMT Res]]^2</f>
        <v>43.417133546679572</v>
      </c>
      <c r="J116">
        <f>Regression!$E$10+(Regression!$E$9*Table83[[#This Row],[Morning Systolic Pressure]])</f>
        <v>255.05440942489196</v>
      </c>
      <c r="K116" s="2">
        <f>Table83[[#This Row],[Weight]]-Table7[[#This Row],[Weight v Morning Sys]]</f>
        <v>-6.6544094248919521</v>
      </c>
      <c r="L116" s="2">
        <f>Table7[[#This Row],[WMS Res]]^2</f>
        <v>44.281164794090841</v>
      </c>
      <c r="M116">
        <f>Regression!$F$10+(Regression!$F$9*Table83[[#This Row],[Morning Diastolic Pressure]])</f>
        <v>254.79800715011203</v>
      </c>
      <c r="N116" s="2">
        <f>Table83[[#This Row],[Weight]]-Table7[[#This Row],[Weight v Morning Dia]]</f>
        <v>-6.3980071501120221</v>
      </c>
      <c r="O116" s="2">
        <f>Table7[[#This Row],[WMD Res]]^2</f>
        <v>40.934495492884558</v>
      </c>
      <c r="P116">
        <f>Regression!$G$10+(Regression!$G$9*Table83[[#This Row],[Morning Pulse]])</f>
        <v>255.1246118689416</v>
      </c>
      <c r="Q116" s="2">
        <f>Table83[[#This Row],[Weight]]-Table7[[#This Row],[Weight v Morning Pulse]]</f>
        <v>-6.7246118689415937</v>
      </c>
      <c r="R116" s="2">
        <f>Table7[[#This Row],[WMP Res]]^2</f>
        <v>45.220404787910155</v>
      </c>
      <c r="S116">
        <f>Regression!$H$10+(Regression!$H$9*Table83[[#This Row],[Night Body Temp]])</f>
        <v>253.9272175431899</v>
      </c>
      <c r="T116" s="2">
        <f>Table83[[#This Row],[Weight]]-Table7[[#This Row],[Weight v Night Temp]]</f>
        <v>-5.5272175431898916</v>
      </c>
      <c r="U116" s="2">
        <f>Table7[[#This Row],[WNT Res]]^2</f>
        <v>30.5501337697461</v>
      </c>
      <c r="V116">
        <f>Regression!$I$10+(Regression!$I$9*Table83[[#This Row],[Night Systolic Pressure]])</f>
        <v>254.00684338482557</v>
      </c>
      <c r="W116" s="2">
        <f>Table83[[#This Row],[Weight]]-Table7[[#This Row],[Weight v Night Sys]]</f>
        <v>-5.6068433848255665</v>
      </c>
      <c r="X116" s="2">
        <f>Table7[[#This Row],[WNS Res]]^2</f>
        <v>31.436692741962215</v>
      </c>
      <c r="Y116">
        <f>Regression!$J$10+(Regression!$J$9*Table83[[#This Row],[Night Diastolic Pressure]])</f>
        <v>255.17384811107831</v>
      </c>
      <c r="Z116" s="2">
        <f>Table83[[#This Row],[Weight]]-Table7[[#This Row],[Weight v Night Dia]]</f>
        <v>-6.7738481110783084</v>
      </c>
      <c r="AA116" s="2">
        <f>Table7[[#This Row],[WND Res]]^2</f>
        <v>45.885018231959165</v>
      </c>
      <c r="AB116">
        <f>Regression!$K$10+(Regression!$K$9*Table83[[#This Row],[Night Pulse]])</f>
        <v>254.64945189019033</v>
      </c>
      <c r="AC116" s="2">
        <f>Table83[[#This Row],[Weight]]-Table7[[#This Row],[Weight v Night Pulse]]</f>
        <v>-6.2494518901903291</v>
      </c>
      <c r="AD116" s="2">
        <f>Table7[[#This Row],[WNP Res ]]^2</f>
        <v>39.055648927803475</v>
      </c>
      <c r="AE116">
        <f>Regression!$L$10+(Regression!$L$9*Table83[[#This Row],[Sleep]])</f>
        <v>255.05816118153788</v>
      </c>
      <c r="AF116" s="2">
        <f>Table83[[#This Row],[Weight]]-Table7[[#This Row],[Weight v Sleep]]</f>
        <v>-6.6581611815378778</v>
      </c>
      <c r="AG116" s="2">
        <f>Table7[[#This Row],[WS Res]]^2</f>
        <v>44.331110319337867</v>
      </c>
      <c r="AH116">
        <f>Regression!$M$10+(Regression!$M$9*Table83[[#This Row],[BMI]])</f>
        <v>248.40000000001501</v>
      </c>
      <c r="AI116" s="2">
        <f>Table83[[#This Row],[Weight]]-Table7[[#This Row],[Weight v BMI]]</f>
        <v>-1.5006662579253316E-11</v>
      </c>
      <c r="AJ116" s="2">
        <f>Table7[[#This Row],[WBMI Res]]^2</f>
        <v>2.2519992176756178E-22</v>
      </c>
      <c r="AK116">
        <f>Regression!$N$10+(Regression!$N$9*Table83[[#This Row],[CBF]])</f>
        <v>250.04675133427031</v>
      </c>
      <c r="AL116" s="2">
        <f>Table83[[#This Row],[Weight]]-Table7[[#This Row],[Weight v CBF]]</f>
        <v>-1.6467513342703057</v>
      </c>
      <c r="AM116" s="2">
        <f>Table7[[#This Row],[WCBF Res]]^2</f>
        <v>2.7117899569210322</v>
      </c>
      <c r="AN116">
        <f>Regression!$O$10+(Regression!$O$9*Table83[[#This Row],[Gym]])</f>
        <v>255.46779661016953</v>
      </c>
      <c r="AO116" s="2">
        <f>Table83[[#This Row],[Weight]]-Table7[[#This Row],[Weight v Gym]]</f>
        <v>-7.0677966101695233</v>
      </c>
      <c r="AP116" s="2">
        <f>Table7[[#This Row],[WG Res]]^2</f>
        <v>49.953748922723804</v>
      </c>
      <c r="AQ116">
        <f>Regression!$P$10+(Regression!$P$9*Table83[[#This Row],[Cardio]])</f>
        <v>254.19242424242461</v>
      </c>
      <c r="AR116" s="2">
        <f>Table83[[#This Row],[Weight]]-Table7[[#This Row],[Weight v Cardio]]</f>
        <v>-5.7924242424246017</v>
      </c>
      <c r="AS116" s="2">
        <f>Table7[[#This Row],[WC Res]]^2</f>
        <v>33.552178604228224</v>
      </c>
      <c r="AT116">
        <f>Regression!$Q$10+(Regression!$Q$9*Table83[[#This Row],[Calories]])</f>
        <v>255.69389117304348</v>
      </c>
      <c r="AU116" s="2">
        <f>Table83[[#This Row],[Weight]]-Table7[[#This Row],[Weight v Calories]]</f>
        <v>-7.2938911730434768</v>
      </c>
      <c r="AV116" s="2">
        <f>Table7[[#This Row],[WCAL Res]]^2</f>
        <v>53.200848444201547</v>
      </c>
      <c r="AW116">
        <f>Regression!$R$10+(Regression!$R$9*Table83[[#This Row],[Carbs]])</f>
        <v>255.92681204633513</v>
      </c>
      <c r="AX116" s="2">
        <f>Table83[[#This Row],[Weight]]-Table7[[#This Row],[Weight v Carbs]]</f>
        <v>-7.5268120463351238</v>
      </c>
      <c r="AY116" s="2">
        <f>Table7[[#This Row],[Wcarb Res]]^2</f>
        <v>56.652899580855532</v>
      </c>
      <c r="AZ116">
        <f>Regression!$S$10+(Regression!$S$9*Table83[[#This Row],[Fat ]])</f>
        <v>255.35877152247627</v>
      </c>
      <c r="BA116" s="2">
        <f>Table83[[#This Row],[Weight]]-Table7[[#This Row],[Weight v Fat]]</f>
        <v>-6.958771522476269</v>
      </c>
      <c r="BB116" s="2">
        <f>Table7[[#This Row],[WF Res]]^2</f>
        <v>48.424501102026689</v>
      </c>
      <c r="BC116">
        <f>Regression!$T$10+(Regression!$T$9*Table83[[#This Row],[Protein]])</f>
        <v>255.14639294660375</v>
      </c>
      <c r="BD116" s="2">
        <f>Table83[[#This Row],[Weight]]-Table7[[#This Row],[Weight v Protein]]</f>
        <v>-6.7463929466037484</v>
      </c>
      <c r="BE116" s="2">
        <f>Table7[[#This Row],[WP Res]]^2</f>
        <v>45.513817789984806</v>
      </c>
      <c r="BF116">
        <f>Regression!$U$10+(Regression!$U$9*Table83[[#This Row],[Fiber]])</f>
        <v>255.07008978826337</v>
      </c>
      <c r="BG116" s="2">
        <f>Table83[[#This Row],[Weight]]-Table7[[#This Row],[Weight v Fiber]]</f>
        <v>-6.6700897882633683</v>
      </c>
      <c r="BH116" s="2">
        <f>Table7[[#This Row],[Wfib Res]]^2</f>
        <v>44.490097783495266</v>
      </c>
      <c r="BI116">
        <f>Regression!$V$10+(Regression!$V$9*Table83[[#This Row],[Sugar]])</f>
        <v>256.61871592913843</v>
      </c>
      <c r="BJ116" s="2">
        <f>Table83[[#This Row],[Weight]]-Table7[[#This Row],[Weight v Sugar]]</f>
        <v>-8.2187159291384262</v>
      </c>
      <c r="BK116" s="2">
        <f>Table7[[#This Row],[Wsugar Res]]^2</f>
        <v>67.54729152387371</v>
      </c>
      <c r="BL116">
        <f>Regression!$W$10+(Regression!$W$9*Table83[[#This Row],[Servings]])</f>
        <v>256.69888332224326</v>
      </c>
      <c r="BM116" s="2">
        <f>Table83[[#This Row],[Weight]]-Table7[[#This Row],[Weight v Servings]]</f>
        <v>-8.2988833222432561</v>
      </c>
      <c r="BN116" s="2">
        <f>Table7[[#This Row],[Wserv Res]]^2</f>
        <v>68.871464396207259</v>
      </c>
      <c r="BO116">
        <f>Regression!$X$10+(Regression!$X$9*Table83[[#This Row],[Water]])</f>
        <v>255.23471394386095</v>
      </c>
      <c r="BP116" s="2">
        <f>Table83[[#This Row],[Weight]]-Table7[[#This Row],[Weight v Water]]</f>
        <v>-6.8347139438609474</v>
      </c>
      <c r="BQ116" s="2">
        <f>Table7[[#This Row],[Wwater Res]]^2</f>
        <v>46.713314694407266</v>
      </c>
      <c r="BR116">
        <f>Regression!$Y$10+(Regression!$Y$9*Table83[[#This Row],[Fat Calories]])</f>
        <v>255.36956977734039</v>
      </c>
      <c r="BS116" s="2">
        <f>Table83[[#This Row],[Weight]]-Table7[[#This Row],[Weight v Fat Calories]]</f>
        <v>-6.9695697773403822</v>
      </c>
      <c r="BT116" s="2">
        <f>Table7[[#This Row],[WFC Res]]^2</f>
        <v>48.574902881216467</v>
      </c>
      <c r="BU116">
        <f>Regression!$B$29+(Regression!$B$28*Table83[[#This Row],[Weight]])</f>
        <v>43.538531035216764</v>
      </c>
      <c r="BV116" s="2">
        <f>Table83[[#This Row],[Waist]]-Table7[[#This Row],[Waist v Weight]]</f>
        <v>-3.8531035216763598E-2</v>
      </c>
      <c r="BW116" s="2">
        <f>Table7[[#This Row],[WaistW Res]]^2</f>
        <v>1.4846406748754766E-3</v>
      </c>
      <c r="BX116">
        <f>Regression!$C$29+(Regression!$C$28*Table83[[#This Row],[Neck]])</f>
        <v>44.175585585585594</v>
      </c>
      <c r="BY116" s="2">
        <f>Table83[[#This Row],[Waist]]-Table7[[#This Row],[Waist v Neck]]</f>
        <v>-0.67558558558559412</v>
      </c>
      <c r="BZ116" s="2">
        <f>Table7[[#This Row],[WaistN Res]]^2</f>
        <v>0.45641588345103012</v>
      </c>
      <c r="CA116">
        <f>Regression!$D$29+(Regression!$D$28*Table83[[#This Row],[Morning Body Temp]])</f>
        <v>44.419304304405451</v>
      </c>
      <c r="CB116" s="2">
        <f>Table83[[#This Row],[Waist]]-Table7[[#This Row],[Waist v Morning Temp]]</f>
        <v>-0.91930430440545052</v>
      </c>
      <c r="CC116" s="2">
        <f>Table7[[#This Row],[WaistMT Res]]^2</f>
        <v>0.84512040409838929</v>
      </c>
      <c r="CD116">
        <f>Regression!$E$29+(Regression!$E$28*Table83[[#This Row],[Morning Systolic Pressure]])</f>
        <v>44.439294322151774</v>
      </c>
      <c r="CE116" s="2">
        <f>Table83[[#This Row],[Waist]]-Table7[[#This Row],[Waist v Morning Sys]]</f>
        <v>-0.939294322151774</v>
      </c>
      <c r="CF116" s="2">
        <f>Table7[[#This Row],[WaistMS Res]]^2</f>
        <v>0.88227382362656059</v>
      </c>
      <c r="CG116">
        <f>Regression!$F$29+(Regression!$F$28*Table83[[#This Row],[Morning Diastolic Pressure]])</f>
        <v>44.435909806137701</v>
      </c>
      <c r="CH116" s="2">
        <f>Table83[[#This Row],[Waist]]-Table7[[#This Row],[Waist v Morning Dia]]</f>
        <v>-0.93590980613770114</v>
      </c>
      <c r="CI116" s="2">
        <f>Table7[[#This Row],[WaistMD Res]]^2</f>
        <v>0.87592716522470937</v>
      </c>
      <c r="CJ116">
        <f>Regression!$G$29+(Regression!$G$28*Table83[[#This Row],[Morning Pulse]])</f>
        <v>44.457934210374262</v>
      </c>
      <c r="CK116" s="2">
        <f>Table83[[#This Row],[Waist]]-Table7[[#This Row],[Waist v Morning Pulse]]</f>
        <v>-0.95793421037426185</v>
      </c>
      <c r="CL116" s="2">
        <f>Table7[[#This Row],[WaistMP Res]]^2</f>
        <v>0.91763795140536053</v>
      </c>
      <c r="CM116">
        <f>Regression!$H$29+(Regression!$H$28*Table83[[#This Row],[Night Body Temp]])</f>
        <v>44.359887792805431</v>
      </c>
      <c r="CN116" s="2">
        <f>Table83[[#This Row],[Waist]]-Table7[[#This Row],[Waist v Night Temp]]</f>
        <v>-0.85988779280543071</v>
      </c>
      <c r="CO116" s="2">
        <f>Table7[[#This Row],[WaistNT Res]]^2</f>
        <v>0.7394070162157953</v>
      </c>
      <c r="CP116">
        <f>Regression!$I$29+(Regression!$I$28*Table83[[#This Row],[Night Systolic Pressure]])</f>
        <v>44.296558057723466</v>
      </c>
      <c r="CQ116" s="2">
        <f>Table83[[#This Row],[Waist]]-Table7[[#This Row],[Waist v  Night Sys]]</f>
        <v>-0.79655805772346611</v>
      </c>
      <c r="CR116" s="2">
        <f>Table7[[#This Row],[WaistNS Res]]^2</f>
        <v>0.63450473932418072</v>
      </c>
      <c r="CS116">
        <f>Regression!$J$29+(Regression!$J$28*Table83[[#This Row],[Night Diastolic Pressure]])</f>
        <v>44.478159956361175</v>
      </c>
      <c r="CT116" s="2">
        <f>Table83[[#This Row],[Waist]]-Table7[[#This Row],[Waist v Night Dia]]</f>
        <v>-0.97815995636117492</v>
      </c>
      <c r="CU116" s="2">
        <f>Table7[[#This Row],[WaistND Res]]^2</f>
        <v>0.95679690022849562</v>
      </c>
      <c r="CV116">
        <f>Regression!$K$29+(Regression!$K$28*Table83[[#This Row],[Night Pulse]])</f>
        <v>44.496846074607809</v>
      </c>
      <c r="CW116" s="2">
        <f>Table83[[#This Row],[Waist]]-Table7[[#This Row],[Waist v Night Pulse]]</f>
        <v>-0.99684607460780938</v>
      </c>
      <c r="CX116" s="2">
        <f>Table7[[#This Row],[WaistNP Res]]^2</f>
        <v>0.99370209646099827</v>
      </c>
      <c r="CY116">
        <f>Regression!$L$29+(Regression!$L$28*Table83[[#This Row],[Sleep]])</f>
        <v>44.444867110859185</v>
      </c>
      <c r="CZ116" s="2">
        <f>Table83[[#This Row],[Waist]]-Table7[[#This Row],[Waist v  Sleep]]</f>
        <v>-0.94486711085918529</v>
      </c>
      <c r="DA116" s="2">
        <f>Table7[[#This Row],[WaistS Res]]^2</f>
        <v>0.89277385718338398</v>
      </c>
      <c r="DB116">
        <f>Regression!$M$29+(Regression!$M$28*Table83[[#This Row],[BMI]])</f>
        <v>43.53853103521967</v>
      </c>
      <c r="DC116" s="2">
        <f>Table83[[#This Row],[Waist]]-Table7[[#This Row],[Waist v BMI]]</f>
        <v>-3.8531035219669718E-2</v>
      </c>
      <c r="DD116" s="2">
        <f>Table7[[#This Row],[WaistBMI Res]]^2</f>
        <v>1.4846406750994281E-3</v>
      </c>
      <c r="DE116">
        <f>Regression!$N$29+(Regression!$N$28*Table83[[#This Row],[CBF]])</f>
        <v>43.540887941991329</v>
      </c>
      <c r="DF116" s="2">
        <f>Table83[[#This Row],[Waist]]-Table7[[#This Row],[Waist v  CBF]]</f>
        <v>-4.0887941991329058E-2</v>
      </c>
      <c r="DG116" s="2">
        <f>Table7[[#This Row],[WaistCBF Res]]^2</f>
        <v>1.6718238002862899E-3</v>
      </c>
      <c r="DH116">
        <f>Regression!$O$29+(Regression!$O$28*Table83[[#This Row],[Gym]])</f>
        <v>44.550847457627107</v>
      </c>
      <c r="DI116" s="2">
        <f>Table83[[#This Row],[Waist]]-Table7[[#This Row],[Waist v  Gym]]</f>
        <v>-1.050847457627107</v>
      </c>
      <c r="DJ116" s="2">
        <f>Table7[[#This Row],[WaistGYM Res]]^2</f>
        <v>1.1042803792013545</v>
      </c>
      <c r="DK116">
        <f>Regression!$P$29+(Regression!$P$28*Table83[[#This Row],[Cardio]])</f>
        <v>44.291666666666664</v>
      </c>
      <c r="DL116" s="2">
        <f>Table83[[#This Row],[Waist]]-Table7[[#This Row],[Waist v Cardio]]</f>
        <v>-0.7916666666666643</v>
      </c>
      <c r="DM116" s="2">
        <f>Table7[[#This Row],[WaistC Res]]^2</f>
        <v>0.62673611111110739</v>
      </c>
      <c r="DN116">
        <f>Regression!$Q$29+(Regression!$Q$28*Table83[[#This Row],[Calories]])</f>
        <v>44.583593888484138</v>
      </c>
      <c r="DO116" s="2">
        <f>Table83[[#This Row],[Waist]]-Table7[[#This Row],[Waist v Calories]]</f>
        <v>-1.0835938884841383</v>
      </c>
      <c r="DP116" s="2">
        <f>Table7[[#This Row],[WaistCal Res]]^2</f>
        <v>1.174175715160175</v>
      </c>
      <c r="DQ116">
        <f>Regression!$R$29+(Regression!$R$28*Table83[[#This Row],[Carbs]])</f>
        <v>44.622544907595483</v>
      </c>
      <c r="DR116" s="2">
        <f>Table83[[#This Row],[Waist]]-Table7[[#This Row],[Waist v Carbs]]</f>
        <v>-1.1225449075954828</v>
      </c>
      <c r="DS116" s="2">
        <f>Table7[[#This Row],[WaistCarb Res]]^2</f>
        <v>1.260107069568551</v>
      </c>
      <c r="DT116">
        <f>Regression!$S$29+(Regression!$S$28*Table83[[#This Row],[Fat ]])</f>
        <v>44.528042092951424</v>
      </c>
      <c r="DU116" s="2">
        <f>Table83[[#This Row],[Waist]]-Table7[[#This Row],[Waist v Fat]]</f>
        <v>-1.0280420929514236</v>
      </c>
      <c r="DV116" s="2">
        <f>Table7[[#This Row],[WaistF Res]]^2</f>
        <v>1.0568705448799434</v>
      </c>
      <c r="DW116">
        <f>Regression!$T$29+(Regression!$T$28*Table83[[#This Row],[Protein]])</f>
        <v>44.459277799385092</v>
      </c>
      <c r="DX116" s="2">
        <f>Table83[[#This Row],[Waist]]-Table7[[#This Row],[Waist v Protein]]</f>
        <v>-0.95927779938509161</v>
      </c>
      <c r="DY116" s="2">
        <f>Table7[[#This Row],[WaistP Res]]^2</f>
        <v>0.92021389639310402</v>
      </c>
      <c r="DZ116">
        <f>Regression!$U$29+(Regression!$U$28*Table83[[#This Row],[Fiber]])</f>
        <v>44.436193697396639</v>
      </c>
      <c r="EA116" s="2">
        <f>Table83[[#This Row],[Waist]]-Table7[[#This Row],[Waist v Fiber]]</f>
        <v>-0.93619369739663938</v>
      </c>
      <c r="EB116" s="2">
        <f>Table7[[#This Row],[WaistFib Res]]^2</f>
        <v>0.87645863904519039</v>
      </c>
      <c r="EC116">
        <f>Regression!$V$29+(Regression!$V$28*Table83[[#This Row],[Sugar]])</f>
        <v>44.72365767007274</v>
      </c>
      <c r="ED116" s="2">
        <f>Table83[[#This Row],[Waist]]-Table7[[#This Row],[Waist v Sugar]]</f>
        <v>-1.2236576700727397</v>
      </c>
      <c r="EE116" s="2">
        <f>Table7[[#This Row],[WaistSugar Res]]^2</f>
        <v>1.497338093527846</v>
      </c>
      <c r="EF116">
        <f>Regression!$W$29+(Regression!$W$28*Table83[[#This Row],[Servings]])</f>
        <v>44.695207279019115</v>
      </c>
      <c r="EG116" s="2">
        <f>Table83[[#This Row],[Waist]]-Table7[[#This Row],[Waist v Servings]]</f>
        <v>-1.1952072790191153</v>
      </c>
      <c r="EH116" s="2">
        <f>Table7[[#This Row],[WaistServ Res]]^2</f>
        <v>1.4285204398202773</v>
      </c>
      <c r="EI116">
        <f>Regression!$X$29+(Regression!$X$28*Table83[[#This Row],[Water]])</f>
        <v>44.609733984485779</v>
      </c>
      <c r="EJ116" s="2">
        <f>Table83[[#This Row],[Waist]]-Table7[[#This Row],[Waist v Water]]</f>
        <v>-1.1097339844857785</v>
      </c>
      <c r="EK116" s="2">
        <f>Table7[[#This Row],[WaistWat Res]]^2</f>
        <v>1.2315095163226821</v>
      </c>
      <c r="EL116">
        <f>Regression!$Y$29+(Regression!$Y$28*Table83[[#This Row],[Fat Calories]])</f>
        <v>44.530948358646882</v>
      </c>
      <c r="EM116" s="2">
        <f>Table83[[#This Row],[Waist]]-Table7[[#This Row],[Waist v Fat Calories]]</f>
        <v>-1.0309483586468815</v>
      </c>
      <c r="EN116" s="2">
        <f>Table7[[#This Row],[WaistFatCal Res]]^2</f>
        <v>1.0628545181966991</v>
      </c>
    </row>
    <row r="117" spans="1:144" x14ac:dyDescent="0.25">
      <c r="A117">
        <f>Regression!$B$10+(Regression!$B$9*Table83[[#This Row],[Waist]])</f>
        <v>249.67228149328892</v>
      </c>
      <c r="B117" s="2">
        <f>Table83[[#This Row],[Weight]]-Table7[[#This Row],[Weight v Waist]]</f>
        <v>-2.6722814932889207</v>
      </c>
      <c r="C117" s="2">
        <f>Table7[[#This Row],[Weight v Waist Res]]^2</f>
        <v>7.1410883793744642</v>
      </c>
      <c r="D117">
        <f>Regression!$C$10+(Regression!$C$9*Table83[[#This Row],[Neck]])</f>
        <v>253.29286486487842</v>
      </c>
      <c r="E117" s="2">
        <f>Table83[[#This Row],[Weight]]-Table7[[#This Row],[Weight v Neck]]</f>
        <v>-6.2928648648784247</v>
      </c>
      <c r="F117" s="2">
        <f>Table7[[#This Row],[WN Res]]^2</f>
        <v>39.600148207621352</v>
      </c>
      <c r="G117">
        <f>Regression!$D$10+(Regression!$D$9*Table83[[#This Row],[Morning Body Temp]])</f>
        <v>255.27076211175142</v>
      </c>
      <c r="H117" s="2">
        <f>Table83[[#This Row],[Weight]]-Table7[[#This Row],[Weight v Morning Temp]]</f>
        <v>-8.2707621117514236</v>
      </c>
      <c r="I117" s="2">
        <f>Table7[[#This Row],[WMT Res]]^2</f>
        <v>68.405505909182864</v>
      </c>
      <c r="J117">
        <f>Regression!$E$10+(Regression!$E$9*Table83[[#This Row],[Morning Systolic Pressure]])</f>
        <v>255.82072189056947</v>
      </c>
      <c r="K117" s="2">
        <f>Table83[[#This Row],[Weight]]-Table7[[#This Row],[Weight v Morning Sys]]</f>
        <v>-8.8207218905694731</v>
      </c>
      <c r="L117" s="2">
        <f>Table7[[#This Row],[WMS Res]]^2</f>
        <v>77.805134670771494</v>
      </c>
      <c r="M117">
        <f>Regression!$F$10+(Regression!$F$9*Table83[[#This Row],[Morning Diastolic Pressure]])</f>
        <v>254.18994165584274</v>
      </c>
      <c r="N117" s="2">
        <f>Table83[[#This Row],[Weight]]-Table7[[#This Row],[Weight v Morning Dia]]</f>
        <v>-7.1899416558427447</v>
      </c>
      <c r="O117" s="2">
        <f>Table7[[#This Row],[WMD Res]]^2</f>
        <v>51.695261014422712</v>
      </c>
      <c r="P117">
        <f>Regression!$G$10+(Regression!$G$9*Table83[[#This Row],[Morning Pulse]])</f>
        <v>255.13009525621317</v>
      </c>
      <c r="Q117" s="2">
        <f>Table83[[#This Row],[Weight]]-Table7[[#This Row],[Weight v Morning Pulse]]</f>
        <v>-8.130095256213167</v>
      </c>
      <c r="R117" s="2">
        <f>Table7[[#This Row],[WMP Res]]^2</f>
        <v>66.098448875099848</v>
      </c>
      <c r="S117">
        <f>Regression!$H$10+(Regression!$H$9*Table83[[#This Row],[Night Body Temp]])</f>
        <v>254.13261068415329</v>
      </c>
      <c r="T117" s="2">
        <f>Table83[[#This Row],[Weight]]-Table7[[#This Row],[Weight v Night Temp]]</f>
        <v>-7.1326106841532919</v>
      </c>
      <c r="U117" s="2">
        <f>Table7[[#This Row],[WNT Res]]^2</f>
        <v>50.874135171697688</v>
      </c>
      <c r="V117">
        <f>Regression!$I$10+(Regression!$I$9*Table83[[#This Row],[Night Systolic Pressure]])</f>
        <v>255.64916072928111</v>
      </c>
      <c r="W117" s="2">
        <f>Table83[[#This Row],[Weight]]-Table7[[#This Row],[Weight v Night Sys]]</f>
        <v>-8.6491607292811068</v>
      </c>
      <c r="X117" s="2">
        <f>Table7[[#This Row],[WNS Res]]^2</f>
        <v>74.807981320938481</v>
      </c>
      <c r="Y117">
        <f>Regression!$J$10+(Regression!$J$9*Table83[[#This Row],[Night Diastolic Pressure]])</f>
        <v>255.29614571632661</v>
      </c>
      <c r="Z117" s="2">
        <f>Table83[[#This Row],[Weight]]-Table7[[#This Row],[Weight v Night Dia]]</f>
        <v>-8.2961457163266061</v>
      </c>
      <c r="AA117" s="2">
        <f>Table7[[#This Row],[WND Res]]^2</f>
        <v>68.826033746524303</v>
      </c>
      <c r="AB117">
        <f>Regression!$K$10+(Regression!$K$9*Table83[[#This Row],[Night Pulse]])</f>
        <v>254.49588523400669</v>
      </c>
      <c r="AC117" s="2">
        <f>Table83[[#This Row],[Weight]]-Table7[[#This Row],[Weight v Night Pulse]]</f>
        <v>-7.4958852340066926</v>
      </c>
      <c r="AD117" s="2">
        <f>Table7[[#This Row],[WNP Res ]]^2</f>
        <v>56.188295441399568</v>
      </c>
      <c r="AE117">
        <f>Regression!$L$10+(Regression!$L$9*Table83[[#This Row],[Sleep]])</f>
        <v>255.45250391075515</v>
      </c>
      <c r="AF117" s="2">
        <f>Table83[[#This Row],[Weight]]-Table7[[#This Row],[Weight v Sleep]]</f>
        <v>-8.4525039107551549</v>
      </c>
      <c r="AG117" s="2">
        <f>Table7[[#This Row],[WS Res]]^2</f>
        <v>71.444822361331191</v>
      </c>
      <c r="AH117">
        <f>Regression!$M$10+(Regression!$M$9*Table83[[#This Row],[BMI]])</f>
        <v>247.00000000001819</v>
      </c>
      <c r="AI117" s="2">
        <f>Table83[[#This Row],[Weight]]-Table7[[#This Row],[Weight v BMI]]</f>
        <v>-1.8189894035458565E-11</v>
      </c>
      <c r="AJ117" s="2">
        <f>Table7[[#This Row],[WBMI Res]]^2</f>
        <v>3.3087224502121107E-22</v>
      </c>
      <c r="AK117">
        <f>Regression!$N$10+(Regression!$N$9*Table83[[#This Row],[CBF]])</f>
        <v>250.04675133427031</v>
      </c>
      <c r="AL117" s="2">
        <f>Table83[[#This Row],[Weight]]-Table7[[#This Row],[Weight v CBF]]</f>
        <v>-3.0467513342703114</v>
      </c>
      <c r="AM117" s="2">
        <f>Table7[[#This Row],[WCBF Res]]^2</f>
        <v>9.2826936928779222</v>
      </c>
      <c r="AN117">
        <f>Regression!$O$10+(Regression!$O$9*Table83[[#This Row],[Gym]])</f>
        <v>255.46779661016953</v>
      </c>
      <c r="AO117" s="2">
        <f>Table83[[#This Row],[Weight]]-Table7[[#This Row],[Weight v Gym]]</f>
        <v>-8.467796610169529</v>
      </c>
      <c r="AP117" s="2">
        <f>Table7[[#This Row],[WG Res]]^2</f>
        <v>71.703579431198563</v>
      </c>
      <c r="AQ117">
        <f>Regression!$P$10+(Regression!$P$9*Table83[[#This Row],[Cardio]])</f>
        <v>254.19242424242461</v>
      </c>
      <c r="AR117" s="2">
        <f>Table83[[#This Row],[Weight]]-Table7[[#This Row],[Weight v Cardio]]</f>
        <v>-7.1924242424246074</v>
      </c>
      <c r="AS117" s="2">
        <f>Table7[[#This Row],[WC Res]]^2</f>
        <v>51.730966483017191</v>
      </c>
      <c r="AT117">
        <f>Regression!$Q$10+(Regression!$Q$9*Table83[[#This Row],[Calories]])</f>
        <v>255.65017349383314</v>
      </c>
      <c r="AU117" s="2">
        <f>Table83[[#This Row],[Weight]]-Table7[[#This Row],[Weight v Calories]]</f>
        <v>-8.6501734938331367</v>
      </c>
      <c r="AV117" s="2">
        <f>Table7[[#This Row],[WCAL Res]]^2</f>
        <v>74.825501473413382</v>
      </c>
      <c r="AW117">
        <f>Regression!$R$10+(Regression!$R$9*Table83[[#This Row],[Carbs]])</f>
        <v>255.52375319385217</v>
      </c>
      <c r="AX117" s="2">
        <f>Table83[[#This Row],[Weight]]-Table7[[#This Row],[Weight v Carbs]]</f>
        <v>-8.5237531938521727</v>
      </c>
      <c r="AY117" s="2">
        <f>Table7[[#This Row],[Wcarb Res]]^2</f>
        <v>72.654368509705108</v>
      </c>
      <c r="AZ117">
        <f>Regression!$S$10+(Regression!$S$9*Table83[[#This Row],[Fat ]])</f>
        <v>255.53127691349886</v>
      </c>
      <c r="BA117" s="2">
        <f>Table83[[#This Row],[Weight]]-Table7[[#This Row],[Weight v Fat]]</f>
        <v>-8.5312769134988571</v>
      </c>
      <c r="BB117" s="2">
        <f>Table7[[#This Row],[WF Res]]^2</f>
        <v>72.78268577479858</v>
      </c>
      <c r="BC117">
        <f>Regression!$T$10+(Regression!$T$9*Table83[[#This Row],[Protein]])</f>
        <v>255.70195035589569</v>
      </c>
      <c r="BD117" s="2">
        <f>Table83[[#This Row],[Weight]]-Table7[[#This Row],[Weight v Protein]]</f>
        <v>-8.7019503558956899</v>
      </c>
      <c r="BE117" s="2">
        <f>Table7[[#This Row],[WP Res]]^2</f>
        <v>75.723939996473121</v>
      </c>
      <c r="BF117">
        <f>Regression!$U$10+(Regression!$U$9*Table83[[#This Row],[Fiber]])</f>
        <v>255.24025576472644</v>
      </c>
      <c r="BG117" s="2">
        <f>Table83[[#This Row],[Weight]]-Table7[[#This Row],[Weight v Fiber]]</f>
        <v>-8.2402557647264416</v>
      </c>
      <c r="BH117" s="2">
        <f>Table7[[#This Row],[Wfib Res]]^2</f>
        <v>67.901815068107354</v>
      </c>
      <c r="BI117">
        <f>Regression!$V$10+(Regression!$V$9*Table83[[#This Row],[Sugar]])</f>
        <v>255.46095952288829</v>
      </c>
      <c r="BJ117" s="2">
        <f>Table83[[#This Row],[Weight]]-Table7[[#This Row],[Weight v Sugar]]</f>
        <v>-8.4609595228882881</v>
      </c>
      <c r="BK117" s="2">
        <f>Table7[[#This Row],[Wsugar Res]]^2</f>
        <v>71.587836047954013</v>
      </c>
      <c r="BL117">
        <f>Regression!$W$10+(Regression!$W$9*Table83[[#This Row],[Servings]])</f>
        <v>254.83924268750789</v>
      </c>
      <c r="BM117" s="2">
        <f>Table83[[#This Row],[Weight]]-Table7[[#This Row],[Weight v Servings]]</f>
        <v>-7.8392426875078911</v>
      </c>
      <c r="BN117" s="2">
        <f>Table7[[#This Row],[Wserv Res]]^2</f>
        <v>61.45372591364594</v>
      </c>
      <c r="BO117">
        <f>Regression!$X$10+(Regression!$X$9*Table83[[#This Row],[Water]])</f>
        <v>255.19189796045953</v>
      </c>
      <c r="BP117" s="2">
        <f>Table83[[#This Row],[Weight]]-Table7[[#This Row],[Weight v Water]]</f>
        <v>-8.1918979604595279</v>
      </c>
      <c r="BQ117" s="2">
        <f>Table7[[#This Row],[Wwater Res]]^2</f>
        <v>67.107192194580975</v>
      </c>
      <c r="BR117">
        <f>Regression!$Y$10+(Regression!$Y$9*Table83[[#This Row],[Fat Calories]])</f>
        <v>255.55315891033882</v>
      </c>
      <c r="BS117" s="2">
        <f>Table83[[#This Row],[Weight]]-Table7[[#This Row],[Weight v Fat Calories]]</f>
        <v>-8.5531589103388228</v>
      </c>
      <c r="BT117" s="2">
        <f>Table7[[#This Row],[WFC Res]]^2</f>
        <v>73.156527345508394</v>
      </c>
      <c r="BU117">
        <f>Regression!$B$29+(Regression!$B$28*Table83[[#This Row],[Weight]])</f>
        <v>43.347763520418788</v>
      </c>
      <c r="BV117" s="2">
        <f>Table83[[#This Row],[Waist]]-Table7[[#This Row],[Waist v Weight]]</f>
        <v>0.15223647958121234</v>
      </c>
      <c r="BW117" s="2">
        <f>Table7[[#This Row],[WaistW Res]]^2</f>
        <v>2.317594571528088E-2</v>
      </c>
      <c r="BX117">
        <f>Regression!$C$29+(Regression!$C$28*Table83[[#This Row],[Neck]])</f>
        <v>44.175585585585594</v>
      </c>
      <c r="BY117" s="2">
        <f>Table83[[#This Row],[Waist]]-Table7[[#This Row],[Waist v Neck]]</f>
        <v>-0.67558558558559412</v>
      </c>
      <c r="BZ117" s="2">
        <f>Table7[[#This Row],[WaistN Res]]^2</f>
        <v>0.45641588345103012</v>
      </c>
      <c r="CA117">
        <f>Regression!$D$29+(Regression!$D$28*Table83[[#This Row],[Morning Body Temp]])</f>
        <v>44.495891557108962</v>
      </c>
      <c r="CB117" s="2">
        <f>Table83[[#This Row],[Waist]]-Table7[[#This Row],[Waist v Morning Temp]]</f>
        <v>-0.99589155710896193</v>
      </c>
      <c r="CC117" s="2">
        <f>Table7[[#This Row],[WaistMT Res]]^2</f>
        <v>0.99179999352091275</v>
      </c>
      <c r="CD117">
        <f>Regression!$E$29+(Regression!$E$28*Table83[[#This Row],[Morning Systolic Pressure]])</f>
        <v>44.619331211273035</v>
      </c>
      <c r="CE117" s="2">
        <f>Table83[[#This Row],[Waist]]-Table7[[#This Row],[Waist v Morning Sys]]</f>
        <v>-1.1193312112730354</v>
      </c>
      <c r="CF117" s="2">
        <f>Table7[[#This Row],[WaistMS Res]]^2</f>
        <v>1.2529023605299605</v>
      </c>
      <c r="CG117">
        <f>Regression!$F$29+(Regression!$F$28*Table83[[#This Row],[Morning Diastolic Pressure]])</f>
        <v>44.402096082124572</v>
      </c>
      <c r="CH117" s="2">
        <f>Table83[[#This Row],[Waist]]-Table7[[#This Row],[Waist v Morning Dia]]</f>
        <v>-0.90209608212457226</v>
      </c>
      <c r="CI117" s="2">
        <f>Table7[[#This Row],[WaistMD Res]]^2</f>
        <v>0.81377734138450297</v>
      </c>
      <c r="CJ117">
        <f>Regression!$G$29+(Regression!$G$28*Table83[[#This Row],[Morning Pulse]])</f>
        <v>44.460452718095105</v>
      </c>
      <c r="CK117" s="2">
        <f>Table83[[#This Row],[Waist]]-Table7[[#This Row],[Waist v Morning Pulse]]</f>
        <v>-0.96045271809510524</v>
      </c>
      <c r="CL117" s="2">
        <f>Table7[[#This Row],[WaistMP Res]]^2</f>
        <v>0.92246942369627571</v>
      </c>
      <c r="CM117">
        <f>Regression!$H$29+(Regression!$H$28*Table83[[#This Row],[Night Body Temp]])</f>
        <v>44.376081640415208</v>
      </c>
      <c r="CN117" s="2">
        <f>Table83[[#This Row],[Waist]]-Table7[[#This Row],[Waist v Night Temp]]</f>
        <v>-0.87608164041520808</v>
      </c>
      <c r="CO117" s="2">
        <f>Table7[[#This Row],[WaistNT Res]]^2</f>
        <v>0.76751904067260202</v>
      </c>
      <c r="CP117">
        <f>Regression!$I$29+(Regression!$I$28*Table83[[#This Row],[Night Systolic Pressure]])</f>
        <v>44.529199886933277</v>
      </c>
      <c r="CQ117" s="2">
        <f>Table83[[#This Row],[Waist]]-Table7[[#This Row],[Waist v  Night Sys]]</f>
        <v>-1.0291998869332772</v>
      </c>
      <c r="CR117" s="2">
        <f>Table7[[#This Row],[WaistNS Res]]^2</f>
        <v>1.0592524072634706</v>
      </c>
      <c r="CS117">
        <f>Regression!$J$29+(Regression!$J$28*Table83[[#This Row],[Night Diastolic Pressure]])</f>
        <v>44.529363791983499</v>
      </c>
      <c r="CT117" s="2">
        <f>Table83[[#This Row],[Waist]]-Table7[[#This Row],[Waist v Night Dia]]</f>
        <v>-1.0293637919834993</v>
      </c>
      <c r="CU117" s="2">
        <f>Table7[[#This Row],[WaistND Res]]^2</f>
        <v>1.0595898162466488</v>
      </c>
      <c r="CV117">
        <f>Regression!$K$29+(Regression!$K$28*Table83[[#This Row],[Night Pulse]])</f>
        <v>44.511129806162636</v>
      </c>
      <c r="CW117" s="2">
        <f>Table83[[#This Row],[Waist]]-Table7[[#This Row],[Waist v Night Pulse]]</f>
        <v>-1.0111298061626357</v>
      </c>
      <c r="CX117" s="2">
        <f>Table7[[#This Row],[WaistNP Res]]^2</f>
        <v>1.0223834849104894</v>
      </c>
      <c r="CY117">
        <f>Regression!$L$29+(Regression!$L$28*Table83[[#This Row],[Sleep]])</f>
        <v>44.504990820853756</v>
      </c>
      <c r="CZ117" s="2">
        <f>Table83[[#This Row],[Waist]]-Table7[[#This Row],[Waist v  Sleep]]</f>
        <v>-1.0049908208537559</v>
      </c>
      <c r="DA117" s="2">
        <f>Table7[[#This Row],[WaistS Res]]^2</f>
        <v>1.0100065500003061</v>
      </c>
      <c r="DB117">
        <f>Regression!$M$29+(Regression!$M$28*Table83[[#This Row],[BMI]])</f>
        <v>43.347763520422305</v>
      </c>
      <c r="DC117" s="2">
        <f>Table83[[#This Row],[Waist]]-Table7[[#This Row],[Waist v BMI]]</f>
        <v>0.15223647957769515</v>
      </c>
      <c r="DD117" s="2">
        <f>Table7[[#This Row],[WaistBMI Res]]^2</f>
        <v>2.3175945714209993E-2</v>
      </c>
      <c r="DE117">
        <f>Regression!$N$29+(Regression!$N$28*Table83[[#This Row],[CBF]])</f>
        <v>43.540887941991329</v>
      </c>
      <c r="DF117" s="2">
        <f>Table83[[#This Row],[Waist]]-Table7[[#This Row],[Waist v  CBF]]</f>
        <v>-4.0887941991329058E-2</v>
      </c>
      <c r="DG117" s="2">
        <f>Table7[[#This Row],[WaistCBF Res]]^2</f>
        <v>1.6718238002862899E-3</v>
      </c>
      <c r="DH117">
        <f>Regression!$O$29+(Regression!$O$28*Table83[[#This Row],[Gym]])</f>
        <v>44.550847457627107</v>
      </c>
      <c r="DI117" s="2">
        <f>Table83[[#This Row],[Waist]]-Table7[[#This Row],[Waist v  Gym]]</f>
        <v>-1.050847457627107</v>
      </c>
      <c r="DJ117" s="2">
        <f>Table7[[#This Row],[WaistGYM Res]]^2</f>
        <v>1.1042803792013545</v>
      </c>
      <c r="DK117">
        <f>Regression!$P$29+(Regression!$P$28*Table83[[#This Row],[Cardio]])</f>
        <v>44.291666666666664</v>
      </c>
      <c r="DL117" s="2">
        <f>Table83[[#This Row],[Waist]]-Table7[[#This Row],[Waist v Cardio]]</f>
        <v>-0.7916666666666643</v>
      </c>
      <c r="DM117" s="2">
        <f>Table7[[#This Row],[WaistC Res]]^2</f>
        <v>0.62673611111110739</v>
      </c>
      <c r="DN117">
        <f>Regression!$Q$29+(Regression!$Q$28*Table83[[#This Row],[Calories]])</f>
        <v>44.573771495608966</v>
      </c>
      <c r="DO117" s="2">
        <f>Table83[[#This Row],[Waist]]-Table7[[#This Row],[Waist v Calories]]</f>
        <v>-1.0737714956089661</v>
      </c>
      <c r="DP117" s="2">
        <f>Table7[[#This Row],[WaistCal Res]]^2</f>
        <v>1.152985224782316</v>
      </c>
      <c r="DQ117">
        <f>Regression!$R$29+(Regression!$R$28*Table83[[#This Row],[Carbs]])</f>
        <v>44.538630522744086</v>
      </c>
      <c r="DR117" s="2">
        <f>Table83[[#This Row],[Waist]]-Table7[[#This Row],[Waist v Carbs]]</f>
        <v>-1.0386305227440857</v>
      </c>
      <c r="DS117" s="2">
        <f>Table7[[#This Row],[WaistCarb Res]]^2</f>
        <v>1.0787533627756527</v>
      </c>
      <c r="DT117">
        <f>Regression!$S$29+(Regression!$S$28*Table83[[#This Row],[Fat ]])</f>
        <v>44.58077334030542</v>
      </c>
      <c r="DU117" s="2">
        <f>Table83[[#This Row],[Waist]]-Table7[[#This Row],[Waist v Fat]]</f>
        <v>-1.08077334030542</v>
      </c>
      <c r="DV117" s="2">
        <f>Table7[[#This Row],[WaistF Res]]^2</f>
        <v>1.1680710131149352</v>
      </c>
      <c r="DW117">
        <f>Regression!$T$29+(Regression!$T$28*Table83[[#This Row],[Protein]])</f>
        <v>44.560965442271986</v>
      </c>
      <c r="DX117" s="2">
        <f>Table83[[#This Row],[Waist]]-Table7[[#This Row],[Waist v Protein]]</f>
        <v>-1.0609654422719856</v>
      </c>
      <c r="DY117" s="2">
        <f>Table7[[#This Row],[WaistP Res]]^2</f>
        <v>1.1256476696953901</v>
      </c>
      <c r="DZ117">
        <f>Regression!$U$29+(Regression!$U$28*Table83[[#This Row],[Fiber]])</f>
        <v>44.501853932974548</v>
      </c>
      <c r="EA117" s="2">
        <f>Table83[[#This Row],[Waist]]-Table7[[#This Row],[Waist v Fiber]]</f>
        <v>-1.0018539329745479</v>
      </c>
      <c r="EB117" s="2">
        <f>Table7[[#This Row],[WaistFib Res]]^2</f>
        <v>1.0037113030165701</v>
      </c>
      <c r="EC117">
        <f>Regression!$V$29+(Regression!$V$28*Table83[[#This Row],[Sugar]])</f>
        <v>44.51567964417827</v>
      </c>
      <c r="ED117" s="2">
        <f>Table83[[#This Row],[Waist]]-Table7[[#This Row],[Waist v Sugar]]</f>
        <v>-1.0156796441782703</v>
      </c>
      <c r="EE117" s="2">
        <f>Table7[[#This Row],[WaistSugar Res]]^2</f>
        <v>1.0316051395980976</v>
      </c>
      <c r="EF117">
        <f>Regression!$W$29+(Regression!$W$28*Table83[[#This Row],[Servings]])</f>
        <v>44.411457099762842</v>
      </c>
      <c r="EG117" s="2">
        <f>Table83[[#This Row],[Waist]]-Table7[[#This Row],[Waist v Servings]]</f>
        <v>-0.91145709976284195</v>
      </c>
      <c r="EH117" s="2">
        <f>Table7[[#This Row],[WaistServ Res]]^2</f>
        <v>0.83075404470809122</v>
      </c>
      <c r="EI117">
        <f>Regression!$X$29+(Regression!$X$28*Table83[[#This Row],[Water]])</f>
        <v>44.553850107074496</v>
      </c>
      <c r="EJ117" s="2">
        <f>Table83[[#This Row],[Waist]]-Table7[[#This Row],[Waist v Water]]</f>
        <v>-1.0538501070744957</v>
      </c>
      <c r="EK117" s="2">
        <f>Table7[[#This Row],[WaistWat Res]]^2</f>
        <v>1.1106000481809259</v>
      </c>
      <c r="EL117">
        <f>Regression!$Y$29+(Regression!$Y$28*Table83[[#This Row],[Fat Calories]])</f>
        <v>44.586783095419435</v>
      </c>
      <c r="EM117" s="2">
        <f>Table83[[#This Row],[Waist]]-Table7[[#This Row],[Waist v Fat Calories]]</f>
        <v>-1.0867830954194346</v>
      </c>
      <c r="EN117" s="2">
        <f>Table7[[#This Row],[WaistFatCal Res]]^2</f>
        <v>1.1810974964894481</v>
      </c>
    </row>
    <row r="118" spans="1:144" x14ac:dyDescent="0.25">
      <c r="A118">
        <f>Regression!$B$10+(Regression!$B$9*Table83[[#This Row],[Waist]])</f>
        <v>249.67228149328892</v>
      </c>
      <c r="B118" s="2">
        <f>Table83[[#This Row],[Weight]]-Table7[[#This Row],[Weight v Waist]]</f>
        <v>-2.8722814932889094</v>
      </c>
      <c r="C118" s="2">
        <f>Table7[[#This Row],[Weight v Waist Res]]^2</f>
        <v>8.2500009766899662</v>
      </c>
      <c r="D118">
        <f>Regression!$C$10+(Regression!$C$9*Table83[[#This Row],[Neck]])</f>
        <v>253.29286486487842</v>
      </c>
      <c r="E118" s="2">
        <f>Table83[[#This Row],[Weight]]-Table7[[#This Row],[Weight v Neck]]</f>
        <v>-6.4928648648784133</v>
      </c>
      <c r="F118" s="2">
        <f>Table7[[#This Row],[WN Res]]^2</f>
        <v>42.157294153572579</v>
      </c>
      <c r="G118">
        <f>Regression!$D$10+(Regression!$D$9*Table83[[#This Row],[Morning Body Temp]])</f>
        <v>254.49637801530542</v>
      </c>
      <c r="H118" s="2">
        <f>Table83[[#This Row],[Weight]]-Table7[[#This Row],[Weight v Morning Temp]]</f>
        <v>-7.6963780153054131</v>
      </c>
      <c r="I118" s="2">
        <f>Table7[[#This Row],[WMT Res]]^2</f>
        <v>59.234234554476487</v>
      </c>
      <c r="J118">
        <f>Regression!$E$10+(Regression!$E$9*Table83[[#This Row],[Morning Systolic Pressure]])</f>
        <v>255.27979544420887</v>
      </c>
      <c r="K118" s="2">
        <f>Table83[[#This Row],[Weight]]-Table7[[#This Row],[Weight v Morning Sys]]</f>
        <v>-8.479795444208861</v>
      </c>
      <c r="L118" s="2">
        <f>Table7[[#This Row],[WMS Res]]^2</f>
        <v>71.906930775625355</v>
      </c>
      <c r="M118">
        <f>Regression!$F$10+(Regression!$F$9*Table83[[#This Row],[Morning Diastolic Pressure]])</f>
        <v>255.91279388960569</v>
      </c>
      <c r="N118" s="2">
        <f>Table83[[#This Row],[Weight]]-Table7[[#This Row],[Weight v Morning Dia]]</f>
        <v>-9.1127938896056833</v>
      </c>
      <c r="O118" s="2">
        <f>Table7[[#This Row],[WMD Res]]^2</f>
        <v>83.043012474434676</v>
      </c>
      <c r="P118">
        <f>Regression!$G$10+(Regression!$G$9*Table83[[#This Row],[Morning Pulse]])</f>
        <v>255.12095627742721</v>
      </c>
      <c r="Q118" s="2">
        <f>Table83[[#This Row],[Weight]]-Table7[[#This Row],[Weight v Morning Pulse]]</f>
        <v>-8.3209562774272001</v>
      </c>
      <c r="R118" s="2">
        <f>Table7[[#This Row],[WMP Res]]^2</f>
        <v>69.238313370855124</v>
      </c>
      <c r="S118">
        <f>Regression!$H$10+(Regression!$H$9*Table83[[#This Row],[Night Body Temp]])</f>
        <v>253.20834154981813</v>
      </c>
      <c r="T118" s="2">
        <f>Table83[[#This Row],[Weight]]-Table7[[#This Row],[Weight v Night Temp]]</f>
        <v>-6.4083415498181182</v>
      </c>
      <c r="U118" s="2">
        <f>Table7[[#This Row],[WNT Res]]^2</f>
        <v>41.066841419125282</v>
      </c>
      <c r="V118">
        <f>Regression!$I$10+(Regression!$I$9*Table83[[#This Row],[Night Systolic Pressure]])</f>
        <v>255.34122622719568</v>
      </c>
      <c r="W118" s="2">
        <f>Table83[[#This Row],[Weight]]-Table7[[#This Row],[Weight v Night Sys]]</f>
        <v>-8.5412262271956649</v>
      </c>
      <c r="X118" s="2">
        <f>Table7[[#This Row],[WNS Res]]^2</f>
        <v>72.952545464135099</v>
      </c>
      <c r="Y118">
        <f>Regression!$J$10+(Regression!$J$9*Table83[[#This Row],[Night Diastolic Pressure]])</f>
        <v>254.97001876899779</v>
      </c>
      <c r="Z118" s="2">
        <f>Table83[[#This Row],[Weight]]-Table7[[#This Row],[Weight v Night Dia]]</f>
        <v>-8.1700187689977781</v>
      </c>
      <c r="AA118" s="2">
        <f>Table7[[#This Row],[WND Res]]^2</f>
        <v>66.749206685775974</v>
      </c>
      <c r="AB118">
        <f>Regression!$K$10+(Regression!$K$9*Table83[[#This Row],[Night Pulse]])</f>
        <v>254.83373187761069</v>
      </c>
      <c r="AC118" s="2">
        <f>Table83[[#This Row],[Weight]]-Table7[[#This Row],[Weight v Night Pulse]]</f>
        <v>-8.033731877610677</v>
      </c>
      <c r="AD118" s="2">
        <f>Table7[[#This Row],[WNP Res ]]^2</f>
        <v>64.540847881337967</v>
      </c>
      <c r="AE118">
        <f>Regression!$L$10+(Regression!$L$9*Table83[[#This Row],[Sleep]])</f>
        <v>255.13702972738133</v>
      </c>
      <c r="AF118" s="2">
        <f>Table83[[#This Row],[Weight]]-Table7[[#This Row],[Weight v Sleep]]</f>
        <v>-8.3370297273813208</v>
      </c>
      <c r="AG118" s="2">
        <f>Table7[[#This Row],[WS Res]]^2</f>
        <v>69.506064675239855</v>
      </c>
      <c r="AH118">
        <f>Regression!$M$10+(Regression!$M$9*Table83[[#This Row],[BMI]])</f>
        <v>246.80000000001863</v>
      </c>
      <c r="AI118" s="2">
        <f>Table83[[#This Row],[Weight]]-Table7[[#This Row],[Weight v BMI]]</f>
        <v>-1.8616219676914625E-11</v>
      </c>
      <c r="AJ118" s="2">
        <f>Table7[[#This Row],[WBMI Res]]^2</f>
        <v>3.4656363505914326E-22</v>
      </c>
      <c r="AK118">
        <f>Regression!$N$10+(Regression!$N$9*Table83[[#This Row],[CBF]])</f>
        <v>250.04675133427031</v>
      </c>
      <c r="AL118" s="2">
        <f>Table83[[#This Row],[Weight]]-Table7[[#This Row],[Weight v CBF]]</f>
        <v>-3.2467513342703</v>
      </c>
      <c r="AM118" s="2">
        <f>Table7[[#This Row],[WCBF Res]]^2</f>
        <v>10.541394226585973</v>
      </c>
      <c r="AN118">
        <f>Regression!$O$10+(Regression!$O$9*Table83[[#This Row],[Gym]])</f>
        <v>255.46779661016953</v>
      </c>
      <c r="AO118" s="2">
        <f>Table83[[#This Row],[Weight]]-Table7[[#This Row],[Weight v Gym]]</f>
        <v>-8.6677966101695176</v>
      </c>
      <c r="AP118" s="2">
        <f>Table7[[#This Row],[WG Res]]^2</f>
        <v>75.130698075266181</v>
      </c>
      <c r="AQ118">
        <f>Regression!$P$10+(Regression!$P$9*Table83[[#This Row],[Cardio]])</f>
        <v>256.41063829787231</v>
      </c>
      <c r="AR118" s="2">
        <f>Table83[[#This Row],[Weight]]-Table7[[#This Row],[Weight v Cardio]]</f>
        <v>-9.6106382978722991</v>
      </c>
      <c r="AS118" s="2">
        <f>Table7[[#This Row],[WC Res]]^2</f>
        <v>92.364368492529763</v>
      </c>
      <c r="AT118">
        <f>Regression!$Q$10+(Regression!$Q$9*Table83[[#This Row],[Calories]])</f>
        <v>255.59152812566063</v>
      </c>
      <c r="AU118" s="2">
        <f>Table83[[#This Row],[Weight]]-Table7[[#This Row],[Weight v Calories]]</f>
        <v>-8.7915281256606193</v>
      </c>
      <c r="AV118" s="2">
        <f>Table7[[#This Row],[WCAL Res]]^2</f>
        <v>77.290966784281721</v>
      </c>
      <c r="AW118">
        <f>Regression!$R$10+(Regression!$R$9*Table83[[#This Row],[Carbs]])</f>
        <v>255.46137382697827</v>
      </c>
      <c r="AX118" s="2">
        <f>Table83[[#This Row],[Weight]]-Table7[[#This Row],[Weight v Carbs]]</f>
        <v>-8.661373826978263</v>
      </c>
      <c r="AY118" s="2">
        <f>Table7[[#This Row],[Wcarb Res]]^2</f>
        <v>75.019396570664085</v>
      </c>
      <c r="AZ118">
        <f>Regression!$S$10+(Regression!$S$9*Table83[[#This Row],[Fat ]])</f>
        <v>255.43292005265573</v>
      </c>
      <c r="BA118" s="2">
        <f>Table83[[#This Row],[Weight]]-Table7[[#This Row],[Weight v Fat]]</f>
        <v>-8.6329200526557202</v>
      </c>
      <c r="BB118" s="2">
        <f>Table7[[#This Row],[WF Res]]^2</f>
        <v>74.527308635545239</v>
      </c>
      <c r="BC118">
        <f>Regression!$T$10+(Regression!$T$9*Table83[[#This Row],[Protein]])</f>
        <v>255.92519949807101</v>
      </c>
      <c r="BD118" s="2">
        <f>Table83[[#This Row],[Weight]]-Table7[[#This Row],[Weight v Protein]]</f>
        <v>-9.1251994980709981</v>
      </c>
      <c r="BE118" s="2">
        <f>Table7[[#This Row],[WP Res]]^2</f>
        <v>83.269265879595196</v>
      </c>
      <c r="BF118">
        <f>Regression!$U$10+(Regression!$U$9*Table83[[#This Row],[Fiber]])</f>
        <v>254.95630182030777</v>
      </c>
      <c r="BG118" s="2">
        <f>Table83[[#This Row],[Weight]]-Table7[[#This Row],[Weight v Fiber]]</f>
        <v>-8.1563018203077604</v>
      </c>
      <c r="BH118" s="2">
        <f>Table7[[#This Row],[Wfib Res]]^2</f>
        <v>66.525259383955685</v>
      </c>
      <c r="BI118">
        <f>Regression!$V$10+(Regression!$V$9*Table83[[#This Row],[Sugar]])</f>
        <v>255.29201294849975</v>
      </c>
      <c r="BJ118" s="2">
        <f>Table83[[#This Row],[Weight]]-Table7[[#This Row],[Weight v Sugar]]</f>
        <v>-8.4920129484997346</v>
      </c>
      <c r="BK118" s="2">
        <f>Table7[[#This Row],[Wsugar Res]]^2</f>
        <v>72.114283917487157</v>
      </c>
      <c r="BL118">
        <f>Regression!$W$10+(Regression!$W$9*Table83[[#This Row],[Servings]])</f>
        <v>255.15077549682121</v>
      </c>
      <c r="BM118" s="2">
        <f>Table83[[#This Row],[Weight]]-Table7[[#This Row],[Weight v Servings]]</f>
        <v>-8.3507754968211998</v>
      </c>
      <c r="BN118" s="2">
        <f>Table7[[#This Row],[Wserv Res]]^2</f>
        <v>69.735451398309351</v>
      </c>
      <c r="BO118">
        <f>Regression!$X$10+(Regression!$X$9*Table83[[#This Row],[Water]])</f>
        <v>255.29465632062295</v>
      </c>
      <c r="BP118" s="2">
        <f>Table83[[#This Row],[Weight]]-Table7[[#This Row],[Weight v Water]]</f>
        <v>-8.4946563206229371</v>
      </c>
      <c r="BQ118" s="2">
        <f>Table7[[#This Row],[Wwater Res]]^2</f>
        <v>72.159186005499208</v>
      </c>
      <c r="BR118">
        <f>Regression!$Y$10+(Regression!$Y$9*Table83[[#This Row],[Fat Calories]])</f>
        <v>255.44848246689787</v>
      </c>
      <c r="BS118" s="2">
        <f>Table83[[#This Row],[Weight]]-Table7[[#This Row],[Weight v Fat Calories]]</f>
        <v>-8.6484824668978604</v>
      </c>
      <c r="BT118" s="2">
        <f>Table7[[#This Row],[WFC Res]]^2</f>
        <v>74.796248980239696</v>
      </c>
      <c r="BU118">
        <f>Regression!$B$29+(Regression!$B$28*Table83[[#This Row],[Weight]])</f>
        <v>43.320511018304799</v>
      </c>
      <c r="BV118" s="2">
        <f>Table83[[#This Row],[Waist]]-Table7[[#This Row],[Waist v Weight]]</f>
        <v>0.17948898169520078</v>
      </c>
      <c r="BW118" s="2">
        <f>Table7[[#This Row],[WaistW Res]]^2</f>
        <v>3.2216294549980116E-2</v>
      </c>
      <c r="BX118">
        <f>Regression!$C$29+(Regression!$C$28*Table83[[#This Row],[Neck]])</f>
        <v>44.175585585585594</v>
      </c>
      <c r="BY118" s="2">
        <f>Table83[[#This Row],[Waist]]-Table7[[#This Row],[Waist v Neck]]</f>
        <v>-0.67558558558559412</v>
      </c>
      <c r="BZ118" s="2">
        <f>Table7[[#This Row],[WaistN Res]]^2</f>
        <v>0.45641588345103012</v>
      </c>
      <c r="CA118">
        <f>Regression!$D$29+(Regression!$D$28*Table83[[#This Row],[Morning Body Temp]])</f>
        <v>44.2852766121743</v>
      </c>
      <c r="CB118" s="2">
        <f>Table83[[#This Row],[Waist]]-Table7[[#This Row],[Waist v Morning Temp]]</f>
        <v>-0.78527661217430023</v>
      </c>
      <c r="CC118" s="2">
        <f>Table7[[#This Row],[WaistMT Res]]^2</f>
        <v>0.61665935762794633</v>
      </c>
      <c r="CD118">
        <f>Regression!$E$29+(Regression!$E$28*Table83[[#This Row],[Morning Systolic Pressure]])</f>
        <v>44.492246348363913</v>
      </c>
      <c r="CE118" s="2">
        <f>Table83[[#This Row],[Waist]]-Table7[[#This Row],[Waist v Morning Sys]]</f>
        <v>-0.99224634836391346</v>
      </c>
      <c r="CF118" s="2">
        <f>Table7[[#This Row],[WaistMS Res]]^2</f>
        <v>0.98455281584152066</v>
      </c>
      <c r="CG118">
        <f>Regression!$F$29+(Regression!$F$28*Table83[[#This Row],[Morning Diastolic Pressure]])</f>
        <v>44.497901633495097</v>
      </c>
      <c r="CH118" s="2">
        <f>Table83[[#This Row],[Waist]]-Table7[[#This Row],[Waist v Morning Dia]]</f>
        <v>-0.99790163349509697</v>
      </c>
      <c r="CI118" s="2">
        <f>Table7[[#This Row],[WaistMD Res]]^2</f>
        <v>0.99580767013218285</v>
      </c>
      <c r="CJ118">
        <f>Regression!$G$29+(Regression!$G$28*Table83[[#This Row],[Morning Pulse]])</f>
        <v>44.456255205227038</v>
      </c>
      <c r="CK118" s="2">
        <f>Table83[[#This Row],[Waist]]-Table7[[#This Row],[Waist v Morning Pulse]]</f>
        <v>-0.95625520522703766</v>
      </c>
      <c r="CL118" s="2">
        <f>Table7[[#This Row],[WaistMP Res]]^2</f>
        <v>0.91442401752380387</v>
      </c>
      <c r="CM118">
        <f>Regression!$H$29+(Regression!$H$28*Table83[[#This Row],[Night Body Temp]])</f>
        <v>44.303209326171235</v>
      </c>
      <c r="CN118" s="2">
        <f>Table83[[#This Row],[Waist]]-Table7[[#This Row],[Waist v Night Temp]]</f>
        <v>-0.80320932617123475</v>
      </c>
      <c r="CO118" s="2">
        <f>Table7[[#This Row],[WaistNT Res]]^2</f>
        <v>0.64514522164844901</v>
      </c>
      <c r="CP118">
        <f>Regression!$I$29+(Regression!$I$28*Table83[[#This Row],[Night Systolic Pressure]])</f>
        <v>44.48557954395644</v>
      </c>
      <c r="CQ118" s="2">
        <f>Table83[[#This Row],[Waist]]-Table7[[#This Row],[Waist v  Night Sys]]</f>
        <v>-0.98557954395644032</v>
      </c>
      <c r="CR118" s="2">
        <f>Table7[[#This Row],[WaistNS Res]]^2</f>
        <v>0.97136703746538489</v>
      </c>
      <c r="CS118">
        <f>Regression!$J$29+(Regression!$J$28*Table83[[#This Row],[Night Diastolic Pressure]])</f>
        <v>44.392820230323963</v>
      </c>
      <c r="CT118" s="2">
        <f>Table83[[#This Row],[Waist]]-Table7[[#This Row],[Waist v Night Dia]]</f>
        <v>-0.89282023032396296</v>
      </c>
      <c r="CU118" s="2">
        <f>Table7[[#This Row],[WaistND Res]]^2</f>
        <v>0.79712796367573424</v>
      </c>
      <c r="CV118">
        <f>Regression!$K$29+(Regression!$K$28*Table83[[#This Row],[Night Pulse]])</f>
        <v>44.479705596742022</v>
      </c>
      <c r="CW118" s="2">
        <f>Table83[[#This Row],[Waist]]-Table7[[#This Row],[Waist v Night Pulse]]</f>
        <v>-0.97970559674202207</v>
      </c>
      <c r="CX118" s="2">
        <f>Table7[[#This Row],[WaistNP Res]]^2</f>
        <v>0.95982305628764153</v>
      </c>
      <c r="CY118">
        <f>Regression!$L$29+(Regression!$L$28*Table83[[#This Row],[Sleep]])</f>
        <v>44.456891852858099</v>
      </c>
      <c r="CZ118" s="2">
        <f>Table83[[#This Row],[Waist]]-Table7[[#This Row],[Waist v  Sleep]]</f>
        <v>-0.95689185285809941</v>
      </c>
      <c r="DA118" s="2">
        <f>Table7[[#This Row],[WaistS Res]]^2</f>
        <v>0.9156420180662066</v>
      </c>
      <c r="DB118">
        <f>Regression!$M$29+(Regression!$M$28*Table83[[#This Row],[BMI]])</f>
        <v>43.320511018308395</v>
      </c>
      <c r="DC118" s="2">
        <f>Table83[[#This Row],[Waist]]-Table7[[#This Row],[Waist v BMI]]</f>
        <v>0.17948898169160543</v>
      </c>
      <c r="DD118" s="2">
        <f>Table7[[#This Row],[WaistBMI Res]]^2</f>
        <v>3.2216294548689468E-2</v>
      </c>
      <c r="DE118">
        <f>Regression!$N$29+(Regression!$N$28*Table83[[#This Row],[CBF]])</f>
        <v>43.540887941991329</v>
      </c>
      <c r="DF118" s="2">
        <f>Table83[[#This Row],[Waist]]-Table7[[#This Row],[Waist v  CBF]]</f>
        <v>-4.0887941991329058E-2</v>
      </c>
      <c r="DG118" s="2">
        <f>Table7[[#This Row],[WaistCBF Res]]^2</f>
        <v>1.6718238002862899E-3</v>
      </c>
      <c r="DH118">
        <f>Regression!$O$29+(Regression!$O$28*Table83[[#This Row],[Gym]])</f>
        <v>44.550847457627107</v>
      </c>
      <c r="DI118" s="2">
        <f>Table83[[#This Row],[Waist]]-Table7[[#This Row],[Waist v  Gym]]</f>
        <v>-1.050847457627107</v>
      </c>
      <c r="DJ118" s="2">
        <f>Table7[[#This Row],[WaistGYM Res]]^2</f>
        <v>1.1042803792013545</v>
      </c>
      <c r="DK118">
        <f>Regression!$P$29+(Regression!$P$28*Table83[[#This Row],[Cardio]])</f>
        <v>44.680851063829778</v>
      </c>
      <c r="DL118" s="2">
        <f>Table83[[#This Row],[Waist]]-Table7[[#This Row],[Waist v Cardio]]</f>
        <v>-1.1808510638297776</v>
      </c>
      <c r="DM118" s="2">
        <f>Table7[[#This Row],[WaistC Res]]^2</f>
        <v>1.3944092349479174</v>
      </c>
      <c r="DN118">
        <f>Regression!$Q$29+(Regression!$Q$28*Table83[[#This Row],[Calories]])</f>
        <v>44.560595182115094</v>
      </c>
      <c r="DO118" s="2">
        <f>Table83[[#This Row],[Waist]]-Table7[[#This Row],[Waist v Calories]]</f>
        <v>-1.0605951821150938</v>
      </c>
      <c r="DP118" s="2">
        <f>Table7[[#This Row],[WaistCal Res]]^2</f>
        <v>1.124862140325749</v>
      </c>
      <c r="DQ118">
        <f>Regression!$R$29+(Regression!$R$28*Table83[[#This Row],[Carbs]])</f>
        <v>44.525643520557189</v>
      </c>
      <c r="DR118" s="2">
        <f>Table83[[#This Row],[Waist]]-Table7[[#This Row],[Waist v Carbs]]</f>
        <v>-1.025643520557189</v>
      </c>
      <c r="DS118" s="2">
        <f>Table7[[#This Row],[WaistCarb Res]]^2</f>
        <v>1.0519446312609451</v>
      </c>
      <c r="DT118">
        <f>Regression!$S$29+(Regression!$S$28*Table83[[#This Row],[Fat ]])</f>
        <v>44.550707729443424</v>
      </c>
      <c r="DU118" s="2">
        <f>Table83[[#This Row],[Waist]]-Table7[[#This Row],[Waist v Fat]]</f>
        <v>-1.0507077294434239</v>
      </c>
      <c r="DV118" s="2">
        <f>Table7[[#This Row],[WaistF Res]]^2</f>
        <v>1.1039867327121553</v>
      </c>
      <c r="DW118">
        <f>Regression!$T$29+(Regression!$T$28*Table83[[#This Row],[Protein]])</f>
        <v>44.601828328203538</v>
      </c>
      <c r="DX118" s="2">
        <f>Table83[[#This Row],[Waist]]-Table7[[#This Row],[Waist v Protein]]</f>
        <v>-1.1018283282035384</v>
      </c>
      <c r="DY118" s="2">
        <f>Table7[[#This Row],[WaistP Res]]^2</f>
        <v>1.2140256648318042</v>
      </c>
      <c r="DZ118">
        <f>Regression!$U$29+(Regression!$U$28*Table83[[#This Row],[Fiber]])</f>
        <v>44.392287477497753</v>
      </c>
      <c r="EA118" s="2">
        <f>Table83[[#This Row],[Waist]]-Table7[[#This Row],[Waist v Fiber]]</f>
        <v>-0.89228747749775295</v>
      </c>
      <c r="EB118" s="2">
        <f>Table7[[#This Row],[WaistFib Res]]^2</f>
        <v>0.79617694249930293</v>
      </c>
      <c r="EC118">
        <f>Regression!$V$29+(Regression!$V$28*Table83[[#This Row],[Sugar]])</f>
        <v>44.485330276355064</v>
      </c>
      <c r="ED118" s="2">
        <f>Table83[[#This Row],[Waist]]-Table7[[#This Row],[Waist v Sugar]]</f>
        <v>-0.98533027635506443</v>
      </c>
      <c r="EE118" s="2">
        <f>Table7[[#This Row],[WaistSugar Res]]^2</f>
        <v>0.97087575350194766</v>
      </c>
      <c r="EF118">
        <f>Regression!$W$29+(Regression!$W$28*Table83[[#This Row],[Servings]])</f>
        <v>44.458991816328897</v>
      </c>
      <c r="EG118" s="2">
        <f>Table83[[#This Row],[Waist]]-Table7[[#This Row],[Waist v Servings]]</f>
        <v>-0.95899181632889707</v>
      </c>
      <c r="EH118" s="2">
        <f>Table7[[#This Row],[WaistServ Res]]^2</f>
        <v>0.91966530378579703</v>
      </c>
      <c r="EI118">
        <f>Regression!$X$29+(Regression!$X$28*Table83[[#This Row],[Water]])</f>
        <v>44.687971412861579</v>
      </c>
      <c r="EJ118" s="2">
        <f>Table83[[#This Row],[Waist]]-Table7[[#This Row],[Waist v Water]]</f>
        <v>-1.1879714128615788</v>
      </c>
      <c r="EK118" s="2">
        <f>Table7[[#This Row],[WaistWat Res]]^2</f>
        <v>1.4112760777763358</v>
      </c>
      <c r="EL118">
        <f>Regression!$Y$29+(Regression!$Y$28*Table83[[#This Row],[Fat Calories]])</f>
        <v>44.554947977673862</v>
      </c>
      <c r="EM118" s="2">
        <f>Table83[[#This Row],[Waist]]-Table7[[#This Row],[Waist v Fat Calories]]</f>
        <v>-1.0549479776738622</v>
      </c>
      <c r="EN118" s="2">
        <f>Table7[[#This Row],[WaistFatCal Res]]^2</f>
        <v>1.1129152355981715</v>
      </c>
    </row>
    <row r="119" spans="1:144" x14ac:dyDescent="0.25">
      <c r="A119">
        <f>Regression!$B$10+(Regression!$B$9*Table83[[#This Row],[Waist]])</f>
        <v>246.8183038076352</v>
      </c>
      <c r="B119" s="2">
        <f>Table83[[#This Row],[Weight]]-Table7[[#This Row],[Weight v Waist]]</f>
        <v>-2.018303807635192</v>
      </c>
      <c r="C119" s="2">
        <f>Table7[[#This Row],[Weight v Waist Res]]^2</f>
        <v>4.0735502599147138</v>
      </c>
      <c r="D119">
        <f>Regression!$C$10+(Regression!$C$9*Table83[[#This Row],[Neck]])</f>
        <v>253.29286486487842</v>
      </c>
      <c r="E119" s="2">
        <f>Table83[[#This Row],[Weight]]-Table7[[#This Row],[Weight v Neck]]</f>
        <v>-8.4928648648784133</v>
      </c>
      <c r="F119" s="2">
        <f>Table7[[#This Row],[WN Res]]^2</f>
        <v>72.128753613086232</v>
      </c>
      <c r="G119">
        <f>Regression!$D$10+(Regression!$D$9*Table83[[#This Row],[Morning Body Temp]])</f>
        <v>254.77797223219488</v>
      </c>
      <c r="H119" s="2">
        <f>Table83[[#This Row],[Weight]]-Table7[[#This Row],[Weight v Morning Temp]]</f>
        <v>-9.9779722321948725</v>
      </c>
      <c r="I119" s="2">
        <f>Table7[[#This Row],[WMT Res]]^2</f>
        <v>99.559929866451924</v>
      </c>
      <c r="J119">
        <f>Regression!$E$10+(Regression!$E$9*Table83[[#This Row],[Morning Systolic Pressure]])</f>
        <v>255.27979544420887</v>
      </c>
      <c r="K119" s="2">
        <f>Table83[[#This Row],[Weight]]-Table7[[#This Row],[Weight v Morning Sys]]</f>
        <v>-10.479795444208861</v>
      </c>
      <c r="L119" s="2">
        <f>Table7[[#This Row],[WMS Res]]^2</f>
        <v>109.8261125524608</v>
      </c>
      <c r="M119">
        <f>Regression!$F$10+(Regression!$F$9*Table83[[#This Row],[Morning Diastolic Pressure]])</f>
        <v>254.8993513991569</v>
      </c>
      <c r="N119" s="2">
        <f>Table83[[#This Row],[Weight]]-Table7[[#This Row],[Weight v Morning Dia]]</f>
        <v>-10.099351399156888</v>
      </c>
      <c r="O119" s="2">
        <f>Table7[[#This Row],[WMD Res]]^2</f>
        <v>101.99689868365218</v>
      </c>
      <c r="P119">
        <f>Regression!$G$10+(Regression!$G$9*Table83[[#This Row],[Morning Pulse]])</f>
        <v>255.1246118689416</v>
      </c>
      <c r="Q119" s="2">
        <f>Table83[[#This Row],[Weight]]-Table7[[#This Row],[Weight v Morning Pulse]]</f>
        <v>-10.324611868941588</v>
      </c>
      <c r="R119" s="2">
        <f>Table7[[#This Row],[WMP Res]]^2</f>
        <v>106.59761024428951</v>
      </c>
      <c r="S119">
        <f>Regression!$H$10+(Regression!$H$9*Table83[[#This Row],[Night Body Temp]])</f>
        <v>254.54339696608002</v>
      </c>
      <c r="T119" s="2">
        <f>Table83[[#This Row],[Weight]]-Table7[[#This Row],[Weight v Night Temp]]</f>
        <v>-9.743396966080013</v>
      </c>
      <c r="U119" s="2">
        <f>Table7[[#This Row],[WNT Res]]^2</f>
        <v>94.933784438617209</v>
      </c>
      <c r="V119">
        <f>Regression!$I$10+(Regression!$I$9*Table83[[#This Row],[Night Systolic Pressure]])</f>
        <v>254.82800205705334</v>
      </c>
      <c r="W119" s="2">
        <f>Table83[[#This Row],[Weight]]-Table7[[#This Row],[Weight v Night Sys]]</f>
        <v>-10.028002057053328</v>
      </c>
      <c r="X119" s="2">
        <f>Table7[[#This Row],[WNS Res]]^2</f>
        <v>100.56082525626579</v>
      </c>
      <c r="Y119">
        <f>Regression!$J$10+(Regression!$J$9*Table83[[#This Row],[Night Diastolic Pressure]])</f>
        <v>255.25537984791052</v>
      </c>
      <c r="Z119" s="2">
        <f>Table83[[#This Row],[Weight]]-Table7[[#This Row],[Weight v Night Dia]]</f>
        <v>-10.455379847910507</v>
      </c>
      <c r="AA119" s="2">
        <f>Table7[[#This Row],[WND Res]]^2</f>
        <v>109.31496776409314</v>
      </c>
      <c r="AB119">
        <f>Regression!$K$10+(Regression!$K$9*Table83[[#This Row],[Night Pulse]])</f>
        <v>254.86444520884743</v>
      </c>
      <c r="AC119" s="2">
        <f>Table83[[#This Row],[Weight]]-Table7[[#This Row],[Weight v Night Pulse]]</f>
        <v>-10.064445208847417</v>
      </c>
      <c r="AD119" s="2">
        <f>Table7[[#This Row],[WNP Res ]]^2</f>
        <v>101.29305736189173</v>
      </c>
      <c r="AE119">
        <f>Regression!$L$10+(Regression!$L$9*Table83[[#This Row],[Sleep]])</f>
        <v>254.82155554400751</v>
      </c>
      <c r="AF119" s="2">
        <f>Table83[[#This Row],[Weight]]-Table7[[#This Row],[Weight v Sleep]]</f>
        <v>-10.021555544007498</v>
      </c>
      <c r="AG119" s="2">
        <f>Table7[[#This Row],[WS Res]]^2</f>
        <v>100.43157552162742</v>
      </c>
      <c r="AH119">
        <f>Regression!$M$10+(Regression!$M$9*Table83[[#This Row],[BMI]])</f>
        <v>244.80000000002306</v>
      </c>
      <c r="AI119" s="2">
        <f>Table83[[#This Row],[Weight]]-Table7[[#This Row],[Weight v BMI]]</f>
        <v>-2.305000634805765E-11</v>
      </c>
      <c r="AJ119" s="2">
        <f>Table7[[#This Row],[WBMI Res]]^2</f>
        <v>5.3130279264549796E-22</v>
      </c>
      <c r="AK119">
        <f>Regression!$N$10+(Regression!$N$9*Table83[[#This Row],[CBF]])</f>
        <v>246.85529009284974</v>
      </c>
      <c r="AL119" s="2">
        <f>Table83[[#This Row],[Weight]]-Table7[[#This Row],[Weight v CBF]]</f>
        <v>-2.0552900928497309</v>
      </c>
      <c r="AM119" s="2">
        <f>Table7[[#This Row],[WCBF Res]]^2</f>
        <v>4.224217365766255</v>
      </c>
      <c r="AN119">
        <f>Regression!$O$10+(Regression!$O$9*Table83[[#This Row],[Gym]])</f>
        <v>255.46779661016953</v>
      </c>
      <c r="AO119" s="2">
        <f>Table83[[#This Row],[Weight]]-Table7[[#This Row],[Weight v Gym]]</f>
        <v>-10.667796610169518</v>
      </c>
      <c r="AP119" s="2">
        <f>Table7[[#This Row],[WG Res]]^2</f>
        <v>113.80188451594425</v>
      </c>
      <c r="AQ119">
        <f>Regression!$P$10+(Regression!$P$9*Table83[[#This Row],[Cardio]])</f>
        <v>256.41063829787231</v>
      </c>
      <c r="AR119" s="2">
        <f>Table83[[#This Row],[Weight]]-Table7[[#This Row],[Weight v Cardio]]</f>
        <v>-11.610638297872299</v>
      </c>
      <c r="AS119" s="2">
        <f>Table7[[#This Row],[WC Res]]^2</f>
        <v>134.80692168401896</v>
      </c>
      <c r="AT119">
        <f>Regression!$Q$10+(Regression!$Q$9*Table83[[#This Row],[Calories]])</f>
        <v>255.67333273310194</v>
      </c>
      <c r="AU119" s="2">
        <f>Table83[[#This Row],[Weight]]-Table7[[#This Row],[Weight v Calories]]</f>
        <v>-10.873332733101932</v>
      </c>
      <c r="AV119" s="2">
        <f>Table7[[#This Row],[WCAL Res]]^2</f>
        <v>118.22936472474593</v>
      </c>
      <c r="AW119">
        <f>Regression!$R$10+(Regression!$R$9*Table83[[#This Row],[Carbs]])</f>
        <v>255.47315727218017</v>
      </c>
      <c r="AX119" s="2">
        <f>Table83[[#This Row],[Weight]]-Table7[[#This Row],[Weight v Carbs]]</f>
        <v>-10.673157272180163</v>
      </c>
      <c r="AY119" s="2">
        <f>Table7[[#This Row],[Wcarb Res]]^2</f>
        <v>113.91628615669229</v>
      </c>
      <c r="AZ119">
        <f>Regression!$S$10+(Regression!$S$9*Table83[[#This Row],[Fat ]])</f>
        <v>255.59481476647207</v>
      </c>
      <c r="BA119" s="2">
        <f>Table83[[#This Row],[Weight]]-Table7[[#This Row],[Weight v Fat]]</f>
        <v>-10.794814766472058</v>
      </c>
      <c r="BB119" s="2">
        <f>Table7[[#This Row],[WF Res]]^2</f>
        <v>116.52802584244318</v>
      </c>
      <c r="BC119">
        <f>Regression!$T$10+(Regression!$T$9*Table83[[#This Row],[Protein]])</f>
        <v>255.6079985347084</v>
      </c>
      <c r="BD119" s="2">
        <f>Table83[[#This Row],[Weight]]-Table7[[#This Row],[Weight v Protein]]</f>
        <v>-10.807998534708389</v>
      </c>
      <c r="BE119" s="2">
        <f>Table7[[#This Row],[WP Res]]^2</f>
        <v>116.81283232625869</v>
      </c>
      <c r="BF119">
        <f>Regression!$U$10+(Regression!$U$9*Table83[[#This Row],[Fiber]])</f>
        <v>254.93190403979116</v>
      </c>
      <c r="BG119" s="2">
        <f>Table83[[#This Row],[Weight]]-Table7[[#This Row],[Weight v Fiber]]</f>
        <v>-10.131904039791152</v>
      </c>
      <c r="BH119" s="2">
        <f>Table7[[#This Row],[Wfib Res]]^2</f>
        <v>102.65547947153627</v>
      </c>
      <c r="BI119">
        <f>Regression!$V$10+(Regression!$V$9*Table83[[#This Row],[Sugar]])</f>
        <v>255.28708791643504</v>
      </c>
      <c r="BJ119" s="2">
        <f>Table83[[#This Row],[Weight]]-Table7[[#This Row],[Weight v Sugar]]</f>
        <v>-10.48708791643503</v>
      </c>
      <c r="BK119" s="2">
        <f>Table7[[#This Row],[Wsugar Res]]^2</f>
        <v>109.97901296703762</v>
      </c>
      <c r="BL119">
        <f>Regression!$W$10+(Regression!$W$9*Table83[[#This Row],[Servings]])</f>
        <v>255.08579319303806</v>
      </c>
      <c r="BM119" s="2">
        <f>Table83[[#This Row],[Weight]]-Table7[[#This Row],[Weight v Servings]]</f>
        <v>-10.285793193038046</v>
      </c>
      <c r="BN119" s="2">
        <f>Table7[[#This Row],[Wserv Res]]^2</f>
        <v>105.7975416099478</v>
      </c>
      <c r="BO119">
        <f>Regression!$X$10+(Regression!$X$9*Table83[[#This Row],[Water]])</f>
        <v>255.1490819770581</v>
      </c>
      <c r="BP119" s="2">
        <f>Table83[[#This Row],[Weight]]-Table7[[#This Row],[Weight v Water]]</f>
        <v>-10.349081977058091</v>
      </c>
      <c r="BQ119" s="2">
        <f>Table7[[#This Row],[Wwater Res]]^2</f>
        <v>107.10349776786862</v>
      </c>
      <c r="BR119">
        <f>Regression!$Y$10+(Regression!$Y$9*Table83[[#This Row],[Fat Calories]])</f>
        <v>255.62077917003501</v>
      </c>
      <c r="BS119" s="2">
        <f>Table83[[#This Row],[Weight]]-Table7[[#This Row],[Weight v Fat Calories]]</f>
        <v>-10.820779170034996</v>
      </c>
      <c r="BT119" s="2">
        <f>Table7[[#This Row],[WFC Res]]^2</f>
        <v>117.08926184666325</v>
      </c>
      <c r="BU119">
        <f>Regression!$B$29+(Regression!$B$28*Table83[[#This Row],[Weight]])</f>
        <v>43.04798599716483</v>
      </c>
      <c r="BV119" s="2">
        <f>Table83[[#This Row],[Waist]]-Table7[[#This Row],[Waist v Weight]]</f>
        <v>-4.7985997164829541E-2</v>
      </c>
      <c r="BW119" s="2">
        <f>Table7[[#This Row],[WaistW Res]]^2</f>
        <v>2.302655923903029E-3</v>
      </c>
      <c r="BX119">
        <f>Regression!$C$29+(Regression!$C$28*Table83[[#This Row],[Neck]])</f>
        <v>44.175585585585594</v>
      </c>
      <c r="BY119" s="2">
        <f>Table83[[#This Row],[Waist]]-Table7[[#This Row],[Waist v Neck]]</f>
        <v>-1.1755855855855941</v>
      </c>
      <c r="BZ119" s="2">
        <f>Table7[[#This Row],[WaistN Res]]^2</f>
        <v>1.3820014690366242</v>
      </c>
      <c r="CA119">
        <f>Regression!$D$29+(Regression!$D$28*Table83[[#This Row],[Morning Body Temp]])</f>
        <v>44.361863864877819</v>
      </c>
      <c r="CB119" s="2">
        <f>Table83[[#This Row],[Waist]]-Table7[[#This Row],[Waist v Morning Temp]]</f>
        <v>-1.3618638648778187</v>
      </c>
      <c r="CC119" s="2">
        <f>Table7[[#This Row],[WaistMT Res]]^2</f>
        <v>1.8546731864599497</v>
      </c>
      <c r="CD119">
        <f>Regression!$E$29+(Regression!$E$28*Table83[[#This Row],[Morning Systolic Pressure]])</f>
        <v>44.492246348363913</v>
      </c>
      <c r="CE119" s="2">
        <f>Table83[[#This Row],[Waist]]-Table7[[#This Row],[Waist v Morning Sys]]</f>
        <v>-1.4922463483639135</v>
      </c>
      <c r="CF119" s="2">
        <f>Table7[[#This Row],[WaistMS Res]]^2</f>
        <v>2.2267991642054343</v>
      </c>
      <c r="CG119">
        <f>Regression!$F$29+(Regression!$F$28*Table83[[#This Row],[Morning Diastolic Pressure]])</f>
        <v>44.441545426806556</v>
      </c>
      <c r="CH119" s="2">
        <f>Table83[[#This Row],[Waist]]-Table7[[#This Row],[Waist v Morning Dia]]</f>
        <v>-1.441545426806556</v>
      </c>
      <c r="CI119" s="2">
        <f>Table7[[#This Row],[WaistMD Res]]^2</f>
        <v>2.0780532175468958</v>
      </c>
      <c r="CJ119">
        <f>Regression!$G$29+(Regression!$G$28*Table83[[#This Row],[Morning Pulse]])</f>
        <v>44.457934210374262</v>
      </c>
      <c r="CK119" s="2">
        <f>Table83[[#This Row],[Waist]]-Table7[[#This Row],[Waist v Morning Pulse]]</f>
        <v>-1.4579342103742619</v>
      </c>
      <c r="CL119" s="2">
        <f>Table7[[#This Row],[WaistMP Res]]^2</f>
        <v>2.1255721617796226</v>
      </c>
      <c r="CM119">
        <f>Regression!$H$29+(Regression!$H$28*Table83[[#This Row],[Night Body Temp]])</f>
        <v>44.408469335634749</v>
      </c>
      <c r="CN119" s="2">
        <f>Table83[[#This Row],[Waist]]-Table7[[#This Row],[Waist v Night Temp]]</f>
        <v>-1.4084693356347486</v>
      </c>
      <c r="CO119" s="2">
        <f>Table7[[#This Row],[WaistNT Res]]^2</f>
        <v>1.9837858694233901</v>
      </c>
      <c r="CP119">
        <f>Regression!$I$29+(Regression!$I$28*Table83[[#This Row],[Night Systolic Pressure]])</f>
        <v>44.412878972328372</v>
      </c>
      <c r="CQ119" s="2">
        <f>Table83[[#This Row],[Waist]]-Table7[[#This Row],[Waist v  Night Sys]]</f>
        <v>-1.4128789723283717</v>
      </c>
      <c r="CR119" s="2">
        <f>Table7[[#This Row],[WaistNS Res]]^2</f>
        <v>1.9962269904476757</v>
      </c>
      <c r="CS119">
        <f>Regression!$J$29+(Regression!$J$28*Table83[[#This Row],[Night Diastolic Pressure]])</f>
        <v>44.512295846776055</v>
      </c>
      <c r="CT119" s="2">
        <f>Table83[[#This Row],[Waist]]-Table7[[#This Row],[Waist v Night Dia]]</f>
        <v>-1.5122958467760554</v>
      </c>
      <c r="CU119" s="2">
        <f>Table7[[#This Row],[WaistND Res]]^2</f>
        <v>2.2870387281761064</v>
      </c>
      <c r="CV119">
        <f>Regression!$K$29+(Regression!$K$28*Table83[[#This Row],[Night Pulse]])</f>
        <v>44.476848850431054</v>
      </c>
      <c r="CW119" s="2">
        <f>Table83[[#This Row],[Waist]]-Table7[[#This Row],[Waist v Night Pulse]]</f>
        <v>-1.476848850431054</v>
      </c>
      <c r="CX119" s="2">
        <f>Table7[[#This Row],[WaistNP Res]]^2</f>
        <v>2.1810825270195258</v>
      </c>
      <c r="CY119">
        <f>Regression!$L$29+(Regression!$L$28*Table83[[#This Row],[Sleep]])</f>
        <v>44.408792884862443</v>
      </c>
      <c r="CZ119" s="2">
        <f>Table83[[#This Row],[Waist]]-Table7[[#This Row],[Waist v  Sleep]]</f>
        <v>-1.4087928848624429</v>
      </c>
      <c r="DA119" s="2">
        <f>Table7[[#This Row],[WaistS Res]]^2</f>
        <v>1.9846973924390443</v>
      </c>
      <c r="DB119">
        <f>Regression!$M$29+(Regression!$M$28*Table83[[#This Row],[BMI]])</f>
        <v>43.047985997169292</v>
      </c>
      <c r="DC119" s="2">
        <f>Table83[[#This Row],[Waist]]-Table7[[#This Row],[Waist v BMI]]</f>
        <v>-4.798599716929175E-2</v>
      </c>
      <c r="DD119" s="2">
        <f>Table7[[#This Row],[WaistBMI Res]]^2</f>
        <v>2.3026559243312758E-3</v>
      </c>
      <c r="DE119">
        <f>Regression!$N$29+(Regression!$N$28*Table83[[#This Row],[CBF]])</f>
        <v>42.966198760667851</v>
      </c>
      <c r="DF119" s="2">
        <f>Table83[[#This Row],[Waist]]-Table7[[#This Row],[Waist v  CBF]]</f>
        <v>3.380123933214918E-2</v>
      </c>
      <c r="DG119" s="2">
        <f>Table7[[#This Row],[WaistCBF Res]]^2</f>
        <v>1.1425237803892288E-3</v>
      </c>
      <c r="DH119">
        <f>Regression!$O$29+(Regression!$O$28*Table83[[#This Row],[Gym]])</f>
        <v>44.550847457627107</v>
      </c>
      <c r="DI119" s="2">
        <f>Table83[[#This Row],[Waist]]-Table7[[#This Row],[Waist v  Gym]]</f>
        <v>-1.550847457627107</v>
      </c>
      <c r="DJ119" s="2">
        <f>Table7[[#This Row],[WaistGYM Res]]^2</f>
        <v>2.4051278368284614</v>
      </c>
      <c r="DK119">
        <f>Regression!$P$29+(Regression!$P$28*Table83[[#This Row],[Cardio]])</f>
        <v>44.680851063829778</v>
      </c>
      <c r="DL119" s="2">
        <f>Table83[[#This Row],[Waist]]-Table7[[#This Row],[Waist v Cardio]]</f>
        <v>-1.6808510638297776</v>
      </c>
      <c r="DM119" s="2">
        <f>Table7[[#This Row],[WaistC Res]]^2</f>
        <v>2.8252602987776951</v>
      </c>
      <c r="DN119">
        <f>Regression!$Q$29+(Regression!$Q$28*Table83[[#This Row],[Calories]])</f>
        <v>44.578974863008547</v>
      </c>
      <c r="DO119" s="2">
        <f>Table83[[#This Row],[Waist]]-Table7[[#This Row],[Waist v Calories]]</f>
        <v>-1.5789748630085469</v>
      </c>
      <c r="DP119" s="2">
        <f>Table7[[#This Row],[WaistCal Res]]^2</f>
        <v>2.4931616180128597</v>
      </c>
      <c r="DQ119">
        <f>Regression!$R$29+(Regression!$R$28*Table83[[#This Row],[Carbs]])</f>
        <v>44.528096761689241</v>
      </c>
      <c r="DR119" s="2">
        <f>Table83[[#This Row],[Waist]]-Table7[[#This Row],[Waist v Carbs]]</f>
        <v>-1.5280967616892411</v>
      </c>
      <c r="DS119" s="2">
        <f>Table7[[#This Row],[WaistCarb Res]]^2</f>
        <v>2.3350797130851455</v>
      </c>
      <c r="DT119">
        <f>Regression!$S$29+(Regression!$S$28*Table83[[#This Row],[Fat ]])</f>
        <v>44.600195517326171</v>
      </c>
      <c r="DU119" s="2">
        <f>Table83[[#This Row],[Waist]]-Table7[[#This Row],[Waist v Fat]]</f>
        <v>-1.6001955173261706</v>
      </c>
      <c r="DV119" s="2">
        <f>Table7[[#This Row],[WaistF Res]]^2</f>
        <v>2.560625693670771</v>
      </c>
      <c r="DW119">
        <f>Regression!$T$29+(Regression!$T$28*Table83[[#This Row],[Protein]])</f>
        <v>44.543768769017923</v>
      </c>
      <c r="DX119" s="2">
        <f>Table83[[#This Row],[Waist]]-Table7[[#This Row],[Waist v Protein]]</f>
        <v>-1.5437687690179231</v>
      </c>
      <c r="DY119" s="2">
        <f>Table7[[#This Row],[WaistP Res]]^2</f>
        <v>2.3832220121951138</v>
      </c>
      <c r="DZ119">
        <f>Regression!$U$29+(Regression!$U$28*Table83[[#This Row],[Fiber]])</f>
        <v>44.382873351068987</v>
      </c>
      <c r="EA119" s="2">
        <f>Table83[[#This Row],[Waist]]-Table7[[#This Row],[Waist v Fiber]]</f>
        <v>-1.3828733510689872</v>
      </c>
      <c r="EB119" s="2">
        <f>Table7[[#This Row],[WaistFib Res]]^2</f>
        <v>1.9123387050967704</v>
      </c>
      <c r="EC119">
        <f>Regression!$V$29+(Regression!$V$28*Table83[[#This Row],[Sugar]])</f>
        <v>44.484445549273651</v>
      </c>
      <c r="ED119" s="2">
        <f>Table83[[#This Row],[Waist]]-Table7[[#This Row],[Waist v Sugar]]</f>
        <v>-1.4844455492736515</v>
      </c>
      <c r="EE119" s="2">
        <f>Table7[[#This Row],[WaistSugar Res]]^2</f>
        <v>2.203578588758353</v>
      </c>
      <c r="EF119">
        <f>Regression!$W$29+(Regression!$W$28*Table83[[#This Row],[Servings]])</f>
        <v>44.449076599376468</v>
      </c>
      <c r="EG119" s="2">
        <f>Table83[[#This Row],[Waist]]-Table7[[#This Row],[Waist v Servings]]</f>
        <v>-1.4490765993764683</v>
      </c>
      <c r="EH119" s="2">
        <f>Table7[[#This Row],[WaistServ Res]]^2</f>
        <v>2.0998229908604693</v>
      </c>
      <c r="EI119">
        <f>Regression!$X$29+(Regression!$X$28*Table83[[#This Row],[Water]])</f>
        <v>44.497966229663206</v>
      </c>
      <c r="EJ119" s="2">
        <f>Table83[[#This Row],[Waist]]-Table7[[#This Row],[Waist v Water]]</f>
        <v>-1.4979662296632057</v>
      </c>
      <c r="EK119" s="2">
        <f>Table7[[#This Row],[WaistWat Res]]^2</f>
        <v>2.2439028252113999</v>
      </c>
      <c r="EL119">
        <f>Regression!$Y$29+(Regression!$Y$28*Table83[[#This Row],[Fat Calories]])</f>
        <v>44.60734836166894</v>
      </c>
      <c r="EM119" s="2">
        <f>Table83[[#This Row],[Waist]]-Table7[[#This Row],[Waist v Fat Calories]]</f>
        <v>-1.6073483616689401</v>
      </c>
      <c r="EN119" s="2">
        <f>Table7[[#This Row],[WaistFatCal Res]]^2</f>
        <v>2.5835687557598259</v>
      </c>
    </row>
    <row r="120" spans="1:144" x14ac:dyDescent="0.25">
      <c r="A120">
        <f>Regression!$B$10+(Regression!$B$9*Table83[[#This Row],[Waist]])</f>
        <v>246.8183038076352</v>
      </c>
      <c r="B120" s="2">
        <f>Table83[[#This Row],[Weight]]-Table7[[#This Row],[Weight v Waist]]</f>
        <v>-2.4183038076351977</v>
      </c>
      <c r="C120" s="2">
        <f>Table7[[#This Row],[Weight v Waist Res]]^2</f>
        <v>5.8481933060228952</v>
      </c>
      <c r="D120">
        <f>Regression!$C$10+(Regression!$C$9*Table83[[#This Row],[Neck]])</f>
        <v>253.29286486487842</v>
      </c>
      <c r="E120" s="2">
        <f>Table83[[#This Row],[Weight]]-Table7[[#This Row],[Weight v Neck]]</f>
        <v>-8.892864864878419</v>
      </c>
      <c r="F120" s="2">
        <f>Table7[[#This Row],[WN Res]]^2</f>
        <v>79.083045504989059</v>
      </c>
      <c r="G120">
        <f>Regression!$D$10+(Regression!$D$9*Table83[[#This Row],[Morning Body Temp]])</f>
        <v>254.49637801530542</v>
      </c>
      <c r="H120" s="2">
        <f>Table83[[#This Row],[Weight]]-Table7[[#This Row],[Weight v Morning Temp]]</f>
        <v>-10.096378015305419</v>
      </c>
      <c r="I120" s="2">
        <f>Table7[[#This Row],[WMT Res]]^2</f>
        <v>101.93684902794259</v>
      </c>
      <c r="J120">
        <f>Regression!$E$10+(Regression!$E$9*Table83[[#This Row],[Morning Systolic Pressure]])</f>
        <v>255.59533587125256</v>
      </c>
      <c r="K120" s="2">
        <f>Table83[[#This Row],[Weight]]-Table7[[#This Row],[Weight v Morning Sys]]</f>
        <v>-11.195335871252553</v>
      </c>
      <c r="L120" s="2">
        <f>Table7[[#This Row],[WMS Res]]^2</f>
        <v>125.33554527015416</v>
      </c>
      <c r="M120">
        <f>Regression!$F$10+(Regression!$F$9*Table83[[#This Row],[Morning Diastolic Pressure]])</f>
        <v>254.8993513991569</v>
      </c>
      <c r="N120" s="2">
        <f>Table83[[#This Row],[Weight]]-Table7[[#This Row],[Weight v Morning Dia]]</f>
        <v>-10.499351399156893</v>
      </c>
      <c r="O120" s="2">
        <f>Table7[[#This Row],[WMD Res]]^2</f>
        <v>110.23637980297781</v>
      </c>
      <c r="P120">
        <f>Regression!$G$10+(Regression!$G$9*Table83[[#This Row],[Morning Pulse]])</f>
        <v>255.12643966469878</v>
      </c>
      <c r="Q120" s="2">
        <f>Table83[[#This Row],[Weight]]-Table7[[#This Row],[Weight v Morning Pulse]]</f>
        <v>-10.726439664698773</v>
      </c>
      <c r="R120" s="2">
        <f>Table7[[#This Row],[WMP Res]]^2</f>
        <v>115.05650788042314</v>
      </c>
      <c r="S120">
        <f>Regression!$H$10+(Regression!$H$9*Table83[[#This Row],[Night Body Temp]])</f>
        <v>253.72182440222656</v>
      </c>
      <c r="T120" s="2">
        <f>Table83[[#This Row],[Weight]]-Table7[[#This Row],[Weight v Night Temp]]</f>
        <v>-9.3218244022265537</v>
      </c>
      <c r="U120" s="2">
        <f>Table7[[#This Row],[WNT Res]]^2</f>
        <v>86.896410185946451</v>
      </c>
      <c r="V120">
        <f>Regression!$I$10+(Regression!$I$9*Table83[[#This Row],[Night Systolic Pressure]])</f>
        <v>255.85445039733804</v>
      </c>
      <c r="W120" s="2">
        <f>Table83[[#This Row],[Weight]]-Table7[[#This Row],[Weight v Night Sys]]</f>
        <v>-11.454450397338036</v>
      </c>
      <c r="X120" s="2">
        <f>Table7[[#This Row],[WNS Res]]^2</f>
        <v>131.20443390507748</v>
      </c>
      <c r="Y120">
        <f>Regression!$J$10+(Regression!$J$9*Table83[[#This Row],[Night Diastolic Pressure]])</f>
        <v>254.60312595325288</v>
      </c>
      <c r="Z120" s="2">
        <f>Table83[[#This Row],[Weight]]-Table7[[#This Row],[Weight v Night Dia]]</f>
        <v>-10.203125953252879</v>
      </c>
      <c r="AA120" s="2">
        <f>Table7[[#This Row],[WND Res]]^2</f>
        <v>104.10377921794247</v>
      </c>
      <c r="AB120">
        <f>Regression!$K$10+(Regression!$K$9*Table83[[#This Row],[Night Pulse]])</f>
        <v>255.60156515852887</v>
      </c>
      <c r="AC120" s="2">
        <f>Table83[[#This Row],[Weight]]-Table7[[#This Row],[Weight v Night Pulse]]</f>
        <v>-11.201565158528865</v>
      </c>
      <c r="AD120" s="2">
        <f>Table7[[#This Row],[WNP Res ]]^2</f>
        <v>125.47506200076781</v>
      </c>
      <c r="AE120">
        <f>Regression!$L$10+(Regression!$L$9*Table83[[#This Row],[Sleep]])</f>
        <v>255.13702972738133</v>
      </c>
      <c r="AF120" s="2">
        <f>Table83[[#This Row],[Weight]]-Table7[[#This Row],[Weight v Sleep]]</f>
        <v>-10.737029727381326</v>
      </c>
      <c r="AG120" s="2">
        <f>Table7[[#This Row],[WS Res]]^2</f>
        <v>115.28380736667032</v>
      </c>
      <c r="AH120">
        <f>Regression!$M$10+(Regression!$M$9*Table83[[#This Row],[BMI]])</f>
        <v>244.40000000002399</v>
      </c>
      <c r="AI120" s="2">
        <f>Table83[[#This Row],[Weight]]-Table7[[#This Row],[Weight v BMI]]</f>
        <v>-2.3987922759260982E-11</v>
      </c>
      <c r="AJ120" s="2">
        <f>Table7[[#This Row],[WBMI Res]]^2</f>
        <v>5.7542043830427102E-22</v>
      </c>
      <c r="AK120">
        <f>Regression!$N$10+(Regression!$N$9*Table83[[#This Row],[CBF]])</f>
        <v>246.85529009284974</v>
      </c>
      <c r="AL120" s="2">
        <f>Table83[[#This Row],[Weight]]-Table7[[#This Row],[Weight v CBF]]</f>
        <v>-2.4552900928497365</v>
      </c>
      <c r="AM120" s="2">
        <f>Table7[[#This Row],[WCBF Res]]^2</f>
        <v>6.0284494400460682</v>
      </c>
      <c r="AN120">
        <f>Regression!$O$10+(Regression!$O$9*Table83[[#This Row],[Gym]])</f>
        <v>255.46779661016953</v>
      </c>
      <c r="AO120" s="2">
        <f>Table83[[#This Row],[Weight]]-Table7[[#This Row],[Weight v Gym]]</f>
        <v>-11.067796610169523</v>
      </c>
      <c r="AP120" s="2">
        <f>Table7[[#This Row],[WG Res]]^2</f>
        <v>122.49612180407999</v>
      </c>
      <c r="AQ120">
        <f>Regression!$P$10+(Regression!$P$9*Table83[[#This Row],[Cardio]])</f>
        <v>254.19242424242461</v>
      </c>
      <c r="AR120" s="2">
        <f>Table83[[#This Row],[Weight]]-Table7[[#This Row],[Weight v Cardio]]</f>
        <v>-9.7924242424246017</v>
      </c>
      <c r="AS120" s="2">
        <f>Table7[[#This Row],[WC Res]]^2</f>
        <v>95.891572543625031</v>
      </c>
      <c r="AT120">
        <f>Regression!$Q$10+(Regression!$Q$9*Table83[[#This Row],[Calories]])</f>
        <v>255.66777418870421</v>
      </c>
      <c r="AU120" s="2">
        <f>Table83[[#This Row],[Weight]]-Table7[[#This Row],[Weight v Calories]]</f>
        <v>-11.267774188704209</v>
      </c>
      <c r="AV120" s="2">
        <f>Table7[[#This Row],[WCAL Res]]^2</f>
        <v>126.96273516762879</v>
      </c>
      <c r="AW120">
        <f>Regression!$R$10+(Regression!$R$9*Table83[[#This Row],[Carbs]])</f>
        <v>255.4100080745294</v>
      </c>
      <c r="AX120" s="2">
        <f>Table83[[#This Row],[Weight]]-Table7[[#This Row],[Weight v Carbs]]</f>
        <v>-11.010008074529395</v>
      </c>
      <c r="AY120" s="2">
        <f>Table7[[#This Row],[Wcarb Res]]^2</f>
        <v>121.22027780120249</v>
      </c>
      <c r="AZ120">
        <f>Regression!$S$10+(Regression!$S$9*Table83[[#This Row],[Fat ]])</f>
        <v>255.62366282684584</v>
      </c>
      <c r="BA120" s="2">
        <f>Table83[[#This Row],[Weight]]-Table7[[#This Row],[Weight v Fat]]</f>
        <v>-11.223662826845839</v>
      </c>
      <c r="BB120" s="2">
        <f>Table7[[#This Row],[WF Res]]^2</f>
        <v>125.97060725072113</v>
      </c>
      <c r="BC120">
        <f>Regression!$T$10+(Regression!$T$9*Table83[[#This Row],[Protein]])</f>
        <v>255.85312822437942</v>
      </c>
      <c r="BD120" s="2">
        <f>Table83[[#This Row],[Weight]]-Table7[[#This Row],[Weight v Protein]]</f>
        <v>-11.453128224379412</v>
      </c>
      <c r="BE120" s="2">
        <f>Table7[[#This Row],[WP Res]]^2</f>
        <v>131.17414612407632</v>
      </c>
      <c r="BF120">
        <f>Regression!$U$10+(Regression!$U$9*Table83[[#This Row],[Fiber]])</f>
        <v>254.86916688989132</v>
      </c>
      <c r="BG120" s="2">
        <f>Table83[[#This Row],[Weight]]-Table7[[#This Row],[Weight v Fiber]]</f>
        <v>-10.469166889891312</v>
      </c>
      <c r="BH120" s="2">
        <f>Table7[[#This Row],[Wfib Res]]^2</f>
        <v>109.60345536839652</v>
      </c>
      <c r="BI120">
        <f>Regression!$V$10+(Regression!$V$9*Table83[[#This Row],[Sugar]])</f>
        <v>255.21705899335458</v>
      </c>
      <c r="BJ120" s="2">
        <f>Table83[[#This Row],[Weight]]-Table7[[#This Row],[Weight v Sugar]]</f>
        <v>-10.817058993354578</v>
      </c>
      <c r="BK120" s="2">
        <f>Table7[[#This Row],[Wsugar Res]]^2</f>
        <v>117.00876526571317</v>
      </c>
      <c r="BL120">
        <f>Regression!$W$10+(Regression!$W$9*Table83[[#This Row],[Servings]])</f>
        <v>255.04565706423082</v>
      </c>
      <c r="BM120" s="2">
        <f>Table83[[#This Row],[Weight]]-Table7[[#This Row],[Weight v Servings]]</f>
        <v>-10.645657064230818</v>
      </c>
      <c r="BN120" s="2">
        <f>Table7[[#This Row],[Wserv Res]]^2</f>
        <v>113.33001432920751</v>
      </c>
      <c r="BO120">
        <f>Regression!$X$10+(Regression!$X$9*Table83[[#This Row],[Water]])</f>
        <v>255.06345001025522</v>
      </c>
      <c r="BP120" s="2">
        <f>Table83[[#This Row],[Weight]]-Table7[[#This Row],[Weight v Water]]</f>
        <v>-10.663450010255218</v>
      </c>
      <c r="BQ120" s="2">
        <f>Table7[[#This Row],[Wwater Res]]^2</f>
        <v>113.70916612121201</v>
      </c>
      <c r="BR120">
        <f>Regression!$Y$10+(Regression!$Y$9*Table83[[#This Row],[Fat Calories]])</f>
        <v>255.65148076354066</v>
      </c>
      <c r="BS120" s="2">
        <f>Table83[[#This Row],[Weight]]-Table7[[#This Row],[Weight v Fat Calories]]</f>
        <v>-11.251480763540656</v>
      </c>
      <c r="BT120" s="2">
        <f>Table7[[#This Row],[WFC Res]]^2</f>
        <v>126.59581937232541</v>
      </c>
      <c r="BU120">
        <f>Regression!$B$29+(Regression!$B$28*Table83[[#This Row],[Weight]])</f>
        <v>42.993480992936838</v>
      </c>
      <c r="BV120" s="2">
        <f>Table83[[#This Row],[Waist]]-Table7[[#This Row],[Waist v Weight]]</f>
        <v>6.5190070631615527E-3</v>
      </c>
      <c r="BW120" s="2">
        <f>Table7[[#This Row],[WaistW Res]]^2</f>
        <v>4.2497453089550209E-5</v>
      </c>
      <c r="BX120">
        <f>Regression!$C$29+(Regression!$C$28*Table83[[#This Row],[Neck]])</f>
        <v>44.175585585585594</v>
      </c>
      <c r="BY120" s="2">
        <f>Table83[[#This Row],[Waist]]-Table7[[#This Row],[Waist v Neck]]</f>
        <v>-1.1755855855855941</v>
      </c>
      <c r="BZ120" s="2">
        <f>Table7[[#This Row],[WaistN Res]]^2</f>
        <v>1.3820014690366242</v>
      </c>
      <c r="CA120">
        <f>Regression!$D$29+(Regression!$D$28*Table83[[#This Row],[Morning Body Temp]])</f>
        <v>44.2852766121743</v>
      </c>
      <c r="CB120" s="2">
        <f>Table83[[#This Row],[Waist]]-Table7[[#This Row],[Waist v Morning Temp]]</f>
        <v>-1.2852766121743002</v>
      </c>
      <c r="CC120" s="2">
        <f>Table7[[#This Row],[WaistMT Res]]^2</f>
        <v>1.6519359698022467</v>
      </c>
      <c r="CD120">
        <f>Regression!$E$29+(Regression!$E$28*Table83[[#This Row],[Morning Systolic Pressure]])</f>
        <v>44.566379185060903</v>
      </c>
      <c r="CE120" s="2">
        <f>Table83[[#This Row],[Waist]]-Table7[[#This Row],[Waist v Morning Sys]]</f>
        <v>-1.566379185060903</v>
      </c>
      <c r="CF120" s="2">
        <f>Table7[[#This Row],[WaistMS Res]]^2</f>
        <v>2.4535437513920586</v>
      </c>
      <c r="CG120">
        <f>Regression!$F$29+(Regression!$F$28*Table83[[#This Row],[Morning Diastolic Pressure]])</f>
        <v>44.441545426806556</v>
      </c>
      <c r="CH120" s="2">
        <f>Table83[[#This Row],[Waist]]-Table7[[#This Row],[Waist v Morning Dia]]</f>
        <v>-1.441545426806556</v>
      </c>
      <c r="CI120" s="2">
        <f>Table7[[#This Row],[WaistMD Res]]^2</f>
        <v>2.0780532175468958</v>
      </c>
      <c r="CJ120">
        <f>Regression!$G$29+(Regression!$G$28*Table83[[#This Row],[Morning Pulse]])</f>
        <v>44.458773712947881</v>
      </c>
      <c r="CK120" s="2">
        <f>Table83[[#This Row],[Waist]]-Table7[[#This Row],[Waist v Morning Pulse]]</f>
        <v>-1.4587737129478811</v>
      </c>
      <c r="CL120" s="2">
        <f>Table7[[#This Row],[WaistMP Res]]^2</f>
        <v>2.1280207455877469</v>
      </c>
      <c r="CM120">
        <f>Regression!$H$29+(Regression!$H$28*Table83[[#This Row],[Night Body Temp]])</f>
        <v>44.34369394519566</v>
      </c>
      <c r="CN120" s="2">
        <f>Table83[[#This Row],[Waist]]-Table7[[#This Row],[Waist v Night Temp]]</f>
        <v>-1.3436939451956604</v>
      </c>
      <c r="CO120" s="2">
        <f>Table7[[#This Row],[WaistNT Res]]^2</f>
        <v>1.8055134183554784</v>
      </c>
      <c r="CP120">
        <f>Regression!$I$29+(Regression!$I$28*Table83[[#This Row],[Night Systolic Pressure]])</f>
        <v>44.558280115584509</v>
      </c>
      <c r="CQ120" s="2">
        <f>Table83[[#This Row],[Waist]]-Table7[[#This Row],[Waist v  Night Sys]]</f>
        <v>-1.558280115584509</v>
      </c>
      <c r="CR120" s="2">
        <f>Table7[[#This Row],[WaistNS Res]]^2</f>
        <v>2.4282369186260708</v>
      </c>
      <c r="CS120">
        <f>Regression!$J$29+(Regression!$J$28*Table83[[#This Row],[Night Diastolic Pressure]])</f>
        <v>44.239208723456983</v>
      </c>
      <c r="CT120" s="2">
        <f>Table83[[#This Row],[Waist]]-Table7[[#This Row],[Waist v Night Dia]]</f>
        <v>-1.2392087234569829</v>
      </c>
      <c r="CU120" s="2">
        <f>Table7[[#This Row],[WaistND Res]]^2</f>
        <v>1.535638260291885</v>
      </c>
      <c r="CV120">
        <f>Regression!$K$29+(Regression!$K$28*Table83[[#This Row],[Night Pulse]])</f>
        <v>44.408286938967898</v>
      </c>
      <c r="CW120" s="2">
        <f>Table83[[#This Row],[Waist]]-Table7[[#This Row],[Waist v Night Pulse]]</f>
        <v>-1.4082869389678976</v>
      </c>
      <c r="CX120" s="2">
        <f>Table7[[#This Row],[WaistNP Res]]^2</f>
        <v>1.9832721024675708</v>
      </c>
      <c r="CY120">
        <f>Regression!$L$29+(Regression!$L$28*Table83[[#This Row],[Sleep]])</f>
        <v>44.456891852858099</v>
      </c>
      <c r="CZ120" s="2">
        <f>Table83[[#This Row],[Waist]]-Table7[[#This Row],[Waist v  Sleep]]</f>
        <v>-1.4568918528580994</v>
      </c>
      <c r="DA120" s="2">
        <f>Table7[[#This Row],[WaistS Res]]^2</f>
        <v>2.1225338709243058</v>
      </c>
      <c r="DB120">
        <f>Regression!$M$29+(Regression!$M$28*Table83[[#This Row],[BMI]])</f>
        <v>42.993480992941478</v>
      </c>
      <c r="DC120" s="2">
        <f>Table83[[#This Row],[Waist]]-Table7[[#This Row],[Waist v BMI]]</f>
        <v>6.5190070585217086E-3</v>
      </c>
      <c r="DD120" s="2">
        <f>Table7[[#This Row],[WaistBMI Res]]^2</f>
        <v>4.2497453029055862E-5</v>
      </c>
      <c r="DE120">
        <f>Regression!$N$29+(Regression!$N$28*Table83[[#This Row],[CBF]])</f>
        <v>42.966198760667851</v>
      </c>
      <c r="DF120" s="2">
        <f>Table83[[#This Row],[Waist]]-Table7[[#This Row],[Waist v  CBF]]</f>
        <v>3.380123933214918E-2</v>
      </c>
      <c r="DG120" s="2">
        <f>Table7[[#This Row],[WaistCBF Res]]^2</f>
        <v>1.1425237803892288E-3</v>
      </c>
      <c r="DH120">
        <f>Regression!$O$29+(Regression!$O$28*Table83[[#This Row],[Gym]])</f>
        <v>44.550847457627107</v>
      </c>
      <c r="DI120" s="2">
        <f>Table83[[#This Row],[Waist]]-Table7[[#This Row],[Waist v  Gym]]</f>
        <v>-1.550847457627107</v>
      </c>
      <c r="DJ120" s="2">
        <f>Table7[[#This Row],[WaistGYM Res]]^2</f>
        <v>2.4051278368284614</v>
      </c>
      <c r="DK120">
        <f>Regression!$P$29+(Regression!$P$28*Table83[[#This Row],[Cardio]])</f>
        <v>44.291666666666664</v>
      </c>
      <c r="DL120" s="2">
        <f>Table83[[#This Row],[Waist]]-Table7[[#This Row],[Waist v Cardio]]</f>
        <v>-1.2916666666666643</v>
      </c>
      <c r="DM120" s="2">
        <f>Table7[[#This Row],[WaistC Res]]^2</f>
        <v>1.6684027777777717</v>
      </c>
      <c r="DN120">
        <f>Regression!$Q$29+(Regression!$Q$28*Table83[[#This Row],[Calories]])</f>
        <v>44.577725981369021</v>
      </c>
      <c r="DO120" s="2">
        <f>Table83[[#This Row],[Waist]]-Table7[[#This Row],[Waist v Calories]]</f>
        <v>-1.5777259813690208</v>
      </c>
      <c r="DP120" s="2">
        <f>Table7[[#This Row],[WaistCal Res]]^2</f>
        <v>2.4892192722868396</v>
      </c>
      <c r="DQ120">
        <f>Regression!$R$29+(Regression!$R$28*Table83[[#This Row],[Carbs]])</f>
        <v>44.514949485448859</v>
      </c>
      <c r="DR120" s="2">
        <f>Table83[[#This Row],[Waist]]-Table7[[#This Row],[Waist v Carbs]]</f>
        <v>-1.5149494854488594</v>
      </c>
      <c r="DS120" s="2">
        <f>Table7[[#This Row],[WaistCarb Res]]^2</f>
        <v>2.2950719434617639</v>
      </c>
      <c r="DT120">
        <f>Regression!$S$29+(Regression!$S$28*Table83[[#This Row],[Fat ]])</f>
        <v>44.609013758879286</v>
      </c>
      <c r="DU120" s="2">
        <f>Table83[[#This Row],[Waist]]-Table7[[#This Row],[Waist v Fat]]</f>
        <v>-1.6090137588792857</v>
      </c>
      <c r="DV120" s="2">
        <f>Table7[[#This Row],[WaistF Res]]^2</f>
        <v>2.5889252762628479</v>
      </c>
      <c r="DW120">
        <f>Regression!$T$29+(Regression!$T$28*Table83[[#This Row],[Protein]])</f>
        <v>44.588636607925892</v>
      </c>
      <c r="DX120" s="2">
        <f>Table83[[#This Row],[Waist]]-Table7[[#This Row],[Waist v Protein]]</f>
        <v>-1.588636607925892</v>
      </c>
      <c r="DY120" s="2">
        <f>Table7[[#This Row],[WaistP Res]]^2</f>
        <v>2.5237662720422844</v>
      </c>
      <c r="DZ120">
        <f>Regression!$U$29+(Regression!$U$28*Table83[[#This Row],[Fiber]])</f>
        <v>44.358665597395003</v>
      </c>
      <c r="EA120" s="2">
        <f>Table83[[#This Row],[Waist]]-Table7[[#This Row],[Waist v Fiber]]</f>
        <v>-1.358665597395003</v>
      </c>
      <c r="EB120" s="2">
        <f>Table7[[#This Row],[WaistFib Res]]^2</f>
        <v>1.8459722055447205</v>
      </c>
      <c r="EC120">
        <f>Regression!$V$29+(Regression!$V$28*Table83[[#This Row],[Sugar]])</f>
        <v>44.471865634276718</v>
      </c>
      <c r="ED120" s="2">
        <f>Table83[[#This Row],[Waist]]-Table7[[#This Row],[Waist v Sugar]]</f>
        <v>-1.4718656342767176</v>
      </c>
      <c r="EE120" s="2">
        <f>Table7[[#This Row],[WaistSugar Res]]^2</f>
        <v>2.1663884453648041</v>
      </c>
      <c r="EF120">
        <f>Regression!$W$29+(Regression!$W$28*Table83[[#This Row],[Servings]])</f>
        <v>44.442952494788209</v>
      </c>
      <c r="EG120" s="2">
        <f>Table83[[#This Row],[Waist]]-Table7[[#This Row],[Waist v Servings]]</f>
        <v>-1.4429524947882086</v>
      </c>
      <c r="EH120" s="2">
        <f>Table7[[#This Row],[WaistServ Res]]^2</f>
        <v>2.0821119022155155</v>
      </c>
      <c r="EI120">
        <f>Regression!$X$29+(Regression!$X$28*Table83[[#This Row],[Water]])</f>
        <v>44.386198474840633</v>
      </c>
      <c r="EJ120" s="2">
        <f>Table83[[#This Row],[Waist]]-Table7[[#This Row],[Waist v Water]]</f>
        <v>-1.3861984748406329</v>
      </c>
      <c r="EK120" s="2">
        <f>Table7[[#This Row],[WaistWat Res]]^2</f>
        <v>1.9215462116504967</v>
      </c>
      <c r="EL120">
        <f>Regression!$Y$29+(Regression!$Y$28*Table83[[#This Row],[Fat Calories]])</f>
        <v>44.61668559946667</v>
      </c>
      <c r="EM120" s="2">
        <f>Table83[[#This Row],[Waist]]-Table7[[#This Row],[Waist v Fat Calories]]</f>
        <v>-1.6166855994666705</v>
      </c>
      <c r="EN120" s="2">
        <f>Table7[[#This Row],[WaistFatCal Res]]^2</f>
        <v>2.6136723275229077</v>
      </c>
    </row>
    <row r="121" spans="1:144" x14ac:dyDescent="0.25">
      <c r="A121">
        <f>Regression!$B$10+(Regression!$B$9*Table83[[#This Row],[Waist]])</f>
        <v>246.8183038076352</v>
      </c>
      <c r="B121" s="2">
        <f>Table83[[#This Row],[Weight]]-Table7[[#This Row],[Weight v Waist]]</f>
        <v>-2.6183038076352148</v>
      </c>
      <c r="C121" s="2">
        <f>Table7[[#This Row],[Weight v Waist Res]]^2</f>
        <v>6.8555148290770633</v>
      </c>
      <c r="D121">
        <f>Regression!$C$10+(Regression!$C$9*Table83[[#This Row],[Neck]])</f>
        <v>253.29286486487842</v>
      </c>
      <c r="E121" s="2">
        <f>Table83[[#This Row],[Weight]]-Table7[[#This Row],[Weight v Neck]]</f>
        <v>-9.092864864878436</v>
      </c>
      <c r="F121" s="2">
        <f>Table7[[#This Row],[WN Res]]^2</f>
        <v>82.68019145094074</v>
      </c>
      <c r="G121">
        <f>Regression!$D$10+(Regression!$D$9*Table83[[#This Row],[Morning Body Temp]])</f>
        <v>255.12996500330669</v>
      </c>
      <c r="H121" s="2">
        <f>Table83[[#This Row],[Weight]]-Table7[[#This Row],[Weight v Morning Temp]]</f>
        <v>-10.929965003306705</v>
      </c>
      <c r="I121" s="2">
        <f>Table7[[#This Row],[WMT Res]]^2</f>
        <v>119.46413497350935</v>
      </c>
      <c r="J121">
        <f>Regression!$E$10+(Regression!$E$9*Table83[[#This Row],[Morning Systolic Pressure]])</f>
        <v>255.14456383261873</v>
      </c>
      <c r="K121" s="2">
        <f>Table83[[#This Row],[Weight]]-Table7[[#This Row],[Weight v Morning Sys]]</f>
        <v>-10.944563832618741</v>
      </c>
      <c r="L121" s="2">
        <f>Table7[[#This Row],[WMS Res]]^2</f>
        <v>119.78347748626622</v>
      </c>
      <c r="M121">
        <f>Regression!$F$10+(Regression!$F$9*Table83[[#This Row],[Morning Diastolic Pressure]])</f>
        <v>255.30472839533641</v>
      </c>
      <c r="N121" s="2">
        <f>Table83[[#This Row],[Weight]]-Table7[[#This Row],[Weight v Morning Dia]]</f>
        <v>-11.104728395336423</v>
      </c>
      <c r="O121" s="2">
        <f>Table7[[#This Row],[WMD Res]]^2</f>
        <v>123.31499273419105</v>
      </c>
      <c r="P121">
        <f>Regression!$G$10+(Regression!$G$9*Table83[[#This Row],[Morning Pulse]])</f>
        <v>255.11181729864128</v>
      </c>
      <c r="Q121" s="2">
        <f>Table83[[#This Row],[Weight]]-Table7[[#This Row],[Weight v Morning Pulse]]</f>
        <v>-10.911817298641296</v>
      </c>
      <c r="R121" s="2">
        <f>Table7[[#This Row],[WMP Res]]^2</f>
        <v>119.06775675892743</v>
      </c>
      <c r="S121">
        <f>Regression!$H$10+(Regression!$H$9*Table83[[#This Row],[Night Body Temp]])</f>
        <v>254.85148667752509</v>
      </c>
      <c r="T121" s="2">
        <f>Table83[[#This Row],[Weight]]-Table7[[#This Row],[Weight v Night Temp]]</f>
        <v>-10.651486677525099</v>
      </c>
      <c r="U121" s="2">
        <f>Table7[[#This Row],[WNT Res]]^2</f>
        <v>113.45416844149469</v>
      </c>
      <c r="V121">
        <f>Regression!$I$10+(Regression!$I$9*Table83[[#This Row],[Night Systolic Pressure]])</f>
        <v>254.52006755496794</v>
      </c>
      <c r="W121" s="2">
        <f>Table83[[#This Row],[Weight]]-Table7[[#This Row],[Weight v Night Sys]]</f>
        <v>-10.320067554967949</v>
      </c>
      <c r="X121" s="2">
        <f>Table7[[#This Row],[WNS Res]]^2</f>
        <v>106.50379433910214</v>
      </c>
      <c r="Y121">
        <f>Regression!$J$10+(Regression!$J$9*Table83[[#This Row],[Night Diastolic Pressure]])</f>
        <v>255.58150679523933</v>
      </c>
      <c r="Z121" s="2">
        <f>Table83[[#This Row],[Weight]]-Table7[[#This Row],[Weight v Night Dia]]</f>
        <v>-11.381506795239346</v>
      </c>
      <c r="AA121" s="2">
        <f>Table7[[#This Row],[WND Res]]^2</f>
        <v>129.53869693007942</v>
      </c>
      <c r="AB121">
        <f>Regression!$K$10+(Regression!$K$9*Table83[[#This Row],[Night Pulse]])</f>
        <v>254.83373187761069</v>
      </c>
      <c r="AC121" s="2">
        <f>Table83[[#This Row],[Weight]]-Table7[[#This Row],[Weight v Night Pulse]]</f>
        <v>-10.6337318776107</v>
      </c>
      <c r="AD121" s="2">
        <f>Table7[[#This Row],[WNP Res ]]^2</f>
        <v>113.07625364491398</v>
      </c>
      <c r="AE121">
        <f>Regression!$L$10+(Regression!$L$9*Table83[[#This Row],[Sleep]])</f>
        <v>255.29476681906823</v>
      </c>
      <c r="AF121" s="2">
        <f>Table83[[#This Row],[Weight]]-Table7[[#This Row],[Weight v Sleep]]</f>
        <v>-11.094766819068241</v>
      </c>
      <c r="AG121" s="2">
        <f>Table7[[#This Row],[WS Res]]^2</f>
        <v>123.09385076949761</v>
      </c>
      <c r="AH121">
        <f>Regression!$M$10+(Regression!$M$9*Table83[[#This Row],[BMI]])</f>
        <v>244.2000000000244</v>
      </c>
      <c r="AI121" s="2">
        <f>Table83[[#This Row],[Weight]]-Table7[[#This Row],[Weight v BMI]]</f>
        <v>-2.4414248400717042E-11</v>
      </c>
      <c r="AJ121" s="2">
        <f>Table7[[#This Row],[WBMI Res]]^2</f>
        <v>5.9605552497191466E-22</v>
      </c>
      <c r="AK121">
        <f>Regression!$N$10+(Regression!$N$9*Table83[[#This Row],[CBF]])</f>
        <v>246.85529009284974</v>
      </c>
      <c r="AL121" s="2">
        <f>Table83[[#This Row],[Weight]]-Table7[[#This Row],[Weight v CBF]]</f>
        <v>-2.6552900928497536</v>
      </c>
      <c r="AM121" s="2">
        <f>Table7[[#This Row],[WCBF Res]]^2</f>
        <v>7.0505654771860531</v>
      </c>
      <c r="AN121">
        <f>Regression!$O$10+(Regression!$O$9*Table83[[#This Row],[Gym]])</f>
        <v>255.46779661016953</v>
      </c>
      <c r="AO121" s="2">
        <f>Table83[[#This Row],[Weight]]-Table7[[#This Row],[Weight v Gym]]</f>
        <v>-11.26779661016954</v>
      </c>
      <c r="AP121" s="2">
        <f>Table7[[#This Row],[WG Res]]^2</f>
        <v>126.96324044814818</v>
      </c>
      <c r="AQ121">
        <f>Regression!$P$10+(Regression!$P$9*Table83[[#This Row],[Cardio]])</f>
        <v>254.19242424242461</v>
      </c>
      <c r="AR121" s="2">
        <f>Table83[[#This Row],[Weight]]-Table7[[#This Row],[Weight v Cardio]]</f>
        <v>-9.9924242424246188</v>
      </c>
      <c r="AS121" s="2">
        <f>Table7[[#This Row],[WC Res]]^2</f>
        <v>99.848542240595222</v>
      </c>
      <c r="AT121">
        <f>Regression!$Q$10+(Regression!$Q$9*Table83[[#This Row],[Calories]])</f>
        <v>255.74788262267123</v>
      </c>
      <c r="AU121" s="2">
        <f>Table83[[#This Row],[Weight]]-Table7[[#This Row],[Weight v Calories]]</f>
        <v>-11.547882622671239</v>
      </c>
      <c r="AV121" s="2">
        <f>Table7[[#This Row],[WCAL Res]]^2</f>
        <v>133.35359306699237</v>
      </c>
      <c r="AW121">
        <f>Regression!$R$10+(Regression!$R$9*Table83[[#This Row],[Carbs]])</f>
        <v>255.48992783637942</v>
      </c>
      <c r="AX121" s="2">
        <f>Table83[[#This Row],[Weight]]-Table7[[#This Row],[Weight v Carbs]]</f>
        <v>-11.289927836379434</v>
      </c>
      <c r="AY121" s="2">
        <f>Table7[[#This Row],[Wcarb Res]]^2</f>
        <v>127.4624705506552</v>
      </c>
      <c r="AZ121">
        <f>Regression!$S$10+(Regression!$S$9*Table83[[#This Row],[Fat ]])</f>
        <v>255.69157596897577</v>
      </c>
      <c r="BA121" s="2">
        <f>Table83[[#This Row],[Weight]]-Table7[[#This Row],[Weight v Fat]]</f>
        <v>-11.491575968975781</v>
      </c>
      <c r="BB121" s="2">
        <f>Table7[[#This Row],[WF Res]]^2</f>
        <v>132.05631825074164</v>
      </c>
      <c r="BC121">
        <f>Regression!$T$10+(Regression!$T$9*Table83[[#This Row],[Protein]])</f>
        <v>255.81119584695887</v>
      </c>
      <c r="BD121" s="2">
        <f>Table83[[#This Row],[Weight]]-Table7[[#This Row],[Weight v Protein]]</f>
        <v>-11.611195846958879</v>
      </c>
      <c r="BE121" s="2">
        <f>Table7[[#This Row],[WP Res]]^2</f>
        <v>134.8198689964351</v>
      </c>
      <c r="BF121">
        <f>Regression!$U$10+(Regression!$U$9*Table83[[#This Row],[Fiber]])</f>
        <v>254.88146829183248</v>
      </c>
      <c r="BG121" s="2">
        <f>Table83[[#This Row],[Weight]]-Table7[[#This Row],[Weight v Fiber]]</f>
        <v>-10.681468291832488</v>
      </c>
      <c r="BH121" s="2">
        <f>Table7[[#This Row],[Wfib Res]]^2</f>
        <v>114.09376486942284</v>
      </c>
      <c r="BI121">
        <f>Regression!$V$10+(Regression!$V$9*Table83[[#This Row],[Sugar]])</f>
        <v>255.35366572215628</v>
      </c>
      <c r="BJ121" s="2">
        <f>Table83[[#This Row],[Weight]]-Table7[[#This Row],[Weight v Sugar]]</f>
        <v>-11.15366572215629</v>
      </c>
      <c r="BK121" s="2">
        <f>Table7[[#This Row],[Wsugar Res]]^2</f>
        <v>124.40425904160421</v>
      </c>
      <c r="BL121">
        <f>Regression!$W$10+(Regression!$W$9*Table83[[#This Row],[Servings]])</f>
        <v>255.00743217965251</v>
      </c>
      <c r="BM121" s="2">
        <f>Table83[[#This Row],[Weight]]-Table7[[#This Row],[Weight v Servings]]</f>
        <v>-10.807432179652523</v>
      </c>
      <c r="BN121" s="2">
        <f>Table7[[#This Row],[Wserv Res]]^2</f>
        <v>116.80059031778887</v>
      </c>
      <c r="BO121">
        <f>Regression!$X$10+(Regression!$X$9*Table83[[#This Row],[Water]])</f>
        <v>255.19189796045953</v>
      </c>
      <c r="BP121" s="2">
        <f>Table83[[#This Row],[Weight]]-Table7[[#This Row],[Weight v Water]]</f>
        <v>-10.991897960459539</v>
      </c>
      <c r="BQ121" s="2">
        <f>Table7[[#This Row],[Wwater Res]]^2</f>
        <v>120.82182077315458</v>
      </c>
      <c r="BR121">
        <f>Regression!$Y$10+(Regression!$Y$9*Table83[[#This Row],[Fat Calories]])</f>
        <v>255.7237574315852</v>
      </c>
      <c r="BS121" s="2">
        <f>Table83[[#This Row],[Weight]]-Table7[[#This Row],[Weight v Fat Calories]]</f>
        <v>-11.52375743158521</v>
      </c>
      <c r="BT121" s="2">
        <f>Table7[[#This Row],[WFC Res]]^2</f>
        <v>132.79698534201535</v>
      </c>
      <c r="BU121">
        <f>Regression!$B$29+(Regression!$B$28*Table83[[#This Row],[Weight]])</f>
        <v>42.966228490822836</v>
      </c>
      <c r="BV121" s="2">
        <f>Table83[[#This Row],[Waist]]-Table7[[#This Row],[Waist v Weight]]</f>
        <v>3.3771509177164205E-2</v>
      </c>
      <c r="BW121" s="2">
        <f>Table7[[#This Row],[WaistW Res]]^2</f>
        <v>1.140514832103286E-3</v>
      </c>
      <c r="BX121">
        <f>Regression!$C$29+(Regression!$C$28*Table83[[#This Row],[Neck]])</f>
        <v>44.175585585585594</v>
      </c>
      <c r="BY121" s="2">
        <f>Table83[[#This Row],[Waist]]-Table7[[#This Row],[Waist v Neck]]</f>
        <v>-1.1755855855855941</v>
      </c>
      <c r="BZ121" s="2">
        <f>Table7[[#This Row],[WaistN Res]]^2</f>
        <v>1.3820014690366242</v>
      </c>
      <c r="CA121">
        <f>Regression!$D$29+(Regression!$D$28*Table83[[#This Row],[Morning Body Temp]])</f>
        <v>44.457597930757203</v>
      </c>
      <c r="CB121" s="2">
        <f>Table83[[#This Row],[Waist]]-Table7[[#This Row],[Waist v Morning Temp]]</f>
        <v>-1.4575979307572027</v>
      </c>
      <c r="CC121" s="2">
        <f>Table7[[#This Row],[WaistMT Res]]^2</f>
        <v>2.1245917277476791</v>
      </c>
      <c r="CD121">
        <f>Regression!$E$29+(Regression!$E$28*Table83[[#This Row],[Morning Systolic Pressure]])</f>
        <v>44.460475132636631</v>
      </c>
      <c r="CE121" s="2">
        <f>Table83[[#This Row],[Waist]]-Table7[[#This Row],[Waist v Morning Sys]]</f>
        <v>-1.4604751326366312</v>
      </c>
      <c r="CF121" s="2">
        <f>Table7[[#This Row],[WaistMS Res]]^2</f>
        <v>2.1329876130499854</v>
      </c>
      <c r="CG121">
        <f>Regression!$F$29+(Regression!$F$28*Table83[[#This Row],[Morning Diastolic Pressure]])</f>
        <v>44.464087909481968</v>
      </c>
      <c r="CH121" s="2">
        <f>Table83[[#This Row],[Waist]]-Table7[[#This Row],[Waist v Morning Dia]]</f>
        <v>-1.4640879094819681</v>
      </c>
      <c r="CI121" s="2">
        <f>Table7[[#This Row],[WaistMD Res]]^2</f>
        <v>2.1435534066912796</v>
      </c>
      <c r="CJ121">
        <f>Regression!$G$29+(Regression!$G$28*Table83[[#This Row],[Morning Pulse]])</f>
        <v>44.45205769235897</v>
      </c>
      <c r="CK121" s="2">
        <f>Table83[[#This Row],[Waist]]-Table7[[#This Row],[Waist v Morning Pulse]]</f>
        <v>-1.4520576923589701</v>
      </c>
      <c r="CL121" s="2">
        <f>Table7[[#This Row],[WaistMP Res]]^2</f>
        <v>2.1084715419388576</v>
      </c>
      <c r="CM121">
        <f>Regression!$H$29+(Regression!$H$28*Table83[[#This Row],[Night Body Temp]])</f>
        <v>44.432760107049404</v>
      </c>
      <c r="CN121" s="2">
        <f>Table83[[#This Row],[Waist]]-Table7[[#This Row],[Waist v Night Temp]]</f>
        <v>-1.432760107049404</v>
      </c>
      <c r="CO121" s="2">
        <f>Table7[[#This Row],[WaistNT Res]]^2</f>
        <v>2.0528015243522195</v>
      </c>
      <c r="CP121">
        <f>Regression!$I$29+(Regression!$I$28*Table83[[#This Row],[Night Systolic Pressure]])</f>
        <v>44.369258629351535</v>
      </c>
      <c r="CQ121" s="2">
        <f>Table83[[#This Row],[Waist]]-Table7[[#This Row],[Waist v  Night Sys]]</f>
        <v>-1.3692586293515348</v>
      </c>
      <c r="CR121" s="2">
        <f>Table7[[#This Row],[WaistNS Res]]^2</f>
        <v>1.8748691940536437</v>
      </c>
      <c r="CS121">
        <f>Regression!$J$29+(Regression!$J$28*Table83[[#This Row],[Night Diastolic Pressure]])</f>
        <v>44.648839408435592</v>
      </c>
      <c r="CT121" s="2">
        <f>Table83[[#This Row],[Waist]]-Table7[[#This Row],[Waist v Night Dia]]</f>
        <v>-1.6488394084355917</v>
      </c>
      <c r="CU121" s="2">
        <f>Table7[[#This Row],[WaistND Res]]^2</f>
        <v>2.7186713948102321</v>
      </c>
      <c r="CV121">
        <f>Regression!$K$29+(Regression!$K$28*Table83[[#This Row],[Night Pulse]])</f>
        <v>44.479705596742022</v>
      </c>
      <c r="CW121" s="2">
        <f>Table83[[#This Row],[Waist]]-Table7[[#This Row],[Waist v Night Pulse]]</f>
        <v>-1.4797055967420221</v>
      </c>
      <c r="CX121" s="2">
        <f>Table7[[#This Row],[WaistNP Res]]^2</f>
        <v>2.1895286530296638</v>
      </c>
      <c r="CY121">
        <f>Regression!$L$29+(Regression!$L$28*Table83[[#This Row],[Sleep]])</f>
        <v>44.480941336855928</v>
      </c>
      <c r="CZ121" s="2">
        <f>Table83[[#This Row],[Waist]]-Table7[[#This Row],[Waist v  Sleep]]</f>
        <v>-1.4809413368559277</v>
      </c>
      <c r="DA121" s="2">
        <f>Table7[[#This Row],[WaistS Res]]^2</f>
        <v>2.1931872432086221</v>
      </c>
      <c r="DB121">
        <f>Regression!$M$29+(Regression!$M$28*Table83[[#This Row],[BMI]])</f>
        <v>42.966228490827561</v>
      </c>
      <c r="DC121" s="2">
        <f>Table83[[#This Row],[Waist]]-Table7[[#This Row],[Waist v BMI]]</f>
        <v>3.3771509172439096E-2</v>
      </c>
      <c r="DD121" s="2">
        <f>Table7[[#This Row],[WaistBMI Res]]^2</f>
        <v>1.1405148317841379E-3</v>
      </c>
      <c r="DE121">
        <f>Regression!$N$29+(Regression!$N$28*Table83[[#This Row],[CBF]])</f>
        <v>42.966198760667851</v>
      </c>
      <c r="DF121" s="2">
        <f>Table83[[#This Row],[Waist]]-Table7[[#This Row],[Waist v  CBF]]</f>
        <v>3.380123933214918E-2</v>
      </c>
      <c r="DG121" s="2">
        <f>Table7[[#This Row],[WaistCBF Res]]^2</f>
        <v>1.1425237803892288E-3</v>
      </c>
      <c r="DH121">
        <f>Regression!$O$29+(Regression!$O$28*Table83[[#This Row],[Gym]])</f>
        <v>44.550847457627107</v>
      </c>
      <c r="DI121" s="2">
        <f>Table83[[#This Row],[Waist]]-Table7[[#This Row],[Waist v  Gym]]</f>
        <v>-1.550847457627107</v>
      </c>
      <c r="DJ121" s="2">
        <f>Table7[[#This Row],[WaistGYM Res]]^2</f>
        <v>2.4051278368284614</v>
      </c>
      <c r="DK121">
        <f>Regression!$P$29+(Regression!$P$28*Table83[[#This Row],[Cardio]])</f>
        <v>44.291666666666664</v>
      </c>
      <c r="DL121" s="2">
        <f>Table83[[#This Row],[Waist]]-Table7[[#This Row],[Waist v Cardio]]</f>
        <v>-1.2916666666666643</v>
      </c>
      <c r="DM121" s="2">
        <f>Table7[[#This Row],[WaistC Res]]^2</f>
        <v>1.6684027777777717</v>
      </c>
      <c r="DN121">
        <f>Regression!$Q$29+(Regression!$Q$28*Table83[[#This Row],[Calories]])</f>
        <v>44.59572456970335</v>
      </c>
      <c r="DO121" s="2">
        <f>Table83[[#This Row],[Waist]]-Table7[[#This Row],[Waist v Calories]]</f>
        <v>-1.59572456970335</v>
      </c>
      <c r="DP121" s="2">
        <f>Table7[[#This Row],[WaistCal Res]]^2</f>
        <v>2.5463369023549416</v>
      </c>
      <c r="DQ121">
        <f>Regression!$R$29+(Regression!$R$28*Table83[[#This Row],[Carbs]])</f>
        <v>44.531588290456618</v>
      </c>
      <c r="DR121" s="2">
        <f>Table83[[#This Row],[Waist]]-Table7[[#This Row],[Waist v Carbs]]</f>
        <v>-1.531588290456618</v>
      </c>
      <c r="DS121" s="2">
        <f>Table7[[#This Row],[WaistCarb Res]]^2</f>
        <v>2.3457626914638259</v>
      </c>
      <c r="DT121">
        <f>Regression!$S$29+(Regression!$S$28*Table83[[#This Row],[Fat ]])</f>
        <v>44.629773369202255</v>
      </c>
      <c r="DU121" s="2">
        <f>Table83[[#This Row],[Waist]]-Table7[[#This Row],[Waist v Fat]]</f>
        <v>-1.6297733692022547</v>
      </c>
      <c r="DV121" s="2">
        <f>Table7[[#This Row],[WaistF Res]]^2</f>
        <v>2.656161234960869</v>
      </c>
      <c r="DW121">
        <f>Regression!$T$29+(Regression!$T$28*Table83[[#This Row],[Protein]])</f>
        <v>44.580961425218902</v>
      </c>
      <c r="DX121" s="2">
        <f>Table83[[#This Row],[Waist]]-Table7[[#This Row],[Waist v Protein]]</f>
        <v>-1.5809614252189021</v>
      </c>
      <c r="DY121" s="2">
        <f>Table7[[#This Row],[WaistP Res]]^2</f>
        <v>2.4994390280301824</v>
      </c>
      <c r="DZ121">
        <f>Regression!$U$29+(Regression!$U$28*Table83[[#This Row],[Fiber]])</f>
        <v>44.363412215762452</v>
      </c>
      <c r="EA121" s="2">
        <f>Table83[[#This Row],[Waist]]-Table7[[#This Row],[Waist v Fiber]]</f>
        <v>-1.3634122157624518</v>
      </c>
      <c r="EB121" s="2">
        <f>Table7[[#This Row],[WaistFib Res]]^2</f>
        <v>1.8588928700902783</v>
      </c>
      <c r="EC121">
        <f>Regression!$V$29+(Regression!$V$28*Table83[[#This Row],[Sugar]])</f>
        <v>44.49640550952742</v>
      </c>
      <c r="ED121" s="2">
        <f>Table83[[#This Row],[Waist]]-Table7[[#This Row],[Waist v Sugar]]</f>
        <v>-1.4964055095274205</v>
      </c>
      <c r="EE121" s="2">
        <f>Table7[[#This Row],[WaistSugar Res]]^2</f>
        <v>2.2392294489440188</v>
      </c>
      <c r="EF121">
        <f>Regression!$W$29+(Regression!$W$28*Table83[[#This Row],[Servings]])</f>
        <v>44.437120014227951</v>
      </c>
      <c r="EG121" s="2">
        <f>Table83[[#This Row],[Waist]]-Table7[[#This Row],[Waist v Servings]]</f>
        <v>-1.4371200142279505</v>
      </c>
      <c r="EH121" s="2">
        <f>Table7[[#This Row],[WaistServ Res]]^2</f>
        <v>2.0653139352945447</v>
      </c>
      <c r="EI121">
        <f>Regression!$X$29+(Regression!$X$28*Table83[[#This Row],[Water]])</f>
        <v>44.553850107074496</v>
      </c>
      <c r="EJ121" s="2">
        <f>Table83[[#This Row],[Waist]]-Table7[[#This Row],[Waist v Water]]</f>
        <v>-1.5538501070744957</v>
      </c>
      <c r="EK121" s="2">
        <f>Table7[[#This Row],[WaistWat Res]]^2</f>
        <v>2.4144501552554218</v>
      </c>
      <c r="EL121">
        <f>Regression!$Y$29+(Regression!$Y$28*Table83[[#This Row],[Fat Calories]])</f>
        <v>44.638667013448824</v>
      </c>
      <c r="EM121" s="2">
        <f>Table83[[#This Row],[Waist]]-Table7[[#This Row],[Waist v Fat Calories]]</f>
        <v>-1.6386670134488242</v>
      </c>
      <c r="EN121" s="2">
        <f>Table7[[#This Row],[WaistFatCal Res]]^2</f>
        <v>2.6852295809652889</v>
      </c>
    </row>
    <row r="122" spans="1:144" x14ac:dyDescent="0.25">
      <c r="A122">
        <f>Regression!$B$10+(Regression!$B$9*Table83[[#This Row],[Waist]])</f>
        <v>246.8183038076352</v>
      </c>
      <c r="B122" s="2">
        <f>Table83[[#This Row],[Weight]]-Table7[[#This Row],[Weight v Waist]]</f>
        <v>-1.8183038076352034</v>
      </c>
      <c r="C122" s="2">
        <f>Table7[[#This Row],[Weight v Waist Res]]^2</f>
        <v>3.3062287368606786</v>
      </c>
      <c r="D122">
        <f>Regression!$C$10+(Regression!$C$9*Table83[[#This Row],[Neck]])</f>
        <v>253.29286486487842</v>
      </c>
      <c r="E122" s="2">
        <f>Table83[[#This Row],[Weight]]-Table7[[#This Row],[Weight v Neck]]</f>
        <v>-8.2928648648784247</v>
      </c>
      <c r="F122" s="2">
        <f>Table7[[#This Row],[WN Res]]^2</f>
        <v>68.771607667135058</v>
      </c>
      <c r="G122">
        <f>Regression!$D$10+(Regression!$D$9*Table83[[#This Row],[Morning Body Temp]])</f>
        <v>254.56677656952775</v>
      </c>
      <c r="H122" s="2">
        <f>Table83[[#This Row],[Weight]]-Table7[[#This Row],[Weight v Morning Temp]]</f>
        <v>-9.5667765695277467</v>
      </c>
      <c r="I122" s="2">
        <f>Table7[[#This Row],[WMT Res]]^2</f>
        <v>91.523213931265076</v>
      </c>
      <c r="J122">
        <f>Regression!$E$10+(Regression!$E$9*Table83[[#This Row],[Morning Systolic Pressure]])</f>
        <v>255.82072189056947</v>
      </c>
      <c r="K122" s="2">
        <f>Table83[[#This Row],[Weight]]-Table7[[#This Row],[Weight v Morning Sys]]</f>
        <v>-10.820721890569473</v>
      </c>
      <c r="L122" s="2">
        <f>Table7[[#This Row],[WMS Res]]^2</f>
        <v>117.08802223304939</v>
      </c>
      <c r="M122">
        <f>Regression!$F$10+(Regression!$F$9*Table83[[#This Row],[Morning Diastolic Pressure]])</f>
        <v>254.49397440297739</v>
      </c>
      <c r="N122" s="2">
        <f>Table83[[#This Row],[Weight]]-Table7[[#This Row],[Weight v Morning Dia]]</f>
        <v>-9.4939744029773863</v>
      </c>
      <c r="O122" s="2">
        <f>Table7[[#This Row],[WMD Res]]^2</f>
        <v>90.135549964389824</v>
      </c>
      <c r="P122">
        <f>Regression!$G$10+(Regression!$G$9*Table83[[#This Row],[Morning Pulse]])</f>
        <v>255.11547289015564</v>
      </c>
      <c r="Q122" s="2">
        <f>Table83[[#This Row],[Weight]]-Table7[[#This Row],[Weight v Morning Pulse]]</f>
        <v>-10.115472890155644</v>
      </c>
      <c r="R122" s="2">
        <f>Table7[[#This Row],[WMP Res]]^2</f>
        <v>102.32279179147378</v>
      </c>
      <c r="S122">
        <f>Regression!$H$10+(Regression!$H$9*Table83[[#This Row],[Night Body Temp]])</f>
        <v>253.51643126126316</v>
      </c>
      <c r="T122" s="2">
        <f>Table83[[#This Row],[Weight]]-Table7[[#This Row],[Weight v Night Temp]]</f>
        <v>-8.5164312612631647</v>
      </c>
      <c r="U122" s="2">
        <f>Table7[[#This Row],[WNT Res]]^2</f>
        <v>72.529601427820495</v>
      </c>
      <c r="V122">
        <f>Regression!$I$10+(Regression!$I$9*Table83[[#This Row],[Night Systolic Pressure]])</f>
        <v>256.26502973345191</v>
      </c>
      <c r="W122" s="2">
        <f>Table83[[#This Row],[Weight]]-Table7[[#This Row],[Weight v Night Sys]]</f>
        <v>-11.265029733451911</v>
      </c>
      <c r="X122" s="2">
        <f>Table7[[#This Row],[WNS Res]]^2</f>
        <v>126.90089489555564</v>
      </c>
      <c r="Y122">
        <f>Regression!$J$10+(Regression!$J$9*Table83[[#This Row],[Night Diastolic Pressure]])</f>
        <v>255.33691158474272</v>
      </c>
      <c r="Z122" s="2">
        <f>Table83[[#This Row],[Weight]]-Table7[[#This Row],[Weight v Night Dia]]</f>
        <v>-10.336911584742722</v>
      </c>
      <c r="AA122" s="2">
        <f>Table7[[#This Row],[WND Res]]^2</f>
        <v>106.8517411107883</v>
      </c>
      <c r="AB122">
        <f>Regression!$K$10+(Regression!$K$9*Table83[[#This Row],[Night Pulse]])</f>
        <v>255.57085182729213</v>
      </c>
      <c r="AC122" s="2">
        <f>Table83[[#This Row],[Weight]]-Table7[[#This Row],[Weight v Night Pulse]]</f>
        <v>-10.570851827292131</v>
      </c>
      <c r="AD122" s="2">
        <f>Table7[[#This Row],[WNP Res ]]^2</f>
        <v>111.74290835456539</v>
      </c>
      <c r="AE122">
        <f>Regression!$L$10+(Regression!$L$9*Table83[[#This Row],[Sleep]])</f>
        <v>254.97929263569441</v>
      </c>
      <c r="AF122" s="2">
        <f>Table83[[#This Row],[Weight]]-Table7[[#This Row],[Weight v Sleep]]</f>
        <v>-9.9792926356944065</v>
      </c>
      <c r="AG122" s="2">
        <f>Table7[[#This Row],[WS Res]]^2</f>
        <v>99.586281508824612</v>
      </c>
      <c r="AH122">
        <f>Regression!$M$10+(Regression!$M$9*Table83[[#This Row],[BMI]])</f>
        <v>245.00000000002262</v>
      </c>
      <c r="AI122" s="2">
        <f>Table83[[#This Row],[Weight]]-Table7[[#This Row],[Weight v BMI]]</f>
        <v>-2.262368070660159E-11</v>
      </c>
      <c r="AJ122" s="2">
        <f>Table7[[#This Row],[WBMI Res]]^2</f>
        <v>5.1183092871425701E-22</v>
      </c>
      <c r="AK122">
        <f>Regression!$N$10+(Regression!$N$9*Table83[[#This Row],[CBF]])</f>
        <v>246.85529009284974</v>
      </c>
      <c r="AL122" s="2">
        <f>Table83[[#This Row],[Weight]]-Table7[[#This Row],[Weight v CBF]]</f>
        <v>-1.8552900928497422</v>
      </c>
      <c r="AM122" s="2">
        <f>Table7[[#This Row],[WCBF Res]]^2</f>
        <v>3.4421013286264053</v>
      </c>
      <c r="AN122">
        <f>Regression!$O$10+(Regression!$O$9*Table83[[#This Row],[Gym]])</f>
        <v>254.72962962962998</v>
      </c>
      <c r="AO122" s="2">
        <f>Table83[[#This Row],[Weight]]-Table7[[#This Row],[Weight v Gym]]</f>
        <v>-9.7296296296299829</v>
      </c>
      <c r="AP122" s="2">
        <f>Table7[[#This Row],[WG Res]]^2</f>
        <v>94.665692729773681</v>
      </c>
      <c r="AQ122">
        <f>Regression!$P$10+(Regression!$P$9*Table83[[#This Row],[Cardio]])</f>
        <v>254.19242424242461</v>
      </c>
      <c r="AR122" s="2">
        <f>Table83[[#This Row],[Weight]]-Table7[[#This Row],[Weight v Cardio]]</f>
        <v>-9.1924242424246074</v>
      </c>
      <c r="AS122" s="2">
        <f>Table7[[#This Row],[WC Res]]^2</f>
        <v>84.500663452715614</v>
      </c>
      <c r="AT122">
        <f>Regression!$Q$10+(Regression!$Q$9*Table83[[#This Row],[Calories]])</f>
        <v>255.79239184950291</v>
      </c>
      <c r="AU122" s="2">
        <f>Table83[[#This Row],[Weight]]-Table7[[#This Row],[Weight v Calories]]</f>
        <v>-10.792391849502906</v>
      </c>
      <c r="AV122" s="2">
        <f>Table7[[#This Row],[WCAL Res]]^2</f>
        <v>116.47572183321675</v>
      </c>
      <c r="AW122">
        <f>Regression!$R$10+(Regression!$R$9*Table83[[#This Row],[Carbs]])</f>
        <v>255.48017384969694</v>
      </c>
      <c r="AX122" s="2">
        <f>Table83[[#This Row],[Weight]]-Table7[[#This Row],[Weight v Carbs]]</f>
        <v>-10.480173849696939</v>
      </c>
      <c r="AY122" s="2">
        <f>Table7[[#This Row],[Wcarb Res]]^2</f>
        <v>109.83404391987156</v>
      </c>
      <c r="AZ122">
        <f>Regression!$S$10+(Regression!$S$9*Table83[[#This Row],[Fat ]])</f>
        <v>255.68256095010898</v>
      </c>
      <c r="BA122" s="2">
        <f>Table83[[#This Row],[Weight]]-Table7[[#This Row],[Weight v Fat]]</f>
        <v>-10.682560950108979</v>
      </c>
      <c r="BB122" s="2">
        <f>Table7[[#This Row],[WF Res]]^2</f>
        <v>114.11710845279325</v>
      </c>
      <c r="BC122">
        <f>Regression!$T$10+(Regression!$T$9*Table83[[#This Row],[Protein]])</f>
        <v>256.58563444244481</v>
      </c>
      <c r="BD122" s="2">
        <f>Table83[[#This Row],[Weight]]-Table7[[#This Row],[Weight v Protein]]</f>
        <v>-11.585634442444814</v>
      </c>
      <c r="BE122" s="2">
        <f>Table7[[#This Row],[WP Res]]^2</f>
        <v>134.22692543396354</v>
      </c>
      <c r="BF122">
        <f>Regression!$U$10+(Regression!$U$9*Table83[[#This Row],[Fiber]])</f>
        <v>254.89171946011678</v>
      </c>
      <c r="BG122" s="2">
        <f>Table83[[#This Row],[Weight]]-Table7[[#This Row],[Weight v Fiber]]</f>
        <v>-9.8917194601167751</v>
      </c>
      <c r="BH122" s="2">
        <f>Table7[[#This Row],[Wfib Res]]^2</f>
        <v>97.846113877652897</v>
      </c>
      <c r="BI122">
        <f>Regression!$V$10+(Regression!$V$9*Table83[[#This Row],[Sugar]])</f>
        <v>255.42592349186455</v>
      </c>
      <c r="BJ122" s="2">
        <f>Table83[[#This Row],[Weight]]-Table7[[#This Row],[Weight v Sugar]]</f>
        <v>-10.425923491864552</v>
      </c>
      <c r="BK122" s="2">
        <f>Table7[[#This Row],[Wsugar Res]]^2</f>
        <v>108.69988065821313</v>
      </c>
      <c r="BL122">
        <f>Regression!$W$10+(Regression!$W$9*Table83[[#This Row],[Servings]])</f>
        <v>255.48524323688153</v>
      </c>
      <c r="BM122" s="2">
        <f>Table83[[#This Row],[Weight]]-Table7[[#This Row],[Weight v Servings]]</f>
        <v>-10.48524323688153</v>
      </c>
      <c r="BN122" s="2">
        <f>Table7[[#This Row],[Wserv Res]]^2</f>
        <v>109.94032573656986</v>
      </c>
      <c r="BO122">
        <f>Regression!$X$10+(Regression!$X$9*Table83[[#This Row],[Water]])</f>
        <v>255.0206340268538</v>
      </c>
      <c r="BP122" s="2">
        <f>Table83[[#This Row],[Weight]]-Table7[[#This Row],[Weight v Water]]</f>
        <v>-10.020634026853799</v>
      </c>
      <c r="BQ122" s="2">
        <f>Table7[[#This Row],[Wwater Res]]^2</f>
        <v>100.41310630014017</v>
      </c>
      <c r="BR122">
        <f>Regression!$Y$10+(Regression!$Y$9*Table83[[#This Row],[Fat Calories]])</f>
        <v>255.71416318361466</v>
      </c>
      <c r="BS122" s="2">
        <f>Table83[[#This Row],[Weight]]-Table7[[#This Row],[Weight v Fat Calories]]</f>
        <v>-10.714163183614659</v>
      </c>
      <c r="BT122" s="2">
        <f>Table7[[#This Row],[WFC Res]]^2</f>
        <v>114.79329272512381</v>
      </c>
      <c r="BU122">
        <f>Regression!$B$29+(Regression!$B$28*Table83[[#This Row],[Weight]])</f>
        <v>43.075238499278825</v>
      </c>
      <c r="BV122" s="2">
        <f>Table83[[#This Row],[Waist]]-Table7[[#This Row],[Waist v Weight]]</f>
        <v>-7.5238499278825088E-2</v>
      </c>
      <c r="BW122" s="2">
        <f>Table7[[#This Row],[WaistW Res]]^2</f>
        <v>5.6608317737297633E-3</v>
      </c>
      <c r="BX122">
        <f>Regression!$C$29+(Regression!$C$28*Table83[[#This Row],[Neck]])</f>
        <v>44.175585585585594</v>
      </c>
      <c r="BY122" s="2">
        <f>Table83[[#This Row],[Waist]]-Table7[[#This Row],[Waist v Neck]]</f>
        <v>-1.1755855855855941</v>
      </c>
      <c r="BZ122" s="2">
        <f>Table7[[#This Row],[WaistN Res]]^2</f>
        <v>1.3820014690366242</v>
      </c>
      <c r="CA122">
        <f>Regression!$D$29+(Regression!$D$28*Table83[[#This Row],[Morning Body Temp]])</f>
        <v>44.30442342535018</v>
      </c>
      <c r="CB122" s="2">
        <f>Table83[[#This Row],[Waist]]-Table7[[#This Row],[Waist v Morning Temp]]</f>
        <v>-1.3044234253501799</v>
      </c>
      <c r="CC122" s="2">
        <f>Table7[[#This Row],[WaistMT Res]]^2</f>
        <v>1.7015204726022963</v>
      </c>
      <c r="CD122">
        <f>Regression!$E$29+(Regression!$E$28*Table83[[#This Row],[Morning Systolic Pressure]])</f>
        <v>44.619331211273035</v>
      </c>
      <c r="CE122" s="2">
        <f>Table83[[#This Row],[Waist]]-Table7[[#This Row],[Waist v Morning Sys]]</f>
        <v>-1.6193312112730354</v>
      </c>
      <c r="CF122" s="2">
        <f>Table7[[#This Row],[WaistMS Res]]^2</f>
        <v>2.6222335718029961</v>
      </c>
      <c r="CG122">
        <f>Regression!$F$29+(Regression!$F$28*Table83[[#This Row],[Morning Diastolic Pressure]])</f>
        <v>44.419002944131137</v>
      </c>
      <c r="CH122" s="2">
        <f>Table83[[#This Row],[Waist]]-Table7[[#This Row],[Waist v Morning Dia]]</f>
        <v>-1.4190029441311367</v>
      </c>
      <c r="CI122" s="2">
        <f>Table7[[#This Row],[WaistMD Res]]^2</f>
        <v>2.0135693554528338</v>
      </c>
      <c r="CJ122">
        <f>Regression!$G$29+(Regression!$G$28*Table83[[#This Row],[Morning Pulse]])</f>
        <v>44.453736697506194</v>
      </c>
      <c r="CK122" s="2">
        <f>Table83[[#This Row],[Waist]]-Table7[[#This Row],[Waist v Morning Pulse]]</f>
        <v>-1.4537366975061943</v>
      </c>
      <c r="CL122" s="2">
        <f>Table7[[#This Row],[WaistMP Res]]^2</f>
        <v>2.1133503856762164</v>
      </c>
      <c r="CM122">
        <f>Regression!$H$29+(Regression!$H$28*Table83[[#This Row],[Night Body Temp]])</f>
        <v>44.32750009758589</v>
      </c>
      <c r="CN122" s="2">
        <f>Table83[[#This Row],[Waist]]-Table7[[#This Row],[Waist v Night Temp]]</f>
        <v>-1.3275000975858902</v>
      </c>
      <c r="CO122" s="2">
        <f>Table7[[#This Row],[WaistNT Res]]^2</f>
        <v>1.762256509090548</v>
      </c>
      <c r="CP122">
        <f>Regression!$I$29+(Regression!$I$28*Table83[[#This Row],[Night Systolic Pressure]])</f>
        <v>44.616440572886958</v>
      </c>
      <c r="CQ122" s="2">
        <f>Table83[[#This Row],[Waist]]-Table7[[#This Row],[Waist v  Night Sys]]</f>
        <v>-1.6164405728869582</v>
      </c>
      <c r="CR122" s="2">
        <f>Table7[[#This Row],[WaistNS Res]]^2</f>
        <v>2.6128801256751175</v>
      </c>
      <c r="CS122">
        <f>Regression!$J$29+(Regression!$J$28*Table83[[#This Row],[Night Diastolic Pressure]])</f>
        <v>44.546431737190943</v>
      </c>
      <c r="CT122" s="2">
        <f>Table83[[#This Row],[Waist]]-Table7[[#This Row],[Waist v Night Dia]]</f>
        <v>-1.5464317371909431</v>
      </c>
      <c r="CU122" s="2">
        <f>Table7[[#This Row],[WaistND Res]]^2</f>
        <v>2.391451117791398</v>
      </c>
      <c r="CV122">
        <f>Regression!$K$29+(Regression!$K$28*Table83[[#This Row],[Night Pulse]])</f>
        <v>44.411143685278866</v>
      </c>
      <c r="CW122" s="2">
        <f>Table83[[#This Row],[Waist]]-Table7[[#This Row],[Waist v Night Pulse]]</f>
        <v>-1.4111436852788657</v>
      </c>
      <c r="CX122" s="2">
        <f>Table7[[#This Row],[WaistNP Res]]^2</f>
        <v>1.9913265005024183</v>
      </c>
      <c r="CY122">
        <f>Regression!$L$29+(Regression!$L$28*Table83[[#This Row],[Sleep]])</f>
        <v>44.432842368860271</v>
      </c>
      <c r="CZ122" s="2">
        <f>Table83[[#This Row],[Waist]]-Table7[[#This Row],[Waist v  Sleep]]</f>
        <v>-1.4328423688602712</v>
      </c>
      <c r="DA122" s="2">
        <f>Table7[[#This Row],[WaistS Res]]^2</f>
        <v>2.0530372540011133</v>
      </c>
      <c r="DB122">
        <f>Regression!$M$29+(Regression!$M$28*Table83[[#This Row],[BMI]])</f>
        <v>43.075238499283202</v>
      </c>
      <c r="DC122" s="2">
        <f>Table83[[#This Row],[Waist]]-Table7[[#This Row],[Waist v BMI]]</f>
        <v>-7.5238499283202032E-2</v>
      </c>
      <c r="DD122" s="2">
        <f>Table7[[#This Row],[WaistBMI Res]]^2</f>
        <v>5.6608317743883927E-3</v>
      </c>
      <c r="DE122">
        <f>Regression!$N$29+(Regression!$N$28*Table83[[#This Row],[CBF]])</f>
        <v>42.966198760667851</v>
      </c>
      <c r="DF122" s="2">
        <f>Table83[[#This Row],[Waist]]-Table7[[#This Row],[Waist v  CBF]]</f>
        <v>3.380123933214918E-2</v>
      </c>
      <c r="DG122" s="2">
        <f>Table7[[#This Row],[WaistCBF Res]]^2</f>
        <v>1.1425237803892288E-3</v>
      </c>
      <c r="DH122">
        <f>Regression!$O$29+(Regression!$O$28*Table83[[#This Row],[Gym]])</f>
        <v>44.347222222222221</v>
      </c>
      <c r="DI122" s="2">
        <f>Table83[[#This Row],[Waist]]-Table7[[#This Row],[Waist v  Gym]]</f>
        <v>-1.3472222222222214</v>
      </c>
      <c r="DJ122" s="2">
        <f>Table7[[#This Row],[WaistGYM Res]]^2</f>
        <v>1.8150077160493805</v>
      </c>
      <c r="DK122">
        <f>Regression!$P$29+(Regression!$P$28*Table83[[#This Row],[Cardio]])</f>
        <v>44.291666666666664</v>
      </c>
      <c r="DL122" s="2">
        <f>Table83[[#This Row],[Waist]]-Table7[[#This Row],[Waist v Cardio]]</f>
        <v>-1.2916666666666643</v>
      </c>
      <c r="DM122" s="2">
        <f>Table7[[#This Row],[WaistC Res]]^2</f>
        <v>1.6684027777777717</v>
      </c>
      <c r="DN122">
        <f>Regression!$Q$29+(Regression!$Q$28*Table83[[#This Row],[Calories]])</f>
        <v>44.60572480577278</v>
      </c>
      <c r="DO122" s="2">
        <f>Table83[[#This Row],[Waist]]-Table7[[#This Row],[Waist v Calories]]</f>
        <v>-1.6057248057727804</v>
      </c>
      <c r="DP122" s="2">
        <f>Table7[[#This Row],[WaistCal Res]]^2</f>
        <v>2.5783521518740335</v>
      </c>
      <c r="DQ122">
        <f>Regression!$R$29+(Regression!$R$28*Table83[[#This Row],[Carbs]])</f>
        <v>44.529557570160392</v>
      </c>
      <c r="DR122" s="2">
        <f>Table83[[#This Row],[Waist]]-Table7[[#This Row],[Waist v Carbs]]</f>
        <v>-1.5295575701603923</v>
      </c>
      <c r="DS122" s="2">
        <f>Table7[[#This Row],[WaistCarb Res]]^2</f>
        <v>2.3395463604349636</v>
      </c>
      <c r="DT122">
        <f>Regression!$S$29+(Regression!$S$28*Table83[[#This Row],[Fat ]])</f>
        <v>44.62701766871691</v>
      </c>
      <c r="DU122" s="2">
        <f>Table83[[#This Row],[Waist]]-Table7[[#This Row],[Waist v Fat]]</f>
        <v>-1.6270176687169098</v>
      </c>
      <c r="DV122" s="2">
        <f>Table7[[#This Row],[WaistF Res]]^2</f>
        <v>2.6471864943170078</v>
      </c>
      <c r="DW122">
        <f>Regression!$T$29+(Regression!$T$28*Table83[[#This Row],[Protein]])</f>
        <v>44.722712455838703</v>
      </c>
      <c r="DX122" s="2">
        <f>Table83[[#This Row],[Waist]]-Table7[[#This Row],[Waist v Protein]]</f>
        <v>-1.7227124558387032</v>
      </c>
      <c r="DY122" s="2">
        <f>Table7[[#This Row],[WaistP Res]]^2</f>
        <v>2.9677382055018162</v>
      </c>
      <c r="DZ122">
        <f>Regression!$U$29+(Regression!$U$28*Table83[[#This Row],[Fiber]])</f>
        <v>44.367367731068661</v>
      </c>
      <c r="EA122" s="2">
        <f>Table83[[#This Row],[Waist]]-Table7[[#This Row],[Waist v Fiber]]</f>
        <v>-1.3673677310686614</v>
      </c>
      <c r="EB122" s="2">
        <f>Table7[[#This Row],[WaistFib Res]]^2</f>
        <v>1.8696945119678592</v>
      </c>
      <c r="EC122">
        <f>Regression!$V$29+(Regression!$V$28*Table83[[#This Row],[Sugar]])</f>
        <v>44.509385811962659</v>
      </c>
      <c r="ED122" s="2">
        <f>Table83[[#This Row],[Waist]]-Table7[[#This Row],[Waist v Sugar]]</f>
        <v>-1.5093858119626589</v>
      </c>
      <c r="EE122" s="2">
        <f>Table7[[#This Row],[WaistSugar Res]]^2</f>
        <v>2.2782455293541748</v>
      </c>
      <c r="EF122">
        <f>Regression!$W$29+(Regression!$W$28*Table83[[#This Row],[Servings]])</f>
        <v>44.510026021231106</v>
      </c>
      <c r="EG122" s="2">
        <f>Table83[[#This Row],[Waist]]-Table7[[#This Row],[Waist v Servings]]</f>
        <v>-1.5100260212311056</v>
      </c>
      <c r="EH122" s="2">
        <f>Table7[[#This Row],[WaistServ Res]]^2</f>
        <v>2.2801785847950433</v>
      </c>
      <c r="EI122">
        <f>Regression!$X$29+(Regression!$X$28*Table83[[#This Row],[Water]])</f>
        <v>44.33031459742935</v>
      </c>
      <c r="EJ122" s="2">
        <f>Table83[[#This Row],[Waist]]-Table7[[#This Row],[Waist v Water]]</f>
        <v>-1.33031459742935</v>
      </c>
      <c r="EK122" s="2">
        <f>Table7[[#This Row],[WaistWat Res]]^2</f>
        <v>1.7697369281336135</v>
      </c>
      <c r="EL122">
        <f>Regression!$Y$29+(Regression!$Y$28*Table83[[#This Row],[Fat Calories]])</f>
        <v>44.635749126637037</v>
      </c>
      <c r="EM122" s="2">
        <f>Table83[[#This Row],[Waist]]-Table7[[#This Row],[Waist v Fat Calories]]</f>
        <v>-1.6357491266370374</v>
      </c>
      <c r="EN122" s="2">
        <f>Table7[[#This Row],[WaistFatCal Res]]^2</f>
        <v>2.6756752052938308</v>
      </c>
    </row>
    <row r="123" spans="1:144" x14ac:dyDescent="0.25">
      <c r="A123">
        <f>Regression!$B$10+(Regression!$B$9*Table83[[#This Row],[Waist]])</f>
        <v>249.67228149328892</v>
      </c>
      <c r="B123" s="2">
        <f>Table83[[#This Row],[Weight]]-Table7[[#This Row],[Weight v Waist]]</f>
        <v>-2.6722814932889207</v>
      </c>
      <c r="C123" s="2">
        <f>Table7[[#This Row],[Weight v Waist Res]]^2</f>
        <v>7.1410883793744642</v>
      </c>
      <c r="D123">
        <f>Regression!$C$10+(Regression!$C$9*Table83[[#This Row],[Neck]])</f>
        <v>253.29286486487842</v>
      </c>
      <c r="E123" s="2">
        <f>Table83[[#This Row],[Weight]]-Table7[[#This Row],[Weight v Neck]]</f>
        <v>-6.2928648648784247</v>
      </c>
      <c r="F123" s="2">
        <f>Table7[[#This Row],[WN Res]]^2</f>
        <v>39.600148207621352</v>
      </c>
      <c r="G123">
        <f>Regression!$D$10+(Regression!$D$9*Table83[[#This Row],[Morning Body Temp]])</f>
        <v>255.41155922019615</v>
      </c>
      <c r="H123" s="2">
        <f>Table83[[#This Row],[Weight]]-Table7[[#This Row],[Weight v Morning Temp]]</f>
        <v>-8.4115592201961533</v>
      </c>
      <c r="I123" s="2">
        <f>Table7[[#This Row],[WMT Res]]^2</f>
        <v>70.754328514866913</v>
      </c>
      <c r="J123">
        <f>Regression!$E$10+(Regression!$E$9*Table83[[#This Row],[Morning Systolic Pressure]])</f>
        <v>254.91917781330181</v>
      </c>
      <c r="K123" s="2">
        <f>Table83[[#This Row],[Weight]]-Table7[[#This Row],[Weight v Morning Sys]]</f>
        <v>-7.9191778133018147</v>
      </c>
      <c r="L123" s="2">
        <f>Table7[[#This Row],[WMS Res]]^2</f>
        <v>62.713377238691713</v>
      </c>
      <c r="M123">
        <f>Regression!$F$10+(Regression!$F$9*Table83[[#This Row],[Morning Diastolic Pressure]])</f>
        <v>254.69666290106716</v>
      </c>
      <c r="N123" s="2">
        <f>Table83[[#This Row],[Weight]]-Table7[[#This Row],[Weight v Morning Dia]]</f>
        <v>-7.6966629010671568</v>
      </c>
      <c r="O123" s="2">
        <f>Table7[[#This Row],[WMD Res]]^2</f>
        <v>59.238619812663501</v>
      </c>
      <c r="P123">
        <f>Regression!$G$10+(Regression!$G$9*Table83[[#This Row],[Morning Pulse]])</f>
        <v>255.12826746045599</v>
      </c>
      <c r="Q123" s="2">
        <f>Table83[[#This Row],[Weight]]-Table7[[#This Row],[Weight v Morning Pulse]]</f>
        <v>-8.1282674604559872</v>
      </c>
      <c r="R123" s="2">
        <f>Table7[[#This Row],[WMP Res]]^2</f>
        <v>66.068731908707619</v>
      </c>
      <c r="S123">
        <f>Regression!$H$10+(Regression!$H$9*Table83[[#This Row],[Night Body Temp]])</f>
        <v>254.85148667752509</v>
      </c>
      <c r="T123" s="2">
        <f>Table83[[#This Row],[Weight]]-Table7[[#This Row],[Weight v Night Temp]]</f>
        <v>-7.851486677525088</v>
      </c>
      <c r="U123" s="2">
        <f>Table7[[#This Row],[WNT Res]]^2</f>
        <v>61.645843047353942</v>
      </c>
      <c r="V123">
        <f>Regression!$I$10+(Regression!$I$9*Table83[[#This Row],[Night Systolic Pressure]])</f>
        <v>255.13593655913874</v>
      </c>
      <c r="W123" s="2">
        <f>Table83[[#This Row],[Weight]]-Table7[[#This Row],[Weight v Night Sys]]</f>
        <v>-8.1359365591387416</v>
      </c>
      <c r="X123" s="2">
        <f>Table7[[#This Row],[WNS Res]]^2</f>
        <v>66.193463694330347</v>
      </c>
      <c r="Y123">
        <f>Regression!$J$10+(Regression!$J$9*Table83[[#This Row],[Night Diastolic Pressure]])</f>
        <v>255.09231637424611</v>
      </c>
      <c r="Z123" s="2">
        <f>Table83[[#This Row],[Weight]]-Table7[[#This Row],[Weight v Night Dia]]</f>
        <v>-8.0923163742461099</v>
      </c>
      <c r="AA123" s="2">
        <f>Table7[[#This Row],[WND Res]]^2</f>
        <v>65.485584300891702</v>
      </c>
      <c r="AB123">
        <f>Regression!$K$10+(Regression!$K$9*Table83[[#This Row],[Night Pulse]])</f>
        <v>255.04872519626778</v>
      </c>
      <c r="AC123" s="2">
        <f>Table83[[#This Row],[Weight]]-Table7[[#This Row],[Weight v Night Pulse]]</f>
        <v>-8.0487251962677817</v>
      </c>
      <c r="AD123" s="2">
        <f>Table7[[#This Row],[WNP Res ]]^2</f>
        <v>64.781977285035836</v>
      </c>
      <c r="AE123">
        <f>Regression!$L$10+(Regression!$L$9*Table83[[#This Row],[Sleep]])</f>
        <v>254.19060717725986</v>
      </c>
      <c r="AF123" s="2">
        <f>Table83[[#This Row],[Weight]]-Table7[[#This Row],[Weight v Sleep]]</f>
        <v>-7.1906071772598636</v>
      </c>
      <c r="AG123" s="2">
        <f>Table7[[#This Row],[WS Res]]^2</f>
        <v>51.704831577661061</v>
      </c>
      <c r="AH123">
        <f>Regression!$M$10+(Regression!$M$9*Table83[[#This Row],[BMI]])</f>
        <v>247.00000000001819</v>
      </c>
      <c r="AI123" s="2">
        <f>Table83[[#This Row],[Weight]]-Table7[[#This Row],[Weight v BMI]]</f>
        <v>-1.8189894035458565E-11</v>
      </c>
      <c r="AJ123" s="2">
        <f>Table7[[#This Row],[WBMI Res]]^2</f>
        <v>3.3087224502121107E-22</v>
      </c>
      <c r="AK123">
        <f>Regression!$N$10+(Regression!$N$9*Table83[[#This Row],[CBF]])</f>
        <v>250.04675133427031</v>
      </c>
      <c r="AL123" s="2">
        <f>Table83[[#This Row],[Weight]]-Table7[[#This Row],[Weight v CBF]]</f>
        <v>-3.0467513342703114</v>
      </c>
      <c r="AM123" s="2">
        <f>Table7[[#This Row],[WCBF Res]]^2</f>
        <v>9.2826936928779222</v>
      </c>
      <c r="AN123">
        <f>Regression!$O$10+(Regression!$O$9*Table83[[#This Row],[Gym]])</f>
        <v>254.72962962962998</v>
      </c>
      <c r="AO123" s="2">
        <f>Table83[[#This Row],[Weight]]-Table7[[#This Row],[Weight v Gym]]</f>
        <v>-7.7296296296299829</v>
      </c>
      <c r="AP123" s="2">
        <f>Table7[[#This Row],[WG Res]]^2</f>
        <v>59.74717421125375</v>
      </c>
      <c r="AQ123">
        <f>Regression!$P$10+(Regression!$P$9*Table83[[#This Row],[Cardio]])</f>
        <v>256.41063829787231</v>
      </c>
      <c r="AR123" s="2">
        <f>Table83[[#This Row],[Weight]]-Table7[[#This Row],[Weight v Cardio]]</f>
        <v>-9.4106382978723104</v>
      </c>
      <c r="AS123" s="2">
        <f>Table7[[#This Row],[WC Res]]^2</f>
        <v>88.560113173381055</v>
      </c>
      <c r="AT123">
        <f>Regression!$Q$10+(Regression!$Q$9*Table83[[#This Row],[Calories]])</f>
        <v>252.94572229982512</v>
      </c>
      <c r="AU123" s="2">
        <f>Table83[[#This Row],[Weight]]-Table7[[#This Row],[Weight v Calories]]</f>
        <v>-5.9457222998251211</v>
      </c>
      <c r="AV123" s="2">
        <f>Table7[[#This Row],[WCAL Res]]^2</f>
        <v>35.351613666637725</v>
      </c>
      <c r="AW123">
        <f>Regression!$R$10+(Regression!$R$9*Table83[[#This Row],[Carbs]])</f>
        <v>252.35858346657091</v>
      </c>
      <c r="AX123" s="2">
        <f>Table83[[#This Row],[Weight]]-Table7[[#This Row],[Weight v Carbs]]</f>
        <v>-5.3585834665709058</v>
      </c>
      <c r="AY123" s="2">
        <f>Table7[[#This Row],[Wcarb Res]]^2</f>
        <v>28.714416768207066</v>
      </c>
      <c r="AZ123">
        <f>Regression!$S$10+(Regression!$S$9*Table83[[#This Row],[Fat ]])</f>
        <v>254.01778746603924</v>
      </c>
      <c r="BA123" s="2">
        <f>Table83[[#This Row],[Weight]]-Table7[[#This Row],[Weight v Fat]]</f>
        <v>-7.0177874660392376</v>
      </c>
      <c r="BB123" s="2">
        <f>Table7[[#This Row],[WF Res]]^2</f>
        <v>49.249340918497424</v>
      </c>
      <c r="BC123">
        <f>Regression!$T$10+(Regression!$T$9*Table83[[#This Row],[Protein]])</f>
        <v>253.88055930322065</v>
      </c>
      <c r="BD123" s="2">
        <f>Table83[[#This Row],[Weight]]-Table7[[#This Row],[Weight v Protein]]</f>
        <v>-6.8805593032206502</v>
      </c>
      <c r="BE123" s="2">
        <f>Table7[[#This Row],[WP Res]]^2</f>
        <v>47.342096325136239</v>
      </c>
      <c r="BF123">
        <f>Regression!$U$10+(Regression!$U$9*Table83[[#This Row],[Fiber]])</f>
        <v>255.19412892450325</v>
      </c>
      <c r="BG123" s="2">
        <f>Table83[[#This Row],[Weight]]-Table7[[#This Row],[Weight v Fiber]]</f>
        <v>-8.1941289245032465</v>
      </c>
      <c r="BH123" s="2">
        <f>Table7[[#This Row],[Wfib Res]]^2</f>
        <v>67.143748831380734</v>
      </c>
      <c r="BI123">
        <f>Regression!$V$10+(Regression!$V$9*Table83[[#This Row],[Sugar]])</f>
        <v>250.92616974341468</v>
      </c>
      <c r="BJ123" s="2">
        <f>Table83[[#This Row],[Weight]]-Table7[[#This Row],[Weight v Sugar]]</f>
        <v>-3.9261697434146754</v>
      </c>
      <c r="BK123" s="2">
        <f>Table7[[#This Row],[Wsugar Res]]^2</f>
        <v>15.414808854104859</v>
      </c>
      <c r="BL123">
        <f>Regression!$W$10+(Regression!$W$9*Table83[[#This Row],[Servings]])</f>
        <v>250.83136353947074</v>
      </c>
      <c r="BM123" s="2">
        <f>Table83[[#This Row],[Weight]]-Table7[[#This Row],[Weight v Servings]]</f>
        <v>-3.8313635394707433</v>
      </c>
      <c r="BN123" s="2">
        <f>Table7[[#This Row],[Wserv Res]]^2</f>
        <v>14.679346571585782</v>
      </c>
      <c r="BO123">
        <f>Regression!$X$10+(Regression!$X$9*Table83[[#This Row],[Water]])</f>
        <v>255.0206340268538</v>
      </c>
      <c r="BP123" s="2">
        <f>Table83[[#This Row],[Weight]]-Table7[[#This Row],[Weight v Water]]</f>
        <v>-8.0206340268537986</v>
      </c>
      <c r="BQ123" s="2">
        <f>Table7[[#This Row],[Wwater Res]]^2</f>
        <v>64.330570192724977</v>
      </c>
      <c r="BR123">
        <f>Regression!$Y$10+(Regression!$Y$9*Table83[[#This Row],[Fat Calories]])</f>
        <v>253.94242539172649</v>
      </c>
      <c r="BS123" s="2">
        <f>Table83[[#This Row],[Weight]]-Table7[[#This Row],[Weight v Fat Calories]]</f>
        <v>-6.9424253917264878</v>
      </c>
      <c r="BT123" s="2">
        <f>Table7[[#This Row],[WFC Res]]^2</f>
        <v>48.197270319688677</v>
      </c>
      <c r="BU123">
        <f>Regression!$B$29+(Regression!$B$28*Table83[[#This Row],[Weight]])</f>
        <v>43.347763520418788</v>
      </c>
      <c r="BV123" s="2">
        <f>Table83[[#This Row],[Waist]]-Table7[[#This Row],[Waist v Weight]]</f>
        <v>0.15223647958121234</v>
      </c>
      <c r="BW123" s="2">
        <f>Table7[[#This Row],[WaistW Res]]^2</f>
        <v>2.317594571528088E-2</v>
      </c>
      <c r="BX123">
        <f>Regression!$C$29+(Regression!$C$28*Table83[[#This Row],[Neck]])</f>
        <v>44.175585585585594</v>
      </c>
      <c r="BY123" s="2">
        <f>Table83[[#This Row],[Waist]]-Table7[[#This Row],[Waist v Neck]]</f>
        <v>-0.67558558558559412</v>
      </c>
      <c r="BZ123" s="2">
        <f>Table7[[#This Row],[WaistN Res]]^2</f>
        <v>0.45641588345103012</v>
      </c>
      <c r="CA123">
        <f>Regression!$D$29+(Regression!$D$28*Table83[[#This Row],[Morning Body Temp]])</f>
        <v>44.534185183460714</v>
      </c>
      <c r="CB123" s="2">
        <f>Table83[[#This Row],[Waist]]-Table7[[#This Row],[Waist v Morning Temp]]</f>
        <v>-1.0341851834607141</v>
      </c>
      <c r="CC123" s="2">
        <f>Table7[[#This Row],[WaistMT Res]]^2</f>
        <v>1.0695389936896709</v>
      </c>
      <c r="CD123">
        <f>Regression!$E$29+(Regression!$E$28*Table83[[#This Row],[Morning Systolic Pressure]])</f>
        <v>44.407523106424492</v>
      </c>
      <c r="CE123" s="2">
        <f>Table83[[#This Row],[Waist]]-Table7[[#This Row],[Waist v Morning Sys]]</f>
        <v>-0.90752310642449174</v>
      </c>
      <c r="CF123" s="2">
        <f>Table7[[#This Row],[WaistMS Res]]^2</f>
        <v>0.82359818869435941</v>
      </c>
      <c r="CG123">
        <f>Regression!$F$29+(Regression!$F$28*Table83[[#This Row],[Morning Diastolic Pressure]])</f>
        <v>44.430274185468846</v>
      </c>
      <c r="CH123" s="2">
        <f>Table83[[#This Row],[Waist]]-Table7[[#This Row],[Waist v Morning Dia]]</f>
        <v>-0.93027418546884633</v>
      </c>
      <c r="CI123" s="2">
        <f>Table7[[#This Row],[WaistMD Res]]^2</f>
        <v>0.86541006014972555</v>
      </c>
      <c r="CJ123">
        <f>Regression!$G$29+(Regression!$G$28*Table83[[#This Row],[Morning Pulse]])</f>
        <v>44.459613215521493</v>
      </c>
      <c r="CK123" s="2">
        <f>Table83[[#This Row],[Waist]]-Table7[[#This Row],[Waist v Morning Pulse]]</f>
        <v>-0.95961321552149315</v>
      </c>
      <c r="CL123" s="2">
        <f>Table7[[#This Row],[WaistMP Res]]^2</f>
        <v>0.92085752340349969</v>
      </c>
      <c r="CM123">
        <f>Regression!$H$29+(Regression!$H$28*Table83[[#This Row],[Night Body Temp]])</f>
        <v>44.432760107049404</v>
      </c>
      <c r="CN123" s="2">
        <f>Table83[[#This Row],[Waist]]-Table7[[#This Row],[Waist v Night Temp]]</f>
        <v>-0.93276010704940404</v>
      </c>
      <c r="CO123" s="2">
        <f>Table7[[#This Row],[WaistNT Res]]^2</f>
        <v>0.8700414173028157</v>
      </c>
      <c r="CP123">
        <f>Regression!$I$29+(Regression!$I$28*Table83[[#This Row],[Night Systolic Pressure]])</f>
        <v>44.456499315305209</v>
      </c>
      <c r="CQ123" s="2">
        <f>Table83[[#This Row],[Waist]]-Table7[[#This Row],[Waist v  Night Sys]]</f>
        <v>-0.9564993153052086</v>
      </c>
      <c r="CR123" s="2">
        <f>Table7[[#This Row],[WaistNS Res]]^2</f>
        <v>0.91489094017933281</v>
      </c>
      <c r="CS123">
        <f>Regression!$J$29+(Regression!$J$28*Table83[[#This Row],[Night Diastolic Pressure]])</f>
        <v>44.444024065946287</v>
      </c>
      <c r="CT123" s="2">
        <f>Table83[[#This Row],[Waist]]-Table7[[#This Row],[Waist v Night Dia]]</f>
        <v>-0.94402406594628729</v>
      </c>
      <c r="CU123" s="2">
        <f>Table7[[#This Row],[WaistND Res]]^2</f>
        <v>0.89118143708576014</v>
      </c>
      <c r="CV123">
        <f>Regression!$K$29+(Regression!$K$28*Table83[[#This Row],[Night Pulse]])</f>
        <v>44.459708372565267</v>
      </c>
      <c r="CW123" s="2">
        <f>Table83[[#This Row],[Waist]]-Table7[[#This Row],[Waist v Night Pulse]]</f>
        <v>-0.95970837256526664</v>
      </c>
      <c r="CX123" s="2">
        <f>Table7[[#This Row],[WaistNP Res]]^2</f>
        <v>0.92104016037187264</v>
      </c>
      <c r="CY123">
        <f>Regression!$L$29+(Regression!$L$28*Table83[[#This Row],[Sleep]])</f>
        <v>44.312594948871137</v>
      </c>
      <c r="CZ123" s="2">
        <f>Table83[[#This Row],[Waist]]-Table7[[#This Row],[Waist v  Sleep]]</f>
        <v>-0.81259494887113703</v>
      </c>
      <c r="DA123" s="2">
        <f>Table7[[#This Row],[WaistS Res]]^2</f>
        <v>0.66031055093088586</v>
      </c>
      <c r="DB123">
        <f>Regression!$M$29+(Regression!$M$28*Table83[[#This Row],[BMI]])</f>
        <v>43.347763520422305</v>
      </c>
      <c r="DC123" s="2">
        <f>Table83[[#This Row],[Waist]]-Table7[[#This Row],[Waist v BMI]]</f>
        <v>0.15223647957769515</v>
      </c>
      <c r="DD123" s="2">
        <f>Table7[[#This Row],[WaistBMI Res]]^2</f>
        <v>2.3175945714209993E-2</v>
      </c>
      <c r="DE123">
        <f>Regression!$N$29+(Regression!$N$28*Table83[[#This Row],[CBF]])</f>
        <v>43.540887941991329</v>
      </c>
      <c r="DF123" s="2">
        <f>Table83[[#This Row],[Waist]]-Table7[[#This Row],[Waist v  CBF]]</f>
        <v>-4.0887941991329058E-2</v>
      </c>
      <c r="DG123" s="2">
        <f>Table7[[#This Row],[WaistCBF Res]]^2</f>
        <v>1.6718238002862899E-3</v>
      </c>
      <c r="DH123">
        <f>Regression!$O$29+(Regression!$O$28*Table83[[#This Row],[Gym]])</f>
        <v>44.347222222222221</v>
      </c>
      <c r="DI123" s="2">
        <f>Table83[[#This Row],[Waist]]-Table7[[#This Row],[Waist v  Gym]]</f>
        <v>-0.84722222222222143</v>
      </c>
      <c r="DJ123" s="2">
        <f>Table7[[#This Row],[WaistGYM Res]]^2</f>
        <v>0.71778549382715917</v>
      </c>
      <c r="DK123">
        <f>Regression!$P$29+(Regression!$P$28*Table83[[#This Row],[Cardio]])</f>
        <v>44.680851063829778</v>
      </c>
      <c r="DL123" s="2">
        <f>Table83[[#This Row],[Waist]]-Table7[[#This Row],[Waist v Cardio]]</f>
        <v>-1.1808510638297776</v>
      </c>
      <c r="DM123" s="2">
        <f>Table7[[#This Row],[WaistC Res]]^2</f>
        <v>1.3944092349479174</v>
      </c>
      <c r="DN123">
        <f>Regression!$Q$29+(Regression!$Q$28*Table83[[#This Row],[Calories]])</f>
        <v>43.966141296131127</v>
      </c>
      <c r="DO123" s="2">
        <f>Table83[[#This Row],[Waist]]-Table7[[#This Row],[Waist v Calories]]</f>
        <v>-0.46614129613112709</v>
      </c>
      <c r="DP123" s="2">
        <f>Table7[[#This Row],[WaistCal Res]]^2</f>
        <v>0.21728770795880711</v>
      </c>
      <c r="DQ123">
        <f>Regression!$R$29+(Regression!$R$28*Table83[[#This Row],[Carbs]])</f>
        <v>43.879661568262911</v>
      </c>
      <c r="DR123" s="2">
        <f>Table83[[#This Row],[Waist]]-Table7[[#This Row],[Waist v Carbs]]</f>
        <v>-0.37966156826291098</v>
      </c>
      <c r="DS123" s="2">
        <f>Table7[[#This Row],[WaistCarb Res]]^2</f>
        <v>0.14414290641585301</v>
      </c>
      <c r="DT123">
        <f>Regression!$S$29+(Regression!$S$28*Table83[[#This Row],[Fat ]])</f>
        <v>44.118131645755625</v>
      </c>
      <c r="DU123" s="2">
        <f>Table83[[#This Row],[Waist]]-Table7[[#This Row],[Waist v Fat]]</f>
        <v>-0.61813164575562496</v>
      </c>
      <c r="DV123" s="2">
        <f>Table7[[#This Row],[WaistF Res]]^2</f>
        <v>0.38208673148455741</v>
      </c>
      <c r="DW123">
        <f>Regression!$T$29+(Regression!$T$28*Table83[[#This Row],[Protein]])</f>
        <v>44.227583221417703</v>
      </c>
      <c r="DX123" s="2">
        <f>Table83[[#This Row],[Waist]]-Table7[[#This Row],[Waist v Protein]]</f>
        <v>-0.72758322141770293</v>
      </c>
      <c r="DY123" s="2">
        <f>Table7[[#This Row],[WaistP Res]]^2</f>
        <v>0.52937734408856207</v>
      </c>
      <c r="DZ123">
        <f>Regression!$U$29+(Regression!$U$28*Table83[[#This Row],[Fiber]])</f>
        <v>44.484055432601728</v>
      </c>
      <c r="EA123" s="2">
        <f>Table83[[#This Row],[Waist]]-Table7[[#This Row],[Waist v Fiber]]</f>
        <v>-0.98405543260172834</v>
      </c>
      <c r="EB123" s="2">
        <f>Table7[[#This Row],[WaistFib Res]]^2</f>
        <v>0.96836509443297469</v>
      </c>
      <c r="EC123">
        <f>Regression!$V$29+(Regression!$V$28*Table83[[#This Row],[Sugar]])</f>
        <v>43.701055236928326</v>
      </c>
      <c r="ED123" s="2">
        <f>Table83[[#This Row],[Waist]]-Table7[[#This Row],[Waist v Sugar]]</f>
        <v>-0.20105523692832605</v>
      </c>
      <c r="EE123" s="2">
        <f>Table7[[#This Row],[WaistSugar Res]]^2</f>
        <v>4.0423208296305323E-2</v>
      </c>
      <c r="EF123">
        <f>Regression!$W$29+(Regression!$W$28*Table83[[#This Row],[Servings]])</f>
        <v>43.799921513020394</v>
      </c>
      <c r="EG123" s="2">
        <f>Table83[[#This Row],[Waist]]-Table7[[#This Row],[Waist v Servings]]</f>
        <v>-0.2999215130203936</v>
      </c>
      <c r="EH123" s="2">
        <f>Table7[[#This Row],[WaistServ Res]]^2</f>
        <v>8.9952913972442136E-2</v>
      </c>
      <c r="EI123">
        <f>Regression!$X$29+(Regression!$X$28*Table83[[#This Row],[Water]])</f>
        <v>44.33031459742935</v>
      </c>
      <c r="EJ123" s="2">
        <f>Table83[[#This Row],[Waist]]-Table7[[#This Row],[Waist v Water]]</f>
        <v>-0.83031459742934999</v>
      </c>
      <c r="EK123" s="2">
        <f>Table7[[#This Row],[WaistWat Res]]^2</f>
        <v>0.68942233070426351</v>
      </c>
      <c r="EL123">
        <f>Regression!$Y$29+(Regression!$Y$28*Table83[[#This Row],[Fat Calories]])</f>
        <v>44.09691269539298</v>
      </c>
      <c r="EM123" s="2">
        <f>Table83[[#This Row],[Waist]]-Table7[[#This Row],[Waist v Fat Calories]]</f>
        <v>-0.5969126953929802</v>
      </c>
      <c r="EN123" s="2">
        <f>Table7[[#This Row],[WaistFatCal Res]]^2</f>
        <v>0.35630476592131277</v>
      </c>
    </row>
    <row r="124" spans="1:144" x14ac:dyDescent="0.25">
      <c r="A124">
        <f>Regression!$B$10+(Regression!$B$9*Table83[[#This Row],[Waist]])</f>
        <v>249.67228149328892</v>
      </c>
      <c r="B124" s="2">
        <f>Table83[[#This Row],[Weight]]-Table7[[#This Row],[Weight v Waist]]</f>
        <v>-7.2281493288926413E-2</v>
      </c>
      <c r="C124" s="2">
        <f>Table7[[#This Row],[Weight v Waist Res]]^2</f>
        <v>5.2246142720771141E-3</v>
      </c>
      <c r="D124">
        <f>Regression!$C$10+(Regression!$C$9*Table83[[#This Row],[Neck]])</f>
        <v>253.29286486487842</v>
      </c>
      <c r="E124" s="2">
        <f>Table83[[#This Row],[Weight]]-Table7[[#This Row],[Weight v Neck]]</f>
        <v>-3.6928648648784304</v>
      </c>
      <c r="F124" s="2">
        <f>Table7[[#This Row],[WN Res]]^2</f>
        <v>13.637250910253588</v>
      </c>
      <c r="G124">
        <f>Regression!$D$10+(Regression!$D$9*Table83[[#This Row],[Morning Body Temp]])</f>
        <v>255.62275488286326</v>
      </c>
      <c r="H124" s="2">
        <f>Table83[[#This Row],[Weight]]-Table7[[#This Row],[Weight v Morning Temp]]</f>
        <v>-6.0227548828632678</v>
      </c>
      <c r="I124" s="2">
        <f>Table7[[#This Row],[WMT Res]]^2</f>
        <v>36.273576379053331</v>
      </c>
      <c r="J124">
        <f>Regression!$E$10+(Regression!$E$9*Table83[[#This Row],[Morning Systolic Pressure]])</f>
        <v>254.51348297853136</v>
      </c>
      <c r="K124" s="2">
        <f>Table83[[#This Row],[Weight]]-Table7[[#This Row],[Weight v Morning Sys]]</f>
        <v>-4.9134829785313627</v>
      </c>
      <c r="L124" s="2">
        <f>Table7[[#This Row],[WMS Res]]^2</f>
        <v>24.142314980317433</v>
      </c>
      <c r="M124">
        <f>Regression!$F$10+(Regression!$F$9*Table83[[#This Row],[Morning Diastolic Pressure]])</f>
        <v>256.11548238769547</v>
      </c>
      <c r="N124" s="2">
        <f>Table83[[#This Row],[Weight]]-Table7[[#This Row],[Weight v Morning Dia]]</f>
        <v>-6.5154823876954708</v>
      </c>
      <c r="O124" s="2">
        <f>Table7[[#This Row],[WMD Res]]^2</f>
        <v>42.451510744369877</v>
      </c>
      <c r="P124">
        <f>Regression!$G$10+(Regression!$G$9*Table83[[#This Row],[Morning Pulse]])</f>
        <v>255.06977799622589</v>
      </c>
      <c r="Q124" s="2">
        <f>Table83[[#This Row],[Weight]]-Table7[[#This Row],[Weight v Morning Pulse]]</f>
        <v>-5.4697779962259006</v>
      </c>
      <c r="R124" s="2">
        <f>Table7[[#This Row],[WMP Res]]^2</f>
        <v>29.918471327997029</v>
      </c>
      <c r="S124">
        <f>Regression!$H$10+(Regression!$H$9*Table83[[#This Row],[Night Body Temp]])</f>
        <v>254.23530725463496</v>
      </c>
      <c r="T124" s="2">
        <f>Table83[[#This Row],[Weight]]-Table7[[#This Row],[Weight v Night Temp]]</f>
        <v>-4.6353072546349665</v>
      </c>
      <c r="U124" s="2">
        <f>Table7[[#This Row],[WNT Res]]^2</f>
        <v>21.486073344871549</v>
      </c>
      <c r="V124">
        <f>Regression!$I$10+(Regression!$I$9*Table83[[#This Row],[Night Systolic Pressure]])</f>
        <v>255.34122622719568</v>
      </c>
      <c r="W124" s="2">
        <f>Table83[[#This Row],[Weight]]-Table7[[#This Row],[Weight v Night Sys]]</f>
        <v>-5.741226227195682</v>
      </c>
      <c r="X124" s="2">
        <f>Table7[[#This Row],[WNS Res]]^2</f>
        <v>32.961678591839565</v>
      </c>
      <c r="Y124">
        <f>Regression!$J$10+(Regression!$J$9*Table83[[#This Row],[Night Diastolic Pressure]])</f>
        <v>255.1330822426622</v>
      </c>
      <c r="Z124" s="2">
        <f>Table83[[#This Row],[Weight]]-Table7[[#This Row],[Weight v Night Dia]]</f>
        <v>-5.5330822426622035</v>
      </c>
      <c r="AA124" s="2">
        <f>Table7[[#This Row],[WND Res]]^2</f>
        <v>30.614999104063799</v>
      </c>
      <c r="AB124">
        <f>Regression!$K$10+(Regression!$K$9*Table83[[#This Row],[Night Pulse]])</f>
        <v>255.04872519626778</v>
      </c>
      <c r="AC124" s="2">
        <f>Table83[[#This Row],[Weight]]-Table7[[#This Row],[Weight v Night Pulse]]</f>
        <v>-5.4487251962677874</v>
      </c>
      <c r="AD124" s="2">
        <f>Table7[[#This Row],[WNP Res ]]^2</f>
        <v>29.68860626444344</v>
      </c>
      <c r="AE124">
        <f>Regression!$L$10+(Regression!$L$9*Table83[[#This Row],[Sleep]])</f>
        <v>256.87213773593737</v>
      </c>
      <c r="AF124" s="2">
        <f>Table83[[#This Row],[Weight]]-Table7[[#This Row],[Weight v Sleep]]</f>
        <v>-7.2721377359373776</v>
      </c>
      <c r="AG124" s="2">
        <f>Table7[[#This Row],[WS Res]]^2</f>
        <v>52.883987250444406</v>
      </c>
      <c r="AH124">
        <f>Regression!$M$10+(Regression!$M$9*Table83[[#This Row],[BMI]])</f>
        <v>249.60000000001236</v>
      </c>
      <c r="AI124" s="2">
        <f>Table83[[#This Row],[Weight]]-Table7[[#This Row],[Weight v BMI]]</f>
        <v>-1.2363443602225743E-11</v>
      </c>
      <c r="AJ124" s="2">
        <f>Table7[[#This Row],[WBMI Res]]^2</f>
        <v>1.5285473770541666E-22</v>
      </c>
      <c r="AK124">
        <f>Regression!$N$10+(Regression!$N$9*Table83[[#This Row],[CBF]])</f>
        <v>250.04675133427031</v>
      </c>
      <c r="AL124" s="2">
        <f>Table83[[#This Row],[Weight]]-Table7[[#This Row],[Weight v CBF]]</f>
        <v>-0.4467513342703171</v>
      </c>
      <c r="AM124" s="2">
        <f>Table7[[#This Row],[WCBF Res]]^2</f>
        <v>0.1995867546723086</v>
      </c>
      <c r="AN124">
        <f>Regression!$O$10+(Regression!$O$9*Table83[[#This Row],[Gym]])</f>
        <v>254.72962962962998</v>
      </c>
      <c r="AO124" s="2">
        <f>Table83[[#This Row],[Weight]]-Table7[[#This Row],[Weight v Gym]]</f>
        <v>-5.1296296296299886</v>
      </c>
      <c r="AP124" s="2">
        <f>Table7[[#This Row],[WG Res]]^2</f>
        <v>26.313100137177894</v>
      </c>
      <c r="AQ124">
        <f>Regression!$P$10+(Regression!$P$9*Table83[[#This Row],[Cardio]])</f>
        <v>256.41063829787231</v>
      </c>
      <c r="AR124" s="2">
        <f>Table83[[#This Row],[Weight]]-Table7[[#This Row],[Weight v Cardio]]</f>
        <v>-6.8106382978723161</v>
      </c>
      <c r="AS124" s="2">
        <f>Table7[[#This Row],[WC Res]]^2</f>
        <v>46.384794024445121</v>
      </c>
      <c r="AT124">
        <f>Regression!$Q$10+(Regression!$Q$9*Table83[[#This Row],[Calories]])</f>
        <v>254.46049768448449</v>
      </c>
      <c r="AU124" s="2">
        <f>Table83[[#This Row],[Weight]]-Table7[[#This Row],[Weight v Calories]]</f>
        <v>-4.8604976844844998</v>
      </c>
      <c r="AV124" s="2">
        <f>Table7[[#This Row],[WCAL Res]]^2</f>
        <v>23.624437740879184</v>
      </c>
      <c r="AW124">
        <f>Regression!$R$10+(Regression!$R$9*Table83[[#This Row],[Carbs]])</f>
        <v>253.61782196736164</v>
      </c>
      <c r="AX124" s="2">
        <f>Table83[[#This Row],[Weight]]-Table7[[#This Row],[Weight v Carbs]]</f>
        <v>-4.0178219673616411</v>
      </c>
      <c r="AY124" s="2">
        <f>Table7[[#This Row],[Wcarb Res]]^2</f>
        <v>16.142893361413769</v>
      </c>
      <c r="AZ124">
        <f>Regression!$S$10+(Regression!$S$9*Table83[[#This Row],[Fat ]])</f>
        <v>255.18153625155492</v>
      </c>
      <c r="BA124" s="2">
        <f>Table83[[#This Row],[Weight]]-Table7[[#This Row],[Weight v Fat]]</f>
        <v>-5.5815362515549225</v>
      </c>
      <c r="BB124" s="2">
        <f>Table7[[#This Row],[WF Res]]^2</f>
        <v>31.153546927421775</v>
      </c>
      <c r="BC124">
        <f>Regression!$T$10+(Regression!$T$9*Table83[[#This Row],[Protein]])</f>
        <v>255.22007381207445</v>
      </c>
      <c r="BD124" s="2">
        <f>Table83[[#This Row],[Weight]]-Table7[[#This Row],[Weight v Protein]]</f>
        <v>-5.6200738120744518</v>
      </c>
      <c r="BE124" s="2">
        <f>Table7[[#This Row],[WP Res]]^2</f>
        <v>31.585229653165062</v>
      </c>
      <c r="BF124">
        <f>Regression!$U$10+(Regression!$U$9*Table83[[#This Row],[Fiber]])</f>
        <v>255.14943639357583</v>
      </c>
      <c r="BG124" s="2">
        <f>Table83[[#This Row],[Weight]]-Table7[[#This Row],[Weight v Fiber]]</f>
        <v>-5.5494363935758315</v>
      </c>
      <c r="BH124" s="2">
        <f>Table7[[#This Row],[Wfib Res]]^2</f>
        <v>30.796244286343931</v>
      </c>
      <c r="BI124">
        <f>Regression!$V$10+(Regression!$V$9*Table83[[#This Row],[Sugar]])</f>
        <v>251.89003716379972</v>
      </c>
      <c r="BJ124" s="2">
        <f>Table83[[#This Row],[Weight]]-Table7[[#This Row],[Weight v Sugar]]</f>
        <v>-2.2900371637997239</v>
      </c>
      <c r="BK124" s="2">
        <f>Table7[[#This Row],[Wsugar Res]]^2</f>
        <v>5.2442702115838831</v>
      </c>
      <c r="BL124">
        <f>Regression!$W$10+(Regression!$W$9*Table83[[#This Row],[Servings]])</f>
        <v>251.85961293462762</v>
      </c>
      <c r="BM124" s="2">
        <f>Table83[[#This Row],[Weight]]-Table7[[#This Row],[Weight v Servings]]</f>
        <v>-2.2596129346276257</v>
      </c>
      <c r="BN124" s="2">
        <f>Table7[[#This Row],[Wserv Res]]^2</f>
        <v>5.1058506143364708</v>
      </c>
      <c r="BO124">
        <f>Regression!$X$10+(Regression!$X$9*Table83[[#This Row],[Water]])</f>
        <v>255.04204201855453</v>
      </c>
      <c r="BP124" s="2">
        <f>Table83[[#This Row],[Weight]]-Table7[[#This Row],[Weight v Water]]</f>
        <v>-5.4420420185545311</v>
      </c>
      <c r="BQ124" s="2">
        <f>Table7[[#This Row],[Wwater Res]]^2</f>
        <v>29.615821331713075</v>
      </c>
      <c r="BR124">
        <f>Regression!$Y$10+(Regression!$Y$9*Table83[[#This Row],[Fat Calories]])</f>
        <v>255.18094686224009</v>
      </c>
      <c r="BS124" s="2">
        <f>Table83[[#This Row],[Weight]]-Table7[[#This Row],[Weight v Fat Calories]]</f>
        <v>-5.5809468622400971</v>
      </c>
      <c r="BT124" s="2">
        <f>Table7[[#This Row],[WFC Res]]^2</f>
        <v>31.146967879147585</v>
      </c>
      <c r="BU124">
        <f>Regression!$B$29+(Regression!$B$28*Table83[[#This Row],[Weight]])</f>
        <v>43.702046047900744</v>
      </c>
      <c r="BV124" s="2">
        <f>Table83[[#This Row],[Waist]]-Table7[[#This Row],[Waist v Weight]]</f>
        <v>-0.20204604790074399</v>
      </c>
      <c r="BW124" s="2">
        <f>Table7[[#This Row],[WaistW Res]]^2</f>
        <v>4.0822605472309731E-2</v>
      </c>
      <c r="BX124">
        <f>Regression!$C$29+(Regression!$C$28*Table83[[#This Row],[Neck]])</f>
        <v>44.175585585585594</v>
      </c>
      <c r="BY124" s="2">
        <f>Table83[[#This Row],[Waist]]-Table7[[#This Row],[Waist v Neck]]</f>
        <v>-0.67558558558559412</v>
      </c>
      <c r="BZ124" s="2">
        <f>Table7[[#This Row],[WaistN Res]]^2</f>
        <v>0.45641588345103012</v>
      </c>
      <c r="CA124">
        <f>Regression!$D$29+(Regression!$D$28*Table83[[#This Row],[Morning Body Temp]])</f>
        <v>44.591625622988346</v>
      </c>
      <c r="CB124" s="2">
        <f>Table83[[#This Row],[Waist]]-Table7[[#This Row],[Waist v Morning Temp]]</f>
        <v>-1.0916256229883459</v>
      </c>
      <c r="CC124" s="2">
        <f>Table7[[#This Row],[WaistMT Res]]^2</f>
        <v>1.1916465007646941</v>
      </c>
      <c r="CD124">
        <f>Regression!$E$29+(Regression!$E$28*Table83[[#This Row],[Morning Systolic Pressure]])</f>
        <v>44.312209459242652</v>
      </c>
      <c r="CE124" s="2">
        <f>Table83[[#This Row],[Waist]]-Table7[[#This Row],[Waist v Morning Sys]]</f>
        <v>-0.81220945924265209</v>
      </c>
      <c r="CF124" s="2">
        <f>Table7[[#This Row],[WaistMS Res]]^2</f>
        <v>0.65968420568324138</v>
      </c>
      <c r="CG124">
        <f>Regression!$F$29+(Regression!$F$28*Table83[[#This Row],[Morning Diastolic Pressure]])</f>
        <v>44.509172874832799</v>
      </c>
      <c r="CH124" s="2">
        <f>Table83[[#This Row],[Waist]]-Table7[[#This Row],[Waist v Morning Dia]]</f>
        <v>-1.0091728748327995</v>
      </c>
      <c r="CI124" s="2">
        <f>Table7[[#This Row],[WaistMD Res]]^2</f>
        <v>1.0184298912982972</v>
      </c>
      <c r="CJ124">
        <f>Regression!$G$29+(Regression!$G$28*Table83[[#This Row],[Morning Pulse]])</f>
        <v>44.432749133165849</v>
      </c>
      <c r="CK124" s="2">
        <f>Table83[[#This Row],[Waist]]-Table7[[#This Row],[Waist v Morning Pulse]]</f>
        <v>-0.93274913316584929</v>
      </c>
      <c r="CL124" s="2">
        <f>Table7[[#This Row],[WaistMP Res]]^2</f>
        <v>0.87002094542164321</v>
      </c>
      <c r="CM124">
        <f>Regression!$H$29+(Regression!$H$28*Table83[[#This Row],[Night Body Temp]])</f>
        <v>44.384178564220093</v>
      </c>
      <c r="CN124" s="2">
        <f>Table83[[#This Row],[Waist]]-Table7[[#This Row],[Waist v Night Temp]]</f>
        <v>-0.88417856422009322</v>
      </c>
      <c r="CO124" s="2">
        <f>Table7[[#This Row],[WaistNT Res]]^2</f>
        <v>0.78177173342630546</v>
      </c>
      <c r="CP124">
        <f>Regression!$I$29+(Regression!$I$28*Table83[[#This Row],[Night Systolic Pressure]])</f>
        <v>44.48557954395644</v>
      </c>
      <c r="CQ124" s="2">
        <f>Table83[[#This Row],[Waist]]-Table7[[#This Row],[Waist v  Night Sys]]</f>
        <v>-0.98557954395644032</v>
      </c>
      <c r="CR124" s="2">
        <f>Table7[[#This Row],[WaistNS Res]]^2</f>
        <v>0.97136703746538489</v>
      </c>
      <c r="CS124">
        <f>Regression!$J$29+(Regression!$J$28*Table83[[#This Row],[Night Diastolic Pressure]])</f>
        <v>44.461092011153731</v>
      </c>
      <c r="CT124" s="2">
        <f>Table83[[#This Row],[Waist]]-Table7[[#This Row],[Waist v Night Dia]]</f>
        <v>-0.96109201115373111</v>
      </c>
      <c r="CU124" s="2">
        <f>Table7[[#This Row],[WaistND Res]]^2</f>
        <v>0.92369785390352355</v>
      </c>
      <c r="CV124">
        <f>Regression!$K$29+(Regression!$K$28*Table83[[#This Row],[Night Pulse]])</f>
        <v>44.459708372565267</v>
      </c>
      <c r="CW124" s="2">
        <f>Table83[[#This Row],[Waist]]-Table7[[#This Row],[Waist v Night Pulse]]</f>
        <v>-0.95970837256526664</v>
      </c>
      <c r="CX124" s="2">
        <f>Table7[[#This Row],[WaistNP Res]]^2</f>
        <v>0.92104016037187264</v>
      </c>
      <c r="CY124">
        <f>Regression!$L$29+(Regression!$L$28*Table83[[#This Row],[Sleep]])</f>
        <v>44.721436176834203</v>
      </c>
      <c r="CZ124" s="2">
        <f>Table83[[#This Row],[Waist]]-Table7[[#This Row],[Waist v  Sleep]]</f>
        <v>-1.221436176834203</v>
      </c>
      <c r="DA124" s="2">
        <f>Table7[[#This Row],[WaistS Res]]^2</f>
        <v>1.4919063340793546</v>
      </c>
      <c r="DB124">
        <f>Regression!$M$29+(Regression!$M$28*Table83[[#This Row],[BMI]])</f>
        <v>43.702046047903131</v>
      </c>
      <c r="DC124" s="2">
        <f>Table83[[#This Row],[Waist]]-Table7[[#This Row],[Waist v BMI]]</f>
        <v>-0.20204604790313141</v>
      </c>
      <c r="DD124" s="2">
        <f>Table7[[#This Row],[WaistBMI Res]]^2</f>
        <v>4.0822605473274473E-2</v>
      </c>
      <c r="DE124">
        <f>Regression!$N$29+(Regression!$N$28*Table83[[#This Row],[CBF]])</f>
        <v>43.540887941991329</v>
      </c>
      <c r="DF124" s="2">
        <f>Table83[[#This Row],[Waist]]-Table7[[#This Row],[Waist v  CBF]]</f>
        <v>-4.0887941991329058E-2</v>
      </c>
      <c r="DG124" s="2">
        <f>Table7[[#This Row],[WaistCBF Res]]^2</f>
        <v>1.6718238002862899E-3</v>
      </c>
      <c r="DH124">
        <f>Regression!$O$29+(Regression!$O$28*Table83[[#This Row],[Gym]])</f>
        <v>44.347222222222221</v>
      </c>
      <c r="DI124" s="2">
        <f>Table83[[#This Row],[Waist]]-Table7[[#This Row],[Waist v  Gym]]</f>
        <v>-0.84722222222222143</v>
      </c>
      <c r="DJ124" s="2">
        <f>Table7[[#This Row],[WaistGYM Res]]^2</f>
        <v>0.71778549382715917</v>
      </c>
      <c r="DK124">
        <f>Regression!$P$29+(Regression!$P$28*Table83[[#This Row],[Cardio]])</f>
        <v>44.680851063829778</v>
      </c>
      <c r="DL124" s="2">
        <f>Table83[[#This Row],[Waist]]-Table7[[#This Row],[Waist v Cardio]]</f>
        <v>-1.1808510638297776</v>
      </c>
      <c r="DM124" s="2">
        <f>Table7[[#This Row],[WaistC Res]]^2</f>
        <v>1.3944092349479174</v>
      </c>
      <c r="DN124">
        <f>Regression!$Q$29+(Regression!$Q$28*Table83[[#This Row],[Calories]])</f>
        <v>44.306477727856716</v>
      </c>
      <c r="DO124" s="2">
        <f>Table83[[#This Row],[Waist]]-Table7[[#This Row],[Waist v Calories]]</f>
        <v>-0.80647772785671634</v>
      </c>
      <c r="DP124" s="2">
        <f>Table7[[#This Row],[WaistCal Res]]^2</f>
        <v>0.65040632552893185</v>
      </c>
      <c r="DQ124">
        <f>Regression!$R$29+(Regression!$R$28*Table83[[#This Row],[Carbs]])</f>
        <v>44.141827312853572</v>
      </c>
      <c r="DR124" s="2">
        <f>Table83[[#This Row],[Waist]]-Table7[[#This Row],[Waist v Carbs]]</f>
        <v>-0.64182731285357164</v>
      </c>
      <c r="DS124" s="2">
        <f>Table7[[#This Row],[WaistCarb Res]]^2</f>
        <v>0.41194229952483652</v>
      </c>
      <c r="DT124">
        <f>Regression!$S$29+(Regression!$S$28*Table83[[#This Row],[Fat ]])</f>
        <v>44.473865021409445</v>
      </c>
      <c r="DU124" s="2">
        <f>Table83[[#This Row],[Waist]]-Table7[[#This Row],[Waist v Fat]]</f>
        <v>-0.97386502140944486</v>
      </c>
      <c r="DV124" s="2">
        <f>Table7[[#This Row],[WaistF Res]]^2</f>
        <v>0.94841307992481849</v>
      </c>
      <c r="DW124">
        <f>Regression!$T$29+(Regression!$T$28*Table83[[#This Row],[Protein]])</f>
        <v>44.472764134748942</v>
      </c>
      <c r="DX124" s="2">
        <f>Table83[[#This Row],[Waist]]-Table7[[#This Row],[Waist v Protein]]</f>
        <v>-0.97276413474894241</v>
      </c>
      <c r="DY124" s="2">
        <f>Table7[[#This Row],[WaistP Res]]^2</f>
        <v>0.94627006185385854</v>
      </c>
      <c r="DZ124">
        <f>Regression!$U$29+(Regression!$U$28*Table83[[#This Row],[Fiber]])</f>
        <v>44.466810374745492</v>
      </c>
      <c r="EA124" s="2">
        <f>Table83[[#This Row],[Waist]]-Table7[[#This Row],[Waist v Fiber]]</f>
        <v>-0.96681037474549214</v>
      </c>
      <c r="EB124" s="2">
        <f>Table7[[#This Row],[WaistFib Res]]^2</f>
        <v>0.93472230071551898</v>
      </c>
      <c r="EC124">
        <f>Regression!$V$29+(Regression!$V$28*Table83[[#This Row],[Sugar]])</f>
        <v>43.87420326896121</v>
      </c>
      <c r="ED124" s="2">
        <f>Table83[[#This Row],[Waist]]-Table7[[#This Row],[Waist v Sugar]]</f>
        <v>-0.37420326896121026</v>
      </c>
      <c r="EE124" s="2">
        <f>Table7[[#This Row],[WaistSugar Res]]^2</f>
        <v>0.14002808650125587</v>
      </c>
      <c r="EF124">
        <f>Regression!$W$29+(Regression!$W$28*Table83[[#This Row],[Servings]])</f>
        <v>43.956815240091174</v>
      </c>
      <c r="EG124" s="2">
        <f>Table83[[#This Row],[Waist]]-Table7[[#This Row],[Waist v Servings]]</f>
        <v>-0.45681524009117425</v>
      </c>
      <c r="EH124" s="2">
        <f>Table7[[#This Row],[WaistServ Res]]^2</f>
        <v>0.20868016357955718</v>
      </c>
      <c r="EI124">
        <f>Regression!$X$29+(Regression!$X$28*Table83[[#This Row],[Water]])</f>
        <v>44.358256536134995</v>
      </c>
      <c r="EJ124" s="2">
        <f>Table83[[#This Row],[Waist]]-Table7[[#This Row],[Waist v Water]]</f>
        <v>-0.85825653613499497</v>
      </c>
      <c r="EK124" s="2">
        <f>Table7[[#This Row],[WaistWat Res]]^2</f>
        <v>0.73660428181843995</v>
      </c>
      <c r="EL124">
        <f>Regression!$Y$29+(Regression!$Y$28*Table83[[#This Row],[Fat Calories]])</f>
        <v>44.473582703927072</v>
      </c>
      <c r="EM124" s="2">
        <f>Table83[[#This Row],[Waist]]-Table7[[#This Row],[Waist v Fat Calories]]</f>
        <v>-0.97358270392707169</v>
      </c>
      <c r="EN124" s="2">
        <f>Table7[[#This Row],[WaistFatCal Res]]^2</f>
        <v>0.94786328138594811</v>
      </c>
    </row>
    <row r="125" spans="1:144" x14ac:dyDescent="0.25">
      <c r="A125">
        <f>Regression!$B$10+(Regression!$B$9*Table83[[#This Row],[Waist]])</f>
        <v>249.67228149328892</v>
      </c>
      <c r="B125" s="2">
        <f>Table83[[#This Row],[Weight]]-Table7[[#This Row],[Weight v Waist]]</f>
        <v>0.72771850671108496</v>
      </c>
      <c r="C125" s="2">
        <f>Table7[[#This Row],[Weight v Waist Res]]^2</f>
        <v>0.52957422500981144</v>
      </c>
      <c r="D125">
        <f>Regression!$C$10+(Regression!$C$9*Table83[[#This Row],[Neck]])</f>
        <v>253.29286486487842</v>
      </c>
      <c r="E125" s="2">
        <f>Table83[[#This Row],[Weight]]-Table7[[#This Row],[Weight v Neck]]</f>
        <v>-2.892864864878419</v>
      </c>
      <c r="F125" s="2">
        <f>Table7[[#This Row],[WN Res]]^2</f>
        <v>8.3686671264480328</v>
      </c>
      <c r="G125">
        <f>Regression!$D$10+(Regression!$D$9*Table83[[#This Row],[Morning Body Temp]])</f>
        <v>255.3411606659738</v>
      </c>
      <c r="H125" s="2">
        <f>Table83[[#This Row],[Weight]]-Table7[[#This Row],[Weight v Morning Temp]]</f>
        <v>-4.941160665973797</v>
      </c>
      <c r="I125" s="2">
        <f>Table7[[#This Row],[WMT Res]]^2</f>
        <v>24.415068726966616</v>
      </c>
      <c r="J125">
        <f>Regression!$E$10+(Regression!$E$9*Table83[[#This Row],[Morning Systolic Pressure]])</f>
        <v>256.00103070602302</v>
      </c>
      <c r="K125" s="2">
        <f>Table83[[#This Row],[Weight]]-Table7[[#This Row],[Weight v Morning Sys]]</f>
        <v>-5.6010307060230105</v>
      </c>
      <c r="L125" s="2">
        <f>Table7[[#This Row],[WMS Res]]^2</f>
        <v>31.371544969812621</v>
      </c>
      <c r="M125">
        <f>Regression!$F$10+(Regression!$F$9*Table83[[#This Row],[Morning Diastolic Pressure]])</f>
        <v>254.69666290106716</v>
      </c>
      <c r="N125" s="2">
        <f>Table83[[#This Row],[Weight]]-Table7[[#This Row],[Weight v Morning Dia]]</f>
        <v>-4.2966629010671511</v>
      </c>
      <c r="O125" s="2">
        <f>Table7[[#This Row],[WMD Res]]^2</f>
        <v>18.461312085406789</v>
      </c>
      <c r="P125">
        <f>Regression!$G$10+(Regression!$G$9*Table83[[#This Row],[Morning Pulse]])</f>
        <v>255.11730068591285</v>
      </c>
      <c r="Q125" s="2">
        <f>Table83[[#This Row],[Weight]]-Table7[[#This Row],[Weight v Morning Pulse]]</f>
        <v>-4.7173006859128463</v>
      </c>
      <c r="R125" s="2">
        <f>Table7[[#This Row],[WMP Res]]^2</f>
        <v>22.252925761313811</v>
      </c>
      <c r="S125">
        <f>Regression!$H$10+(Regression!$H$9*Table83[[#This Row],[Night Body Temp]])</f>
        <v>255.36496952993349</v>
      </c>
      <c r="T125" s="2">
        <f>Table83[[#This Row],[Weight]]-Table7[[#This Row],[Weight v Night Temp]]</f>
        <v>-4.9649695299334837</v>
      </c>
      <c r="U125" s="2">
        <f>Table7[[#This Row],[WNT Res]]^2</f>
        <v>24.650922433167917</v>
      </c>
      <c r="V125">
        <f>Regression!$I$10+(Regression!$I$9*Table83[[#This Row],[Night Systolic Pressure]])</f>
        <v>257.08618840567965</v>
      </c>
      <c r="W125" s="2">
        <f>Table83[[#This Row],[Weight]]-Table7[[#This Row],[Weight v Night Sys]]</f>
        <v>-6.6861884056796441</v>
      </c>
      <c r="X125" s="2">
        <f>Table7[[#This Row],[WNS Res]]^2</f>
        <v>44.705115396244899</v>
      </c>
      <c r="Y125">
        <f>Regression!$J$10+(Regression!$J$9*Table83[[#This Row],[Night Diastolic Pressure]])</f>
        <v>255.25537984791052</v>
      </c>
      <c r="Z125" s="2">
        <f>Table83[[#This Row],[Weight]]-Table7[[#This Row],[Weight v Night Dia]]</f>
        <v>-4.8553798479105126</v>
      </c>
      <c r="AA125" s="2">
        <f>Table7[[#This Row],[WND Res]]^2</f>
        <v>23.574713467495513</v>
      </c>
      <c r="AB125">
        <f>Regression!$K$10+(Regression!$K$9*Table83[[#This Row],[Night Pulse]])</f>
        <v>254.80301854637398</v>
      </c>
      <c r="AC125" s="2">
        <f>Table83[[#This Row],[Weight]]-Table7[[#This Row],[Weight v Night Pulse]]</f>
        <v>-4.4030185463739713</v>
      </c>
      <c r="AD125" s="2">
        <f>Table7[[#This Row],[WNP Res ]]^2</f>
        <v>19.38657231971316</v>
      </c>
      <c r="AE125">
        <f>Regression!$L$10+(Regression!$L$9*Table83[[#This Row],[Sleep]])</f>
        <v>255.13702972738133</v>
      </c>
      <c r="AF125" s="2">
        <f>Table83[[#This Row],[Weight]]-Table7[[#This Row],[Weight v Sleep]]</f>
        <v>-4.7370297273813264</v>
      </c>
      <c r="AG125" s="2">
        <f>Table7[[#This Row],[WS Res]]^2</f>
        <v>22.439450638094403</v>
      </c>
      <c r="AH125">
        <f>Regression!$M$10+(Regression!$M$9*Table83[[#This Row],[BMI]])</f>
        <v>250.40000000001052</v>
      </c>
      <c r="AI125" s="2">
        <f>Table83[[#This Row],[Weight]]-Table7[[#This Row],[Weight v BMI]]</f>
        <v>-1.0516032489249483E-11</v>
      </c>
      <c r="AJ125" s="2">
        <f>Table7[[#This Row],[WBMI Res]]^2</f>
        <v>1.1058693931495067E-22</v>
      </c>
      <c r="AK125">
        <f>Regression!$N$10+(Regression!$N$9*Table83[[#This Row],[CBF]])</f>
        <v>250.04675133427031</v>
      </c>
      <c r="AL125" s="2">
        <f>Table83[[#This Row],[Weight]]-Table7[[#This Row],[Weight v CBF]]</f>
        <v>0.35324866572969427</v>
      </c>
      <c r="AM125" s="2">
        <f>Table7[[#This Row],[WCBF Res]]^2</f>
        <v>0.12478461983980928</v>
      </c>
      <c r="AN125">
        <f>Regression!$O$10+(Regression!$O$9*Table83[[#This Row],[Gym]])</f>
        <v>254.72962962962998</v>
      </c>
      <c r="AO125" s="2">
        <f>Table83[[#This Row],[Weight]]-Table7[[#This Row],[Weight v Gym]]</f>
        <v>-4.3296296296299772</v>
      </c>
      <c r="AP125" s="2">
        <f>Table7[[#This Row],[WG Res]]^2</f>
        <v>18.745692729769814</v>
      </c>
      <c r="AQ125">
        <f>Regression!$P$10+(Regression!$P$9*Table83[[#This Row],[Cardio]])</f>
        <v>256.41063829787231</v>
      </c>
      <c r="AR125" s="2">
        <f>Table83[[#This Row],[Weight]]-Table7[[#This Row],[Weight v Cardio]]</f>
        <v>-6.0106382978723047</v>
      </c>
      <c r="AS125" s="2">
        <f>Table7[[#This Row],[WC Res]]^2</f>
        <v>36.127772747849278</v>
      </c>
      <c r="AT125">
        <f>Regression!$Q$10+(Regression!$Q$9*Table83[[#This Row],[Calories]])</f>
        <v>254.18385485619964</v>
      </c>
      <c r="AU125" s="2">
        <f>Table83[[#This Row],[Weight]]-Table7[[#This Row],[Weight v Calories]]</f>
        <v>-3.783854856199639</v>
      </c>
      <c r="AV125" s="2">
        <f>Table7[[#This Row],[WCAL Res]]^2</f>
        <v>14.31755757278559</v>
      </c>
      <c r="AW125">
        <f>Regression!$R$10+(Regression!$R$9*Table83[[#This Row],[Carbs]])</f>
        <v>254.10872989113719</v>
      </c>
      <c r="AX125" s="2">
        <f>Table83[[#This Row],[Weight]]-Table7[[#This Row],[Weight v Carbs]]</f>
        <v>-3.7087298911371818</v>
      </c>
      <c r="AY125" s="2">
        <f>Table7[[#This Row],[Wcarb Res]]^2</f>
        <v>13.754677405414412</v>
      </c>
      <c r="AZ125">
        <f>Regression!$S$10+(Regression!$S$9*Table83[[#This Row],[Fat ]])</f>
        <v>254.52593402949807</v>
      </c>
      <c r="BA125" s="2">
        <f>Table83[[#This Row],[Weight]]-Table7[[#This Row],[Weight v Fat]]</f>
        <v>-4.1259340294980689</v>
      </c>
      <c r="BB125" s="2">
        <f>Table7[[#This Row],[WF Res]]^2</f>
        <v>17.023331615770172</v>
      </c>
      <c r="BC125">
        <f>Regression!$T$10+(Regression!$T$9*Table83[[#This Row],[Protein]])</f>
        <v>254.93514767545776</v>
      </c>
      <c r="BD125" s="2">
        <f>Table83[[#This Row],[Weight]]-Table7[[#This Row],[Weight v Protein]]</f>
        <v>-4.5351476754577504</v>
      </c>
      <c r="BE125" s="2">
        <f>Table7[[#This Row],[WP Res]]^2</f>
        <v>20.567564438209839</v>
      </c>
      <c r="BF125">
        <f>Regression!$U$10+(Regression!$U$9*Table83[[#This Row],[Fiber]])</f>
        <v>255.29369339646436</v>
      </c>
      <c r="BG125" s="2">
        <f>Table83[[#This Row],[Weight]]-Table7[[#This Row],[Weight v Fiber]]</f>
        <v>-4.8936933964643572</v>
      </c>
      <c r="BH125" s="2">
        <f>Table7[[#This Row],[Wfib Res]]^2</f>
        <v>23.948235058598858</v>
      </c>
      <c r="BI125">
        <f>Regression!$V$10+(Regression!$V$9*Table83[[#This Row],[Sugar]])</f>
        <v>254.23212897233668</v>
      </c>
      <c r="BJ125" s="2">
        <f>Table83[[#This Row],[Weight]]-Table7[[#This Row],[Weight v Sugar]]</f>
        <v>-3.832128972336676</v>
      </c>
      <c r="BK125" s="2">
        <f>Table7[[#This Row],[Wsugar Res]]^2</f>
        <v>14.685212460622148</v>
      </c>
      <c r="BL125">
        <f>Regression!$W$10+(Regression!$W$9*Table83[[#This Row],[Servings]])</f>
        <v>256.36900256833235</v>
      </c>
      <c r="BM125" s="2">
        <f>Table83[[#This Row],[Weight]]-Table7[[#This Row],[Weight v Servings]]</f>
        <v>-5.9690025683323427</v>
      </c>
      <c r="BN125" s="2">
        <f>Table7[[#This Row],[Wserv Res]]^2</f>
        <v>35.628991660758103</v>
      </c>
      <c r="BO125">
        <f>Regression!$X$10+(Regression!$X$9*Table83[[#This Row],[Water]])</f>
        <v>255.04204201855453</v>
      </c>
      <c r="BP125" s="2">
        <f>Table83[[#This Row],[Weight]]-Table7[[#This Row],[Weight v Water]]</f>
        <v>-4.6420420185545197</v>
      </c>
      <c r="BQ125" s="2">
        <f>Table7[[#This Row],[Wwater Res]]^2</f>
        <v>21.548554102025719</v>
      </c>
      <c r="BR125">
        <f>Regression!$Y$10+(Regression!$Y$9*Table83[[#This Row],[Fat Calories]])</f>
        <v>254.48322116899777</v>
      </c>
      <c r="BS125" s="2">
        <f>Table83[[#This Row],[Weight]]-Table7[[#This Row],[Weight v Fat Calories]]</f>
        <v>-4.0832211689977669</v>
      </c>
      <c r="BT125" s="2">
        <f>Table7[[#This Row],[WFC Res]]^2</f>
        <v>16.672695114951491</v>
      </c>
      <c r="BU125">
        <f>Regression!$B$29+(Regression!$B$28*Table83[[#This Row],[Weight]])</f>
        <v>43.811056056356733</v>
      </c>
      <c r="BV125" s="2">
        <f>Table83[[#This Row],[Waist]]-Table7[[#This Row],[Waist v Weight]]</f>
        <v>-0.31105605635673328</v>
      </c>
      <c r="BW125" s="2">
        <f>Table7[[#This Row],[WaistW Res]]^2</f>
        <v>9.6755870196203228E-2</v>
      </c>
      <c r="BX125">
        <f>Regression!$C$29+(Regression!$C$28*Table83[[#This Row],[Neck]])</f>
        <v>44.175585585585594</v>
      </c>
      <c r="BY125" s="2">
        <f>Table83[[#This Row],[Waist]]-Table7[[#This Row],[Waist v Neck]]</f>
        <v>-0.67558558558559412</v>
      </c>
      <c r="BZ125" s="2">
        <f>Table7[[#This Row],[WaistN Res]]^2</f>
        <v>0.45641588345103012</v>
      </c>
      <c r="CA125">
        <f>Regression!$D$29+(Regression!$D$28*Table83[[#This Row],[Morning Body Temp]])</f>
        <v>44.515038370284842</v>
      </c>
      <c r="CB125" s="2">
        <f>Table83[[#This Row],[Waist]]-Table7[[#This Row],[Waist v Morning Temp]]</f>
        <v>-1.0150383702848416</v>
      </c>
      <c r="CC125" s="2">
        <f>Table7[[#This Row],[WaistMT Res]]^2</f>
        <v>1.0303028931505072</v>
      </c>
      <c r="CD125">
        <f>Regression!$E$29+(Regression!$E$28*Table83[[#This Row],[Morning Systolic Pressure]])</f>
        <v>44.661692832242743</v>
      </c>
      <c r="CE125" s="2">
        <f>Table83[[#This Row],[Waist]]-Table7[[#This Row],[Waist v Morning Sys]]</f>
        <v>-1.1616928322427427</v>
      </c>
      <c r="CF125" s="2">
        <f>Table7[[#This Row],[WaistMS Res]]^2</f>
        <v>1.349530236484165</v>
      </c>
      <c r="CG125">
        <f>Regression!$F$29+(Regression!$F$28*Table83[[#This Row],[Morning Diastolic Pressure]])</f>
        <v>44.430274185468846</v>
      </c>
      <c r="CH125" s="2">
        <f>Table83[[#This Row],[Waist]]-Table7[[#This Row],[Waist v Morning Dia]]</f>
        <v>-0.93027418546884633</v>
      </c>
      <c r="CI125" s="2">
        <f>Table7[[#This Row],[WaistMD Res]]^2</f>
        <v>0.86541006014972555</v>
      </c>
      <c r="CJ125">
        <f>Regression!$G$29+(Regression!$G$28*Table83[[#This Row],[Morning Pulse]])</f>
        <v>44.454576200079806</v>
      </c>
      <c r="CK125" s="2">
        <f>Table83[[#This Row],[Waist]]-Table7[[#This Row],[Waist v Morning Pulse]]</f>
        <v>-0.95457620007980637</v>
      </c>
      <c r="CL125" s="2">
        <f>Table7[[#This Row],[WaistMP Res]]^2</f>
        <v>0.9112157217588025</v>
      </c>
      <c r="CM125">
        <f>Regression!$H$29+(Regression!$H$28*Table83[[#This Row],[Night Body Temp]])</f>
        <v>44.473244726073837</v>
      </c>
      <c r="CN125" s="2">
        <f>Table83[[#This Row],[Waist]]-Table7[[#This Row],[Waist v Night Temp]]</f>
        <v>-0.97324472607383683</v>
      </c>
      <c r="CO125" s="2">
        <f>Table7[[#This Row],[WaistNT Res]]^2</f>
        <v>0.94720529683053767</v>
      </c>
      <c r="CP125">
        <f>Regression!$I$29+(Regression!$I$28*Table83[[#This Row],[Night Systolic Pressure]])</f>
        <v>44.732761487491871</v>
      </c>
      <c r="CQ125" s="2">
        <f>Table83[[#This Row],[Waist]]-Table7[[#This Row],[Waist v  Night Sys]]</f>
        <v>-1.2327614874918709</v>
      </c>
      <c r="CR125" s="2">
        <f>Table7[[#This Row],[WaistNS Res]]^2</f>
        <v>1.5197008850431701</v>
      </c>
      <c r="CS125">
        <f>Regression!$J$29+(Regression!$J$28*Table83[[#This Row],[Night Diastolic Pressure]])</f>
        <v>44.512295846776055</v>
      </c>
      <c r="CT125" s="2">
        <f>Table83[[#This Row],[Waist]]-Table7[[#This Row],[Waist v Night Dia]]</f>
        <v>-1.0122958467760554</v>
      </c>
      <c r="CU125" s="2">
        <f>Table7[[#This Row],[WaistND Res]]^2</f>
        <v>1.0247428814000512</v>
      </c>
      <c r="CV125">
        <f>Regression!$K$29+(Regression!$K$28*Table83[[#This Row],[Night Pulse]])</f>
        <v>44.482562343052983</v>
      </c>
      <c r="CW125" s="2">
        <f>Table83[[#This Row],[Waist]]-Table7[[#This Row],[Waist v Night Pulse]]</f>
        <v>-0.98256234305298307</v>
      </c>
      <c r="CX125" s="2">
        <f>Table7[[#This Row],[WaistNP Res]]^2</f>
        <v>0.96542875798576799</v>
      </c>
      <c r="CY125">
        <f>Regression!$L$29+(Regression!$L$28*Table83[[#This Row],[Sleep]])</f>
        <v>44.456891852858099</v>
      </c>
      <c r="CZ125" s="2">
        <f>Table83[[#This Row],[Waist]]-Table7[[#This Row],[Waist v  Sleep]]</f>
        <v>-0.95689185285809941</v>
      </c>
      <c r="DA125" s="2">
        <f>Table7[[#This Row],[WaistS Res]]^2</f>
        <v>0.9156420180662066</v>
      </c>
      <c r="DB125">
        <f>Regression!$M$29+(Regression!$M$28*Table83[[#This Row],[BMI]])</f>
        <v>43.811056056358765</v>
      </c>
      <c r="DC125" s="2">
        <f>Table83[[#This Row],[Waist]]-Table7[[#This Row],[Waist v BMI]]</f>
        <v>-0.31105605635876543</v>
      </c>
      <c r="DD125" s="2">
        <f>Table7[[#This Row],[WaistBMI Res]]^2</f>
        <v>9.6755870197467453E-2</v>
      </c>
      <c r="DE125">
        <f>Regression!$N$29+(Regression!$N$28*Table83[[#This Row],[CBF]])</f>
        <v>43.540887941991329</v>
      </c>
      <c r="DF125" s="2">
        <f>Table83[[#This Row],[Waist]]-Table7[[#This Row],[Waist v  CBF]]</f>
        <v>-4.0887941991329058E-2</v>
      </c>
      <c r="DG125" s="2">
        <f>Table7[[#This Row],[WaistCBF Res]]^2</f>
        <v>1.6718238002862899E-3</v>
      </c>
      <c r="DH125">
        <f>Regression!$O$29+(Regression!$O$28*Table83[[#This Row],[Gym]])</f>
        <v>44.347222222222221</v>
      </c>
      <c r="DI125" s="2">
        <f>Table83[[#This Row],[Waist]]-Table7[[#This Row],[Waist v  Gym]]</f>
        <v>-0.84722222222222143</v>
      </c>
      <c r="DJ125" s="2">
        <f>Table7[[#This Row],[WaistGYM Res]]^2</f>
        <v>0.71778549382715917</v>
      </c>
      <c r="DK125">
        <f>Regression!$P$29+(Regression!$P$28*Table83[[#This Row],[Cardio]])</f>
        <v>44.680851063829778</v>
      </c>
      <c r="DL125" s="2">
        <f>Table83[[#This Row],[Waist]]-Table7[[#This Row],[Waist v Cardio]]</f>
        <v>-1.1808510638297776</v>
      </c>
      <c r="DM125" s="2">
        <f>Table7[[#This Row],[WaistC Res]]^2</f>
        <v>1.3944092349479174</v>
      </c>
      <c r="DN125">
        <f>Regression!$Q$29+(Regression!$Q$28*Table83[[#This Row],[Calories]])</f>
        <v>44.244322220185779</v>
      </c>
      <c r="DO125" s="2">
        <f>Table83[[#This Row],[Waist]]-Table7[[#This Row],[Waist v Calories]]</f>
        <v>-0.74432222018577932</v>
      </c>
      <c r="DP125" s="2">
        <f>Table7[[#This Row],[WaistCal Res]]^2</f>
        <v>0.55401556746228775</v>
      </c>
      <c r="DQ125">
        <f>Regression!$R$29+(Regression!$R$28*Table83[[#This Row],[Carbs]])</f>
        <v>44.244031336381482</v>
      </c>
      <c r="DR125" s="2">
        <f>Table83[[#This Row],[Waist]]-Table7[[#This Row],[Waist v Carbs]]</f>
        <v>-0.74403133638148233</v>
      </c>
      <c r="DS125" s="2">
        <f>Table7[[#This Row],[WaistCarb Res]]^2</f>
        <v>0.5535826295176145</v>
      </c>
      <c r="DT125">
        <f>Regression!$S$29+(Regression!$S$28*Table83[[#This Row],[Fat ]])</f>
        <v>44.273461296446513</v>
      </c>
      <c r="DU125" s="2">
        <f>Table83[[#This Row],[Waist]]-Table7[[#This Row],[Waist v Fat]]</f>
        <v>-0.77346129644651285</v>
      </c>
      <c r="DV125" s="2">
        <f>Table7[[#This Row],[WaistF Res]]^2</f>
        <v>0.59824237710072048</v>
      </c>
      <c r="DW125">
        <f>Regression!$T$29+(Regression!$T$28*Table83[[#This Row],[Protein]])</f>
        <v>44.420612067753112</v>
      </c>
      <c r="DX125" s="2">
        <f>Table83[[#This Row],[Waist]]-Table7[[#This Row],[Waist v Protein]]</f>
        <v>-0.92061206775311177</v>
      </c>
      <c r="DY125" s="2">
        <f>Table7[[#This Row],[WaistP Res]]^2</f>
        <v>0.84752657929266006</v>
      </c>
      <c r="DZ125">
        <f>Regression!$U$29+(Regression!$U$28*Table83[[#This Row],[Fiber]])</f>
        <v>44.522473375013249</v>
      </c>
      <c r="EA125" s="2">
        <f>Table83[[#This Row],[Waist]]-Table7[[#This Row],[Waist v Fiber]]</f>
        <v>-1.0224733750132486</v>
      </c>
      <c r="EB125" s="2">
        <f>Table7[[#This Row],[WaistFib Res]]^2</f>
        <v>1.0454518026109834</v>
      </c>
      <c r="EC125">
        <f>Regression!$V$29+(Regression!$V$28*Table83[[#This Row],[Sugar]])</f>
        <v>44.294933940951886</v>
      </c>
      <c r="ED125" s="2">
        <f>Table83[[#This Row],[Waist]]-Table7[[#This Row],[Waist v Sugar]]</f>
        <v>-0.79493394095188563</v>
      </c>
      <c r="EE125" s="2">
        <f>Table7[[#This Row],[WaistSugar Res]]^2</f>
        <v>0.63191997047729598</v>
      </c>
      <c r="EF125">
        <f>Regression!$W$29+(Regression!$W$28*Table83[[#This Row],[Servings]])</f>
        <v>44.644872971784139</v>
      </c>
      <c r="EG125" s="2">
        <f>Table83[[#This Row],[Waist]]-Table7[[#This Row],[Waist v Servings]]</f>
        <v>-1.1448729717841388</v>
      </c>
      <c r="EH125" s="2">
        <f>Table7[[#This Row],[WaistServ Res]]^2</f>
        <v>1.3107341215218455</v>
      </c>
      <c r="EI125">
        <f>Regression!$X$29+(Regression!$X$28*Table83[[#This Row],[Water]])</f>
        <v>44.358256536134995</v>
      </c>
      <c r="EJ125" s="2">
        <f>Table83[[#This Row],[Waist]]-Table7[[#This Row],[Waist v Water]]</f>
        <v>-0.85825653613499497</v>
      </c>
      <c r="EK125" s="2">
        <f>Table7[[#This Row],[WaistWat Res]]^2</f>
        <v>0.73660428181843995</v>
      </c>
      <c r="EL125">
        <f>Regression!$Y$29+(Regression!$Y$28*Table83[[#This Row],[Fat Calories]])</f>
        <v>44.261384248684259</v>
      </c>
      <c r="EM125" s="2">
        <f>Table83[[#This Row],[Waist]]-Table7[[#This Row],[Waist v Fat Calories]]</f>
        <v>-0.76138424868425858</v>
      </c>
      <c r="EN125" s="2">
        <f>Table7[[#This Row],[WaistFatCal Res]]^2</f>
        <v>0.57970597414449287</v>
      </c>
    </row>
    <row r="126" spans="1:144" x14ac:dyDescent="0.25">
      <c r="A126">
        <f>Regression!$B$10+(Regression!$B$9*Table83[[#This Row],[Waist]])</f>
        <v>249.67228149328892</v>
      </c>
      <c r="B126" s="2">
        <f>Table83[[#This Row],[Weight]]-Table7[[#This Row],[Weight v Waist]]</f>
        <v>2.727718506711085</v>
      </c>
      <c r="C126" s="2">
        <f>Table7[[#This Row],[Weight v Waist Res]]^2</f>
        <v>7.4404482518541508</v>
      </c>
      <c r="D126">
        <f>Regression!$C$10+(Regression!$C$9*Table83[[#This Row],[Neck]])</f>
        <v>253.29286486487842</v>
      </c>
      <c r="E126" s="2">
        <f>Table83[[#This Row],[Weight]]-Table7[[#This Row],[Weight v Neck]]</f>
        <v>-0.89286486487841898</v>
      </c>
      <c r="F126" s="2">
        <f>Table7[[#This Row],[WN Res]]^2</f>
        <v>0.79720766693435741</v>
      </c>
      <c r="G126">
        <f>Regression!$D$10+(Regression!$D$9*Table83[[#This Row],[Morning Body Temp]])</f>
        <v>255.27076211175142</v>
      </c>
      <c r="H126" s="2">
        <f>Table83[[#This Row],[Weight]]-Table7[[#This Row],[Weight v Morning Temp]]</f>
        <v>-2.8707621117514179</v>
      </c>
      <c r="I126" s="2">
        <f>Table7[[#This Row],[WMT Res]]^2</f>
        <v>8.2412751022674602</v>
      </c>
      <c r="J126">
        <f>Regression!$E$10+(Regression!$E$9*Table83[[#This Row],[Morning Systolic Pressure]])</f>
        <v>255.00933222102856</v>
      </c>
      <c r="K126" s="2">
        <f>Table83[[#This Row],[Weight]]-Table7[[#This Row],[Weight v Morning Sys]]</f>
        <v>-2.6093322210285521</v>
      </c>
      <c r="L126" s="2">
        <f>Table7[[#This Row],[WMS Res]]^2</f>
        <v>6.8086146396977965</v>
      </c>
      <c r="M126">
        <f>Regression!$F$10+(Regression!$F$9*Table83[[#This Row],[Morning Diastolic Pressure]])</f>
        <v>254.8993513991569</v>
      </c>
      <c r="N126" s="2">
        <f>Table83[[#This Row],[Weight]]-Table7[[#This Row],[Weight v Morning Dia]]</f>
        <v>-2.4993513991568932</v>
      </c>
      <c r="O126" s="2">
        <f>Table7[[#This Row],[WMD Res]]^2</f>
        <v>6.2467574164675197</v>
      </c>
      <c r="P126">
        <f>Regression!$G$10+(Regression!$G$9*Table83[[#This Row],[Morning Pulse]])</f>
        <v>255.10633391136972</v>
      </c>
      <c r="Q126" s="2">
        <f>Table83[[#This Row],[Weight]]-Table7[[#This Row],[Weight v Morning Pulse]]</f>
        <v>-2.7063339113697111</v>
      </c>
      <c r="R126" s="2">
        <f>Table7[[#This Row],[WMP Res]]^2</f>
        <v>7.3242432398296797</v>
      </c>
      <c r="S126">
        <f>Regression!$H$10+(Regression!$H$9*Table83[[#This Row],[Night Body Temp]])</f>
        <v>256.49463180523202</v>
      </c>
      <c r="T126" s="2">
        <f>Table83[[#This Row],[Weight]]-Table7[[#This Row],[Weight v Night Temp]]</f>
        <v>-4.0946318052320123</v>
      </c>
      <c r="U126" s="2">
        <f>Table7[[#This Row],[WNT Res]]^2</f>
        <v>16.766009620417567</v>
      </c>
      <c r="V126">
        <f>Regression!$I$10+(Regression!$I$9*Table83[[#This Row],[Night Systolic Pressure]])</f>
        <v>254.93064689108181</v>
      </c>
      <c r="W126" s="2">
        <f>Table83[[#This Row],[Weight]]-Table7[[#This Row],[Weight v Night Sys]]</f>
        <v>-2.5306468910818012</v>
      </c>
      <c r="X126" s="2">
        <f>Table7[[#This Row],[WNS Res]]^2</f>
        <v>6.4041736873419861</v>
      </c>
      <c r="Y126">
        <f>Regression!$J$10+(Regression!$J$9*Table83[[#This Row],[Night Diastolic Pressure]])</f>
        <v>255.05155050582999</v>
      </c>
      <c r="Z126" s="2">
        <f>Table83[[#This Row],[Weight]]-Table7[[#This Row],[Weight v Night Dia]]</f>
        <v>-2.651550505829988</v>
      </c>
      <c r="AA126" s="2">
        <f>Table7[[#This Row],[WND Res]]^2</f>
        <v>7.0307200849672649</v>
      </c>
      <c r="AB126">
        <f>Regression!$K$10+(Regression!$K$9*Table83[[#This Row],[Night Pulse]])</f>
        <v>255.75513181471248</v>
      </c>
      <c r="AC126" s="2">
        <f>Table83[[#This Row],[Weight]]-Table7[[#This Row],[Weight v Night Pulse]]</f>
        <v>-3.3551318147124789</v>
      </c>
      <c r="AD126" s="2">
        <f>Table7[[#This Row],[WNP Res ]]^2</f>
        <v>11.256909494095853</v>
      </c>
      <c r="AE126">
        <f>Regression!$L$10+(Regression!$L$9*Table83[[#This Row],[Sleep]])</f>
        <v>254.19060717725986</v>
      </c>
      <c r="AF126" s="2">
        <f>Table83[[#This Row],[Weight]]-Table7[[#This Row],[Weight v Sleep]]</f>
        <v>-1.790607177259858</v>
      </c>
      <c r="AG126" s="2">
        <f>Table7[[#This Row],[WS Res]]^2</f>
        <v>3.2062740632545164</v>
      </c>
      <c r="AH126">
        <f>Regression!$M$10+(Regression!$M$9*Table83[[#This Row],[BMI]])</f>
        <v>252.40000000000609</v>
      </c>
      <c r="AI126" s="2">
        <f>Table83[[#This Row],[Weight]]-Table7[[#This Row],[Weight v BMI]]</f>
        <v>-6.0822458181064576E-12</v>
      </c>
      <c r="AJ126" s="2">
        <f>Table7[[#This Row],[WBMI Res]]^2</f>
        <v>3.6993714191873492E-23</v>
      </c>
      <c r="AK126">
        <f>Regression!$N$10+(Regression!$N$9*Table83[[#This Row],[CBF]])</f>
        <v>250.04675133427031</v>
      </c>
      <c r="AL126" s="2">
        <f>Table83[[#This Row],[Weight]]-Table7[[#This Row],[Weight v CBF]]</f>
        <v>2.3532486657296943</v>
      </c>
      <c r="AM126" s="2">
        <f>Table7[[#This Row],[WCBF Res]]^2</f>
        <v>5.5377792827585868</v>
      </c>
      <c r="AN126">
        <f>Regression!$O$10+(Regression!$O$9*Table83[[#This Row],[Gym]])</f>
        <v>254.72962962962998</v>
      </c>
      <c r="AO126" s="2">
        <f>Table83[[#This Row],[Weight]]-Table7[[#This Row],[Weight v Gym]]</f>
        <v>-2.3296296296299772</v>
      </c>
      <c r="AP126" s="2">
        <f>Table7[[#This Row],[WG Res]]^2</f>
        <v>5.4271742112499046</v>
      </c>
      <c r="AQ126">
        <f>Regression!$P$10+(Regression!$P$9*Table83[[#This Row],[Cardio]])</f>
        <v>254.19242424242461</v>
      </c>
      <c r="AR126" s="2">
        <f>Table83[[#This Row],[Weight]]-Table7[[#This Row],[Weight v Cardio]]</f>
        <v>-1.7924242424246017</v>
      </c>
      <c r="AS126" s="2">
        <f>Table7[[#This Row],[WC Res]]^2</f>
        <v>3.2127846648314073</v>
      </c>
      <c r="AT126">
        <f>Regression!$Q$10+(Regression!$Q$9*Table83[[#This Row],[Calories]])</f>
        <v>256.07730812153557</v>
      </c>
      <c r="AU126" s="2">
        <f>Table83[[#This Row],[Weight]]-Table7[[#This Row],[Weight v Calories]]</f>
        <v>-3.6773081215355603</v>
      </c>
      <c r="AV126" s="2">
        <f>Table7[[#This Row],[WCAL Res]]^2</f>
        <v>13.522595020711391</v>
      </c>
      <c r="AW126">
        <f>Regression!$R$10+(Regression!$R$9*Table83[[#This Row],[Carbs]])</f>
        <v>255.88858271143442</v>
      </c>
      <c r="AX126" s="2">
        <f>Table83[[#This Row],[Weight]]-Table7[[#This Row],[Weight v Carbs]]</f>
        <v>-3.4885827114344181</v>
      </c>
      <c r="AY126" s="2">
        <f>Table7[[#This Row],[Wcarb Res]]^2</f>
        <v>12.170209334519116</v>
      </c>
      <c r="AZ126">
        <f>Regression!$S$10+(Regression!$S$9*Table83[[#This Row],[Fat ]])</f>
        <v>255.74867108846553</v>
      </c>
      <c r="BA126" s="2">
        <f>Table83[[#This Row],[Weight]]-Table7[[#This Row],[Weight v Fat]]</f>
        <v>-3.3486710884655224</v>
      </c>
      <c r="BB126" s="2">
        <f>Table7[[#This Row],[WF Res]]^2</f>
        <v>11.213598058724866</v>
      </c>
      <c r="BC126">
        <f>Regression!$T$10+(Regression!$T$9*Table83[[#This Row],[Protein]])</f>
        <v>256.88571301836066</v>
      </c>
      <c r="BD126" s="2">
        <f>Table83[[#This Row],[Weight]]-Table7[[#This Row],[Weight v Protein]]</f>
        <v>-4.4857130183606557</v>
      </c>
      <c r="BE126" s="2">
        <f>Table7[[#This Row],[WP Res]]^2</f>
        <v>20.121621283090263</v>
      </c>
      <c r="BF126">
        <f>Regression!$U$10+(Regression!$U$9*Table83[[#This Row],[Fiber]])</f>
        <v>254.83021245041104</v>
      </c>
      <c r="BG126" s="2">
        <f>Table83[[#This Row],[Weight]]-Table7[[#This Row],[Weight v Fiber]]</f>
        <v>-2.4302124504110338</v>
      </c>
      <c r="BH126" s="2">
        <f>Table7[[#This Row],[Wfib Res]]^2</f>
        <v>5.9059325541328018</v>
      </c>
      <c r="BI126">
        <f>Regression!$V$10+(Regression!$V$9*Table83[[#This Row],[Sugar]])</f>
        <v>255.74263540784958</v>
      </c>
      <c r="BJ126" s="2">
        <f>Table83[[#This Row],[Weight]]-Table7[[#This Row],[Weight v Sugar]]</f>
        <v>-3.3426354078495706</v>
      </c>
      <c r="BK126" s="2">
        <f>Table7[[#This Row],[Wsugar Res]]^2</f>
        <v>11.173211469809665</v>
      </c>
      <c r="BL126">
        <f>Regression!$W$10+(Regression!$W$9*Table83[[#This Row],[Servings]])</f>
        <v>255.74326120778522</v>
      </c>
      <c r="BM126" s="2">
        <f>Table83[[#This Row],[Weight]]-Table7[[#This Row],[Weight v Servings]]</f>
        <v>-3.3432612077852184</v>
      </c>
      <c r="BN126" s="2">
        <f>Table7[[#This Row],[Wserv Res]]^2</f>
        <v>11.177395503481478</v>
      </c>
      <c r="BO126">
        <f>Regression!$X$10+(Regression!$X$9*Table83[[#This Row],[Water]])</f>
        <v>255.0206340268538</v>
      </c>
      <c r="BP126" s="2">
        <f>Table83[[#This Row],[Weight]]-Table7[[#This Row],[Weight v Water]]</f>
        <v>-2.6206340268537929</v>
      </c>
      <c r="BQ126" s="2">
        <f>Table7[[#This Row],[Wwater Res]]^2</f>
        <v>6.8677227027039258</v>
      </c>
      <c r="BR126">
        <f>Regression!$Y$10+(Regression!$Y$9*Table83[[#This Row],[Fat Calories]])</f>
        <v>255.78452100206511</v>
      </c>
      <c r="BS126" s="2">
        <f>Table83[[#This Row],[Weight]]-Table7[[#This Row],[Weight v Fat Calories]]</f>
        <v>-3.3845210020650995</v>
      </c>
      <c r="BT126" s="2">
        <f>Table7[[#This Row],[WFC Res]]^2</f>
        <v>11.454982413419746</v>
      </c>
      <c r="BU126">
        <f>Regression!$B$29+(Regression!$B$28*Table83[[#This Row],[Weight]])</f>
        <v>44.083581077496696</v>
      </c>
      <c r="BV126" s="2">
        <f>Table83[[#This Row],[Waist]]-Table7[[#This Row],[Waist v Weight]]</f>
        <v>-0.58358107749669585</v>
      </c>
      <c r="BW126" s="2">
        <f>Table7[[#This Row],[WaistW Res]]^2</f>
        <v>0.34056687401220453</v>
      </c>
      <c r="BX126">
        <f>Regression!$C$29+(Regression!$C$28*Table83[[#This Row],[Neck]])</f>
        <v>44.175585585585594</v>
      </c>
      <c r="BY126" s="2">
        <f>Table83[[#This Row],[Waist]]-Table7[[#This Row],[Waist v Neck]]</f>
        <v>-0.67558558558559412</v>
      </c>
      <c r="BZ126" s="2">
        <f>Table7[[#This Row],[WaistN Res]]^2</f>
        <v>0.45641588345103012</v>
      </c>
      <c r="CA126">
        <f>Regression!$D$29+(Regression!$D$28*Table83[[#This Row],[Morning Body Temp]])</f>
        <v>44.495891557108962</v>
      </c>
      <c r="CB126" s="2">
        <f>Table83[[#This Row],[Waist]]-Table7[[#This Row],[Waist v Morning Temp]]</f>
        <v>-0.99589155710896193</v>
      </c>
      <c r="CC126" s="2">
        <f>Table7[[#This Row],[WaistMT Res]]^2</f>
        <v>0.99179999352091275</v>
      </c>
      <c r="CD126">
        <f>Regression!$E$29+(Regression!$E$28*Table83[[#This Row],[Morning Systolic Pressure]])</f>
        <v>44.428703916909349</v>
      </c>
      <c r="CE126" s="2">
        <f>Table83[[#This Row],[Waist]]-Table7[[#This Row],[Waist v Morning Sys]]</f>
        <v>-0.92870391690934895</v>
      </c>
      <c r="CF126" s="2">
        <f>Table7[[#This Row],[WaistMS Res]]^2</f>
        <v>0.86249096528276692</v>
      </c>
      <c r="CG126">
        <f>Regression!$F$29+(Regression!$F$28*Table83[[#This Row],[Morning Diastolic Pressure]])</f>
        <v>44.441545426806556</v>
      </c>
      <c r="CH126" s="2">
        <f>Table83[[#This Row],[Waist]]-Table7[[#This Row],[Waist v Morning Dia]]</f>
        <v>-0.94154542680655595</v>
      </c>
      <c r="CI126" s="2">
        <f>Table7[[#This Row],[WaistMD Res]]^2</f>
        <v>0.88650779074033959</v>
      </c>
      <c r="CJ126">
        <f>Regression!$G$29+(Regression!$G$28*Table83[[#This Row],[Morning Pulse]])</f>
        <v>44.449539184638127</v>
      </c>
      <c r="CK126" s="2">
        <f>Table83[[#This Row],[Waist]]-Table7[[#This Row],[Waist v Morning Pulse]]</f>
        <v>-0.9495391846381267</v>
      </c>
      <c r="CL126" s="2">
        <f>Table7[[#This Row],[WaistMP Res]]^2</f>
        <v>0.90162466316323842</v>
      </c>
      <c r="CM126">
        <f>Regression!$H$29+(Regression!$H$28*Table83[[#This Row],[Night Body Temp]])</f>
        <v>44.56231088792758</v>
      </c>
      <c r="CN126" s="2">
        <f>Table83[[#This Row],[Waist]]-Table7[[#This Row],[Waist v Night Temp]]</f>
        <v>-1.0623108879275804</v>
      </c>
      <c r="CO126" s="2">
        <f>Table7[[#This Row],[WaistNT Res]]^2</f>
        <v>1.1285044226094845</v>
      </c>
      <c r="CP126">
        <f>Regression!$I$29+(Regression!$I$28*Table83[[#This Row],[Night Systolic Pressure]])</f>
        <v>44.427419086653984</v>
      </c>
      <c r="CQ126" s="2">
        <f>Table83[[#This Row],[Waist]]-Table7[[#This Row],[Waist v  Night Sys]]</f>
        <v>-0.92741908665398398</v>
      </c>
      <c r="CR126" s="2">
        <f>Table7[[#This Row],[WaistNS Res]]^2</f>
        <v>0.86010616229010983</v>
      </c>
      <c r="CS126">
        <f>Regression!$J$29+(Regression!$J$28*Table83[[#This Row],[Night Diastolic Pressure]])</f>
        <v>44.426956120738851</v>
      </c>
      <c r="CT126" s="2">
        <f>Table83[[#This Row],[Waist]]-Table7[[#This Row],[Waist v Night Dia]]</f>
        <v>-0.92695612073885059</v>
      </c>
      <c r="CU126" s="2">
        <f>Table7[[#This Row],[WaistND Res]]^2</f>
        <v>0.8592476497752185</v>
      </c>
      <c r="CV126">
        <f>Regression!$K$29+(Regression!$K$28*Table83[[#This Row],[Night Pulse]])</f>
        <v>44.394003207413071</v>
      </c>
      <c r="CW126" s="2">
        <f>Table83[[#This Row],[Waist]]-Table7[[#This Row],[Waist v Night Pulse]]</f>
        <v>-0.89400320741307127</v>
      </c>
      <c r="CX126" s="2">
        <f>Table7[[#This Row],[WaistNP Res]]^2</f>
        <v>0.79924173486485894</v>
      </c>
      <c r="CY126">
        <f>Regression!$L$29+(Regression!$L$28*Table83[[#This Row],[Sleep]])</f>
        <v>44.312594948871137</v>
      </c>
      <c r="CZ126" s="2">
        <f>Table83[[#This Row],[Waist]]-Table7[[#This Row],[Waist v  Sleep]]</f>
        <v>-0.81259494887113703</v>
      </c>
      <c r="DA126" s="2">
        <f>Table7[[#This Row],[WaistS Res]]^2</f>
        <v>0.66031055093088586</v>
      </c>
      <c r="DB126">
        <f>Regression!$M$29+(Regression!$M$28*Table83[[#This Row],[BMI]])</f>
        <v>44.083581077497868</v>
      </c>
      <c r="DC126" s="2">
        <f>Table83[[#This Row],[Waist]]-Table7[[#This Row],[Waist v BMI]]</f>
        <v>-0.58358107749786825</v>
      </c>
      <c r="DD126" s="2">
        <f>Table7[[#This Row],[WaistBMI Res]]^2</f>
        <v>0.34056687401357288</v>
      </c>
      <c r="DE126">
        <f>Regression!$N$29+(Regression!$N$28*Table83[[#This Row],[CBF]])</f>
        <v>43.540887941991329</v>
      </c>
      <c r="DF126" s="2">
        <f>Table83[[#This Row],[Waist]]-Table7[[#This Row],[Waist v  CBF]]</f>
        <v>-4.0887941991329058E-2</v>
      </c>
      <c r="DG126" s="2">
        <f>Table7[[#This Row],[WaistCBF Res]]^2</f>
        <v>1.6718238002862899E-3</v>
      </c>
      <c r="DH126">
        <f>Regression!$O$29+(Regression!$O$28*Table83[[#This Row],[Gym]])</f>
        <v>44.347222222222221</v>
      </c>
      <c r="DI126" s="2">
        <f>Table83[[#This Row],[Waist]]-Table7[[#This Row],[Waist v  Gym]]</f>
        <v>-0.84722222222222143</v>
      </c>
      <c r="DJ126" s="2">
        <f>Table7[[#This Row],[WaistGYM Res]]^2</f>
        <v>0.71778549382715917</v>
      </c>
      <c r="DK126">
        <f>Regression!$P$29+(Regression!$P$28*Table83[[#This Row],[Cardio]])</f>
        <v>44.291666666666664</v>
      </c>
      <c r="DL126" s="2">
        <f>Table83[[#This Row],[Waist]]-Table7[[#This Row],[Waist v Cardio]]</f>
        <v>-0.7916666666666643</v>
      </c>
      <c r="DM126" s="2">
        <f>Table7[[#This Row],[WaistC Res]]^2</f>
        <v>0.62673611111110739</v>
      </c>
      <c r="DN126">
        <f>Regression!$Q$29+(Regression!$Q$28*Table83[[#This Row],[Calories]])</f>
        <v>44.669739172751655</v>
      </c>
      <c r="DO126" s="2">
        <f>Table83[[#This Row],[Waist]]-Table7[[#This Row],[Waist v Calories]]</f>
        <v>-1.1697391727516546</v>
      </c>
      <c r="DP126" s="2">
        <f>Table7[[#This Row],[WaistCal Res]]^2</f>
        <v>1.3682897322697254</v>
      </c>
      <c r="DQ126">
        <f>Regression!$R$29+(Regression!$R$28*Table83[[#This Row],[Carbs]])</f>
        <v>44.614585794176413</v>
      </c>
      <c r="DR126" s="2">
        <f>Table83[[#This Row],[Waist]]-Table7[[#This Row],[Waist v Carbs]]</f>
        <v>-1.1145857941764135</v>
      </c>
      <c r="DS126" s="2">
        <f>Table7[[#This Row],[WaistCarb Res]]^2</f>
        <v>1.2423014925798663</v>
      </c>
      <c r="DT126">
        <f>Regression!$S$29+(Regression!$S$28*Table83[[#This Row],[Fat ]])</f>
        <v>44.647226138942806</v>
      </c>
      <c r="DU126" s="2">
        <f>Table83[[#This Row],[Waist]]-Table7[[#This Row],[Waist v Fat]]</f>
        <v>-1.1472261389428056</v>
      </c>
      <c r="DV126" s="2">
        <f>Table7[[#This Row],[WaistF Res]]^2</f>
        <v>1.3161278138736174</v>
      </c>
      <c r="DW126">
        <f>Regression!$T$29+(Regression!$T$28*Table83[[#This Row],[Protein]])</f>
        <v>44.777637982085629</v>
      </c>
      <c r="DX126" s="2">
        <f>Table83[[#This Row],[Waist]]-Table7[[#This Row],[Waist v Protein]]</f>
        <v>-1.2776379820856292</v>
      </c>
      <c r="DY126" s="2">
        <f>Table7[[#This Row],[WaistP Res]]^2</f>
        <v>1.6323588132678386</v>
      </c>
      <c r="DZ126">
        <f>Regression!$U$29+(Regression!$U$28*Table83[[#This Row],[Fiber]])</f>
        <v>44.343634639231425</v>
      </c>
      <c r="EA126" s="2">
        <f>Table83[[#This Row],[Waist]]-Table7[[#This Row],[Waist v Fiber]]</f>
        <v>-0.8436346392314249</v>
      </c>
      <c r="EB126" s="2">
        <f>Table7[[#This Row],[WaistFib Res]]^2</f>
        <v>0.71171940451113647</v>
      </c>
      <c r="EC126">
        <f>Regression!$V$29+(Regression!$V$28*Table83[[#This Row],[Sugar]])</f>
        <v>44.566279575372839</v>
      </c>
      <c r="ED126" s="2">
        <f>Table83[[#This Row],[Waist]]-Table7[[#This Row],[Waist v Sugar]]</f>
        <v>-1.0662795753728389</v>
      </c>
      <c r="EE126" s="2">
        <f>Table7[[#This Row],[WaistSugar Res]]^2</f>
        <v>1.1369521328572816</v>
      </c>
      <c r="EF126">
        <f>Regression!$W$29+(Regression!$W$28*Table83[[#This Row],[Servings]])</f>
        <v>44.549395265012812</v>
      </c>
      <c r="EG126" s="2">
        <f>Table83[[#This Row],[Waist]]-Table7[[#This Row],[Waist v Servings]]</f>
        <v>-1.0493952650128122</v>
      </c>
      <c r="EH126" s="2">
        <f>Table7[[#This Row],[WaistServ Res]]^2</f>
        <v>1.1012304222313103</v>
      </c>
      <c r="EI126">
        <f>Regression!$X$29+(Regression!$X$28*Table83[[#This Row],[Water]])</f>
        <v>44.33031459742935</v>
      </c>
      <c r="EJ126" s="2">
        <f>Table83[[#This Row],[Waist]]-Table7[[#This Row],[Waist v Water]]</f>
        <v>-0.83031459742934999</v>
      </c>
      <c r="EK126" s="2">
        <f>Table7[[#This Row],[WaistWat Res]]^2</f>
        <v>0.68942233070426351</v>
      </c>
      <c r="EL126">
        <f>Regression!$Y$29+(Regression!$Y$28*Table83[[#This Row],[Fat Calories]])</f>
        <v>44.657146963256835</v>
      </c>
      <c r="EM126" s="2">
        <f>Table83[[#This Row],[Waist]]-Table7[[#This Row],[Waist v Fat Calories]]</f>
        <v>-1.1571469632568352</v>
      </c>
      <c r="EN126" s="2">
        <f>Table7[[#This Row],[WaistFatCal Res]]^2</f>
        <v>1.3389890945745155</v>
      </c>
    </row>
    <row r="127" spans="1:144" x14ac:dyDescent="0.25">
      <c r="A127">
        <f>Regression!$B$10+(Regression!$B$9*Table83[[#This Row],[Waist]])</f>
        <v>249.67228149328892</v>
      </c>
      <c r="B127" s="2">
        <f>Table83[[#This Row],[Weight]]-Table7[[#This Row],[Weight v Waist]]</f>
        <v>0.92771850671107359</v>
      </c>
      <c r="C127" s="2">
        <f>Table7[[#This Row],[Weight v Waist Res]]^2</f>
        <v>0.86066162769422427</v>
      </c>
      <c r="D127">
        <f>Regression!$C$10+(Regression!$C$9*Table83[[#This Row],[Neck]])</f>
        <v>253.29286486487842</v>
      </c>
      <c r="E127" s="2">
        <f>Table83[[#This Row],[Weight]]-Table7[[#This Row],[Weight v Neck]]</f>
        <v>-2.6928648648784304</v>
      </c>
      <c r="F127" s="2">
        <f>Table7[[#This Row],[WN Res]]^2</f>
        <v>7.2515211804967272</v>
      </c>
      <c r="G127">
        <f>Regression!$D$10+(Regression!$D$9*Table83[[#This Row],[Morning Body Temp]])</f>
        <v>255.20036355752904</v>
      </c>
      <c r="H127" s="2">
        <f>Table83[[#This Row],[Weight]]-Table7[[#This Row],[Weight v Morning Temp]]</f>
        <v>-4.6003635575290502</v>
      </c>
      <c r="I127" s="2">
        <f>Table7[[#This Row],[WMT Res]]^2</f>
        <v>21.163344861441338</v>
      </c>
      <c r="J127">
        <f>Regression!$E$10+(Regression!$E$9*Table83[[#This Row],[Morning Systolic Pressure]])</f>
        <v>254.6487145901215</v>
      </c>
      <c r="K127" s="2">
        <f>Table83[[#This Row],[Weight]]-Table7[[#This Row],[Weight v Morning Sys]]</f>
        <v>-4.0487145901215058</v>
      </c>
      <c r="L127" s="2">
        <f>Table7[[#This Row],[WMS Res]]^2</f>
        <v>16.392089832262752</v>
      </c>
      <c r="M127">
        <f>Regression!$F$10+(Regression!$F$9*Table83[[#This Row],[Morning Diastolic Pressure]])</f>
        <v>255.00069564820177</v>
      </c>
      <c r="N127" s="2">
        <f>Table83[[#This Row],[Weight]]-Table7[[#This Row],[Weight v Morning Dia]]</f>
        <v>-4.4006956482017756</v>
      </c>
      <c r="O127" s="2">
        <f>Table7[[#This Row],[WMD Res]]^2</f>
        <v>19.366122188102047</v>
      </c>
      <c r="P127">
        <f>Regression!$G$10+(Regression!$G$9*Table83[[#This Row],[Morning Pulse]])</f>
        <v>255.1081617071269</v>
      </c>
      <c r="Q127" s="2">
        <f>Table83[[#This Row],[Weight]]-Table7[[#This Row],[Weight v Morning Pulse]]</f>
        <v>-4.5081617071269022</v>
      </c>
      <c r="R127" s="2">
        <f>Table7[[#This Row],[WMP Res]]^2</f>
        <v>20.323521977605346</v>
      </c>
      <c r="S127">
        <f>Regression!$H$10+(Regression!$H$9*Table83[[#This Row],[Night Body Temp]])</f>
        <v>256.49463180523202</v>
      </c>
      <c r="T127" s="2">
        <f>Table83[[#This Row],[Weight]]-Table7[[#This Row],[Weight v Night Temp]]</f>
        <v>-5.8946318052320237</v>
      </c>
      <c r="U127" s="2">
        <f>Table7[[#This Row],[WNT Res]]^2</f>
        <v>34.746684119252947</v>
      </c>
      <c r="V127">
        <f>Regression!$I$10+(Regression!$I$9*Table83[[#This Row],[Night Systolic Pressure]])</f>
        <v>253.9041985507971</v>
      </c>
      <c r="W127" s="2">
        <f>Table83[[#This Row],[Weight]]-Table7[[#This Row],[Weight v Night Sys]]</f>
        <v>-3.3041985507971106</v>
      </c>
      <c r="X127" s="2">
        <f>Table7[[#This Row],[WNS Res]]^2</f>
        <v>10.917728063089726</v>
      </c>
      <c r="Y127">
        <f>Regression!$J$10+(Regression!$J$9*Table83[[#This Row],[Night Diastolic Pressure]])</f>
        <v>255.01078463741391</v>
      </c>
      <c r="Z127" s="2">
        <f>Table83[[#This Row],[Weight]]-Table7[[#This Row],[Weight v Night Dia]]</f>
        <v>-4.4107846374139115</v>
      </c>
      <c r="AA127" s="2">
        <f>Table7[[#This Row],[WND Res]]^2</f>
        <v>19.45502111764657</v>
      </c>
      <c r="AB127">
        <f>Regression!$K$10+(Regression!$K$9*Table83[[#This Row],[Night Pulse]])</f>
        <v>255.75513181471248</v>
      </c>
      <c r="AC127" s="2">
        <f>Table83[[#This Row],[Weight]]-Table7[[#This Row],[Weight v Night Pulse]]</f>
        <v>-5.1551318147124903</v>
      </c>
      <c r="AD127" s="2">
        <f>Table7[[#This Row],[WNP Res ]]^2</f>
        <v>26.575384027060892</v>
      </c>
      <c r="AE127">
        <f>Regression!$L$10+(Regression!$L$9*Table83[[#This Row],[Sleep]])</f>
        <v>255.13702972738133</v>
      </c>
      <c r="AF127" s="2">
        <f>Table83[[#This Row],[Weight]]-Table7[[#This Row],[Weight v Sleep]]</f>
        <v>-4.5370297273813378</v>
      </c>
      <c r="AG127" s="2">
        <f>Table7[[#This Row],[WS Res]]^2</f>
        <v>20.584638747141977</v>
      </c>
      <c r="AH127">
        <f>Regression!$M$10+(Regression!$M$9*Table83[[#This Row],[BMI]])</f>
        <v>250.60000000001014</v>
      </c>
      <c r="AI127" s="2">
        <f>Table83[[#This Row],[Weight]]-Table7[[#This Row],[Weight v BMI]]</f>
        <v>-1.0146550266654231E-11</v>
      </c>
      <c r="AJ127" s="2">
        <f>Table7[[#This Row],[WBMI Res]]^2</f>
        <v>1.0295248231374104E-22</v>
      </c>
      <c r="AK127">
        <f>Regression!$N$10+(Regression!$N$9*Table83[[#This Row],[CBF]])</f>
        <v>250.04675133427031</v>
      </c>
      <c r="AL127" s="2">
        <f>Table83[[#This Row],[Weight]]-Table7[[#This Row],[Weight v CBF]]</f>
        <v>0.5532486657296829</v>
      </c>
      <c r="AM127" s="2">
        <f>Table7[[#This Row],[WCBF Res]]^2</f>
        <v>0.30608408613167443</v>
      </c>
      <c r="AN127">
        <f>Regression!$O$10+(Regression!$O$9*Table83[[#This Row],[Gym]])</f>
        <v>254.72962962962998</v>
      </c>
      <c r="AO127" s="2">
        <f>Table83[[#This Row],[Weight]]-Table7[[#This Row],[Weight v Gym]]</f>
        <v>-4.1296296296299886</v>
      </c>
      <c r="AP127" s="2">
        <f>Table7[[#This Row],[WG Res]]^2</f>
        <v>17.053840877917917</v>
      </c>
      <c r="AQ127">
        <f>Regression!$P$10+(Regression!$P$9*Table83[[#This Row],[Cardio]])</f>
        <v>254.19242424242461</v>
      </c>
      <c r="AR127" s="2">
        <f>Table83[[#This Row],[Weight]]-Table7[[#This Row],[Weight v Cardio]]</f>
        <v>-3.5924242424246131</v>
      </c>
      <c r="AS127" s="2">
        <f>Table7[[#This Row],[WC Res]]^2</f>
        <v>12.905511937560055</v>
      </c>
      <c r="AT127">
        <f>Regression!$Q$10+(Regression!$Q$9*Table83[[#This Row],[Calories]])</f>
        <v>254.53025247801804</v>
      </c>
      <c r="AU127" s="2">
        <f>Table83[[#This Row],[Weight]]-Table7[[#This Row],[Weight v Calories]]</f>
        <v>-3.9302524780180477</v>
      </c>
      <c r="AV127" s="2">
        <f>Table7[[#This Row],[WCAL Res]]^2</f>
        <v>15.446884540967003</v>
      </c>
      <c r="AW127">
        <f>Regression!$R$10+(Regression!$R$9*Table83[[#This Row],[Carbs]])</f>
        <v>254.45888398512733</v>
      </c>
      <c r="AX127" s="2">
        <f>Table83[[#This Row],[Weight]]-Table7[[#This Row],[Weight v Carbs]]</f>
        <v>-3.8588839851273349</v>
      </c>
      <c r="AY127" s="2">
        <f>Table7[[#This Row],[Wcarb Res]]^2</f>
        <v>14.890985610672221</v>
      </c>
      <c r="AZ127">
        <f>Regression!$S$10+(Regression!$S$9*Table83[[#This Row],[Fat ]])</f>
        <v>254.91403660172654</v>
      </c>
      <c r="BA127" s="2">
        <f>Table83[[#This Row],[Weight]]-Table7[[#This Row],[Weight v Fat]]</f>
        <v>-4.3140366017265421</v>
      </c>
      <c r="BB127" s="2">
        <f>Table7[[#This Row],[WF Res]]^2</f>
        <v>18.610911801036291</v>
      </c>
      <c r="BC127">
        <f>Regression!$T$10+(Regression!$T$9*Table83[[#This Row],[Protein]])</f>
        <v>253.27878455169051</v>
      </c>
      <c r="BD127" s="2">
        <f>Table83[[#This Row],[Weight]]-Table7[[#This Row],[Weight v Protein]]</f>
        <v>-2.6787845516905122</v>
      </c>
      <c r="BE127" s="2">
        <f>Table7[[#This Row],[WP Res]]^2</f>
        <v>7.1758866743757386</v>
      </c>
      <c r="BF127">
        <f>Regression!$U$10+(Regression!$U$9*Table83[[#This Row],[Fiber]])</f>
        <v>255.58531606902372</v>
      </c>
      <c r="BG127" s="2">
        <f>Table83[[#This Row],[Weight]]-Table7[[#This Row],[Weight v Fiber]]</f>
        <v>-4.9853160690237246</v>
      </c>
      <c r="BH127" s="2">
        <f>Table7[[#This Row],[Wfib Res]]^2</f>
        <v>24.853376308066164</v>
      </c>
      <c r="BI127">
        <f>Regression!$V$10+(Regression!$V$9*Table83[[#This Row],[Sugar]])</f>
        <v>254.31944553686222</v>
      </c>
      <c r="BJ127" s="2">
        <f>Table83[[#This Row],[Weight]]-Table7[[#This Row],[Weight v Sugar]]</f>
        <v>-3.7194455368622243</v>
      </c>
      <c r="BK127" s="2">
        <f>Table7[[#This Row],[Wsugar Res]]^2</f>
        <v>13.83427510168432</v>
      </c>
      <c r="BL127">
        <f>Regression!$W$10+(Regression!$W$9*Table83[[#This Row],[Servings]])</f>
        <v>254.22305754810532</v>
      </c>
      <c r="BM127" s="2">
        <f>Table83[[#This Row],[Weight]]-Table7[[#This Row],[Weight v Servings]]</f>
        <v>-3.6230575481053222</v>
      </c>
      <c r="BN127" s="2">
        <f>Table7[[#This Row],[Wserv Res]]^2</f>
        <v>13.12654599688295</v>
      </c>
      <c r="BO127">
        <f>Regression!$X$10+(Regression!$X$9*Table83[[#This Row],[Water]])</f>
        <v>255.0206340268538</v>
      </c>
      <c r="BP127" s="2">
        <f>Table83[[#This Row],[Weight]]-Table7[[#This Row],[Weight v Water]]</f>
        <v>-4.4206340268538042</v>
      </c>
      <c r="BQ127" s="2">
        <f>Table7[[#This Row],[Wwater Res]]^2</f>
        <v>19.54200519937768</v>
      </c>
      <c r="BR127">
        <f>Regression!$Y$10+(Regression!$Y$9*Table83[[#This Row],[Fat Calories]])</f>
        <v>254.8962599402937</v>
      </c>
      <c r="BS127" s="2">
        <f>Table83[[#This Row],[Weight]]-Table7[[#This Row],[Weight v Fat Calories]]</f>
        <v>-4.2962599402937087</v>
      </c>
      <c r="BT127" s="2">
        <f>Table7[[#This Row],[WFC Res]]^2</f>
        <v>18.457849474572502</v>
      </c>
      <c r="BU127">
        <f>Regression!$B$29+(Regression!$B$28*Table83[[#This Row],[Weight]])</f>
        <v>43.838308558470729</v>
      </c>
      <c r="BV127" s="2">
        <f>Table83[[#This Row],[Waist]]-Table7[[#This Row],[Waist v Weight]]</f>
        <v>-0.33830855847072883</v>
      </c>
      <c r="BW127" s="2">
        <f>Table7[[#This Row],[WaistW Res]]^2</f>
        <v>0.11445268073454254</v>
      </c>
      <c r="BX127">
        <f>Regression!$C$29+(Regression!$C$28*Table83[[#This Row],[Neck]])</f>
        <v>44.175585585585594</v>
      </c>
      <c r="BY127" s="2">
        <f>Table83[[#This Row],[Waist]]-Table7[[#This Row],[Waist v Neck]]</f>
        <v>-0.67558558558559412</v>
      </c>
      <c r="BZ127" s="2">
        <f>Table7[[#This Row],[WaistN Res]]^2</f>
        <v>0.45641588345103012</v>
      </c>
      <c r="CA127">
        <f>Regression!$D$29+(Regression!$D$28*Table83[[#This Row],[Morning Body Temp]])</f>
        <v>44.476744743933082</v>
      </c>
      <c r="CB127" s="2">
        <f>Table83[[#This Row],[Waist]]-Table7[[#This Row],[Waist v Morning Temp]]</f>
        <v>-0.9767447439330823</v>
      </c>
      <c r="CC127" s="2">
        <f>Table7[[#This Row],[WaistMT Res]]^2</f>
        <v>0.95403029480090251</v>
      </c>
      <c r="CD127">
        <f>Regression!$E$29+(Regression!$E$28*Table83[[#This Row],[Morning Systolic Pressure]])</f>
        <v>44.343980674969934</v>
      </c>
      <c r="CE127" s="2">
        <f>Table83[[#This Row],[Waist]]-Table7[[#This Row],[Waist v Morning Sys]]</f>
        <v>-0.84398067496993434</v>
      </c>
      <c r="CF127" s="2">
        <f>Table7[[#This Row],[WaistMS Res]]^2</f>
        <v>0.71230337972270596</v>
      </c>
      <c r="CG127">
        <f>Regression!$F$29+(Regression!$F$28*Table83[[#This Row],[Morning Diastolic Pressure]])</f>
        <v>44.447181047475404</v>
      </c>
      <c r="CH127" s="2">
        <f>Table83[[#This Row],[Waist]]-Table7[[#This Row],[Waist v Morning Dia]]</f>
        <v>-0.94718104747540366</v>
      </c>
      <c r="CI127" s="2">
        <f>Table7[[#This Row],[WaistMD Res]]^2</f>
        <v>0.89715193669660287</v>
      </c>
      <c r="CJ127">
        <f>Regression!$G$29+(Regression!$G$28*Table83[[#This Row],[Morning Pulse]])</f>
        <v>44.450378687211739</v>
      </c>
      <c r="CK127" s="2">
        <f>Table83[[#This Row],[Waist]]-Table7[[#This Row],[Waist v Morning Pulse]]</f>
        <v>-0.95037868721173879</v>
      </c>
      <c r="CL127" s="2">
        <f>Table7[[#This Row],[WaistMP Res]]^2</f>
        <v>0.90321964910630803</v>
      </c>
      <c r="CM127">
        <f>Regression!$H$29+(Regression!$H$28*Table83[[#This Row],[Night Body Temp]])</f>
        <v>44.56231088792758</v>
      </c>
      <c r="CN127" s="2">
        <f>Table83[[#This Row],[Waist]]-Table7[[#This Row],[Waist v Night Temp]]</f>
        <v>-1.0623108879275804</v>
      </c>
      <c r="CO127" s="2">
        <f>Table7[[#This Row],[WaistNT Res]]^2</f>
        <v>1.1285044226094845</v>
      </c>
      <c r="CP127">
        <f>Regression!$I$29+(Regression!$I$28*Table83[[#This Row],[Night Systolic Pressure]])</f>
        <v>44.282017943397847</v>
      </c>
      <c r="CQ127" s="2">
        <f>Table83[[#This Row],[Waist]]-Table7[[#This Row],[Waist v  Night Sys]]</f>
        <v>-0.78201794339784669</v>
      </c>
      <c r="CR127" s="2">
        <f>Table7[[#This Row],[WaistNS Res]]^2</f>
        <v>0.61155206379619775</v>
      </c>
      <c r="CS127">
        <f>Regression!$J$29+(Regression!$J$28*Table83[[#This Row],[Night Diastolic Pressure]])</f>
        <v>44.409888175531407</v>
      </c>
      <c r="CT127" s="2">
        <f>Table83[[#This Row],[Waist]]-Table7[[#This Row],[Waist v Night Dia]]</f>
        <v>-0.90988817553140677</v>
      </c>
      <c r="CU127" s="2">
        <f>Table7[[#This Row],[WaistND Res]]^2</f>
        <v>0.82789649197187209</v>
      </c>
      <c r="CV127">
        <f>Regression!$K$29+(Regression!$K$28*Table83[[#This Row],[Night Pulse]])</f>
        <v>44.394003207413071</v>
      </c>
      <c r="CW127" s="2">
        <f>Table83[[#This Row],[Waist]]-Table7[[#This Row],[Waist v Night Pulse]]</f>
        <v>-0.89400320741307127</v>
      </c>
      <c r="CX127" s="2">
        <f>Table7[[#This Row],[WaistNP Res]]^2</f>
        <v>0.79924173486485894</v>
      </c>
      <c r="CY127">
        <f>Regression!$L$29+(Regression!$L$28*Table83[[#This Row],[Sleep]])</f>
        <v>44.456891852858099</v>
      </c>
      <c r="CZ127" s="2">
        <f>Table83[[#This Row],[Waist]]-Table7[[#This Row],[Waist v  Sleep]]</f>
        <v>-0.95689185285809941</v>
      </c>
      <c r="DA127" s="2">
        <f>Table7[[#This Row],[WaistS Res]]^2</f>
        <v>0.9156420180662066</v>
      </c>
      <c r="DB127">
        <f>Regression!$M$29+(Regression!$M$28*Table83[[#This Row],[BMI]])</f>
        <v>43.838308558472683</v>
      </c>
      <c r="DC127" s="2">
        <f>Table83[[#This Row],[Waist]]-Table7[[#This Row],[Waist v BMI]]</f>
        <v>-0.33830855847268282</v>
      </c>
      <c r="DD127" s="2">
        <f>Table7[[#This Row],[WaistBMI Res]]^2</f>
        <v>0.11445268073586465</v>
      </c>
      <c r="DE127">
        <f>Regression!$N$29+(Regression!$N$28*Table83[[#This Row],[CBF]])</f>
        <v>43.540887941991329</v>
      </c>
      <c r="DF127" s="2">
        <f>Table83[[#This Row],[Waist]]-Table7[[#This Row],[Waist v  CBF]]</f>
        <v>-4.0887941991329058E-2</v>
      </c>
      <c r="DG127" s="2">
        <f>Table7[[#This Row],[WaistCBF Res]]^2</f>
        <v>1.6718238002862899E-3</v>
      </c>
      <c r="DH127">
        <f>Regression!$O$29+(Regression!$O$28*Table83[[#This Row],[Gym]])</f>
        <v>44.347222222222221</v>
      </c>
      <c r="DI127" s="2">
        <f>Table83[[#This Row],[Waist]]-Table7[[#This Row],[Waist v  Gym]]</f>
        <v>-0.84722222222222143</v>
      </c>
      <c r="DJ127" s="2">
        <f>Table7[[#This Row],[WaistGYM Res]]^2</f>
        <v>0.71778549382715917</v>
      </c>
      <c r="DK127">
        <f>Regression!$P$29+(Regression!$P$28*Table83[[#This Row],[Cardio]])</f>
        <v>44.291666666666664</v>
      </c>
      <c r="DL127" s="2">
        <f>Table83[[#This Row],[Waist]]-Table7[[#This Row],[Waist v Cardio]]</f>
        <v>-0.7916666666666643</v>
      </c>
      <c r="DM127" s="2">
        <f>Table7[[#This Row],[WaistC Res]]^2</f>
        <v>0.62673611111110739</v>
      </c>
      <c r="DN127">
        <f>Regression!$Q$29+(Regression!$Q$28*Table83[[#This Row],[Calories]])</f>
        <v>44.3221500828259</v>
      </c>
      <c r="DO127" s="2">
        <f>Table83[[#This Row],[Waist]]-Table7[[#This Row],[Waist v Calories]]</f>
        <v>-0.82215008282589963</v>
      </c>
      <c r="DP127" s="2">
        <f>Table7[[#This Row],[WaistCal Res]]^2</f>
        <v>0.67593075869063357</v>
      </c>
      <c r="DQ127">
        <f>Regression!$R$29+(Regression!$R$28*Table83[[#This Row],[Carbs]])</f>
        <v>44.316931274490706</v>
      </c>
      <c r="DR127" s="2">
        <f>Table83[[#This Row],[Waist]]-Table7[[#This Row],[Waist v Carbs]]</f>
        <v>-0.81693127449070602</v>
      </c>
      <c r="DS127" s="2">
        <f>Table7[[#This Row],[WaistCarb Res]]^2</f>
        <v>0.66737670724100928</v>
      </c>
      <c r="DT127">
        <f>Regression!$S$29+(Regression!$S$28*Table83[[#This Row],[Fat ]])</f>
        <v>44.392096039474488</v>
      </c>
      <c r="DU127" s="2">
        <f>Table83[[#This Row],[Waist]]-Table7[[#This Row],[Waist v Fat]]</f>
        <v>-0.89209603947448812</v>
      </c>
      <c r="DV127" s="2">
        <f>Table7[[#This Row],[WaistF Res]]^2</f>
        <v>0.79583534364606745</v>
      </c>
      <c r="DW127">
        <f>Regression!$T$29+(Regression!$T$28*Table83[[#This Row],[Protein]])</f>
        <v>44.117436088090948</v>
      </c>
      <c r="DX127" s="2">
        <f>Table83[[#This Row],[Waist]]-Table7[[#This Row],[Waist v Protein]]</f>
        <v>-0.61743608809094752</v>
      </c>
      <c r="DY127" s="2">
        <f>Table7[[#This Row],[WaistP Res]]^2</f>
        <v>0.3812273228770523</v>
      </c>
      <c r="DZ127">
        <f>Regression!$U$29+(Regression!$U$28*Table83[[#This Row],[Fiber]])</f>
        <v>44.634998885565359</v>
      </c>
      <c r="EA127" s="2">
        <f>Table83[[#This Row],[Waist]]-Table7[[#This Row],[Waist v Fiber]]</f>
        <v>-1.1349988855653592</v>
      </c>
      <c r="EB127" s="2">
        <f>Table7[[#This Row],[WaistFib Res]]^2</f>
        <v>1.2882224702346075</v>
      </c>
      <c r="EC127">
        <f>Regression!$V$29+(Regression!$V$28*Table83[[#This Row],[Sugar]])</f>
        <v>44.310619387924902</v>
      </c>
      <c r="ED127" s="2">
        <f>Table83[[#This Row],[Waist]]-Table7[[#This Row],[Waist v Sugar]]</f>
        <v>-0.81061938792490196</v>
      </c>
      <c r="EE127" s="2">
        <f>Table7[[#This Row],[WaistSugar Res]]^2</f>
        <v>0.65710379207974268</v>
      </c>
      <c r="EF127">
        <f>Regression!$W$29+(Regression!$W$28*Table83[[#This Row],[Servings]])</f>
        <v>44.317437513131573</v>
      </c>
      <c r="EG127" s="2">
        <f>Table83[[#This Row],[Waist]]-Table7[[#This Row],[Waist v Servings]]</f>
        <v>-0.81743751313157276</v>
      </c>
      <c r="EH127" s="2">
        <f>Table7[[#This Row],[WaistServ Res]]^2</f>
        <v>0.66820408787473018</v>
      </c>
      <c r="EI127">
        <f>Regression!$X$29+(Regression!$X$28*Table83[[#This Row],[Water]])</f>
        <v>44.33031459742935</v>
      </c>
      <c r="EJ127" s="2">
        <f>Table83[[#This Row],[Waist]]-Table7[[#This Row],[Waist v Water]]</f>
        <v>-0.83031459742934999</v>
      </c>
      <c r="EK127" s="2">
        <f>Table7[[#This Row],[WaistWat Res]]^2</f>
        <v>0.68942233070426351</v>
      </c>
      <c r="EL127">
        <f>Regression!$Y$29+(Regression!$Y$28*Table83[[#This Row],[Fat Calories]])</f>
        <v>44.387001221189735</v>
      </c>
      <c r="EM127" s="2">
        <f>Table83[[#This Row],[Waist]]-Table7[[#This Row],[Waist v Fat Calories]]</f>
        <v>-0.88700122118973468</v>
      </c>
      <c r="EN127" s="2">
        <f>Table7[[#This Row],[WaistFatCal Res]]^2</f>
        <v>0.78677116639208067</v>
      </c>
    </row>
    <row r="128" spans="1:144" x14ac:dyDescent="0.25">
      <c r="A128">
        <f>Regression!$B$10+(Regression!$B$9*Table83[[#This Row],[Waist]])</f>
        <v>249.67228149328892</v>
      </c>
      <c r="B128" s="2">
        <f>Table83[[#This Row],[Weight]]-Table7[[#This Row],[Weight v Waist]]</f>
        <v>2.9277185067110736</v>
      </c>
      <c r="C128" s="2">
        <f>Table7[[#This Row],[Weight v Waist Res]]^2</f>
        <v>8.5715356545385184</v>
      </c>
      <c r="D128">
        <f>Regression!$C$10+(Regression!$C$9*Table83[[#This Row],[Neck]])</f>
        <v>253.29286486487842</v>
      </c>
      <c r="E128" s="2">
        <f>Table83[[#This Row],[Weight]]-Table7[[#This Row],[Weight v Neck]]</f>
        <v>-0.69286486487843035</v>
      </c>
      <c r="F128" s="2">
        <f>Table7[[#This Row],[WN Res]]^2</f>
        <v>0.48006172098300554</v>
      </c>
      <c r="G128">
        <f>Regression!$D$10+(Regression!$D$9*Table83[[#This Row],[Morning Body Temp]])</f>
        <v>256.18594331664218</v>
      </c>
      <c r="H128" s="2">
        <f>Table83[[#This Row],[Weight]]-Table7[[#This Row],[Weight v Morning Temp]]</f>
        <v>-3.5859433166421866</v>
      </c>
      <c r="I128" s="2">
        <f>Table7[[#This Row],[WMT Res]]^2</f>
        <v>12.858989470170766</v>
      </c>
      <c r="J128">
        <f>Regression!$E$10+(Regression!$E$9*Table83[[#This Row],[Morning Systolic Pressure]])</f>
        <v>255.05440942489196</v>
      </c>
      <c r="K128" s="2">
        <f>Table83[[#This Row],[Weight]]-Table7[[#This Row],[Weight v Morning Sys]]</f>
        <v>-2.4544094248919635</v>
      </c>
      <c r="L128" s="2">
        <f>Table7[[#This Row],[WMS Res]]^2</f>
        <v>6.0241256249984989</v>
      </c>
      <c r="M128">
        <f>Regression!$F$10+(Regression!$F$9*Table83[[#This Row],[Morning Diastolic Pressure]])</f>
        <v>255.00069564820177</v>
      </c>
      <c r="N128" s="2">
        <f>Table83[[#This Row],[Weight]]-Table7[[#This Row],[Weight v Morning Dia]]</f>
        <v>-2.4006956482017756</v>
      </c>
      <c r="O128" s="2">
        <f>Table7[[#This Row],[WMD Res]]^2</f>
        <v>5.7633395952949433</v>
      </c>
      <c r="P128">
        <f>Regression!$G$10+(Regression!$G$9*Table83[[#This Row],[Morning Pulse]])</f>
        <v>255.13009525621317</v>
      </c>
      <c r="Q128" s="2">
        <f>Table83[[#This Row],[Weight]]-Table7[[#This Row],[Weight v Morning Pulse]]</f>
        <v>-2.5300952562131727</v>
      </c>
      <c r="R128" s="2">
        <f>Table7[[#This Row],[WMP Res]]^2</f>
        <v>6.4013820055124002</v>
      </c>
      <c r="S128">
        <f>Regression!$H$10+(Regression!$H$9*Table83[[#This Row],[Night Body Temp]])</f>
        <v>256.70002494619541</v>
      </c>
      <c r="T128" s="2">
        <f>Table83[[#This Row],[Weight]]-Table7[[#This Row],[Weight v Night Temp]]</f>
        <v>-4.1000249461954184</v>
      </c>
      <c r="U128" s="2">
        <f>Table7[[#This Row],[WNT Res]]^2</f>
        <v>16.810204559424744</v>
      </c>
      <c r="V128">
        <f>Regression!$I$10+(Regression!$I$9*Table83[[#This Row],[Night Systolic Pressure]])</f>
        <v>255.03329172511027</v>
      </c>
      <c r="W128" s="2">
        <f>Table83[[#This Row],[Weight]]-Table7[[#This Row],[Weight v Night Sys]]</f>
        <v>-2.4332917251102799</v>
      </c>
      <c r="X128" s="2">
        <f>Table7[[#This Row],[WNS Res]]^2</f>
        <v>5.9209086194901621</v>
      </c>
      <c r="Y128">
        <f>Regression!$J$10+(Regression!$J$9*Table83[[#This Row],[Night Diastolic Pressure]])</f>
        <v>255.05155050582999</v>
      </c>
      <c r="Z128" s="2">
        <f>Table83[[#This Row],[Weight]]-Table7[[#This Row],[Weight v Night Dia]]</f>
        <v>-2.4515505058299993</v>
      </c>
      <c r="AA128" s="2">
        <f>Table7[[#This Row],[WND Res]]^2</f>
        <v>6.010099882635326</v>
      </c>
      <c r="AB128">
        <f>Regression!$K$10+(Regression!$K$9*Table83[[#This Row],[Night Pulse]])</f>
        <v>255.54013849605542</v>
      </c>
      <c r="AC128" s="2">
        <f>Table83[[#This Row],[Weight]]-Table7[[#This Row],[Weight v Night Pulse]]</f>
        <v>-2.9401384960554253</v>
      </c>
      <c r="AD128" s="2">
        <f>Table7[[#This Row],[WNP Res ]]^2</f>
        <v>8.6444143759870578</v>
      </c>
      <c r="AE128">
        <f>Regression!$L$10+(Regression!$L$9*Table83[[#This Row],[Sleep]])</f>
        <v>255.29476681906823</v>
      </c>
      <c r="AF128" s="2">
        <f>Table83[[#This Row],[Weight]]-Table7[[#This Row],[Weight v Sleep]]</f>
        <v>-2.694766819068235</v>
      </c>
      <c r="AG128" s="2">
        <f>Table7[[#This Row],[WS Res]]^2</f>
        <v>7.2617682091511337</v>
      </c>
      <c r="AH128">
        <f>Regression!$M$10+(Regression!$M$9*Table83[[#This Row],[BMI]])</f>
        <v>252.60000000000565</v>
      </c>
      <c r="AI128" s="2">
        <f>Table83[[#This Row],[Weight]]-Table7[[#This Row],[Weight v BMI]]</f>
        <v>-5.6559201766503975E-12</v>
      </c>
      <c r="AJ128" s="2">
        <f>Table7[[#This Row],[WBMI Res]]^2</f>
        <v>3.1989433044641063E-23</v>
      </c>
      <c r="AK128">
        <f>Regression!$N$10+(Regression!$N$9*Table83[[#This Row],[CBF]])</f>
        <v>250.04675133427031</v>
      </c>
      <c r="AL128" s="2">
        <f>Table83[[#This Row],[Weight]]-Table7[[#This Row],[Weight v CBF]]</f>
        <v>2.5532486657296829</v>
      </c>
      <c r="AM128" s="2">
        <f>Table7[[#This Row],[WCBF Res]]^2</f>
        <v>6.5190787490504061</v>
      </c>
      <c r="AN128">
        <f>Regression!$O$10+(Regression!$O$9*Table83[[#This Row],[Gym]])</f>
        <v>254.72962962962998</v>
      </c>
      <c r="AO128" s="2">
        <f>Table83[[#This Row],[Weight]]-Table7[[#This Row],[Weight v Gym]]</f>
        <v>-2.1296296296299886</v>
      </c>
      <c r="AP128" s="2">
        <f>Table7[[#This Row],[WG Res]]^2</f>
        <v>4.5353223593979628</v>
      </c>
      <c r="AQ128">
        <f>Regression!$P$10+(Regression!$P$9*Table83[[#This Row],[Cardio]])</f>
        <v>254.19242424242461</v>
      </c>
      <c r="AR128" s="2">
        <f>Table83[[#This Row],[Weight]]-Table7[[#This Row],[Weight v Cardio]]</f>
        <v>-1.5924242424246131</v>
      </c>
      <c r="AS128" s="2">
        <f>Table7[[#This Row],[WC Res]]^2</f>
        <v>2.5358149678616031</v>
      </c>
      <c r="AT128">
        <f>Regression!$Q$10+(Regression!$Q$9*Table83[[#This Row],[Calories]])</f>
        <v>254.23748466471017</v>
      </c>
      <c r="AU128" s="2">
        <f>Table83[[#This Row],[Weight]]-Table7[[#This Row],[Weight v Calories]]</f>
        <v>-1.637484664710172</v>
      </c>
      <c r="AV128" s="2">
        <f>Table7[[#This Row],[WCAL Res]]^2</f>
        <v>2.6813560271609842</v>
      </c>
      <c r="AW128">
        <f>Regression!$R$10+(Regression!$R$9*Table83[[#This Row],[Carbs]])</f>
        <v>254.13724391443699</v>
      </c>
      <c r="AX128" s="2">
        <f>Table83[[#This Row],[Weight]]-Table7[[#This Row],[Weight v Carbs]]</f>
        <v>-1.5372439144369991</v>
      </c>
      <c r="AY128" s="2">
        <f>Table7[[#This Row],[Wcarb Res]]^2</f>
        <v>2.3631188524735878</v>
      </c>
      <c r="AZ128">
        <f>Regression!$S$10+(Regression!$S$9*Table83[[#This Row],[Fat ]])</f>
        <v>254.67144609295707</v>
      </c>
      <c r="BA128" s="2">
        <f>Table83[[#This Row],[Weight]]-Table7[[#This Row],[Weight v Fat]]</f>
        <v>-2.0714460929570748</v>
      </c>
      <c r="BB128" s="2">
        <f>Table7[[#This Row],[WF Res]]^2</f>
        <v>4.2908889160271304</v>
      </c>
      <c r="BC128">
        <f>Regression!$T$10+(Regression!$T$9*Table83[[#This Row],[Protein]])</f>
        <v>253.52318770468329</v>
      </c>
      <c r="BD128" s="2">
        <f>Table83[[#This Row],[Weight]]-Table7[[#This Row],[Weight v Protein]]</f>
        <v>-0.92318770468330058</v>
      </c>
      <c r="BE128" s="2">
        <f>Table7[[#This Row],[WP Res]]^2</f>
        <v>0.85227553807842105</v>
      </c>
      <c r="BF128">
        <f>Regression!$U$10+(Regression!$U$9*Table83[[#This Row],[Fiber]])</f>
        <v>255.22362238992116</v>
      </c>
      <c r="BG128" s="2">
        <f>Table83[[#This Row],[Weight]]-Table7[[#This Row],[Weight v Fiber]]</f>
        <v>-2.6236223899211666</v>
      </c>
      <c r="BH128" s="2">
        <f>Table7[[#This Row],[Wfib Res]]^2</f>
        <v>6.8833944448956537</v>
      </c>
      <c r="BI128">
        <f>Regression!$V$10+(Regression!$V$9*Table83[[#This Row],[Sugar]])</f>
        <v>253.11914212611356</v>
      </c>
      <c r="BJ128" s="2">
        <f>Table83[[#This Row],[Weight]]-Table7[[#This Row],[Weight v Sugar]]</f>
        <v>-0.51914212611356447</v>
      </c>
      <c r="BK128" s="2">
        <f>Table7[[#This Row],[Wsugar Res]]^2</f>
        <v>0.26950854710571209</v>
      </c>
      <c r="BL128">
        <f>Regression!$W$10+(Regression!$W$9*Table83[[#This Row],[Servings]])</f>
        <v>253.18219394103758</v>
      </c>
      <c r="BM128" s="2">
        <f>Table83[[#This Row],[Weight]]-Table7[[#This Row],[Weight v Servings]]</f>
        <v>-0.58219394103758759</v>
      </c>
      <c r="BN128" s="2">
        <f>Table7[[#This Row],[Wserv Res]]^2</f>
        <v>0.33894978498087802</v>
      </c>
      <c r="BO128">
        <f>Regression!$X$10+(Regression!$X$9*Table83[[#This Row],[Water]])</f>
        <v>255.0206340268538</v>
      </c>
      <c r="BP128" s="2">
        <f>Table83[[#This Row],[Weight]]-Table7[[#This Row],[Weight v Water]]</f>
        <v>-2.4206340268538042</v>
      </c>
      <c r="BQ128" s="2">
        <f>Table7[[#This Row],[Wwater Res]]^2</f>
        <v>5.8594690919624641</v>
      </c>
      <c r="BR128">
        <f>Regression!$Y$10+(Regression!$Y$9*Table83[[#This Row],[Fat Calories]])</f>
        <v>254.63808261079328</v>
      </c>
      <c r="BS128" s="2">
        <f>Table83[[#This Row],[Weight]]-Table7[[#This Row],[Weight v Fat Calories]]</f>
        <v>-2.0380826107932819</v>
      </c>
      <c r="BT128" s="2">
        <f>Table7[[#This Row],[WFC Res]]^2</f>
        <v>4.15378072841796</v>
      </c>
      <c r="BU128">
        <f>Regression!$B$29+(Regression!$B$28*Table83[[#This Row],[Weight]])</f>
        <v>44.110833579610691</v>
      </c>
      <c r="BV128" s="2">
        <f>Table83[[#This Row],[Waist]]-Table7[[#This Row],[Waist v Weight]]</f>
        <v>-0.6108335796106914</v>
      </c>
      <c r="BW128" s="2">
        <f>Table7[[#This Row],[WaistW Res]]^2</f>
        <v>0.3731176619800109</v>
      </c>
      <c r="BX128">
        <f>Regression!$C$29+(Regression!$C$28*Table83[[#This Row],[Neck]])</f>
        <v>44.175585585585594</v>
      </c>
      <c r="BY128" s="2">
        <f>Table83[[#This Row],[Waist]]-Table7[[#This Row],[Waist v Neck]]</f>
        <v>-0.67558558558559412</v>
      </c>
      <c r="BZ128" s="2">
        <f>Table7[[#This Row],[WaistN Res]]^2</f>
        <v>0.45641588345103012</v>
      </c>
      <c r="CA128">
        <f>Regression!$D$29+(Regression!$D$28*Table83[[#This Row],[Morning Body Temp]])</f>
        <v>44.744800128395369</v>
      </c>
      <c r="CB128" s="2">
        <f>Table83[[#This Row],[Waist]]-Table7[[#This Row],[Waist v Morning Temp]]</f>
        <v>-1.2448001283953687</v>
      </c>
      <c r="CC128" s="2">
        <f>Table7[[#This Row],[WaistMT Res]]^2</f>
        <v>1.5495273596531263</v>
      </c>
      <c r="CD128">
        <f>Regression!$E$29+(Regression!$E$28*Table83[[#This Row],[Morning Systolic Pressure]])</f>
        <v>44.439294322151774</v>
      </c>
      <c r="CE128" s="2">
        <f>Table83[[#This Row],[Waist]]-Table7[[#This Row],[Waist v Morning Sys]]</f>
        <v>-0.939294322151774</v>
      </c>
      <c r="CF128" s="2">
        <f>Table7[[#This Row],[WaistMS Res]]^2</f>
        <v>0.88227382362656059</v>
      </c>
      <c r="CG128">
        <f>Regression!$F$29+(Regression!$F$28*Table83[[#This Row],[Morning Diastolic Pressure]])</f>
        <v>44.447181047475404</v>
      </c>
      <c r="CH128" s="2">
        <f>Table83[[#This Row],[Waist]]-Table7[[#This Row],[Waist v Morning Dia]]</f>
        <v>-0.94718104747540366</v>
      </c>
      <c r="CI128" s="2">
        <f>Table7[[#This Row],[WaistMD Res]]^2</f>
        <v>0.89715193669660287</v>
      </c>
      <c r="CJ128">
        <f>Regression!$G$29+(Regression!$G$28*Table83[[#This Row],[Morning Pulse]])</f>
        <v>44.460452718095105</v>
      </c>
      <c r="CK128" s="2">
        <f>Table83[[#This Row],[Waist]]-Table7[[#This Row],[Waist v Morning Pulse]]</f>
        <v>-0.96045271809510524</v>
      </c>
      <c r="CL128" s="2">
        <f>Table7[[#This Row],[WaistMP Res]]^2</f>
        <v>0.92246942369627571</v>
      </c>
      <c r="CM128">
        <f>Regression!$H$29+(Regression!$H$28*Table83[[#This Row],[Night Body Temp]])</f>
        <v>44.578504735537351</v>
      </c>
      <c r="CN128" s="2">
        <f>Table83[[#This Row],[Waist]]-Table7[[#This Row],[Waist v Night Temp]]</f>
        <v>-1.0785047355373507</v>
      </c>
      <c r="CO128" s="2">
        <f>Table7[[#This Row],[WaistNT Res]]^2</f>
        <v>1.1631724645764907</v>
      </c>
      <c r="CP128">
        <f>Regression!$I$29+(Regression!$I$28*Table83[[#This Row],[Night Systolic Pressure]])</f>
        <v>44.441959200979596</v>
      </c>
      <c r="CQ128" s="2">
        <f>Table83[[#This Row],[Waist]]-Table7[[#This Row],[Waist v  Night Sys]]</f>
        <v>-0.94195920097959629</v>
      </c>
      <c r="CR128" s="2">
        <f>Table7[[#This Row],[WaistNS Res]]^2</f>
        <v>0.88728713631011946</v>
      </c>
      <c r="CS128">
        <f>Regression!$J$29+(Regression!$J$28*Table83[[#This Row],[Night Diastolic Pressure]])</f>
        <v>44.426956120738851</v>
      </c>
      <c r="CT128" s="2">
        <f>Table83[[#This Row],[Waist]]-Table7[[#This Row],[Waist v Night Dia]]</f>
        <v>-0.92695612073885059</v>
      </c>
      <c r="CU128" s="2">
        <f>Table7[[#This Row],[WaistND Res]]^2</f>
        <v>0.8592476497752185</v>
      </c>
      <c r="CV128">
        <f>Regression!$K$29+(Regression!$K$28*Table83[[#This Row],[Night Pulse]])</f>
        <v>44.414000431589827</v>
      </c>
      <c r="CW128" s="2">
        <f>Table83[[#This Row],[Waist]]-Table7[[#This Row],[Waist v Night Pulse]]</f>
        <v>-0.91400043158982669</v>
      </c>
      <c r="CX128" s="2">
        <f>Table7[[#This Row],[WaistNP Res]]^2</f>
        <v>0.83539678894638947</v>
      </c>
      <c r="CY128">
        <f>Regression!$L$29+(Regression!$L$28*Table83[[#This Row],[Sleep]])</f>
        <v>44.480941336855928</v>
      </c>
      <c r="CZ128" s="2">
        <f>Table83[[#This Row],[Waist]]-Table7[[#This Row],[Waist v  Sleep]]</f>
        <v>-0.98094133685592766</v>
      </c>
      <c r="DA128" s="2">
        <f>Table7[[#This Row],[WaistS Res]]^2</f>
        <v>0.96224590635269458</v>
      </c>
      <c r="DB128">
        <f>Regression!$M$29+(Regression!$M$28*Table83[[#This Row],[BMI]])</f>
        <v>44.110833579611779</v>
      </c>
      <c r="DC128" s="2">
        <f>Table83[[#This Row],[Waist]]-Table7[[#This Row],[Waist v BMI]]</f>
        <v>-0.61083357961177853</v>
      </c>
      <c r="DD128" s="2">
        <f>Table7[[#This Row],[WaistBMI Res]]^2</f>
        <v>0.373117661981339</v>
      </c>
      <c r="DE128">
        <f>Regression!$N$29+(Regression!$N$28*Table83[[#This Row],[CBF]])</f>
        <v>43.540887941991329</v>
      </c>
      <c r="DF128" s="2">
        <f>Table83[[#This Row],[Waist]]-Table7[[#This Row],[Waist v  CBF]]</f>
        <v>-4.0887941991329058E-2</v>
      </c>
      <c r="DG128" s="2">
        <f>Table7[[#This Row],[WaistCBF Res]]^2</f>
        <v>1.6718238002862899E-3</v>
      </c>
      <c r="DH128">
        <f>Regression!$O$29+(Regression!$O$28*Table83[[#This Row],[Gym]])</f>
        <v>44.347222222222221</v>
      </c>
      <c r="DI128" s="2">
        <f>Table83[[#This Row],[Waist]]-Table7[[#This Row],[Waist v  Gym]]</f>
        <v>-0.84722222222222143</v>
      </c>
      <c r="DJ128" s="2">
        <f>Table7[[#This Row],[WaistGYM Res]]^2</f>
        <v>0.71778549382715917</v>
      </c>
      <c r="DK128">
        <f>Regression!$P$29+(Regression!$P$28*Table83[[#This Row],[Cardio]])</f>
        <v>44.291666666666664</v>
      </c>
      <c r="DL128" s="2">
        <f>Table83[[#This Row],[Waist]]-Table7[[#This Row],[Waist v Cardio]]</f>
        <v>-0.7916666666666643</v>
      </c>
      <c r="DM128" s="2">
        <f>Table7[[#This Row],[WaistC Res]]^2</f>
        <v>0.62673611111110739</v>
      </c>
      <c r="DN128">
        <f>Regression!$Q$29+(Regression!$Q$28*Table83[[#This Row],[Calories]])</f>
        <v>44.25637164866702</v>
      </c>
      <c r="DO128" s="2">
        <f>Table83[[#This Row],[Waist]]-Table7[[#This Row],[Waist v Calories]]</f>
        <v>-0.75637164866702022</v>
      </c>
      <c r="DP128" s="2">
        <f>Table7[[#This Row],[WaistCal Res]]^2</f>
        <v>0.57209807090726628</v>
      </c>
      <c r="DQ128">
        <f>Regression!$R$29+(Regression!$R$28*Table83[[#This Row],[Carbs]])</f>
        <v>44.249967781419478</v>
      </c>
      <c r="DR128" s="2">
        <f>Table83[[#This Row],[Waist]]-Table7[[#This Row],[Waist v Carbs]]</f>
        <v>-0.74996778141947829</v>
      </c>
      <c r="DS128" s="2">
        <f>Table7[[#This Row],[WaistCarb Res]]^2</f>
        <v>0.56245167316725431</v>
      </c>
      <c r="DT128">
        <f>Regression!$S$29+(Regression!$S$28*Table83[[#This Row],[Fat ]])</f>
        <v>44.317941254816297</v>
      </c>
      <c r="DU128" s="2">
        <f>Table83[[#This Row],[Waist]]-Table7[[#This Row],[Waist v Fat]]</f>
        <v>-0.8179412548162972</v>
      </c>
      <c r="DV128" s="2">
        <f>Table7[[#This Row],[WaistF Res]]^2</f>
        <v>0.66902789633045878</v>
      </c>
      <c r="DW128">
        <f>Regression!$T$29+(Regression!$T$28*Table83[[#This Row],[Protein]])</f>
        <v>44.162170943798543</v>
      </c>
      <c r="DX128" s="2">
        <f>Table83[[#This Row],[Waist]]-Table7[[#This Row],[Waist v Protein]]</f>
        <v>-0.66217094379854302</v>
      </c>
      <c r="DY128" s="2">
        <f>Table7[[#This Row],[WaistP Res]]^2</f>
        <v>0.43847035881105323</v>
      </c>
      <c r="DZ128">
        <f>Regression!$U$29+(Regression!$U$28*Table83[[#This Row],[Fiber]])</f>
        <v>44.495435779763952</v>
      </c>
      <c r="EA128" s="2">
        <f>Table83[[#This Row],[Waist]]-Table7[[#This Row],[Waist v Fiber]]</f>
        <v>-0.9954357797639517</v>
      </c>
      <c r="EB128" s="2">
        <f>Table7[[#This Row],[WaistFib Res]]^2</f>
        <v>0.99089239163426657</v>
      </c>
      <c r="EC128">
        <f>Regression!$V$29+(Regression!$V$28*Table83[[#This Row],[Sugar]])</f>
        <v>44.094998267200161</v>
      </c>
      <c r="ED128" s="2">
        <f>Table83[[#This Row],[Waist]]-Table7[[#This Row],[Waist v Sugar]]</f>
        <v>-0.59499826720016102</v>
      </c>
      <c r="EE128" s="2">
        <f>Table7[[#This Row],[WaistSugar Res]]^2</f>
        <v>0.35402293797119422</v>
      </c>
      <c r="EF128">
        <f>Regression!$W$29+(Regression!$W$28*Table83[[#This Row],[Servings]])</f>
        <v>44.158619067475904</v>
      </c>
      <c r="EG128" s="2">
        <f>Table83[[#This Row],[Waist]]-Table7[[#This Row],[Waist v Servings]]</f>
        <v>-0.65861906747590382</v>
      </c>
      <c r="EH128" s="2">
        <f>Table7[[#This Row],[WaistServ Res]]^2</f>
        <v>0.43377907604282917</v>
      </c>
      <c r="EI128">
        <f>Regression!$X$29+(Regression!$X$28*Table83[[#This Row],[Water]])</f>
        <v>44.33031459742935</v>
      </c>
      <c r="EJ128" s="2">
        <f>Table83[[#This Row],[Waist]]-Table7[[#This Row],[Waist v Water]]</f>
        <v>-0.83031459742934999</v>
      </c>
      <c r="EK128" s="2">
        <f>Table7[[#This Row],[WaistWat Res]]^2</f>
        <v>0.68942233070426351</v>
      </c>
      <c r="EL128">
        <f>Regression!$Y$29+(Regression!$Y$28*Table83[[#This Row],[Fat Calories]])</f>
        <v>44.308482068133863</v>
      </c>
      <c r="EM128" s="2">
        <f>Table83[[#This Row],[Waist]]-Table7[[#This Row],[Waist v Fat Calories]]</f>
        <v>-0.8084820681338627</v>
      </c>
      <c r="EN128" s="2">
        <f>Table7[[#This Row],[WaistFatCal Res]]^2</f>
        <v>0.65364325449400784</v>
      </c>
    </row>
    <row r="129" spans="1:144" x14ac:dyDescent="0.25">
      <c r="A129">
        <f>Regression!$B$10+(Regression!$B$9*Table83[[#This Row],[Waist]])</f>
        <v>249.67228149328892</v>
      </c>
      <c r="B129" s="2">
        <f>Table83[[#This Row],[Weight]]-Table7[[#This Row],[Weight v Waist]]</f>
        <v>3.9277185067110736</v>
      </c>
      <c r="C129" s="2">
        <f>Table7[[#This Row],[Weight v Waist Res]]^2</f>
        <v>15.426972667960666</v>
      </c>
      <c r="D129">
        <f>Regression!$C$10+(Regression!$C$9*Table83[[#This Row],[Neck]])</f>
        <v>253.29286486487842</v>
      </c>
      <c r="E129" s="2">
        <f>Table83[[#This Row],[Weight]]-Table7[[#This Row],[Weight v Neck]]</f>
        <v>0.30713513512156965</v>
      </c>
      <c r="F129" s="2">
        <f>Table7[[#This Row],[WN Res]]^2</f>
        <v>9.4331991226144843E-2</v>
      </c>
      <c r="G129">
        <f>Regression!$D$10+(Regression!$D$9*Table83[[#This Row],[Morning Body Temp]])</f>
        <v>256.32674042508688</v>
      </c>
      <c r="H129" s="2">
        <f>Table83[[#This Row],[Weight]]-Table7[[#This Row],[Weight v Morning Temp]]</f>
        <v>-2.7267404250868879</v>
      </c>
      <c r="I129" s="2">
        <f>Table7[[#This Row],[WMT Res]]^2</f>
        <v>7.4351133458030221</v>
      </c>
      <c r="J129">
        <f>Regression!$E$10+(Regression!$E$9*Table83[[#This Row],[Morning Systolic Pressure]])</f>
        <v>253.83732492058061</v>
      </c>
      <c r="K129" s="2">
        <f>Table83[[#This Row],[Weight]]-Table7[[#This Row],[Weight v Morning Sys]]</f>
        <v>-0.23732492058061894</v>
      </c>
      <c r="L129" s="2">
        <f>Table7[[#This Row],[WMS Res]]^2</f>
        <v>5.6323117928597087E-2</v>
      </c>
      <c r="M129">
        <f>Regression!$F$10+(Regression!$F$9*Table83[[#This Row],[Morning Diastolic Pressure]])</f>
        <v>255.91279388960569</v>
      </c>
      <c r="N129" s="2">
        <f>Table83[[#This Row],[Weight]]-Table7[[#This Row],[Weight v Morning Dia]]</f>
        <v>-2.3127938896057003</v>
      </c>
      <c r="O129" s="2">
        <f>Table7[[#This Row],[WMD Res]]^2</f>
        <v>5.3490155757974645</v>
      </c>
      <c r="P129">
        <f>Regression!$G$10+(Regression!$G$9*Table83[[#This Row],[Morning Pulse]])</f>
        <v>255.06429460895433</v>
      </c>
      <c r="Q129" s="2">
        <f>Table83[[#This Row],[Weight]]-Table7[[#This Row],[Weight v Morning Pulse]]</f>
        <v>-1.4642946089543329</v>
      </c>
      <c r="R129" s="2">
        <f>Table7[[#This Row],[WMP Res]]^2</f>
        <v>2.1441587018127226</v>
      </c>
      <c r="S129">
        <f>Regression!$H$10+(Regression!$H$9*Table83[[#This Row],[Night Body Temp]])</f>
        <v>255.26227295945182</v>
      </c>
      <c r="T129" s="2">
        <f>Table83[[#This Row],[Weight]]-Table7[[#This Row],[Weight v Night Temp]]</f>
        <v>-1.6622729594518262</v>
      </c>
      <c r="U129" s="2">
        <f>Table7[[#This Row],[WNT Res]]^2</f>
        <v>2.7631513917247328</v>
      </c>
      <c r="V129">
        <f>Regression!$I$10+(Regression!$I$9*Table83[[#This Row],[Night Systolic Pressure]])</f>
        <v>254.52006755496794</v>
      </c>
      <c r="W129" s="2">
        <f>Table83[[#This Row],[Weight]]-Table7[[#This Row],[Weight v Night Sys]]</f>
        <v>-0.92006755496794312</v>
      </c>
      <c r="X129" s="2">
        <f>Table7[[#This Row],[WNS Res]]^2</f>
        <v>0.84652430570468906</v>
      </c>
      <c r="Y129">
        <f>Regression!$J$10+(Regression!$J$9*Table83[[#This Row],[Night Diastolic Pressure]])</f>
        <v>255.2146139794944</v>
      </c>
      <c r="Z129" s="2">
        <f>Table83[[#This Row],[Weight]]-Table7[[#This Row],[Weight v Night Dia]]</f>
        <v>-1.6146139794944077</v>
      </c>
      <c r="AA129" s="2">
        <f>Table7[[#This Row],[WND Res]]^2</f>
        <v>2.6069783027787676</v>
      </c>
      <c r="AB129">
        <f>Regression!$K$10+(Regression!$K$9*Table83[[#This Row],[Night Pulse]])</f>
        <v>255.57085182729213</v>
      </c>
      <c r="AC129" s="2">
        <f>Table83[[#This Row],[Weight]]-Table7[[#This Row],[Weight v Night Pulse]]</f>
        <v>-1.9708518272921367</v>
      </c>
      <c r="AD129" s="2">
        <f>Table7[[#This Row],[WNP Res ]]^2</f>
        <v>3.8842569251407544</v>
      </c>
      <c r="AE129">
        <f>Regression!$L$10+(Regression!$L$9*Table83[[#This Row],[Sleep]])</f>
        <v>255.45250391075515</v>
      </c>
      <c r="AF129" s="2">
        <f>Table83[[#This Row],[Weight]]-Table7[[#This Row],[Weight v Sleep]]</f>
        <v>-1.8525039107551606</v>
      </c>
      <c r="AG129" s="2">
        <f>Table7[[#This Row],[WS Res]]^2</f>
        <v>3.4317707393631642</v>
      </c>
      <c r="AH129">
        <f>Regression!$M$10+(Regression!$M$9*Table83[[#This Row],[BMI]])</f>
        <v>253.60000000000343</v>
      </c>
      <c r="AI129" s="2">
        <f>Table83[[#This Row],[Weight]]-Table7[[#This Row],[Weight v BMI]]</f>
        <v>-3.4390268410788849E-12</v>
      </c>
      <c r="AJ129" s="2">
        <f>Table7[[#This Row],[WBMI Res]]^2</f>
        <v>1.1826905613661014E-23</v>
      </c>
      <c r="AK129">
        <f>Regression!$N$10+(Regression!$N$9*Table83[[#This Row],[CBF]])</f>
        <v>250.04675133427031</v>
      </c>
      <c r="AL129" s="2">
        <f>Table83[[#This Row],[Weight]]-Table7[[#This Row],[Weight v CBF]]</f>
        <v>3.5532486657296829</v>
      </c>
      <c r="AM129" s="2">
        <f>Table7[[#This Row],[WCBF Res]]^2</f>
        <v>12.625576080509772</v>
      </c>
      <c r="AN129">
        <f>Regression!$O$10+(Regression!$O$9*Table83[[#This Row],[Gym]])</f>
        <v>254.72962962962998</v>
      </c>
      <c r="AO129" s="2">
        <f>Table83[[#This Row],[Weight]]-Table7[[#This Row],[Weight v Gym]]</f>
        <v>-1.1296296296299886</v>
      </c>
      <c r="AP129" s="2">
        <f>Table7[[#This Row],[WG Res]]^2</f>
        <v>1.2760631001379852</v>
      </c>
      <c r="AQ129">
        <f>Regression!$P$10+(Regression!$P$9*Table83[[#This Row],[Cardio]])</f>
        <v>256.41063829787231</v>
      </c>
      <c r="AR129" s="2">
        <f>Table83[[#This Row],[Weight]]-Table7[[#This Row],[Weight v Cardio]]</f>
        <v>-2.8106382978723161</v>
      </c>
      <c r="AS129" s="2">
        <f>Table7[[#This Row],[WC Res]]^2</f>
        <v>7.8996876414665902</v>
      </c>
      <c r="AT129">
        <f>Regression!$Q$10+(Regression!$Q$9*Table83[[#This Row],[Calories]])</f>
        <v>253.3099607131299</v>
      </c>
      <c r="AU129" s="2">
        <f>Table83[[#This Row],[Weight]]-Table7[[#This Row],[Weight v Calories]]</f>
        <v>0.29003928687009761</v>
      </c>
      <c r="AV129" s="2">
        <f>Table7[[#This Row],[WCAL Res]]^2</f>
        <v>8.4122787928114784E-2</v>
      </c>
      <c r="AW129">
        <f>Regression!$R$10+(Regression!$R$9*Table83[[#This Row],[Carbs]])</f>
        <v>252.76074400834486</v>
      </c>
      <c r="AX129" s="2">
        <f>Table83[[#This Row],[Weight]]-Table7[[#This Row],[Weight v Carbs]]</f>
        <v>0.83925599165513631</v>
      </c>
      <c r="AY129" s="2">
        <f>Table7[[#This Row],[Wcarb Res]]^2</f>
        <v>0.70435061952904621</v>
      </c>
      <c r="AZ129">
        <f>Regression!$S$10+(Regression!$S$9*Table83[[#This Row],[Fat ]])</f>
        <v>254.26556955245945</v>
      </c>
      <c r="BA129" s="2">
        <f>Table83[[#This Row],[Weight]]-Table7[[#This Row],[Weight v Fat]]</f>
        <v>-0.66556955245945915</v>
      </c>
      <c r="BB129" s="2">
        <f>Table7[[#This Row],[WF Res]]^2</f>
        <v>0.44298282916108472</v>
      </c>
      <c r="BC129">
        <f>Regression!$T$10+(Regression!$T$9*Table83[[#This Row],[Protein]])</f>
        <v>254.26314856762343</v>
      </c>
      <c r="BD129" s="2">
        <f>Table83[[#This Row],[Weight]]-Table7[[#This Row],[Weight v Protein]]</f>
        <v>-0.66314856762343766</v>
      </c>
      <c r="BE129" s="2">
        <f>Table7[[#This Row],[WP Res]]^2</f>
        <v>0.43976602274101706</v>
      </c>
      <c r="BF129">
        <f>Regression!$U$10+(Regression!$U$9*Table83[[#This Row],[Fiber]])</f>
        <v>255.25524297275805</v>
      </c>
      <c r="BG129" s="2">
        <f>Table83[[#This Row],[Weight]]-Table7[[#This Row],[Weight v Fiber]]</f>
        <v>-1.6552429727580602</v>
      </c>
      <c r="BH129" s="2">
        <f>Table7[[#This Row],[Wfib Res]]^2</f>
        <v>2.7398292988649406</v>
      </c>
      <c r="BI129">
        <f>Regression!$V$10+(Regression!$V$9*Table83[[#This Row],[Sugar]])</f>
        <v>249.55733437168243</v>
      </c>
      <c r="BJ129" s="2">
        <f>Table83[[#This Row],[Weight]]-Table7[[#This Row],[Weight v Sugar]]</f>
        <v>4.0426656283175646</v>
      </c>
      <c r="BK129" s="2">
        <f>Table7[[#This Row],[Wsugar Res]]^2</f>
        <v>16.34314538238025</v>
      </c>
      <c r="BL129">
        <f>Regression!$W$10+(Regression!$W$9*Table83[[#This Row],[Servings]])</f>
        <v>251.89783781920596</v>
      </c>
      <c r="BM129" s="2">
        <f>Table83[[#This Row],[Weight]]-Table7[[#This Row],[Weight v Servings]]</f>
        <v>1.7021621807940335</v>
      </c>
      <c r="BN129" s="2">
        <f>Table7[[#This Row],[Wserv Res]]^2</f>
        <v>2.8973560897254997</v>
      </c>
      <c r="BO129">
        <f>Regression!$X$10+(Regression!$X$9*Table83[[#This Row],[Water]])</f>
        <v>255.0206340268538</v>
      </c>
      <c r="BP129" s="2">
        <f>Table83[[#This Row],[Weight]]-Table7[[#This Row],[Weight v Water]]</f>
        <v>-1.4206340268538042</v>
      </c>
      <c r="BQ129" s="2">
        <f>Table7[[#This Row],[Wwater Res]]^2</f>
        <v>2.0182010382548552</v>
      </c>
      <c r="BR129">
        <f>Regression!$Y$10+(Regression!$Y$9*Table83[[#This Row],[Fat Calories]])</f>
        <v>254.20612786588558</v>
      </c>
      <c r="BS129" s="2">
        <f>Table83[[#This Row],[Weight]]-Table7[[#This Row],[Weight v Fat Calories]]</f>
        <v>-0.60612786588558265</v>
      </c>
      <c r="BT129" s="2">
        <f>Table7[[#This Row],[WFC Res]]^2</f>
        <v>0.36739098980301088</v>
      </c>
      <c r="BU129">
        <f>Regression!$B$29+(Regression!$B$28*Table83[[#This Row],[Weight]])</f>
        <v>44.247096090180669</v>
      </c>
      <c r="BV129" s="2">
        <f>Table83[[#This Row],[Waist]]-Table7[[#This Row],[Waist v Weight]]</f>
        <v>-0.74709609018066914</v>
      </c>
      <c r="BW129" s="2">
        <f>Table7[[#This Row],[WaistW Res]]^2</f>
        <v>0.55815256796324253</v>
      </c>
      <c r="BX129">
        <f>Regression!$C$29+(Regression!$C$28*Table83[[#This Row],[Neck]])</f>
        <v>44.175585585585594</v>
      </c>
      <c r="BY129" s="2">
        <f>Table83[[#This Row],[Waist]]-Table7[[#This Row],[Waist v Neck]]</f>
        <v>-0.67558558558559412</v>
      </c>
      <c r="BZ129" s="2">
        <f>Table7[[#This Row],[WaistN Res]]^2</f>
        <v>0.45641588345103012</v>
      </c>
      <c r="CA129">
        <f>Regression!$D$29+(Regression!$D$28*Table83[[#This Row],[Morning Body Temp]])</f>
        <v>44.783093754747128</v>
      </c>
      <c r="CB129" s="2">
        <f>Table83[[#This Row],[Waist]]-Table7[[#This Row],[Waist v Morning Temp]]</f>
        <v>-1.2830937547471279</v>
      </c>
      <c r="CC129" s="2">
        <f>Table7[[#This Row],[WaistMT Res]]^2</f>
        <v>1.6463295834710829</v>
      </c>
      <c r="CD129">
        <f>Regression!$E$29+(Regression!$E$28*Table83[[#This Row],[Morning Systolic Pressure]])</f>
        <v>44.153353380606248</v>
      </c>
      <c r="CE129" s="2">
        <f>Table83[[#This Row],[Waist]]-Table7[[#This Row],[Waist v Morning Sys]]</f>
        <v>-0.65335338060624792</v>
      </c>
      <c r="CF129" s="2">
        <f>Table7[[#This Row],[WaistMS Res]]^2</f>
        <v>0.42687063994961266</v>
      </c>
      <c r="CG129">
        <f>Regression!$F$29+(Regression!$F$28*Table83[[#This Row],[Morning Diastolic Pressure]])</f>
        <v>44.497901633495097</v>
      </c>
      <c r="CH129" s="2">
        <f>Table83[[#This Row],[Waist]]-Table7[[#This Row],[Waist v Morning Dia]]</f>
        <v>-0.99790163349509697</v>
      </c>
      <c r="CI129" s="2">
        <f>Table7[[#This Row],[WaistMD Res]]^2</f>
        <v>0.99580767013218285</v>
      </c>
      <c r="CJ129">
        <f>Regression!$G$29+(Regression!$G$28*Table83[[#This Row],[Morning Pulse]])</f>
        <v>44.430230625445013</v>
      </c>
      <c r="CK129" s="2">
        <f>Table83[[#This Row],[Waist]]-Table7[[#This Row],[Waist v Morning Pulse]]</f>
        <v>-0.930230625445013</v>
      </c>
      <c r="CL129" s="2">
        <f>Table7[[#This Row],[WaistMP Res]]^2</f>
        <v>0.86532901651582006</v>
      </c>
      <c r="CM129">
        <f>Regression!$H$29+(Regression!$H$28*Table83[[#This Row],[Night Body Temp]])</f>
        <v>44.465147802268952</v>
      </c>
      <c r="CN129" s="2">
        <f>Table83[[#This Row],[Waist]]-Table7[[#This Row],[Waist v Night Temp]]</f>
        <v>-0.96514780226895169</v>
      </c>
      <c r="CO129" s="2">
        <f>Table7[[#This Row],[WaistNT Res]]^2</f>
        <v>0.93151028022458748</v>
      </c>
      <c r="CP129">
        <f>Regression!$I$29+(Regression!$I$28*Table83[[#This Row],[Night Systolic Pressure]])</f>
        <v>44.369258629351535</v>
      </c>
      <c r="CQ129" s="2">
        <f>Table83[[#This Row],[Waist]]-Table7[[#This Row],[Waist v  Night Sys]]</f>
        <v>-0.86925862935153475</v>
      </c>
      <c r="CR129" s="2">
        <f>Table7[[#This Row],[WaistNS Res]]^2</f>
        <v>0.75561056470210886</v>
      </c>
      <c r="CS129">
        <f>Regression!$J$29+(Regression!$J$28*Table83[[#This Row],[Night Diastolic Pressure]])</f>
        <v>44.495227901568619</v>
      </c>
      <c r="CT129" s="2">
        <f>Table83[[#This Row],[Waist]]-Table7[[#This Row],[Waist v Night Dia]]</f>
        <v>-0.99522790156861873</v>
      </c>
      <c r="CU129" s="2">
        <f>Table7[[#This Row],[WaistND Res]]^2</f>
        <v>0.99047857606067624</v>
      </c>
      <c r="CV129">
        <f>Regression!$K$29+(Regression!$K$28*Table83[[#This Row],[Night Pulse]])</f>
        <v>44.411143685278866</v>
      </c>
      <c r="CW129" s="2">
        <f>Table83[[#This Row],[Waist]]-Table7[[#This Row],[Waist v Night Pulse]]</f>
        <v>-0.91114368527886569</v>
      </c>
      <c r="CX129" s="2">
        <f>Table7[[#This Row],[WaistNP Res]]^2</f>
        <v>0.83018281522355264</v>
      </c>
      <c r="CY129">
        <f>Regression!$L$29+(Regression!$L$28*Table83[[#This Row],[Sleep]])</f>
        <v>44.504990820853756</v>
      </c>
      <c r="CZ129" s="2">
        <f>Table83[[#This Row],[Waist]]-Table7[[#This Row],[Waist v  Sleep]]</f>
        <v>-1.0049908208537559</v>
      </c>
      <c r="DA129" s="2">
        <f>Table7[[#This Row],[WaistS Res]]^2</f>
        <v>1.0100065500003061</v>
      </c>
      <c r="DB129">
        <f>Regression!$M$29+(Regression!$M$28*Table83[[#This Row],[BMI]])</f>
        <v>44.24709609018133</v>
      </c>
      <c r="DC129" s="2">
        <f>Table83[[#This Row],[Waist]]-Table7[[#This Row],[Waist v BMI]]</f>
        <v>-0.74709609018132994</v>
      </c>
      <c r="DD129" s="2">
        <f>Table7[[#This Row],[WaistBMI Res]]^2</f>
        <v>0.55815256796422985</v>
      </c>
      <c r="DE129">
        <f>Regression!$N$29+(Regression!$N$28*Table83[[#This Row],[CBF]])</f>
        <v>43.540887941991329</v>
      </c>
      <c r="DF129" s="2">
        <f>Table83[[#This Row],[Waist]]-Table7[[#This Row],[Waist v  CBF]]</f>
        <v>-4.0887941991329058E-2</v>
      </c>
      <c r="DG129" s="2">
        <f>Table7[[#This Row],[WaistCBF Res]]^2</f>
        <v>1.6718238002862899E-3</v>
      </c>
      <c r="DH129">
        <f>Regression!$O$29+(Regression!$O$28*Table83[[#This Row],[Gym]])</f>
        <v>44.347222222222221</v>
      </c>
      <c r="DI129" s="2">
        <f>Table83[[#This Row],[Waist]]-Table7[[#This Row],[Waist v  Gym]]</f>
        <v>-0.84722222222222143</v>
      </c>
      <c r="DJ129" s="2">
        <f>Table7[[#This Row],[WaistGYM Res]]^2</f>
        <v>0.71778549382715917</v>
      </c>
      <c r="DK129">
        <f>Regression!$P$29+(Regression!$P$28*Table83[[#This Row],[Cardio]])</f>
        <v>44.680851063829778</v>
      </c>
      <c r="DL129" s="2">
        <f>Table83[[#This Row],[Waist]]-Table7[[#This Row],[Waist v Cardio]]</f>
        <v>-1.1808510638297776</v>
      </c>
      <c r="DM129" s="2">
        <f>Table7[[#This Row],[WaistC Res]]^2</f>
        <v>1.3944092349479174</v>
      </c>
      <c r="DN129">
        <f>Regression!$Q$29+(Regression!$Q$28*Table83[[#This Row],[Calories]])</f>
        <v>44.047977588915494</v>
      </c>
      <c r="DO129" s="2">
        <f>Table83[[#This Row],[Waist]]-Table7[[#This Row],[Waist v Calories]]</f>
        <v>-0.54797758891549364</v>
      </c>
      <c r="DP129" s="2">
        <f>Table7[[#This Row],[WaistCal Res]]^2</f>
        <v>0.30027943795363776</v>
      </c>
      <c r="DQ129">
        <f>Regression!$R$29+(Regression!$R$28*Table83[[#This Row],[Carbs]])</f>
        <v>43.963388930325735</v>
      </c>
      <c r="DR129" s="2">
        <f>Table83[[#This Row],[Waist]]-Table7[[#This Row],[Waist v Carbs]]</f>
        <v>-0.4633889303257348</v>
      </c>
      <c r="DS129" s="2">
        <f>Table7[[#This Row],[WaistCarb Res]]^2</f>
        <v>0.21472930074842869</v>
      </c>
      <c r="DT129">
        <f>Regression!$S$29+(Regression!$S$28*Table83[[#This Row],[Fat ]])</f>
        <v>44.193873385833797</v>
      </c>
      <c r="DU129" s="2">
        <f>Table83[[#This Row],[Waist]]-Table7[[#This Row],[Waist v Fat]]</f>
        <v>-0.69387338583379687</v>
      </c>
      <c r="DV129" s="2">
        <f>Table7[[#This Row],[WaistF Res]]^2</f>
        <v>0.48146027556845716</v>
      </c>
      <c r="DW129">
        <f>Regression!$T$29+(Regression!$T$28*Table83[[#This Row],[Protein]])</f>
        <v>44.297611268637041</v>
      </c>
      <c r="DX129" s="2">
        <f>Table83[[#This Row],[Waist]]-Table7[[#This Row],[Waist v Protein]]</f>
        <v>-0.79761126863704135</v>
      </c>
      <c r="DY129" s="2">
        <f>Table7[[#This Row],[WaistP Res]]^2</f>
        <v>0.63618373585679056</v>
      </c>
      <c r="DZ129">
        <f>Regression!$U$29+(Regression!$U$28*Table83[[#This Row],[Fiber]])</f>
        <v>44.507636896352224</v>
      </c>
      <c r="EA129" s="2">
        <f>Table83[[#This Row],[Waist]]-Table7[[#This Row],[Waist v Fiber]]</f>
        <v>-1.0076368963522242</v>
      </c>
      <c r="EB129" s="2">
        <f>Table7[[#This Row],[WaistFib Res]]^2</f>
        <v>1.0153321148903429</v>
      </c>
      <c r="EC129">
        <f>Regression!$V$29+(Regression!$V$28*Table83[[#This Row],[Sugar]])</f>
        <v>43.455159229054374</v>
      </c>
      <c r="ED129" s="2">
        <f>Table83[[#This Row],[Waist]]-Table7[[#This Row],[Waist v Sugar]]</f>
        <v>4.4840770945626218E-2</v>
      </c>
      <c r="EE129" s="2">
        <f>Table7[[#This Row],[WaistSugar Res]]^2</f>
        <v>2.0106947389981165E-3</v>
      </c>
      <c r="EF129">
        <f>Regression!$W$29+(Regression!$W$28*Table83[[#This Row],[Servings]])</f>
        <v>43.962647720651432</v>
      </c>
      <c r="EG129" s="2">
        <f>Table83[[#This Row],[Waist]]-Table7[[#This Row],[Waist v Servings]]</f>
        <v>-0.46264772065143234</v>
      </c>
      <c r="EH129" s="2">
        <f>Table7[[#This Row],[WaistServ Res]]^2</f>
        <v>0.21404291342396578</v>
      </c>
      <c r="EI129">
        <f>Regression!$X$29+(Regression!$X$28*Table83[[#This Row],[Water]])</f>
        <v>44.33031459742935</v>
      </c>
      <c r="EJ129" s="2">
        <f>Table83[[#This Row],[Waist]]-Table7[[#This Row],[Waist v Water]]</f>
        <v>-0.83031459742934999</v>
      </c>
      <c r="EK129" s="2">
        <f>Table7[[#This Row],[WaistWat Res]]^2</f>
        <v>0.68942233070426351</v>
      </c>
      <c r="EL129">
        <f>Regression!$Y$29+(Regression!$Y$28*Table83[[#This Row],[Fat Calories]])</f>
        <v>44.177112203884967</v>
      </c>
      <c r="EM129" s="2">
        <f>Table83[[#This Row],[Waist]]-Table7[[#This Row],[Waist v Fat Calories]]</f>
        <v>-0.67711220388496685</v>
      </c>
      <c r="EN129" s="2">
        <f>Table7[[#This Row],[WaistFatCal Res]]^2</f>
        <v>0.45848093664995693</v>
      </c>
    </row>
    <row r="130" spans="1:144" x14ac:dyDescent="0.25">
      <c r="A130">
        <f>Regression!$B$10+(Regression!$B$9*Table83[[#This Row],[Waist]])</f>
        <v>249.67228149328892</v>
      </c>
      <c r="B130" s="2">
        <f>Table83[[#This Row],[Weight]]-Table7[[#This Row],[Weight v Waist]]</f>
        <v>3.3277185067110793</v>
      </c>
      <c r="C130" s="2">
        <f>Table7[[#This Row],[Weight v Waist Res]]^2</f>
        <v>11.073710459907415</v>
      </c>
      <c r="D130">
        <f>Regression!$C$10+(Regression!$C$9*Table83[[#This Row],[Neck]])</f>
        <v>253.29286486487842</v>
      </c>
      <c r="E130" s="2">
        <f>Table83[[#This Row],[Weight]]-Table7[[#This Row],[Weight v Neck]]</f>
        <v>-0.29286486487842467</v>
      </c>
      <c r="F130" s="2">
        <f>Table7[[#This Row],[WN Res]]^2</f>
        <v>8.5769829080257945E-2</v>
      </c>
      <c r="G130">
        <f>Regression!$D$10+(Regression!$D$9*Table83[[#This Row],[Morning Body Temp]])</f>
        <v>254.91876934063959</v>
      </c>
      <c r="H130" s="2">
        <f>Table83[[#This Row],[Weight]]-Table7[[#This Row],[Weight v Morning Temp]]</f>
        <v>-1.9187693406395852</v>
      </c>
      <c r="I130" s="2">
        <f>Table7[[#This Row],[WMT Res]]^2</f>
        <v>3.6816757825784685</v>
      </c>
      <c r="J130">
        <f>Regression!$E$10+(Regression!$E$9*Table83[[#This Row],[Morning Systolic Pressure]])</f>
        <v>255.50518146352579</v>
      </c>
      <c r="K130" s="2">
        <f>Table83[[#This Row],[Weight]]-Table7[[#This Row],[Weight v Morning Sys]]</f>
        <v>-2.505181463525787</v>
      </c>
      <c r="L130" s="2">
        <f>Table7[[#This Row],[WMS Res]]^2</f>
        <v>6.2759341651932035</v>
      </c>
      <c r="M130">
        <f>Regression!$F$10+(Regression!$F$9*Table83[[#This Row],[Morning Diastolic Pressure]])</f>
        <v>255.81144964056082</v>
      </c>
      <c r="N130" s="2">
        <f>Table83[[#This Row],[Weight]]-Table7[[#This Row],[Weight v Morning Dia]]</f>
        <v>-2.8114496405608236</v>
      </c>
      <c r="O130" s="2">
        <f>Table7[[#This Row],[WMD Res]]^2</f>
        <v>7.904249081409584</v>
      </c>
      <c r="P130">
        <f>Regression!$G$10+(Regression!$G$9*Table83[[#This Row],[Morning Pulse]])</f>
        <v>255.12278407318442</v>
      </c>
      <c r="Q130" s="2">
        <f>Table83[[#This Row],[Weight]]-Table7[[#This Row],[Weight v Morning Pulse]]</f>
        <v>-2.1227840731844196</v>
      </c>
      <c r="R130" s="2">
        <f>Table7[[#This Row],[WMP Res]]^2</f>
        <v>4.5062122213654359</v>
      </c>
      <c r="S130">
        <f>Regression!$H$10+(Regression!$H$9*Table83[[#This Row],[Night Body Temp]])</f>
        <v>255.26227295945182</v>
      </c>
      <c r="T130" s="2">
        <f>Table83[[#This Row],[Weight]]-Table7[[#This Row],[Weight v Night Temp]]</f>
        <v>-2.2622729594518205</v>
      </c>
      <c r="U130" s="2">
        <f>Table7[[#This Row],[WNT Res]]^2</f>
        <v>5.1178789430668985</v>
      </c>
      <c r="V130">
        <f>Regression!$I$10+(Regression!$I$9*Table83[[#This Row],[Night Systolic Pressure]])</f>
        <v>255.23858139316721</v>
      </c>
      <c r="W130" s="2">
        <f>Table83[[#This Row],[Weight]]-Table7[[#This Row],[Weight v Night Sys]]</f>
        <v>-2.2385813931672089</v>
      </c>
      <c r="X130" s="2">
        <f>Table7[[#This Row],[WNS Res]]^2</f>
        <v>5.0112466538344425</v>
      </c>
      <c r="Y130">
        <f>Regression!$J$10+(Regression!$J$9*Table83[[#This Row],[Night Diastolic Pressure]])</f>
        <v>255.2146139794944</v>
      </c>
      <c r="Z130" s="2">
        <f>Table83[[#This Row],[Weight]]-Table7[[#This Row],[Weight v Night Dia]]</f>
        <v>-2.214613979494402</v>
      </c>
      <c r="AA130" s="2">
        <f>Table7[[#This Row],[WND Res]]^2</f>
        <v>4.9045150781720315</v>
      </c>
      <c r="AB130">
        <f>Regression!$K$10+(Regression!$K$9*Table83[[#This Row],[Night Pulse]])</f>
        <v>255.07943852750452</v>
      </c>
      <c r="AC130" s="2">
        <f>Table83[[#This Row],[Weight]]-Table7[[#This Row],[Weight v Night Pulse]]</f>
        <v>-2.0794385275045215</v>
      </c>
      <c r="AD130" s="2">
        <f>Table7[[#This Row],[WNP Res ]]^2</f>
        <v>4.324064589670173</v>
      </c>
      <c r="AE130">
        <f>Regression!$L$10+(Regression!$L$9*Table83[[#This Row],[Sleep]])</f>
        <v>256.08345227750277</v>
      </c>
      <c r="AF130" s="2">
        <f>Table83[[#This Row],[Weight]]-Table7[[#This Row],[Weight v Sleep]]</f>
        <v>-3.0834522775027722</v>
      </c>
      <c r="AG130" s="2">
        <f>Table7[[#This Row],[WS Res]]^2</f>
        <v>9.507677947637033</v>
      </c>
      <c r="AH130">
        <f>Regression!$M$10+(Regression!$M$9*Table83[[#This Row],[BMI]])</f>
        <v>253.00000000000475</v>
      </c>
      <c r="AI130" s="2">
        <f>Table83[[#This Row],[Weight]]-Table7[[#This Row],[Weight v BMI]]</f>
        <v>-4.7464254748774692E-12</v>
      </c>
      <c r="AJ130" s="2">
        <f>Table7[[#This Row],[WBMI Res]]^2</f>
        <v>2.2528554788565809E-23</v>
      </c>
      <c r="AK130">
        <f>Regression!$N$10+(Regression!$N$9*Table83[[#This Row],[CBF]])</f>
        <v>250.04675133427031</v>
      </c>
      <c r="AL130" s="2">
        <f>Table83[[#This Row],[Weight]]-Table7[[#This Row],[Weight v CBF]]</f>
        <v>2.9532486657296886</v>
      </c>
      <c r="AM130" s="2">
        <f>Table7[[#This Row],[WCBF Res]]^2</f>
        <v>8.7216776816341852</v>
      </c>
      <c r="AN130">
        <f>Regression!$O$10+(Regression!$O$9*Table83[[#This Row],[Gym]])</f>
        <v>254.72962962962998</v>
      </c>
      <c r="AO130" s="2">
        <f>Table83[[#This Row],[Weight]]-Table7[[#This Row],[Weight v Gym]]</f>
        <v>-1.7296296296299829</v>
      </c>
      <c r="AP130" s="2">
        <f>Table7[[#This Row],[WG Res]]^2</f>
        <v>2.9916186556939519</v>
      </c>
      <c r="AQ130">
        <f>Regression!$P$10+(Regression!$P$9*Table83[[#This Row],[Cardio]])</f>
        <v>256.41063829787231</v>
      </c>
      <c r="AR130" s="2">
        <f>Table83[[#This Row],[Weight]]-Table7[[#This Row],[Weight v Cardio]]</f>
        <v>-3.4106382978723104</v>
      </c>
      <c r="AS130" s="2">
        <f>Table7[[#This Row],[WC Res]]^2</f>
        <v>11.632453598913331</v>
      </c>
      <c r="AT130">
        <f>Regression!$Q$10+(Regression!$Q$9*Table83[[#This Row],[Calories]])</f>
        <v>253.52265264382058</v>
      </c>
      <c r="AU130" s="2">
        <f>Table83[[#This Row],[Weight]]-Table7[[#This Row],[Weight v Calories]]</f>
        <v>-0.52265264382057808</v>
      </c>
      <c r="AV130" s="2">
        <f>Table7[[#This Row],[WCAL Res]]^2</f>
        <v>0.27316578609264003</v>
      </c>
      <c r="AW130">
        <f>Regression!$R$10+(Regression!$R$9*Table83[[#This Row],[Carbs]])</f>
        <v>253.38414338790452</v>
      </c>
      <c r="AX130" s="2">
        <f>Table83[[#This Row],[Weight]]-Table7[[#This Row],[Weight v Carbs]]</f>
        <v>-0.38414338790451552</v>
      </c>
      <c r="AY130" s="2">
        <f>Table7[[#This Row],[Wcarb Res]]^2</f>
        <v>0.14756614247075908</v>
      </c>
      <c r="AZ130">
        <f>Regression!$S$10+(Regression!$S$9*Table83[[#This Row],[Fat ]])</f>
        <v>254.22788972494169</v>
      </c>
      <c r="BA130" s="2">
        <f>Table83[[#This Row],[Weight]]-Table7[[#This Row],[Weight v Fat]]</f>
        <v>-1.22788972494169</v>
      </c>
      <c r="BB130" s="2">
        <f>Table7[[#This Row],[WF Res]]^2</f>
        <v>1.5077131766173792</v>
      </c>
      <c r="BC130">
        <f>Regression!$T$10+(Regression!$T$9*Table83[[#This Row],[Protein]])</f>
        <v>253.22533860629957</v>
      </c>
      <c r="BD130" s="2">
        <f>Table83[[#This Row],[Weight]]-Table7[[#This Row],[Weight v Protein]]</f>
        <v>-0.22533860629957303</v>
      </c>
      <c r="BE130" s="2">
        <f>Table7[[#This Row],[WP Res]]^2</f>
        <v>5.0777487489033976E-2</v>
      </c>
      <c r="BF130">
        <f>Regression!$U$10+(Regression!$U$9*Table83[[#This Row],[Fiber]])</f>
        <v>255.56621429832197</v>
      </c>
      <c r="BG130" s="2">
        <f>Table83[[#This Row],[Weight]]-Table7[[#This Row],[Weight v Fiber]]</f>
        <v>-2.5662142983219667</v>
      </c>
      <c r="BH130" s="2">
        <f>Table7[[#This Row],[Wfib Res]]^2</f>
        <v>6.5854558249121036</v>
      </c>
      <c r="BI130">
        <f>Regression!$V$10+(Regression!$V$9*Table83[[#This Row],[Sugar]])</f>
        <v>252.94689332371715</v>
      </c>
      <c r="BJ130" s="2">
        <f>Table83[[#This Row],[Weight]]-Table7[[#This Row],[Weight v Sugar]]</f>
        <v>5.3106676282851595E-2</v>
      </c>
      <c r="BK130" s="2">
        <f>Table7[[#This Row],[Wsugar Res]]^2</f>
        <v>2.8203190658115922E-3</v>
      </c>
      <c r="BL130">
        <f>Regression!$W$10+(Regression!$W$9*Table83[[#This Row],[Servings]])</f>
        <v>253.83201697886909</v>
      </c>
      <c r="BM130" s="2">
        <f>Table83[[#This Row],[Weight]]-Table7[[#This Row],[Weight v Servings]]</f>
        <v>-0.83201697886909187</v>
      </c>
      <c r="BN130" s="2">
        <f>Table7[[#This Row],[Wserv Res]]^2</f>
        <v>0.69225225312645089</v>
      </c>
      <c r="BO130">
        <f>Regression!$X$10+(Regression!$X$9*Table83[[#This Row],[Water]])</f>
        <v>255.12767398535738</v>
      </c>
      <c r="BP130" s="2">
        <f>Table83[[#This Row],[Weight]]-Table7[[#This Row],[Weight v Water]]</f>
        <v>-2.1276739853573758</v>
      </c>
      <c r="BQ130" s="2">
        <f>Table7[[#This Row],[Wwater Res]]^2</f>
        <v>4.526996587966539</v>
      </c>
      <c r="BR130">
        <f>Regression!$Y$10+(Regression!$Y$9*Table83[[#This Row],[Fat Calories]])</f>
        <v>254.16602705034285</v>
      </c>
      <c r="BS130" s="2">
        <f>Table83[[#This Row],[Weight]]-Table7[[#This Row],[Weight v Fat Calories]]</f>
        <v>-1.1660270503428478</v>
      </c>
      <c r="BT130" s="2">
        <f>Table7[[#This Row],[WFC Res]]^2</f>
        <v>1.3596190821312422</v>
      </c>
      <c r="BU130">
        <f>Regression!$B$29+(Regression!$B$28*Table83[[#This Row],[Weight]])</f>
        <v>44.165338583838682</v>
      </c>
      <c r="BV130" s="2">
        <f>Table83[[#This Row],[Waist]]-Table7[[#This Row],[Waist v Weight]]</f>
        <v>-0.6653385838386825</v>
      </c>
      <c r="BW130" s="2">
        <f>Table7[[#This Row],[WaistW Res]]^2</f>
        <v>0.44267543114446356</v>
      </c>
      <c r="BX130">
        <f>Regression!$C$29+(Regression!$C$28*Table83[[#This Row],[Neck]])</f>
        <v>44.175585585585594</v>
      </c>
      <c r="BY130" s="2">
        <f>Table83[[#This Row],[Waist]]-Table7[[#This Row],[Waist v Neck]]</f>
        <v>-0.67558558558559412</v>
      </c>
      <c r="BZ130" s="2">
        <f>Table7[[#This Row],[WaistN Res]]^2</f>
        <v>0.45641588345103012</v>
      </c>
      <c r="CA130">
        <f>Regression!$D$29+(Regression!$D$28*Table83[[#This Row],[Morning Body Temp]])</f>
        <v>44.400157491229571</v>
      </c>
      <c r="CB130" s="2">
        <f>Table83[[#This Row],[Waist]]-Table7[[#This Row],[Waist v Morning Temp]]</f>
        <v>-0.90015749122957089</v>
      </c>
      <c r="CC130" s="2">
        <f>Table7[[#This Row],[WaistMT Res]]^2</f>
        <v>0.81028350901671498</v>
      </c>
      <c r="CD130">
        <f>Regression!$E$29+(Regression!$E$28*Table83[[#This Row],[Morning Systolic Pressure]])</f>
        <v>44.545198374576046</v>
      </c>
      <c r="CE130" s="2">
        <f>Table83[[#This Row],[Waist]]-Table7[[#This Row],[Waist v Morning Sys]]</f>
        <v>-1.0451983745760458</v>
      </c>
      <c r="CF130" s="2">
        <f>Table7[[#This Row],[WaistMS Res]]^2</f>
        <v>1.0924396422164082</v>
      </c>
      <c r="CG130">
        <f>Regression!$F$29+(Regression!$F$28*Table83[[#This Row],[Morning Diastolic Pressure]])</f>
        <v>44.492266012826242</v>
      </c>
      <c r="CH130" s="2">
        <f>Table83[[#This Row],[Waist]]-Table7[[#This Row],[Waist v Morning Dia]]</f>
        <v>-0.99226601282624216</v>
      </c>
      <c r="CI130" s="2">
        <f>Table7[[#This Row],[WaistMD Res]]^2</f>
        <v>0.98459184021008817</v>
      </c>
      <c r="CJ130">
        <f>Regression!$G$29+(Regression!$G$28*Table83[[#This Row],[Morning Pulse]])</f>
        <v>44.45709470780065</v>
      </c>
      <c r="CK130" s="2">
        <f>Table83[[#This Row],[Waist]]-Table7[[#This Row],[Waist v Morning Pulse]]</f>
        <v>-0.95709470780064976</v>
      </c>
      <c r="CL130" s="2">
        <f>Table7[[#This Row],[WaistMP Res]]^2</f>
        <v>0.91603027970001116</v>
      </c>
      <c r="CM130">
        <f>Regression!$H$29+(Regression!$H$28*Table83[[#This Row],[Night Body Temp]])</f>
        <v>44.465147802268952</v>
      </c>
      <c r="CN130" s="2">
        <f>Table83[[#This Row],[Waist]]-Table7[[#This Row],[Waist v Night Temp]]</f>
        <v>-0.96514780226895169</v>
      </c>
      <c r="CO130" s="2">
        <f>Table7[[#This Row],[WaistNT Res]]^2</f>
        <v>0.93151028022458748</v>
      </c>
      <c r="CP130">
        <f>Regression!$I$29+(Regression!$I$28*Table83[[#This Row],[Night Systolic Pressure]])</f>
        <v>44.471039429630828</v>
      </c>
      <c r="CQ130" s="2">
        <f>Table83[[#This Row],[Waist]]-Table7[[#This Row],[Waist v  Night Sys]]</f>
        <v>-0.97103942963082801</v>
      </c>
      <c r="CR130" s="2">
        <f>Table7[[#This Row],[WaistNS Res]]^2</f>
        <v>0.94291757389776376</v>
      </c>
      <c r="CS130">
        <f>Regression!$J$29+(Regression!$J$28*Table83[[#This Row],[Night Diastolic Pressure]])</f>
        <v>44.495227901568619</v>
      </c>
      <c r="CT130" s="2">
        <f>Table83[[#This Row],[Waist]]-Table7[[#This Row],[Waist v Night Dia]]</f>
        <v>-0.99522790156861873</v>
      </c>
      <c r="CU130" s="2">
        <f>Table7[[#This Row],[WaistND Res]]^2</f>
        <v>0.99047857606067624</v>
      </c>
      <c r="CV130">
        <f>Regression!$K$29+(Regression!$K$28*Table83[[#This Row],[Night Pulse]])</f>
        <v>44.456851626254306</v>
      </c>
      <c r="CW130" s="2">
        <f>Table83[[#This Row],[Waist]]-Table7[[#This Row],[Waist v Night Pulse]]</f>
        <v>-0.95685162625430564</v>
      </c>
      <c r="CX130" s="2">
        <f>Table7[[#This Row],[WaistNP Res]]^2</f>
        <v>0.91556503466550943</v>
      </c>
      <c r="CY130">
        <f>Regression!$L$29+(Regression!$L$28*Table83[[#This Row],[Sleep]])</f>
        <v>44.601188756845069</v>
      </c>
      <c r="CZ130" s="2">
        <f>Table83[[#This Row],[Waist]]-Table7[[#This Row],[Waist v  Sleep]]</f>
        <v>-1.1011887568450689</v>
      </c>
      <c r="DA130" s="2">
        <f>Table7[[#This Row],[WaistS Res]]^2</f>
        <v>1.2126166782019883</v>
      </c>
      <c r="DB130">
        <f>Regression!$M$29+(Regression!$M$28*Table83[[#This Row],[BMI]])</f>
        <v>44.165338583839599</v>
      </c>
      <c r="DC130" s="2">
        <f>Table83[[#This Row],[Waist]]-Table7[[#This Row],[Waist v BMI]]</f>
        <v>-0.6653385838395991</v>
      </c>
      <c r="DD130" s="2">
        <f>Table7[[#This Row],[WaistBMI Res]]^2</f>
        <v>0.44267543114568325</v>
      </c>
      <c r="DE130">
        <f>Regression!$N$29+(Regression!$N$28*Table83[[#This Row],[CBF]])</f>
        <v>43.540887941991329</v>
      </c>
      <c r="DF130" s="2">
        <f>Table83[[#This Row],[Waist]]-Table7[[#This Row],[Waist v  CBF]]</f>
        <v>-4.0887941991329058E-2</v>
      </c>
      <c r="DG130" s="2">
        <f>Table7[[#This Row],[WaistCBF Res]]^2</f>
        <v>1.6718238002862899E-3</v>
      </c>
      <c r="DH130">
        <f>Regression!$O$29+(Regression!$O$28*Table83[[#This Row],[Gym]])</f>
        <v>44.347222222222221</v>
      </c>
      <c r="DI130" s="2">
        <f>Table83[[#This Row],[Waist]]-Table7[[#This Row],[Waist v  Gym]]</f>
        <v>-0.84722222222222143</v>
      </c>
      <c r="DJ130" s="2">
        <f>Table7[[#This Row],[WaistGYM Res]]^2</f>
        <v>0.71778549382715917</v>
      </c>
      <c r="DK130">
        <f>Regression!$P$29+(Regression!$P$28*Table83[[#This Row],[Cardio]])</f>
        <v>44.680851063829778</v>
      </c>
      <c r="DL130" s="2">
        <f>Table83[[#This Row],[Waist]]-Table7[[#This Row],[Waist v Cardio]]</f>
        <v>-1.1808510638297776</v>
      </c>
      <c r="DM130" s="2">
        <f>Table7[[#This Row],[WaistC Res]]^2</f>
        <v>1.3944092349479174</v>
      </c>
      <c r="DN130">
        <f>Regression!$Q$29+(Regression!$Q$28*Table83[[#This Row],[Calories]])</f>
        <v>44.095764748306372</v>
      </c>
      <c r="DO130" s="2">
        <f>Table83[[#This Row],[Waist]]-Table7[[#This Row],[Waist v Calories]]</f>
        <v>-0.59576474830637238</v>
      </c>
      <c r="DP130" s="2">
        <f>Table7[[#This Row],[WaistCal Res]]^2</f>
        <v>0.35493563532455524</v>
      </c>
      <c r="DQ130">
        <f>Regression!$R$29+(Regression!$R$28*Table83[[#This Row],[Carbs]])</f>
        <v>44.093176863602061</v>
      </c>
      <c r="DR130" s="2">
        <f>Table83[[#This Row],[Waist]]-Table7[[#This Row],[Waist v Carbs]]</f>
        <v>-0.59317686360206068</v>
      </c>
      <c r="DS130" s="2">
        <f>Table7[[#This Row],[WaistCarb Res]]^2</f>
        <v>0.35185879151277771</v>
      </c>
      <c r="DT130">
        <f>Regression!$S$29+(Regression!$S$28*Table83[[#This Row],[Fat ]])</f>
        <v>44.182355459968882</v>
      </c>
      <c r="DU130" s="2">
        <f>Table83[[#This Row],[Waist]]-Table7[[#This Row],[Waist v Fat]]</f>
        <v>-0.68235545996888192</v>
      </c>
      <c r="DV130" s="2">
        <f>Table7[[#This Row],[WaistF Res]]^2</f>
        <v>0.4656089737493444</v>
      </c>
      <c r="DW130">
        <f>Regression!$T$29+(Regression!$T$28*Table83[[#This Row],[Protein]])</f>
        <v>44.107653494757173</v>
      </c>
      <c r="DX130" s="2">
        <f>Table83[[#This Row],[Waist]]-Table7[[#This Row],[Waist v Protein]]</f>
        <v>-0.60765349475717301</v>
      </c>
      <c r="DY130" s="2">
        <f>Table7[[#This Row],[WaistP Res]]^2</f>
        <v>0.36924276969060571</v>
      </c>
      <c r="DZ130">
        <f>Regression!$U$29+(Regression!$U$28*Table83[[#This Row],[Fiber]])</f>
        <v>44.627628277231658</v>
      </c>
      <c r="EA130" s="2">
        <f>Table83[[#This Row],[Waist]]-Table7[[#This Row],[Waist v Fiber]]</f>
        <v>-1.1276282772316577</v>
      </c>
      <c r="EB130" s="2">
        <f>Table7[[#This Row],[WaistFib Res]]^2</f>
        <v>1.2715455316124362</v>
      </c>
      <c r="EC130">
        <f>Regression!$V$29+(Regression!$V$28*Table83[[#This Row],[Sugar]])</f>
        <v>44.064055690945175</v>
      </c>
      <c r="ED130" s="2">
        <f>Table83[[#This Row],[Waist]]-Table7[[#This Row],[Waist v Sugar]]</f>
        <v>-0.5640556909451746</v>
      </c>
      <c r="EE130" s="2">
        <f>Table7[[#This Row],[WaistSugar Res]]^2</f>
        <v>0.31815882248763833</v>
      </c>
      <c r="EF130">
        <f>Regression!$W$29+(Regression!$W$28*Table83[[#This Row],[Servings]])</f>
        <v>44.257771237000192</v>
      </c>
      <c r="EG130" s="2">
        <f>Table83[[#This Row],[Waist]]-Table7[[#This Row],[Waist v Servings]]</f>
        <v>-0.75777123700019189</v>
      </c>
      <c r="EH130" s="2">
        <f>Table7[[#This Row],[WaistServ Res]]^2</f>
        <v>0.57421724762480097</v>
      </c>
      <c r="EI130">
        <f>Regression!$X$29+(Regression!$X$28*Table83[[#This Row],[Water]])</f>
        <v>44.470024290957568</v>
      </c>
      <c r="EJ130" s="2">
        <f>Table83[[#This Row],[Waist]]-Table7[[#This Row],[Waist v Water]]</f>
        <v>-0.97002429095756781</v>
      </c>
      <c r="EK130" s="2">
        <f>Table7[[#This Row],[WaistWat Res]]^2</f>
        <v>0.94094712504773215</v>
      </c>
      <c r="EL130">
        <f>Regression!$Y$29+(Regression!$Y$28*Table83[[#This Row],[Fat Calories]])</f>
        <v>44.164916392272239</v>
      </c>
      <c r="EM130" s="2">
        <f>Table83[[#This Row],[Waist]]-Table7[[#This Row],[Waist v Fat Calories]]</f>
        <v>-0.66491639227223942</v>
      </c>
      <c r="EN130" s="2">
        <f>Table7[[#This Row],[WaistFatCal Res]]^2</f>
        <v>0.44211380871233058</v>
      </c>
    </row>
    <row r="131" spans="1:144" x14ac:dyDescent="0.25">
      <c r="A131">
        <f>Regression!$B$10+(Regression!$B$9*Table83[[#This Row],[Waist]])</f>
        <v>252.52625917894264</v>
      </c>
      <c r="B131" s="2">
        <f>Table83[[#This Row],[Weight]]-Table7[[#This Row],[Weight v Waist]]</f>
        <v>4.6737408210573506</v>
      </c>
      <c r="C131" s="2">
        <f>Table7[[#This Row],[Weight v Waist Res]]^2</f>
        <v>21.843853262417838</v>
      </c>
      <c r="D131">
        <f>Regression!$C$10+(Regression!$C$9*Table83[[#This Row],[Neck]])</f>
        <v>253.29286486487842</v>
      </c>
      <c r="E131" s="2">
        <f>Table83[[#This Row],[Weight]]-Table7[[#This Row],[Weight v Neck]]</f>
        <v>3.907135135121564</v>
      </c>
      <c r="F131" s="2">
        <f>Table7[[#This Row],[WN Res]]^2</f>
        <v>15.265704964101403</v>
      </c>
      <c r="G131">
        <f>Regression!$D$10+(Regression!$D$9*Table83[[#This Row],[Morning Body Temp]])</f>
        <v>254.91876934063959</v>
      </c>
      <c r="H131" s="2">
        <f>Table83[[#This Row],[Weight]]-Table7[[#This Row],[Weight v Morning Temp]]</f>
        <v>2.2812306593604035</v>
      </c>
      <c r="I131" s="2">
        <f>Table7[[#This Row],[WMT Res]]^2</f>
        <v>5.2040133212059017</v>
      </c>
      <c r="J131">
        <f>Regression!$E$10+(Regression!$E$9*Table83[[#This Row],[Morning Systolic Pressure]])</f>
        <v>255.1896410364821</v>
      </c>
      <c r="K131" s="2">
        <f>Table83[[#This Row],[Weight]]-Table7[[#This Row],[Weight v Morning Sys]]</f>
        <v>2.0103589635178878</v>
      </c>
      <c r="L131" s="2">
        <f>Table7[[#This Row],[WMS Res]]^2</f>
        <v>4.0415431621967164</v>
      </c>
      <c r="M131">
        <f>Regression!$F$10+(Regression!$F$9*Table83[[#This Row],[Morning Diastolic Pressure]])</f>
        <v>254.8993513991569</v>
      </c>
      <c r="N131" s="2">
        <f>Table83[[#This Row],[Weight]]-Table7[[#This Row],[Weight v Morning Dia]]</f>
        <v>2.3006486008430898</v>
      </c>
      <c r="O131" s="2">
        <f>Table7[[#This Row],[WMD Res]]^2</f>
        <v>5.2929839845612667</v>
      </c>
      <c r="P131">
        <f>Regression!$G$10+(Regression!$G$9*Table83[[#This Row],[Morning Pulse]])</f>
        <v>255.10450611561251</v>
      </c>
      <c r="Q131" s="2">
        <f>Table83[[#This Row],[Weight]]-Table7[[#This Row],[Weight v Morning Pulse]]</f>
        <v>2.09549388438748</v>
      </c>
      <c r="R131" s="2">
        <f>Table7[[#This Row],[WMP Res]]^2</f>
        <v>4.3910946195053295</v>
      </c>
      <c r="S131">
        <f>Regression!$H$10+(Regression!$H$9*Table83[[#This Row],[Night Body Temp]])</f>
        <v>254.74879010704339</v>
      </c>
      <c r="T131" s="2">
        <f>Table83[[#This Row],[Weight]]-Table7[[#This Row],[Weight v Night Temp]]</f>
        <v>2.451209892956598</v>
      </c>
      <c r="U131" s="2">
        <f>Table7[[#This Row],[WNT Res]]^2</f>
        <v>6.0084299393282965</v>
      </c>
      <c r="V131">
        <f>Regression!$I$10+(Regression!$I$9*Table83[[#This Row],[Night Systolic Pressure]])</f>
        <v>253.9041985507971</v>
      </c>
      <c r="W131" s="2">
        <f>Table83[[#This Row],[Weight]]-Table7[[#This Row],[Weight v Night Sys]]</f>
        <v>3.2958014492028838</v>
      </c>
      <c r="X131" s="2">
        <f>Table7[[#This Row],[WNS Res]]^2</f>
        <v>10.86230719256783</v>
      </c>
      <c r="Y131">
        <f>Regression!$J$10+(Regression!$J$9*Table83[[#This Row],[Night Diastolic Pressure]])</f>
        <v>255.09231637424611</v>
      </c>
      <c r="Z131" s="2">
        <f>Table83[[#This Row],[Weight]]-Table7[[#This Row],[Weight v Night Dia]]</f>
        <v>2.1076836257538787</v>
      </c>
      <c r="AA131" s="2">
        <f>Table7[[#This Row],[WND Res]]^2</f>
        <v>4.442330266271016</v>
      </c>
      <c r="AB131">
        <f>Regression!$K$10+(Regression!$K$9*Table83[[#This Row],[Night Pulse]])</f>
        <v>255.20229185245142</v>
      </c>
      <c r="AC131" s="2">
        <f>Table83[[#This Row],[Weight]]-Table7[[#This Row],[Weight v Night Pulse]]</f>
        <v>1.9977081475485647</v>
      </c>
      <c r="AD131" s="2">
        <f>Table7[[#This Row],[WNP Res ]]^2</f>
        <v>3.990837842781918</v>
      </c>
      <c r="AE131">
        <f>Regression!$L$10+(Regression!$L$9*Table83[[#This Row],[Sleep]])</f>
        <v>255.45250391075515</v>
      </c>
      <c r="AF131" s="2">
        <f>Table83[[#This Row],[Weight]]-Table7[[#This Row],[Weight v Sleep]]</f>
        <v>1.7474960892448337</v>
      </c>
      <c r="AG131" s="2">
        <f>Table7[[#This Row],[WS Res]]^2</f>
        <v>3.0537425819259876</v>
      </c>
      <c r="AH131">
        <f>Regression!$M$10+(Regression!$M$9*Table83[[#This Row],[BMI]])</f>
        <v>257.19999999999538</v>
      </c>
      <c r="AI131" s="2">
        <f>Table83[[#This Row],[Weight]]-Table7[[#This Row],[Weight v BMI]]</f>
        <v>4.6043169277254492E-12</v>
      </c>
      <c r="AJ131" s="2">
        <f>Table7[[#This Row],[WBMI Res]]^2</f>
        <v>2.1199734370939119E-23</v>
      </c>
      <c r="AK131">
        <f>Regression!$N$10+(Regression!$N$9*Table83[[#This Row],[CBF]])</f>
        <v>253.17965033701802</v>
      </c>
      <c r="AL131" s="2">
        <f>Table83[[#This Row],[Weight]]-Table7[[#This Row],[Weight v CBF]]</f>
        <v>4.0203496629819711</v>
      </c>
      <c r="AM131" s="2">
        <f>Table7[[#This Row],[WCBF Res]]^2</f>
        <v>16.163211412639249</v>
      </c>
      <c r="AN131">
        <f>Regression!$O$10+(Regression!$O$9*Table83[[#This Row],[Gym]])</f>
        <v>254.72962962962998</v>
      </c>
      <c r="AO131" s="2">
        <f>Table83[[#This Row],[Weight]]-Table7[[#This Row],[Weight v Gym]]</f>
        <v>2.4703703703700057</v>
      </c>
      <c r="AP131" s="2">
        <f>Table7[[#This Row],[WG Res]]^2</f>
        <v>6.1027297668020397</v>
      </c>
      <c r="AQ131">
        <f>Regression!$P$10+(Regression!$P$9*Table83[[#This Row],[Cardio]])</f>
        <v>256.41063829787231</v>
      </c>
      <c r="AR131" s="2">
        <f>Table83[[#This Row],[Weight]]-Table7[[#This Row],[Weight v Cardio]]</f>
        <v>0.7893617021276782</v>
      </c>
      <c r="AS131" s="2">
        <f>Table7[[#This Row],[WC Res]]^2</f>
        <v>0.62309189678590537</v>
      </c>
      <c r="AT131">
        <f>Regression!$Q$10+(Regression!$Q$9*Table83[[#This Row],[Calories]])</f>
        <v>254.10249825556454</v>
      </c>
      <c r="AU131" s="2">
        <f>Table83[[#This Row],[Weight]]-Table7[[#This Row],[Weight v Calories]]</f>
        <v>3.0975017444354478</v>
      </c>
      <c r="AV131" s="2">
        <f>Table7[[#This Row],[WCAL Res]]^2</f>
        <v>9.5945170567806422</v>
      </c>
      <c r="AW131">
        <f>Regression!$R$10+(Regression!$R$9*Table83[[#This Row],[Carbs]])</f>
        <v>254.01659404757919</v>
      </c>
      <c r="AX131" s="2">
        <f>Table83[[#This Row],[Weight]]-Table7[[#This Row],[Weight v Carbs]]</f>
        <v>3.1834059524207987</v>
      </c>
      <c r="AY131" s="2">
        <f>Table7[[#This Row],[Wcarb Res]]^2</f>
        <v>10.134073457908173</v>
      </c>
      <c r="AZ131">
        <f>Regression!$S$10+(Regression!$S$9*Table83[[#This Row],[Fat ]])</f>
        <v>254.40757166125132</v>
      </c>
      <c r="BA131" s="2">
        <f>Table83[[#This Row],[Weight]]-Table7[[#This Row],[Weight v Fat]]</f>
        <v>2.7924283387486639</v>
      </c>
      <c r="BB131" s="2">
        <f>Table7[[#This Row],[WF Res]]^2</f>
        <v>7.7976560270466226</v>
      </c>
      <c r="BC131">
        <f>Regression!$T$10+(Regression!$T$9*Table83[[#This Row],[Protein]])</f>
        <v>254.62036364773815</v>
      </c>
      <c r="BD131" s="2">
        <f>Table83[[#This Row],[Weight]]-Table7[[#This Row],[Weight v Protein]]</f>
        <v>2.5796363522618435</v>
      </c>
      <c r="BE131" s="2">
        <f>Table7[[#This Row],[WP Res]]^2</f>
        <v>6.6545237099107899</v>
      </c>
      <c r="BF131">
        <f>Regression!$U$10+(Regression!$U$9*Table83[[#This Row],[Fiber]])</f>
        <v>255.14016079480658</v>
      </c>
      <c r="BG131" s="2">
        <f>Table83[[#This Row],[Weight]]-Table7[[#This Row],[Weight v Fiber]]</f>
        <v>2.0598392051934127</v>
      </c>
      <c r="BH131" s="2">
        <f>Table7[[#This Row],[Wfib Res]]^2</f>
        <v>4.2429375512518304</v>
      </c>
      <c r="BI131">
        <f>Regression!$V$10+(Regression!$V$9*Table83[[#This Row],[Sugar]])</f>
        <v>253.75908173955602</v>
      </c>
      <c r="BJ131" s="2">
        <f>Table83[[#This Row],[Weight]]-Table7[[#This Row],[Weight v Sugar]]</f>
        <v>3.440918260443965</v>
      </c>
      <c r="BK131" s="2">
        <f>Table7[[#This Row],[Wsugar Res]]^2</f>
        <v>11.839918475056722</v>
      </c>
      <c r="BL131">
        <f>Regression!$W$10+(Regression!$W$9*Table83[[#This Row],[Servings]])</f>
        <v>254.7111893241705</v>
      </c>
      <c r="BM131" s="2">
        <f>Table83[[#This Row],[Weight]]-Table7[[#This Row],[Weight v Servings]]</f>
        <v>2.4888106758294839</v>
      </c>
      <c r="BN131" s="2">
        <f>Table7[[#This Row],[Wserv Res]]^2</f>
        <v>6.194178580122812</v>
      </c>
      <c r="BO131">
        <f>Regression!$X$10+(Regression!$X$9*Table83[[#This Row],[Water]])</f>
        <v>255.04204201855453</v>
      </c>
      <c r="BP131" s="2">
        <f>Table83[[#This Row],[Weight]]-Table7[[#This Row],[Weight v Water]]</f>
        <v>2.1579579814454632</v>
      </c>
      <c r="BQ131" s="2">
        <f>Table7[[#This Row],[Wwater Res]]^2</f>
        <v>4.6567826496841782</v>
      </c>
      <c r="BR131">
        <f>Regression!$Y$10+(Regression!$Y$9*Table83[[#This Row],[Fat Calories]])</f>
        <v>254.35725383292063</v>
      </c>
      <c r="BS131" s="2">
        <f>Table83[[#This Row],[Weight]]-Table7[[#This Row],[Weight v Fat Calories]]</f>
        <v>2.8427461670793548</v>
      </c>
      <c r="BT131" s="2">
        <f>Table7[[#This Row],[WFC Res]]^2</f>
        <v>8.0812057704443632</v>
      </c>
      <c r="BU131">
        <f>Regression!$B$29+(Regression!$B$28*Table83[[#This Row],[Weight]])</f>
        <v>44.73764112823261</v>
      </c>
      <c r="BV131" s="2">
        <f>Table83[[#This Row],[Waist]]-Table7[[#This Row],[Waist v Weight]]</f>
        <v>-0.7376411282326103</v>
      </c>
      <c r="BW131" s="2">
        <f>Table7[[#This Row],[WaistW Res]]^2</f>
        <v>0.54411443406027826</v>
      </c>
      <c r="BX131">
        <f>Regression!$C$29+(Regression!$C$28*Table83[[#This Row],[Neck]])</f>
        <v>44.175585585585594</v>
      </c>
      <c r="BY131" s="2">
        <f>Table83[[#This Row],[Waist]]-Table7[[#This Row],[Waist v Neck]]</f>
        <v>-0.17558558558559412</v>
      </c>
      <c r="BZ131" s="2">
        <f>Table7[[#This Row],[WaistN Res]]^2</f>
        <v>3.0830297865435997E-2</v>
      </c>
      <c r="CA131">
        <f>Regression!$D$29+(Regression!$D$28*Table83[[#This Row],[Morning Body Temp]])</f>
        <v>44.400157491229571</v>
      </c>
      <c r="CB131" s="2">
        <f>Table83[[#This Row],[Waist]]-Table7[[#This Row],[Waist v Morning Temp]]</f>
        <v>-0.40015749122957089</v>
      </c>
      <c r="CC131" s="2">
        <f>Table7[[#This Row],[WaistMT Res]]^2</f>
        <v>0.16012601778714411</v>
      </c>
      <c r="CD131">
        <f>Regression!$E$29+(Regression!$E$28*Table83[[#This Row],[Morning Systolic Pressure]])</f>
        <v>44.471065537879056</v>
      </c>
      <c r="CE131" s="2">
        <f>Table83[[#This Row],[Waist]]-Table7[[#This Row],[Waist v Morning Sys]]</f>
        <v>-0.47106553787905625</v>
      </c>
      <c r="CF131" s="2">
        <f>Table7[[#This Row],[WaistMS Res]]^2</f>
        <v>0.22190274097728457</v>
      </c>
      <c r="CG131">
        <f>Regression!$F$29+(Regression!$F$28*Table83[[#This Row],[Morning Diastolic Pressure]])</f>
        <v>44.441545426806556</v>
      </c>
      <c r="CH131" s="2">
        <f>Table83[[#This Row],[Waist]]-Table7[[#This Row],[Waist v Morning Dia]]</f>
        <v>-0.44154542680655595</v>
      </c>
      <c r="CI131" s="2">
        <f>Table7[[#This Row],[WaistMD Res]]^2</f>
        <v>0.19496236393378366</v>
      </c>
      <c r="CJ131">
        <f>Regression!$G$29+(Regression!$G$28*Table83[[#This Row],[Morning Pulse]])</f>
        <v>44.448699682064515</v>
      </c>
      <c r="CK131" s="2">
        <f>Table83[[#This Row],[Waist]]-Table7[[#This Row],[Waist v Morning Pulse]]</f>
        <v>-0.4486996820645146</v>
      </c>
      <c r="CL131" s="2">
        <f>Table7[[#This Row],[WaistMP Res]]^2</f>
        <v>0.20133140468479649</v>
      </c>
      <c r="CM131">
        <f>Regression!$H$29+(Regression!$H$28*Table83[[#This Row],[Night Body Temp]])</f>
        <v>44.424663183244519</v>
      </c>
      <c r="CN131" s="2">
        <f>Table83[[#This Row],[Waist]]-Table7[[#This Row],[Waist v Night Temp]]</f>
        <v>-0.4246631832445189</v>
      </c>
      <c r="CO131" s="2">
        <f>Table7[[#This Row],[WaistNT Res]]^2</f>
        <v>0.18033881920336783</v>
      </c>
      <c r="CP131">
        <f>Regression!$I$29+(Regression!$I$28*Table83[[#This Row],[Night Systolic Pressure]])</f>
        <v>44.282017943397847</v>
      </c>
      <c r="CQ131" s="2">
        <f>Table83[[#This Row],[Waist]]-Table7[[#This Row],[Waist v  Night Sys]]</f>
        <v>-0.28201794339784669</v>
      </c>
      <c r="CR131" s="2">
        <f>Table7[[#This Row],[WaistNS Res]]^2</f>
        <v>7.953412039835106E-2</v>
      </c>
      <c r="CS131">
        <f>Regression!$J$29+(Regression!$J$28*Table83[[#This Row],[Night Diastolic Pressure]])</f>
        <v>44.444024065946287</v>
      </c>
      <c r="CT131" s="2">
        <f>Table83[[#This Row],[Waist]]-Table7[[#This Row],[Waist v Night Dia]]</f>
        <v>-0.44402406594628729</v>
      </c>
      <c r="CU131" s="2">
        <f>Table7[[#This Row],[WaistND Res]]^2</f>
        <v>0.19715737113947288</v>
      </c>
      <c r="CV131">
        <f>Regression!$K$29+(Regression!$K$28*Table83[[#This Row],[Night Pulse]])</f>
        <v>44.44542464101044</v>
      </c>
      <c r="CW131" s="2">
        <f>Table83[[#This Row],[Waist]]-Table7[[#This Row],[Waist v Night Pulse]]</f>
        <v>-0.44542464101044033</v>
      </c>
      <c r="CX131" s="2">
        <f>Table7[[#This Row],[WaistNP Res]]^2</f>
        <v>0.19840311081927964</v>
      </c>
      <c r="CY131">
        <f>Regression!$L$29+(Regression!$L$28*Table83[[#This Row],[Sleep]])</f>
        <v>44.504990820853756</v>
      </c>
      <c r="CZ131" s="2">
        <f>Table83[[#This Row],[Waist]]-Table7[[#This Row],[Waist v  Sleep]]</f>
        <v>-0.50499082085375591</v>
      </c>
      <c r="DA131" s="2">
        <f>Table7[[#This Row],[WaistS Res]]^2</f>
        <v>0.25501572914655019</v>
      </c>
      <c r="DB131">
        <f>Regression!$M$29+(Regression!$M$28*Table83[[#This Row],[BMI]])</f>
        <v>44.737641128231708</v>
      </c>
      <c r="DC131" s="2">
        <f>Table83[[#This Row],[Waist]]-Table7[[#This Row],[Waist v BMI]]</f>
        <v>-0.73764112823170791</v>
      </c>
      <c r="DD131" s="2">
        <f>Table7[[#This Row],[WaistBMI Res]]^2</f>
        <v>0.54411443405894699</v>
      </c>
      <c r="DE131">
        <f>Regression!$N$29+(Regression!$N$28*Table83[[#This Row],[CBF]])</f>
        <v>44.105031770433015</v>
      </c>
      <c r="DF131" s="2">
        <f>Table83[[#This Row],[Waist]]-Table7[[#This Row],[Waist v  CBF]]</f>
        <v>-0.10503177043301548</v>
      </c>
      <c r="DG131" s="2">
        <f>Table7[[#This Row],[WaistCBF Res]]^2</f>
        <v>1.1031672800293666E-2</v>
      </c>
      <c r="DH131">
        <f>Regression!$O$29+(Regression!$O$28*Table83[[#This Row],[Gym]])</f>
        <v>44.347222222222221</v>
      </c>
      <c r="DI131" s="2">
        <f>Table83[[#This Row],[Waist]]-Table7[[#This Row],[Waist v  Gym]]</f>
        <v>-0.34722222222222143</v>
      </c>
      <c r="DJ131" s="2">
        <f>Table7[[#This Row],[WaistGYM Res]]^2</f>
        <v>0.12056327160493772</v>
      </c>
      <c r="DK131">
        <f>Regression!$P$29+(Regression!$P$28*Table83[[#This Row],[Cardio]])</f>
        <v>44.680851063829778</v>
      </c>
      <c r="DL131" s="2">
        <f>Table83[[#This Row],[Waist]]-Table7[[#This Row],[Waist v Cardio]]</f>
        <v>-0.68085106382977756</v>
      </c>
      <c r="DM131" s="2">
        <f>Table7[[#This Row],[WaistC Res]]^2</f>
        <v>0.46355817111813985</v>
      </c>
      <c r="DN131">
        <f>Regression!$Q$29+(Regression!$Q$28*Table83[[#This Row],[Calories]])</f>
        <v>44.226043196485051</v>
      </c>
      <c r="DO131" s="2">
        <f>Table83[[#This Row],[Waist]]-Table7[[#This Row],[Waist v Calories]]</f>
        <v>-0.22604319648505111</v>
      </c>
      <c r="DP131" s="2">
        <f>Table7[[#This Row],[WaistCal Res]]^2</f>
        <v>5.1095526677179426E-2</v>
      </c>
      <c r="DQ131">
        <f>Regression!$R$29+(Regression!$R$28*Table83[[#This Row],[Carbs]])</f>
        <v>44.224849217970473</v>
      </c>
      <c r="DR131" s="2">
        <f>Table83[[#This Row],[Waist]]-Table7[[#This Row],[Waist v Carbs]]</f>
        <v>-0.22484921797047264</v>
      </c>
      <c r="DS131" s="2">
        <f>Table7[[#This Row],[WaistCarb Res]]^2</f>
        <v>5.0557170821933117E-2</v>
      </c>
      <c r="DT131">
        <f>Regression!$S$29+(Regression!$S$28*Table83[[#This Row],[Fat ]])</f>
        <v>44.237280425341986</v>
      </c>
      <c r="DU131" s="2">
        <f>Table83[[#This Row],[Waist]]-Table7[[#This Row],[Waist v Fat]]</f>
        <v>-0.23728042534198579</v>
      </c>
      <c r="DV131" s="2">
        <f>Table7[[#This Row],[WaistF Res]]^2</f>
        <v>5.6302000250473695E-2</v>
      </c>
      <c r="DW131">
        <f>Regression!$T$29+(Regression!$T$28*Table83[[#This Row],[Protein]])</f>
        <v>44.362994897570744</v>
      </c>
      <c r="DX131" s="2">
        <f>Table83[[#This Row],[Waist]]-Table7[[#This Row],[Waist v Protein]]</f>
        <v>-0.36299489757074355</v>
      </c>
      <c r="DY131" s="2">
        <f>Table7[[#This Row],[WaistP Res]]^2</f>
        <v>0.13176529566239459</v>
      </c>
      <c r="DZ131">
        <f>Regression!$U$29+(Regression!$U$28*Table83[[#This Row],[Fiber]])</f>
        <v>44.463231292645929</v>
      </c>
      <c r="EA131" s="2">
        <f>Table83[[#This Row],[Waist]]-Table7[[#This Row],[Waist v Fiber]]</f>
        <v>-0.46323129264592922</v>
      </c>
      <c r="EB131" s="2">
        <f>Table7[[#This Row],[WaistFib Res]]^2</f>
        <v>0.2145832304864185</v>
      </c>
      <c r="EC131">
        <f>Regression!$V$29+(Regression!$V$28*Table83[[#This Row],[Sugar]])</f>
        <v>44.209956281491365</v>
      </c>
      <c r="ED131" s="2">
        <f>Table83[[#This Row],[Waist]]-Table7[[#This Row],[Waist v Sugar]]</f>
        <v>-0.20995628149136536</v>
      </c>
      <c r="EE131" s="2">
        <f>Table7[[#This Row],[WaistSugar Res]]^2</f>
        <v>4.4081640137681448E-2</v>
      </c>
      <c r="EF131">
        <f>Regression!$W$29+(Regression!$W$28*Table83[[#This Row],[Servings]])</f>
        <v>44.391918289886</v>
      </c>
      <c r="EG131" s="2">
        <f>Table83[[#This Row],[Waist]]-Table7[[#This Row],[Waist v Servings]]</f>
        <v>-0.39191828988600008</v>
      </c>
      <c r="EH131" s="2">
        <f>Table7[[#This Row],[WaistServ Res]]^2</f>
        <v>0.1535999459471668</v>
      </c>
      <c r="EI131">
        <f>Regression!$X$29+(Regression!$X$28*Table83[[#This Row],[Water]])</f>
        <v>44.358256536134995</v>
      </c>
      <c r="EJ131" s="2">
        <f>Table83[[#This Row],[Waist]]-Table7[[#This Row],[Waist v Water]]</f>
        <v>-0.35825653613499497</v>
      </c>
      <c r="EK131" s="2">
        <f>Table7[[#This Row],[WaistWat Res]]^2</f>
        <v>0.12834774568344495</v>
      </c>
      <c r="EL131">
        <f>Regression!$Y$29+(Regression!$Y$28*Table83[[#This Row],[Fat Calories]])</f>
        <v>44.223073957999098</v>
      </c>
      <c r="EM131" s="2">
        <f>Table83[[#This Row],[Waist]]-Table7[[#This Row],[Waist v Fat Calories]]</f>
        <v>-0.22307395799909813</v>
      </c>
      <c r="EN131" s="2">
        <f>Table7[[#This Row],[WaistFatCal Res]]^2</f>
        <v>4.9761990737383396E-2</v>
      </c>
    </row>
    <row r="132" spans="1:144" x14ac:dyDescent="0.25">
      <c r="A132">
        <f>Regression!$B$10+(Regression!$B$9*Table83[[#This Row],[Waist]])</f>
        <v>252.52625917894264</v>
      </c>
      <c r="B132" s="2">
        <f>Table83[[#This Row],[Weight]]-Table7[[#This Row],[Weight v Waist]]</f>
        <v>2.0737408210573562</v>
      </c>
      <c r="C132" s="2">
        <f>Table7[[#This Row],[Weight v Waist Res]]^2</f>
        <v>4.3004009929196378</v>
      </c>
      <c r="D132">
        <f>Regression!$C$10+(Regression!$C$9*Table83[[#This Row],[Neck]])</f>
        <v>253.29286486487842</v>
      </c>
      <c r="E132" s="2">
        <f>Table83[[#This Row],[Weight]]-Table7[[#This Row],[Weight v Neck]]</f>
        <v>1.3071351351215696</v>
      </c>
      <c r="F132" s="2">
        <f>Table7[[#This Row],[WN Res]]^2</f>
        <v>1.7086022614692842</v>
      </c>
      <c r="G132">
        <f>Regression!$D$10+(Regression!$D$9*Table83[[#This Row],[Morning Body Temp]])</f>
        <v>255.27076211175142</v>
      </c>
      <c r="H132" s="2">
        <f>Table83[[#This Row],[Weight]]-Table7[[#This Row],[Weight v Morning Temp]]</f>
        <v>-0.6707621117514293</v>
      </c>
      <c r="I132" s="2">
        <f>Table7[[#This Row],[WMT Res]]^2</f>
        <v>0.44992181056123692</v>
      </c>
      <c r="J132">
        <f>Regression!$E$10+(Regression!$E$9*Table83[[#This Row],[Morning Systolic Pressure]])</f>
        <v>254.87410060943841</v>
      </c>
      <c r="K132" s="2">
        <f>Table83[[#This Row],[Weight]]-Table7[[#This Row],[Weight v Morning Sys]]</f>
        <v>-0.27410060943842041</v>
      </c>
      <c r="L132" s="2">
        <f>Table7[[#This Row],[WMS Res]]^2</f>
        <v>7.5131144094513477E-2</v>
      </c>
      <c r="M132">
        <f>Regression!$F$10+(Regression!$F$9*Table83[[#This Row],[Morning Diastolic Pressure]])</f>
        <v>255.50741689342618</v>
      </c>
      <c r="N132" s="2">
        <f>Table83[[#This Row],[Weight]]-Table7[[#This Row],[Weight v Morning Dia]]</f>
        <v>-0.9074168934261877</v>
      </c>
      <c r="O132" s="2">
        <f>Table7[[#This Row],[WMD Res]]^2</f>
        <v>0.8234054184752333</v>
      </c>
      <c r="P132">
        <f>Regression!$G$10+(Regression!$G$9*Table83[[#This Row],[Morning Pulse]])</f>
        <v>255.11181729864128</v>
      </c>
      <c r="Q132" s="2">
        <f>Table83[[#This Row],[Weight]]-Table7[[#This Row],[Weight v Morning Pulse]]</f>
        <v>-0.51181729864129011</v>
      </c>
      <c r="R132" s="2">
        <f>Table7[[#This Row],[WMP Res]]^2</f>
        <v>0.26195694718846757</v>
      </c>
      <c r="S132">
        <f>Regression!$H$10+(Regression!$H$9*Table83[[#This Row],[Night Body Temp]])</f>
        <v>255.26227295945182</v>
      </c>
      <c r="T132" s="2">
        <f>Table83[[#This Row],[Weight]]-Table7[[#This Row],[Weight v Night Temp]]</f>
        <v>-0.66227295945182618</v>
      </c>
      <c r="U132" s="2">
        <f>Table7[[#This Row],[WNT Res]]^2</f>
        <v>0.4386054728210802</v>
      </c>
      <c r="V132">
        <f>Regression!$I$10+(Regression!$I$9*Table83[[#This Row],[Night Systolic Pressure]])</f>
        <v>254.21213305288254</v>
      </c>
      <c r="W132" s="2">
        <f>Table83[[#This Row],[Weight]]-Table7[[#This Row],[Weight v Night Sys]]</f>
        <v>0.38786694711745895</v>
      </c>
      <c r="X132" s="2">
        <f>Table7[[#This Row],[WNS Res]]^2</f>
        <v>0.15044076866621769</v>
      </c>
      <c r="Y132">
        <f>Regression!$J$10+(Regression!$J$9*Table83[[#This Row],[Night Diastolic Pressure]])</f>
        <v>255.09231637424611</v>
      </c>
      <c r="Z132" s="2">
        <f>Table83[[#This Row],[Weight]]-Table7[[#This Row],[Weight v Night Dia]]</f>
        <v>-0.49231637424611563</v>
      </c>
      <c r="AA132" s="2">
        <f>Table7[[#This Row],[WND Res]]^2</f>
        <v>0.2423754123508414</v>
      </c>
      <c r="AB132">
        <f>Regression!$K$10+(Regression!$K$9*Table83[[#This Row],[Night Pulse]])</f>
        <v>255.23300518368814</v>
      </c>
      <c r="AC132" s="2">
        <f>Table83[[#This Row],[Weight]]-Table7[[#This Row],[Weight v Night Pulse]]</f>
        <v>-0.63300518368814096</v>
      </c>
      <c r="AD132" s="2">
        <f>Table7[[#This Row],[WNP Res ]]^2</f>
        <v>0.4006955625760571</v>
      </c>
      <c r="AE132">
        <f>Regression!$L$10+(Regression!$L$9*Table83[[#This Row],[Sleep]])</f>
        <v>254.03287008557294</v>
      </c>
      <c r="AF132" s="2">
        <f>Table83[[#This Row],[Weight]]-Table7[[#This Row],[Weight v Sleep]]</f>
        <v>0.56712991442705629</v>
      </c>
      <c r="AG132" s="2">
        <f>Table7[[#This Row],[WS Res]]^2</f>
        <v>0.32163633983804019</v>
      </c>
      <c r="AH132">
        <f>Regression!$M$10+(Regression!$M$9*Table83[[#This Row],[BMI]])</f>
        <v>254.60000000000116</v>
      </c>
      <c r="AI132" s="2">
        <f>Table83[[#This Row],[Weight]]-Table7[[#This Row],[Weight v BMI]]</f>
        <v>-1.1652900866465643E-12</v>
      </c>
      <c r="AJ132" s="2">
        <f>Table7[[#This Row],[WBMI Res]]^2</f>
        <v>1.3579009860367573E-24</v>
      </c>
      <c r="AK132">
        <f>Regression!$N$10+(Regression!$N$9*Table83[[#This Row],[CBF]])</f>
        <v>253.17965033701802</v>
      </c>
      <c r="AL132" s="2">
        <f>Table83[[#This Row],[Weight]]-Table7[[#This Row],[Weight v CBF]]</f>
        <v>1.4203496629819767</v>
      </c>
      <c r="AM132" s="2">
        <f>Table7[[#This Row],[WCBF Res]]^2</f>
        <v>2.017393165133015</v>
      </c>
      <c r="AN132">
        <f>Regression!$O$10+(Regression!$O$9*Table83[[#This Row],[Gym]])</f>
        <v>254.72962962962998</v>
      </c>
      <c r="AO132" s="2">
        <f>Table83[[#This Row],[Weight]]-Table7[[#This Row],[Weight v Gym]]</f>
        <v>-0.12962962962998859</v>
      </c>
      <c r="AP132" s="2">
        <f>Table7[[#This Row],[WG Res]]^2</f>
        <v>1.6803840878008014E-2</v>
      </c>
      <c r="AQ132">
        <f>Regression!$P$10+(Regression!$P$9*Table83[[#This Row],[Cardio]])</f>
        <v>256.41063829787231</v>
      </c>
      <c r="AR132" s="2">
        <f>Table83[[#This Row],[Weight]]-Table7[[#This Row],[Weight v Cardio]]</f>
        <v>-1.8106382978723161</v>
      </c>
      <c r="AS132" s="2">
        <f>Table7[[#This Row],[WC Res]]^2</f>
        <v>3.278411045721958</v>
      </c>
      <c r="AT132">
        <f>Regression!$Q$10+(Regression!$Q$9*Table83[[#This Row],[Calories]])</f>
        <v>254.32414124790009</v>
      </c>
      <c r="AU132" s="2">
        <f>Table83[[#This Row],[Weight]]-Table7[[#This Row],[Weight v Calories]]</f>
        <v>0.27585875209990718</v>
      </c>
      <c r="AV132" s="2">
        <f>Table7[[#This Row],[WCAL Res]]^2</f>
        <v>7.609805111011804E-2</v>
      </c>
      <c r="AW132">
        <f>Regression!$R$10+(Regression!$R$9*Table83[[#This Row],[Carbs]])</f>
        <v>254.53787829816028</v>
      </c>
      <c r="AX132" s="2">
        <f>Table83[[#This Row],[Weight]]-Table7[[#This Row],[Weight v Carbs]]</f>
        <v>6.212170183971466E-2</v>
      </c>
      <c r="AY132" s="2">
        <f>Table7[[#This Row],[Wcarb Res]]^2</f>
        <v>3.8591058394624078E-3</v>
      </c>
      <c r="AZ132">
        <f>Regression!$S$10+(Regression!$S$9*Table83[[#This Row],[Fat ]])</f>
        <v>254.52027023657334</v>
      </c>
      <c r="BA132" s="2">
        <f>Table83[[#This Row],[Weight]]-Table7[[#This Row],[Weight v Fat]]</f>
        <v>7.9729763426655609E-2</v>
      </c>
      <c r="BB132" s="2">
        <f>Table7[[#This Row],[WF Res]]^2</f>
        <v>6.3568351760704706E-3</v>
      </c>
      <c r="BC132">
        <f>Regression!$T$10+(Regression!$T$9*Table83[[#This Row],[Protein]])</f>
        <v>253.94093246280164</v>
      </c>
      <c r="BD132" s="2">
        <f>Table83[[#This Row],[Weight]]-Table7[[#This Row],[Weight v Protein]]</f>
        <v>0.65906753719835365</v>
      </c>
      <c r="BE132" s="2">
        <f>Table7[[#This Row],[WP Res]]^2</f>
        <v>0.43437001858870328</v>
      </c>
      <c r="BF132">
        <f>Regression!$U$10+(Regression!$U$9*Table83[[#This Row],[Fiber]])</f>
        <v>255.40844326571064</v>
      </c>
      <c r="BG132" s="2">
        <f>Table83[[#This Row],[Weight]]-Table7[[#This Row],[Weight v Fiber]]</f>
        <v>-0.80844326571065039</v>
      </c>
      <c r="BH132" s="2">
        <f>Table7[[#This Row],[Wfib Res]]^2</f>
        <v>0.65358051387290128</v>
      </c>
      <c r="BI132">
        <f>Regression!$V$10+(Regression!$V$9*Table83[[#This Row],[Sugar]])</f>
        <v>254.43334109742449</v>
      </c>
      <c r="BJ132" s="2">
        <f>Table83[[#This Row],[Weight]]-Table7[[#This Row],[Weight v Sugar]]</f>
        <v>0.16665890257550586</v>
      </c>
      <c r="BK132" s="2">
        <f>Table7[[#This Row],[Wsugar Res]]^2</f>
        <v>2.7775189807671956E-2</v>
      </c>
      <c r="BL132">
        <f>Regression!$W$10+(Regression!$W$9*Table83[[#This Row],[Servings]])</f>
        <v>254.28192387035594</v>
      </c>
      <c r="BM132" s="2">
        <f>Table83[[#This Row],[Weight]]-Table7[[#This Row],[Weight v Servings]]</f>
        <v>0.31807612964405507</v>
      </c>
      <c r="BN132" s="2">
        <f>Table7[[#This Row],[Wserv Res]]^2</f>
        <v>0.10117242424934172</v>
      </c>
      <c r="BO132">
        <f>Regression!$X$10+(Regression!$X$9*Table83[[#This Row],[Water]])</f>
        <v>255.04204201855453</v>
      </c>
      <c r="BP132" s="2">
        <f>Table83[[#This Row],[Weight]]-Table7[[#This Row],[Weight v Water]]</f>
        <v>-0.44204201855453107</v>
      </c>
      <c r="BQ132" s="2">
        <f>Table7[[#This Row],[Wwater Res]]^2</f>
        <v>0.19540114616776438</v>
      </c>
      <c r="BR132">
        <f>Regression!$Y$10+(Regression!$Y$9*Table83[[#This Row],[Fat Calories]])</f>
        <v>254.47719346849306</v>
      </c>
      <c r="BS132" s="2">
        <f>Table83[[#This Row],[Weight]]-Table7[[#This Row],[Weight v Fat Calories]]</f>
        <v>0.12280653150693865</v>
      </c>
      <c r="BT132" s="2">
        <f>Table7[[#This Row],[WFC Res]]^2</f>
        <v>1.5081444180764717E-2</v>
      </c>
      <c r="BU132">
        <f>Regression!$B$29+(Regression!$B$28*Table83[[#This Row],[Weight]])</f>
        <v>44.383358600750654</v>
      </c>
      <c r="BV132" s="2">
        <f>Table83[[#This Row],[Waist]]-Table7[[#This Row],[Waist v Weight]]</f>
        <v>-0.38335860075065398</v>
      </c>
      <c r="BW132" s="2">
        <f>Table7[[#This Row],[WaistW Res]]^2</f>
        <v>0.14696381676949932</v>
      </c>
      <c r="BX132">
        <f>Regression!$C$29+(Regression!$C$28*Table83[[#This Row],[Neck]])</f>
        <v>44.175585585585594</v>
      </c>
      <c r="BY132" s="2">
        <f>Table83[[#This Row],[Waist]]-Table7[[#This Row],[Waist v Neck]]</f>
        <v>-0.17558558558559412</v>
      </c>
      <c r="BZ132" s="2">
        <f>Table7[[#This Row],[WaistN Res]]^2</f>
        <v>3.0830297865435997E-2</v>
      </c>
      <c r="CA132">
        <f>Regression!$D$29+(Regression!$D$28*Table83[[#This Row],[Morning Body Temp]])</f>
        <v>44.495891557108962</v>
      </c>
      <c r="CB132" s="2">
        <f>Table83[[#This Row],[Waist]]-Table7[[#This Row],[Waist v Morning Temp]]</f>
        <v>-0.49589155710896193</v>
      </c>
      <c r="CC132" s="2">
        <f>Table7[[#This Row],[WaistMT Res]]^2</f>
        <v>0.24590843641195084</v>
      </c>
      <c r="CD132">
        <f>Regression!$E$29+(Regression!$E$28*Table83[[#This Row],[Morning Systolic Pressure]])</f>
        <v>44.396932701182067</v>
      </c>
      <c r="CE132" s="2">
        <f>Table83[[#This Row],[Waist]]-Table7[[#This Row],[Waist v Morning Sys]]</f>
        <v>-0.39693270118206669</v>
      </c>
      <c r="CF132" s="2">
        <f>Table7[[#This Row],[WaistMS Res]]^2</f>
        <v>0.15755556926769185</v>
      </c>
      <c r="CG132">
        <f>Regression!$F$29+(Regression!$F$28*Table83[[#This Row],[Morning Diastolic Pressure]])</f>
        <v>44.475359150819678</v>
      </c>
      <c r="CH132" s="2">
        <f>Table83[[#This Row],[Waist]]-Table7[[#This Row],[Waist v Morning Dia]]</f>
        <v>-0.47535915081967772</v>
      </c>
      <c r="CI132" s="2">
        <f>Table7[[#This Row],[WaistMD Res]]^2</f>
        <v>0.22596632226800512</v>
      </c>
      <c r="CJ132">
        <f>Regression!$G$29+(Regression!$G$28*Table83[[#This Row],[Morning Pulse]])</f>
        <v>44.45205769235897</v>
      </c>
      <c r="CK132" s="2">
        <f>Table83[[#This Row],[Waist]]-Table7[[#This Row],[Waist v Morning Pulse]]</f>
        <v>-0.45205769235897009</v>
      </c>
      <c r="CL132" s="2">
        <f>Table7[[#This Row],[WaistMP Res]]^2</f>
        <v>0.20435615722091724</v>
      </c>
      <c r="CM132">
        <f>Regression!$H$29+(Regression!$H$28*Table83[[#This Row],[Night Body Temp]])</f>
        <v>44.465147802268952</v>
      </c>
      <c r="CN132" s="2">
        <f>Table83[[#This Row],[Waist]]-Table7[[#This Row],[Waist v Night Temp]]</f>
        <v>-0.46514780226895169</v>
      </c>
      <c r="CO132" s="2">
        <f>Table7[[#This Row],[WaistNT Res]]^2</f>
        <v>0.21636247795563579</v>
      </c>
      <c r="CP132">
        <f>Regression!$I$29+(Regression!$I$28*Table83[[#This Row],[Night Systolic Pressure]])</f>
        <v>44.325638286374691</v>
      </c>
      <c r="CQ132" s="2">
        <f>Table83[[#This Row],[Waist]]-Table7[[#This Row],[Waist v  Night Sys]]</f>
        <v>-0.32563828637469072</v>
      </c>
      <c r="CR132" s="2">
        <f>Table7[[#This Row],[WaistNS Res]]^2</f>
        <v>0.10604029355304509</v>
      </c>
      <c r="CS132">
        <f>Regression!$J$29+(Regression!$J$28*Table83[[#This Row],[Night Diastolic Pressure]])</f>
        <v>44.444024065946287</v>
      </c>
      <c r="CT132" s="2">
        <f>Table83[[#This Row],[Waist]]-Table7[[#This Row],[Waist v Night Dia]]</f>
        <v>-0.44402406594628729</v>
      </c>
      <c r="CU132" s="2">
        <f>Table7[[#This Row],[WaistND Res]]^2</f>
        <v>0.19715737113947288</v>
      </c>
      <c r="CV132">
        <f>Regression!$K$29+(Regression!$K$28*Table83[[#This Row],[Night Pulse]])</f>
        <v>44.442567894699479</v>
      </c>
      <c r="CW132" s="2">
        <f>Table83[[#This Row],[Waist]]-Table7[[#This Row],[Waist v Night Pulse]]</f>
        <v>-0.44256789469947933</v>
      </c>
      <c r="CX132" s="2">
        <f>Table7[[#This Row],[WaistNP Res]]^2</f>
        <v>0.19586634141872941</v>
      </c>
      <c r="CY132">
        <f>Regression!$L$29+(Regression!$L$28*Table83[[#This Row],[Sleep]])</f>
        <v>44.288545464873309</v>
      </c>
      <c r="CZ132" s="2">
        <f>Table83[[#This Row],[Waist]]-Table7[[#This Row],[Waist v  Sleep]]</f>
        <v>-0.28854546487330879</v>
      </c>
      <c r="DA132" s="2">
        <f>Table7[[#This Row],[WaistS Res]]^2</f>
        <v>8.3258485298953869E-2</v>
      </c>
      <c r="DB132">
        <f>Regression!$M$29+(Regression!$M$28*Table83[[#This Row],[BMI]])</f>
        <v>44.383358600750874</v>
      </c>
      <c r="DC132" s="2">
        <f>Table83[[#This Row],[Waist]]-Table7[[#This Row],[Waist v BMI]]</f>
        <v>-0.38335860075087425</v>
      </c>
      <c r="DD132" s="2">
        <f>Table7[[#This Row],[WaistBMI Res]]^2</f>
        <v>0.14696381676966819</v>
      </c>
      <c r="DE132">
        <f>Regression!$N$29+(Regression!$N$28*Table83[[#This Row],[CBF]])</f>
        <v>44.105031770433015</v>
      </c>
      <c r="DF132" s="2">
        <f>Table83[[#This Row],[Waist]]-Table7[[#This Row],[Waist v  CBF]]</f>
        <v>-0.10503177043301548</v>
      </c>
      <c r="DG132" s="2">
        <f>Table7[[#This Row],[WaistCBF Res]]^2</f>
        <v>1.1031672800293666E-2</v>
      </c>
      <c r="DH132">
        <f>Regression!$O$29+(Regression!$O$28*Table83[[#This Row],[Gym]])</f>
        <v>44.347222222222221</v>
      </c>
      <c r="DI132" s="2">
        <f>Table83[[#This Row],[Waist]]-Table7[[#This Row],[Waist v  Gym]]</f>
        <v>-0.34722222222222143</v>
      </c>
      <c r="DJ132" s="2">
        <f>Table7[[#This Row],[WaistGYM Res]]^2</f>
        <v>0.12056327160493772</v>
      </c>
      <c r="DK132">
        <f>Regression!$P$29+(Regression!$P$28*Table83[[#This Row],[Cardio]])</f>
        <v>44.680851063829778</v>
      </c>
      <c r="DL132" s="2">
        <f>Table83[[#This Row],[Waist]]-Table7[[#This Row],[Waist v Cardio]]</f>
        <v>-0.68085106382977756</v>
      </c>
      <c r="DM132" s="2">
        <f>Table7[[#This Row],[WaistC Res]]^2</f>
        <v>0.46355817111813985</v>
      </c>
      <c r="DN132">
        <f>Regression!$Q$29+(Regression!$Q$28*Table83[[#This Row],[Calories]])</f>
        <v>44.275841460895997</v>
      </c>
      <c r="DO132" s="2">
        <f>Table83[[#This Row],[Waist]]-Table7[[#This Row],[Waist v Calories]]</f>
        <v>-0.2758414608959967</v>
      </c>
      <c r="DP132" s="2">
        <f>Table7[[#This Row],[WaistCal Res]]^2</f>
        <v>7.6088511549237681E-2</v>
      </c>
      <c r="DQ132">
        <f>Regression!$R$29+(Regression!$R$28*Table83[[#This Row],[Carbs]])</f>
        <v>44.333377406721972</v>
      </c>
      <c r="DR132" s="2">
        <f>Table83[[#This Row],[Waist]]-Table7[[#This Row],[Waist v Carbs]]</f>
        <v>-0.33337740672197214</v>
      </c>
      <c r="DS132" s="2">
        <f>Table7[[#This Row],[WaistCarb Res]]^2</f>
        <v>0.11114049531266723</v>
      </c>
      <c r="DT132">
        <f>Regression!$S$29+(Regression!$S$28*Table83[[#This Row],[Fat ]])</f>
        <v>44.271729994810634</v>
      </c>
      <c r="DU132" s="2">
        <f>Table83[[#This Row],[Waist]]-Table7[[#This Row],[Waist v Fat]]</f>
        <v>-0.27172999481063442</v>
      </c>
      <c r="DV132" s="2">
        <f>Table7[[#This Row],[WaistF Res]]^2</f>
        <v>7.383719007978741E-2</v>
      </c>
      <c r="DW132">
        <f>Regression!$T$29+(Regression!$T$28*Table83[[#This Row],[Protein]])</f>
        <v>44.238633752269678</v>
      </c>
      <c r="DX132" s="2">
        <f>Table83[[#This Row],[Waist]]-Table7[[#This Row],[Waist v Protein]]</f>
        <v>-0.23863375226967776</v>
      </c>
      <c r="DY132" s="2">
        <f>Table7[[#This Row],[WaistP Res]]^2</f>
        <v>5.6946067722305933E-2</v>
      </c>
      <c r="DZ132">
        <f>Regression!$U$29+(Regression!$U$28*Table83[[#This Row],[Fiber]])</f>
        <v>44.566750754098365</v>
      </c>
      <c r="EA132" s="2">
        <f>Table83[[#This Row],[Waist]]-Table7[[#This Row],[Waist v Fiber]]</f>
        <v>-0.56675075409836495</v>
      </c>
      <c r="EB132" s="2">
        <f>Table7[[#This Row],[WaistFib Res]]^2</f>
        <v>0.32120641727106536</v>
      </c>
      <c r="EC132">
        <f>Regression!$V$29+(Regression!$V$28*Table83[[#This Row],[Sugar]])</f>
        <v>44.331079455099662</v>
      </c>
      <c r="ED132" s="2">
        <f>Table83[[#This Row],[Waist]]-Table7[[#This Row],[Waist v Sugar]]</f>
        <v>-0.33107945509966186</v>
      </c>
      <c r="EE132" s="2">
        <f>Table7[[#This Row],[WaistSugar Res]]^2</f>
        <v>0.10961360558908902</v>
      </c>
      <c r="EF132">
        <f>Regression!$W$29+(Regression!$W$28*Table83[[#This Row],[Servings]])</f>
        <v>44.326419533194368</v>
      </c>
      <c r="EG132" s="2">
        <f>Table83[[#This Row],[Waist]]-Table7[[#This Row],[Waist v Servings]]</f>
        <v>-0.32641953319436823</v>
      </c>
      <c r="EH132" s="2">
        <f>Table7[[#This Row],[WaistServ Res]]^2</f>
        <v>0.10654971165082926</v>
      </c>
      <c r="EI132">
        <f>Regression!$X$29+(Regression!$X$28*Table83[[#This Row],[Water]])</f>
        <v>44.358256536134995</v>
      </c>
      <c r="EJ132" s="2">
        <f>Table83[[#This Row],[Waist]]-Table7[[#This Row],[Waist v Water]]</f>
        <v>-0.35825653613499497</v>
      </c>
      <c r="EK132" s="2">
        <f>Table7[[#This Row],[WaistWat Res]]^2</f>
        <v>0.12834774568344495</v>
      </c>
      <c r="EL132">
        <f>Regression!$Y$29+(Regression!$Y$28*Table83[[#This Row],[Fat Calories]])</f>
        <v>44.259551051558006</v>
      </c>
      <c r="EM132" s="2">
        <f>Table83[[#This Row],[Waist]]-Table7[[#This Row],[Waist v Fat Calories]]</f>
        <v>-0.25955105155800595</v>
      </c>
      <c r="EN132" s="2">
        <f>Table7[[#This Row],[WaistFatCal Res]]^2</f>
        <v>6.7366748364866669E-2</v>
      </c>
    </row>
    <row r="133" spans="1:144" x14ac:dyDescent="0.25">
      <c r="A133">
        <f>Regression!$B$10+(Regression!$B$9*Table83[[#This Row],[Waist]])</f>
        <v>252.52625917894264</v>
      </c>
      <c r="B133" s="2">
        <f>Table83[[#This Row],[Weight]]-Table7[[#This Row],[Weight v Waist]]</f>
        <v>2.6737408210573506</v>
      </c>
      <c r="C133" s="2">
        <f>Table7[[#This Row],[Weight v Waist Res]]^2</f>
        <v>7.1488899781884347</v>
      </c>
      <c r="D133">
        <f>Regression!$C$10+(Regression!$C$9*Table83[[#This Row],[Neck]])</f>
        <v>253.29286486487842</v>
      </c>
      <c r="E133" s="2">
        <f>Table83[[#This Row],[Weight]]-Table7[[#This Row],[Weight v Neck]]</f>
        <v>1.907135135121564</v>
      </c>
      <c r="F133" s="2">
        <f>Table7[[#This Row],[WN Res]]^2</f>
        <v>3.6371644236151459</v>
      </c>
      <c r="G133">
        <f>Regression!$D$10+(Regression!$D$9*Table83[[#This Row],[Morning Body Temp]])</f>
        <v>254.98916789486196</v>
      </c>
      <c r="H133" s="2">
        <f>Table83[[#This Row],[Weight]]-Table7[[#This Row],[Weight v Morning Temp]]</f>
        <v>0.21083210513802442</v>
      </c>
      <c r="I133" s="2">
        <f>Table7[[#This Row],[WMT Res]]^2</f>
        <v>4.4450176556930981E-2</v>
      </c>
      <c r="J133">
        <f>Regression!$E$10+(Regression!$E$9*Table83[[#This Row],[Morning Systolic Pressure]])</f>
        <v>254.91917781330181</v>
      </c>
      <c r="K133" s="2">
        <f>Table83[[#This Row],[Weight]]-Table7[[#This Row],[Weight v Morning Sys]]</f>
        <v>0.28082218669817394</v>
      </c>
      <c r="L133" s="2">
        <f>Table7[[#This Row],[WMS Res]]^2</f>
        <v>7.8861100541944062E-2</v>
      </c>
      <c r="M133">
        <f>Regression!$F$10+(Regression!$F$9*Table83[[#This Row],[Morning Diastolic Pressure]])</f>
        <v>254.79800715011203</v>
      </c>
      <c r="N133" s="2">
        <f>Table83[[#This Row],[Weight]]-Table7[[#This Row],[Weight v Morning Dia]]</f>
        <v>0.4019928498879608</v>
      </c>
      <c r="O133" s="2">
        <f>Table7[[#This Row],[WMD Res]]^2</f>
        <v>0.16159825136104458</v>
      </c>
      <c r="P133">
        <f>Regression!$G$10+(Regression!$G$9*Table83[[#This Row],[Morning Pulse]])</f>
        <v>255.10998950288408</v>
      </c>
      <c r="Q133" s="2">
        <f>Table83[[#This Row],[Weight]]-Table7[[#This Row],[Weight v Morning Pulse]]</f>
        <v>9.0010497115912358E-2</v>
      </c>
      <c r="R133" s="2">
        <f>Table7[[#This Row],[WMP Res]]^2</f>
        <v>8.1018895910536671E-3</v>
      </c>
      <c r="S133">
        <f>Regression!$H$10+(Regression!$H$9*Table83[[#This Row],[Night Body Temp]])</f>
        <v>255.05687981848845</v>
      </c>
      <c r="T133" s="2">
        <f>Table83[[#This Row],[Weight]]-Table7[[#This Row],[Weight v Night Temp]]</f>
        <v>0.14312018151153438</v>
      </c>
      <c r="U133" s="2">
        <f>Table7[[#This Row],[WNT Res]]^2</f>
        <v>2.0483386355894549E-2</v>
      </c>
      <c r="V133">
        <f>Regression!$I$10+(Regression!$I$9*Table83[[#This Row],[Night Systolic Pressure]])</f>
        <v>255.85445039733804</v>
      </c>
      <c r="W133" s="2">
        <f>Table83[[#This Row],[Weight]]-Table7[[#This Row],[Weight v Night Sys]]</f>
        <v>-0.65445039733805288</v>
      </c>
      <c r="X133" s="2">
        <f>Table7[[#This Row],[WNS Res]]^2</f>
        <v>0.42830532257593529</v>
      </c>
      <c r="Y133">
        <f>Regression!$J$10+(Regression!$J$9*Table83[[#This Row],[Night Diastolic Pressure]])</f>
        <v>255.17384811107831</v>
      </c>
      <c r="Z133" s="2">
        <f>Table83[[#This Row],[Weight]]-Table7[[#This Row],[Weight v Night Dia]]</f>
        <v>2.6151888921674527E-2</v>
      </c>
      <c r="AA133" s="2">
        <f>Table7[[#This Row],[WND Res]]^2</f>
        <v>6.8392129417160286E-4</v>
      </c>
      <c r="AB133">
        <f>Regression!$K$10+(Regression!$K$9*Table83[[#This Row],[Night Pulse]])</f>
        <v>255.11015185874123</v>
      </c>
      <c r="AC133" s="2">
        <f>Table83[[#This Row],[Weight]]-Table7[[#This Row],[Weight v Night Pulse]]</f>
        <v>8.9848141258755732E-2</v>
      </c>
      <c r="AD133" s="2">
        <f>Table7[[#This Row],[WNP Res ]]^2</f>
        <v>8.0726884876533237E-3</v>
      </c>
      <c r="AE133">
        <f>Regression!$L$10+(Regression!$L$9*Table83[[#This Row],[Sleep]])</f>
        <v>254.66381845232058</v>
      </c>
      <c r="AF133" s="2">
        <f>Table83[[#This Row],[Weight]]-Table7[[#This Row],[Weight v Sleep]]</f>
        <v>0.53618154767940496</v>
      </c>
      <c r="AG133" s="2">
        <f>Table7[[#This Row],[WS Res]]^2</f>
        <v>0.28749065207188201</v>
      </c>
      <c r="AH133">
        <f>Regression!$M$10+(Regression!$M$9*Table83[[#This Row],[BMI]])</f>
        <v>255.19999999999982</v>
      </c>
      <c r="AI133" s="2">
        <f>Table83[[#This Row],[Weight]]-Table7[[#This Row],[Weight v BMI]]</f>
        <v>0</v>
      </c>
      <c r="AJ133" s="2">
        <f>Table7[[#This Row],[WBMI Res]]^2</f>
        <v>0</v>
      </c>
      <c r="AK133">
        <f>Regression!$N$10+(Regression!$N$9*Table83[[#This Row],[CBF]])</f>
        <v>253.17965033701802</v>
      </c>
      <c r="AL133" s="2">
        <f>Table83[[#This Row],[Weight]]-Table7[[#This Row],[Weight v CBF]]</f>
        <v>2.0203496629819711</v>
      </c>
      <c r="AM133" s="2">
        <f>Table7[[#This Row],[WCBF Res]]^2</f>
        <v>4.0818127607113643</v>
      </c>
      <c r="AN133">
        <f>Regression!$O$10+(Regression!$O$9*Table83[[#This Row],[Gym]])</f>
        <v>254.72962962962998</v>
      </c>
      <c r="AO133" s="2">
        <f>Table83[[#This Row],[Weight]]-Table7[[#This Row],[Weight v Gym]]</f>
        <v>0.47037037037000573</v>
      </c>
      <c r="AP133" s="2">
        <f>Table7[[#This Row],[WG Res]]^2</f>
        <v>0.22124828532201637</v>
      </c>
      <c r="AQ133">
        <f>Regression!$P$10+(Regression!$P$9*Table83[[#This Row],[Cardio]])</f>
        <v>254.19242424242461</v>
      </c>
      <c r="AR133" s="2">
        <f>Table83[[#This Row],[Weight]]-Table7[[#This Row],[Weight v Cardio]]</f>
        <v>1.0075757575753812</v>
      </c>
      <c r="AS133" s="2">
        <f>Table7[[#This Row],[WC Res]]^2</f>
        <v>1.0152089072536032</v>
      </c>
      <c r="AT133">
        <f>Regression!$Q$10+(Regression!$Q$9*Table83[[#This Row],[Calories]])</f>
        <v>256.10183111152548</v>
      </c>
      <c r="AU133" s="2">
        <f>Table83[[#This Row],[Weight]]-Table7[[#This Row],[Weight v Calories]]</f>
        <v>-0.901831111525496</v>
      </c>
      <c r="AV133" s="2">
        <f>Table7[[#This Row],[WCAL Res]]^2</f>
        <v>0.81329935371531159</v>
      </c>
      <c r="AW133">
        <f>Regression!$R$10+(Regression!$R$9*Table83[[#This Row],[Carbs]])</f>
        <v>255.95780455240688</v>
      </c>
      <c r="AX133" s="2">
        <f>Table83[[#This Row],[Weight]]-Table7[[#This Row],[Weight v Carbs]]</f>
        <v>-0.75780455240689548</v>
      </c>
      <c r="AY133" s="2">
        <f>Table7[[#This Row],[Wcarb Res]]^2</f>
        <v>0.57426773964861522</v>
      </c>
      <c r="AZ133">
        <f>Regression!$S$10+(Regression!$S$9*Table83[[#This Row],[Fat ]])</f>
        <v>255.74867108846553</v>
      </c>
      <c r="BA133" s="2">
        <f>Table83[[#This Row],[Weight]]-Table7[[#This Row],[Weight v Fat]]</f>
        <v>-0.54867108846553947</v>
      </c>
      <c r="BB133" s="2">
        <f>Table7[[#This Row],[WF Res]]^2</f>
        <v>0.30103996331795985</v>
      </c>
      <c r="BC133">
        <f>Regression!$T$10+(Regression!$T$9*Table83[[#This Row],[Protein]])</f>
        <v>256.88571301836066</v>
      </c>
      <c r="BD133" s="2">
        <f>Table83[[#This Row],[Weight]]-Table7[[#This Row],[Weight v Protein]]</f>
        <v>-1.6857130183606728</v>
      </c>
      <c r="BE133" s="2">
        <f>Table7[[#This Row],[WP Res]]^2</f>
        <v>2.8416283802706501</v>
      </c>
      <c r="BF133">
        <f>Regression!$U$10+(Regression!$U$9*Table83[[#This Row],[Fiber]])</f>
        <v>254.83021245041104</v>
      </c>
      <c r="BG133" s="2">
        <f>Table83[[#This Row],[Weight]]-Table7[[#This Row],[Weight v Fiber]]</f>
        <v>0.3697875495889491</v>
      </c>
      <c r="BH133" s="2">
        <f>Table7[[#This Row],[Wfib Res]]^2</f>
        <v>0.1367428318309995</v>
      </c>
      <c r="BI133">
        <f>Regression!$V$10+(Regression!$V$9*Table83[[#This Row],[Sugar]])</f>
        <v>255.90800144797797</v>
      </c>
      <c r="BJ133" s="2">
        <f>Table83[[#This Row],[Weight]]-Table7[[#This Row],[Weight v Sugar]]</f>
        <v>-0.7080014479779777</v>
      </c>
      <c r="BK133" s="2">
        <f>Table7[[#This Row],[Wsugar Res]]^2</f>
        <v>0.50126605033891303</v>
      </c>
      <c r="BL133">
        <f>Regression!$W$10+(Regression!$W$9*Table83[[#This Row],[Servings]])</f>
        <v>257.15758193718312</v>
      </c>
      <c r="BM133" s="2">
        <f>Table83[[#This Row],[Weight]]-Table7[[#This Row],[Weight v Servings]]</f>
        <v>-1.9575819371831358</v>
      </c>
      <c r="BN133" s="2">
        <f>Table7[[#This Row],[Wserv Res]]^2</f>
        <v>3.8321270407856787</v>
      </c>
      <c r="BO133">
        <f>Regression!$X$10+(Regression!$X$9*Table83[[#This Row],[Water]])</f>
        <v>255.04204201855453</v>
      </c>
      <c r="BP133" s="2">
        <f>Table83[[#This Row],[Weight]]-Table7[[#This Row],[Weight v Water]]</f>
        <v>0.15795798144546325</v>
      </c>
      <c r="BQ133" s="2">
        <f>Table7[[#This Row],[Wwater Res]]^2</f>
        <v>2.4950723902325313E-2</v>
      </c>
      <c r="BR133">
        <f>Regression!$Y$10+(Regression!$Y$9*Table83[[#This Row],[Fat Calories]])</f>
        <v>255.78452100206511</v>
      </c>
      <c r="BS133" s="2">
        <f>Table83[[#This Row],[Weight]]-Table7[[#This Row],[Weight v Fat Calories]]</f>
        <v>-0.58452100206511659</v>
      </c>
      <c r="BT133" s="2">
        <f>Table7[[#This Row],[WFC Res]]^2</f>
        <v>0.34166480185520803</v>
      </c>
      <c r="BU133">
        <f>Regression!$B$29+(Regression!$B$28*Table83[[#This Row],[Weight]])</f>
        <v>44.465116107092641</v>
      </c>
      <c r="BV133" s="2">
        <f>Table83[[#This Row],[Waist]]-Table7[[#This Row],[Waist v Weight]]</f>
        <v>-0.46511610709264062</v>
      </c>
      <c r="BW133" s="2">
        <f>Table7[[#This Row],[WaistW Res]]^2</f>
        <v>0.21633299307701273</v>
      </c>
      <c r="BX133">
        <f>Regression!$C$29+(Regression!$C$28*Table83[[#This Row],[Neck]])</f>
        <v>44.175585585585594</v>
      </c>
      <c r="BY133" s="2">
        <f>Table83[[#This Row],[Waist]]-Table7[[#This Row],[Waist v Neck]]</f>
        <v>-0.17558558558559412</v>
      </c>
      <c r="BZ133" s="2">
        <f>Table7[[#This Row],[WaistN Res]]^2</f>
        <v>3.0830297865435997E-2</v>
      </c>
      <c r="CA133">
        <f>Regression!$D$29+(Regression!$D$28*Table83[[#This Row],[Morning Body Temp]])</f>
        <v>44.419304304405451</v>
      </c>
      <c r="CB133" s="2">
        <f>Table83[[#This Row],[Waist]]-Table7[[#This Row],[Waist v Morning Temp]]</f>
        <v>-0.41930430440545052</v>
      </c>
      <c r="CC133" s="2">
        <f>Table7[[#This Row],[WaistMT Res]]^2</f>
        <v>0.17581609969293871</v>
      </c>
      <c r="CD133">
        <f>Regression!$E$29+(Regression!$E$28*Table83[[#This Row],[Morning Systolic Pressure]])</f>
        <v>44.407523106424492</v>
      </c>
      <c r="CE133" s="2">
        <f>Table83[[#This Row],[Waist]]-Table7[[#This Row],[Waist v Morning Sys]]</f>
        <v>-0.40752310642449174</v>
      </c>
      <c r="CF133" s="2">
        <f>Table7[[#This Row],[WaistMS Res]]^2</f>
        <v>0.16607508226986761</v>
      </c>
      <c r="CG133">
        <f>Regression!$F$29+(Regression!$F$28*Table83[[#This Row],[Morning Diastolic Pressure]])</f>
        <v>44.435909806137701</v>
      </c>
      <c r="CH133" s="2">
        <f>Table83[[#This Row],[Waist]]-Table7[[#This Row],[Waist v Morning Dia]]</f>
        <v>-0.43590980613770114</v>
      </c>
      <c r="CI133" s="2">
        <f>Table7[[#This Row],[WaistMD Res]]^2</f>
        <v>0.1900173590870082</v>
      </c>
      <c r="CJ133">
        <f>Regression!$G$29+(Regression!$G$28*Table83[[#This Row],[Morning Pulse]])</f>
        <v>44.451218189785358</v>
      </c>
      <c r="CK133" s="2">
        <f>Table83[[#This Row],[Waist]]-Table7[[#This Row],[Waist v Morning Pulse]]</f>
        <v>-0.45121818978535799</v>
      </c>
      <c r="CL133" s="2">
        <f>Table7[[#This Row],[WaistMP Res]]^2</f>
        <v>0.20359785479317535</v>
      </c>
      <c r="CM133">
        <f>Regression!$H$29+(Regression!$H$28*Table83[[#This Row],[Night Body Temp]])</f>
        <v>44.448953954659181</v>
      </c>
      <c r="CN133" s="2">
        <f>Table83[[#This Row],[Waist]]-Table7[[#This Row],[Waist v Night Temp]]</f>
        <v>-0.44895395465918142</v>
      </c>
      <c r="CO133" s="2">
        <f>Table7[[#This Row],[WaistNT Res]]^2</f>
        <v>0.20155965340411833</v>
      </c>
      <c r="CP133">
        <f>Regression!$I$29+(Regression!$I$28*Table83[[#This Row],[Night Systolic Pressure]])</f>
        <v>44.558280115584509</v>
      </c>
      <c r="CQ133" s="2">
        <f>Table83[[#This Row],[Waist]]-Table7[[#This Row],[Waist v  Night Sys]]</f>
        <v>-0.55828011558450896</v>
      </c>
      <c r="CR133" s="2">
        <f>Table7[[#This Row],[WaistNS Res]]^2</f>
        <v>0.31167668745705268</v>
      </c>
      <c r="CS133">
        <f>Regression!$J$29+(Regression!$J$28*Table83[[#This Row],[Night Diastolic Pressure]])</f>
        <v>44.478159956361175</v>
      </c>
      <c r="CT133" s="2">
        <f>Table83[[#This Row],[Waist]]-Table7[[#This Row],[Waist v Night Dia]]</f>
        <v>-0.47815995636117492</v>
      </c>
      <c r="CU133" s="2">
        <f>Table7[[#This Row],[WaistND Res]]^2</f>
        <v>0.2286369438673207</v>
      </c>
      <c r="CV133">
        <f>Regression!$K$29+(Regression!$K$28*Table83[[#This Row],[Night Pulse]])</f>
        <v>44.453994879943338</v>
      </c>
      <c r="CW133" s="2">
        <f>Table83[[#This Row],[Waist]]-Table7[[#This Row],[Waist v Night Pulse]]</f>
        <v>-0.45399487994333754</v>
      </c>
      <c r="CX133" s="2">
        <f>Table7[[#This Row],[WaistNP Res]]^2</f>
        <v>0.20611135101476546</v>
      </c>
      <c r="CY133">
        <f>Regression!$L$29+(Regression!$L$28*Table83[[#This Row],[Sleep]])</f>
        <v>44.384743400864622</v>
      </c>
      <c r="CZ133" s="2">
        <f>Table83[[#This Row],[Waist]]-Table7[[#This Row],[Waist v  Sleep]]</f>
        <v>-0.38474340086462178</v>
      </c>
      <c r="DA133" s="2">
        <f>Table7[[#This Row],[WaistS Res]]^2</f>
        <v>0.14802748450887504</v>
      </c>
      <c r="DB133">
        <f>Regression!$M$29+(Regression!$M$28*Table83[[#This Row],[BMI]])</f>
        <v>44.465116107092605</v>
      </c>
      <c r="DC133" s="2">
        <f>Table83[[#This Row],[Waist]]-Table7[[#This Row],[Waist v BMI]]</f>
        <v>-0.46511610709260509</v>
      </c>
      <c r="DD133" s="2">
        <f>Table7[[#This Row],[WaistBMI Res]]^2</f>
        <v>0.2163329930769797</v>
      </c>
      <c r="DE133">
        <f>Regression!$N$29+(Regression!$N$28*Table83[[#This Row],[CBF]])</f>
        <v>44.105031770433015</v>
      </c>
      <c r="DF133" s="2">
        <f>Table83[[#This Row],[Waist]]-Table7[[#This Row],[Waist v  CBF]]</f>
        <v>-0.10503177043301548</v>
      </c>
      <c r="DG133" s="2">
        <f>Table7[[#This Row],[WaistCBF Res]]^2</f>
        <v>1.1031672800293666E-2</v>
      </c>
      <c r="DH133">
        <f>Regression!$O$29+(Regression!$O$28*Table83[[#This Row],[Gym]])</f>
        <v>44.347222222222221</v>
      </c>
      <c r="DI133" s="2">
        <f>Table83[[#This Row],[Waist]]-Table7[[#This Row],[Waist v  Gym]]</f>
        <v>-0.34722222222222143</v>
      </c>
      <c r="DJ133" s="2">
        <f>Table7[[#This Row],[WaistGYM Res]]^2</f>
        <v>0.12056327160493772</v>
      </c>
      <c r="DK133">
        <f>Regression!$P$29+(Regression!$P$28*Table83[[#This Row],[Cardio]])</f>
        <v>44.291666666666664</v>
      </c>
      <c r="DL133" s="2">
        <f>Table83[[#This Row],[Waist]]-Table7[[#This Row],[Waist v Cardio]]</f>
        <v>-0.2916666666666643</v>
      </c>
      <c r="DM133" s="2">
        <f>Table7[[#This Row],[WaistC Res]]^2</f>
        <v>8.506944444444306E-2</v>
      </c>
      <c r="DN133">
        <f>Regression!$Q$29+(Regression!$Q$28*Table83[[#This Row],[Calories]])</f>
        <v>44.675248944690736</v>
      </c>
      <c r="DO133" s="2">
        <f>Table83[[#This Row],[Waist]]-Table7[[#This Row],[Waist v Calories]]</f>
        <v>-0.67524894469073615</v>
      </c>
      <c r="DP133" s="2">
        <f>Table7[[#This Row],[WaistCal Res]]^2</f>
        <v>0.45596113730595283</v>
      </c>
      <c r="DQ133">
        <f>Regression!$R$29+(Regression!$R$28*Table83[[#This Row],[Carbs]])</f>
        <v>44.628997357568963</v>
      </c>
      <c r="DR133" s="2">
        <f>Table83[[#This Row],[Waist]]-Table7[[#This Row],[Waist v Carbs]]</f>
        <v>-0.62899735756896291</v>
      </c>
      <c r="DS133" s="2">
        <f>Table7[[#This Row],[WaistCarb Res]]^2</f>
        <v>0.39563767582873777</v>
      </c>
      <c r="DT133">
        <f>Regression!$S$29+(Regression!$S$28*Table83[[#This Row],[Fat ]])</f>
        <v>44.647226138942806</v>
      </c>
      <c r="DU133" s="2">
        <f>Table83[[#This Row],[Waist]]-Table7[[#This Row],[Waist v Fat]]</f>
        <v>-0.64722613894280556</v>
      </c>
      <c r="DV133" s="2">
        <f>Table7[[#This Row],[WaistF Res]]^2</f>
        <v>0.41890167493081187</v>
      </c>
      <c r="DW133">
        <f>Regression!$T$29+(Regression!$T$28*Table83[[#This Row],[Protein]])</f>
        <v>44.777637982085629</v>
      </c>
      <c r="DX133" s="2">
        <f>Table83[[#This Row],[Waist]]-Table7[[#This Row],[Waist v Protein]]</f>
        <v>-0.77763798208562918</v>
      </c>
      <c r="DY133" s="2">
        <f>Table7[[#This Row],[WaistP Res]]^2</f>
        <v>0.60472083118220932</v>
      </c>
      <c r="DZ133">
        <f>Regression!$U$29+(Regression!$U$28*Table83[[#This Row],[Fiber]])</f>
        <v>44.343634639231425</v>
      </c>
      <c r="EA133" s="2">
        <f>Table83[[#This Row],[Waist]]-Table7[[#This Row],[Waist v Fiber]]</f>
        <v>-0.3436346392314249</v>
      </c>
      <c r="EB133" s="2">
        <f>Table7[[#This Row],[WaistFib Res]]^2</f>
        <v>0.11808476527971154</v>
      </c>
      <c r="EC133">
        <f>Regression!$V$29+(Regression!$V$28*Table83[[#This Row],[Sugar]])</f>
        <v>44.595985740150006</v>
      </c>
      <c r="ED133" s="2">
        <f>Table83[[#This Row],[Waist]]-Table7[[#This Row],[Waist v Sugar]]</f>
        <v>-0.59598574015000594</v>
      </c>
      <c r="EE133" s="2">
        <f>Table7[[#This Row],[WaistSugar Res]]^2</f>
        <v>0.35519900246215041</v>
      </c>
      <c r="EF133">
        <f>Regression!$W$29+(Regression!$W$28*Table83[[#This Row],[Servings]])</f>
        <v>44.765197045742141</v>
      </c>
      <c r="EG133" s="2">
        <f>Table83[[#This Row],[Waist]]-Table7[[#This Row],[Waist v Servings]]</f>
        <v>-0.76519704574214131</v>
      </c>
      <c r="EH133" s="2">
        <f>Table7[[#This Row],[WaistServ Res]]^2</f>
        <v>0.58552651881250073</v>
      </c>
      <c r="EI133">
        <f>Regression!$X$29+(Regression!$X$28*Table83[[#This Row],[Water]])</f>
        <v>44.358256536134995</v>
      </c>
      <c r="EJ133" s="2">
        <f>Table83[[#This Row],[Waist]]-Table7[[#This Row],[Waist v Water]]</f>
        <v>-0.35825653613499497</v>
      </c>
      <c r="EK133" s="2">
        <f>Table7[[#This Row],[WaistWat Res]]^2</f>
        <v>0.12834774568344495</v>
      </c>
      <c r="EL133">
        <f>Regression!$Y$29+(Regression!$Y$28*Table83[[#This Row],[Fat Calories]])</f>
        <v>44.657146963256835</v>
      </c>
      <c r="EM133" s="2">
        <f>Table83[[#This Row],[Waist]]-Table7[[#This Row],[Waist v Fat Calories]]</f>
        <v>-0.65714696325683519</v>
      </c>
      <c r="EN133" s="2">
        <f>Table7[[#This Row],[WaistFatCal Res]]^2</f>
        <v>0.43184213131768029</v>
      </c>
    </row>
    <row r="134" spans="1:144" x14ac:dyDescent="0.25">
      <c r="A134">
        <f>Regression!$B$10+(Regression!$B$9*Table83[[#This Row],[Waist]])</f>
        <v>252.52625917894264</v>
      </c>
      <c r="B134" s="2">
        <f>Table83[[#This Row],[Weight]]-Table7[[#This Row],[Weight v Waist]]</f>
        <v>2.2737408210573733</v>
      </c>
      <c r="C134" s="2">
        <f>Table7[[#This Row],[Weight v Waist Res]]^2</f>
        <v>5.169897321342658</v>
      </c>
      <c r="D134">
        <f>Regression!$C$10+(Regression!$C$9*Table83[[#This Row],[Neck]])</f>
        <v>253.29286486487842</v>
      </c>
      <c r="E134" s="2">
        <f>Table83[[#This Row],[Weight]]-Table7[[#This Row],[Weight v Neck]]</f>
        <v>1.5071351351215867</v>
      </c>
      <c r="F134" s="2">
        <f>Table7[[#This Row],[WN Res]]^2</f>
        <v>2.2714563155179635</v>
      </c>
      <c r="G134">
        <f>Regression!$D$10+(Regression!$D$9*Table83[[#This Row],[Morning Body Temp]])</f>
        <v>255.69315343708564</v>
      </c>
      <c r="H134" s="2">
        <f>Table83[[#This Row],[Weight]]-Table7[[#This Row],[Weight v Morning Temp]]</f>
        <v>-0.89315343708562978</v>
      </c>
      <c r="I134" s="2">
        <f>Table7[[#This Row],[WMT Res]]^2</f>
        <v>0.79772306217787403</v>
      </c>
      <c r="J134">
        <f>Regression!$E$10+(Regression!$E$9*Table83[[#This Row],[Morning Systolic Pressure]])</f>
        <v>255.46010425966242</v>
      </c>
      <c r="K134" s="2">
        <f>Table83[[#This Row],[Weight]]-Table7[[#This Row],[Weight v Morning Sys]]</f>
        <v>-0.66010425966240405</v>
      </c>
      <c r="L134" s="2">
        <f>Table7[[#This Row],[WMS Res]]^2</f>
        <v>0.43573763362445056</v>
      </c>
      <c r="M134">
        <f>Regression!$F$10+(Regression!$F$9*Table83[[#This Row],[Morning Diastolic Pressure]])</f>
        <v>255.20338414629154</v>
      </c>
      <c r="N134" s="2">
        <f>Table83[[#This Row],[Weight]]-Table7[[#This Row],[Weight v Morning Dia]]</f>
        <v>-0.40338414629152908</v>
      </c>
      <c r="O134" s="2">
        <f>Table7[[#This Row],[WMD Res]]^2</f>
        <v>0.16271876947934574</v>
      </c>
      <c r="P134">
        <f>Regression!$G$10+(Regression!$G$9*Table83[[#This Row],[Morning Pulse]])</f>
        <v>255.08805595379781</v>
      </c>
      <c r="Q134" s="2">
        <f>Table83[[#This Row],[Weight]]-Table7[[#This Row],[Weight v Morning Pulse]]</f>
        <v>-0.28805595379779447</v>
      </c>
      <c r="R134" s="2">
        <f>Table7[[#This Row],[WMP Res]]^2</f>
        <v>8.2976232518357104E-2</v>
      </c>
      <c r="S134">
        <f>Regression!$H$10+(Regression!$H$9*Table83[[#This Row],[Night Body Temp]])</f>
        <v>254.44070039559833</v>
      </c>
      <c r="T134" s="2">
        <f>Table83[[#This Row],[Weight]]-Table7[[#This Row],[Weight v Night Temp]]</f>
        <v>0.35929960440168429</v>
      </c>
      <c r="U134" s="2">
        <f>Table7[[#This Row],[WNT Res]]^2</f>
        <v>0.12909620572320682</v>
      </c>
      <c r="V134">
        <f>Regression!$I$10+(Regression!$I$9*Table83[[#This Row],[Night Systolic Pressure]])</f>
        <v>254.41742272093947</v>
      </c>
      <c r="W134" s="2">
        <f>Table83[[#This Row],[Weight]]-Table7[[#This Row],[Weight v Night Sys]]</f>
        <v>0.38257727906054129</v>
      </c>
      <c r="X134" s="2">
        <f>Table7[[#This Row],[WNS Res]]^2</f>
        <v>0.14636537445336728</v>
      </c>
      <c r="Y134">
        <f>Regression!$J$10+(Regression!$J$9*Table83[[#This Row],[Night Diastolic Pressure]])</f>
        <v>255.2146139794944</v>
      </c>
      <c r="Z134" s="2">
        <f>Table83[[#This Row],[Weight]]-Table7[[#This Row],[Weight v Night Dia]]</f>
        <v>-0.41461397949439061</v>
      </c>
      <c r="AA134" s="2">
        <f>Table7[[#This Row],[WND Res]]^2</f>
        <v>0.17190475199217495</v>
      </c>
      <c r="AB134">
        <f>Regression!$K$10+(Regression!$K$9*Table83[[#This Row],[Night Pulse]])</f>
        <v>255.32514517739833</v>
      </c>
      <c r="AC134" s="2">
        <f>Table83[[#This Row],[Weight]]-Table7[[#This Row],[Weight v Night Pulse]]</f>
        <v>-0.5251451773983149</v>
      </c>
      <c r="AD134" s="2">
        <f>Table7[[#This Row],[WNP Res ]]^2</f>
        <v>0.2757774573447076</v>
      </c>
      <c r="AE134">
        <f>Regression!$L$10+(Regression!$L$9*Table83[[#This Row],[Sleep]])</f>
        <v>255.45250391075515</v>
      </c>
      <c r="AF134" s="2">
        <f>Table83[[#This Row],[Weight]]-Table7[[#This Row],[Weight v Sleep]]</f>
        <v>-0.65250391075514358</v>
      </c>
      <c r="AG134" s="2">
        <f>Table7[[#This Row],[WS Res]]^2</f>
        <v>0.42576135355075639</v>
      </c>
      <c r="AH134">
        <f>Regression!$M$10+(Regression!$M$9*Table83[[#This Row],[BMI]])</f>
        <v>254.80000000000075</v>
      </c>
      <c r="AI134" s="2">
        <f>Table83[[#This Row],[Weight]]-Table7[[#This Row],[Weight v BMI]]</f>
        <v>-7.3896444519050419E-13</v>
      </c>
      <c r="AJ134" s="2">
        <f>Table7[[#This Row],[WBMI Res]]^2</f>
        <v>5.4606845125570968E-25</v>
      </c>
      <c r="AK134">
        <f>Regression!$N$10+(Regression!$N$9*Table83[[#This Row],[CBF]])</f>
        <v>253.17965033701802</v>
      </c>
      <c r="AL134" s="2">
        <f>Table83[[#This Row],[Weight]]-Table7[[#This Row],[Weight v CBF]]</f>
        <v>1.6203496629819938</v>
      </c>
      <c r="AM134" s="2">
        <f>Table7[[#This Row],[WCBF Res]]^2</f>
        <v>2.6255330303258608</v>
      </c>
      <c r="AN134">
        <f>Regression!$O$10+(Regression!$O$9*Table83[[#This Row],[Gym]])</f>
        <v>254.72962962962998</v>
      </c>
      <c r="AO134" s="2">
        <f>Table83[[#This Row],[Weight]]-Table7[[#This Row],[Weight v Gym]]</f>
        <v>7.0370370370028468E-2</v>
      </c>
      <c r="AP134" s="2">
        <f>Table7[[#This Row],[WG Res]]^2</f>
        <v>4.9519890260149805E-3</v>
      </c>
      <c r="AQ134">
        <f>Regression!$P$10+(Regression!$P$9*Table83[[#This Row],[Cardio]])</f>
        <v>256.41063829787231</v>
      </c>
      <c r="AR134" s="2">
        <f>Table83[[#This Row],[Weight]]-Table7[[#This Row],[Weight v Cardio]]</f>
        <v>-1.6106382978722991</v>
      </c>
      <c r="AS134" s="2">
        <f>Table7[[#This Row],[WC Res]]^2</f>
        <v>2.5941557265729767</v>
      </c>
      <c r="AT134">
        <f>Regression!$Q$10+(Regression!$Q$9*Table83[[#This Row],[Calories]])</f>
        <v>254.04803069987122</v>
      </c>
      <c r="AU134" s="2">
        <f>Table83[[#This Row],[Weight]]-Table7[[#This Row],[Weight v Calories]]</f>
        <v>0.75196930012879193</v>
      </c>
      <c r="AV134" s="2">
        <f>Table7[[#This Row],[WCAL Res]]^2</f>
        <v>0.56545782833618519</v>
      </c>
      <c r="AW134">
        <f>Regression!$R$10+(Regression!$R$9*Table83[[#This Row],[Carbs]])</f>
        <v>253.96987913757064</v>
      </c>
      <c r="AX134" s="2">
        <f>Table83[[#This Row],[Weight]]-Table7[[#This Row],[Weight v Carbs]]</f>
        <v>0.83012086242936789</v>
      </c>
      <c r="AY134" s="2">
        <f>Table7[[#This Row],[Wcarb Res]]^2</f>
        <v>0.68910064624047751</v>
      </c>
      <c r="AZ134">
        <f>Regression!$S$10+(Regression!$S$9*Table83[[#This Row],[Fat ]])</f>
        <v>254.45832138799705</v>
      </c>
      <c r="BA134" s="2">
        <f>Table83[[#This Row],[Weight]]-Table7[[#This Row],[Weight v Fat]]</f>
        <v>0.34167861200296556</v>
      </c>
      <c r="BB134" s="2">
        <f>Table7[[#This Row],[WF Res]]^2</f>
        <v>0.11674427390027309</v>
      </c>
      <c r="BC134">
        <f>Regression!$T$10+(Regression!$T$9*Table83[[#This Row],[Protein]])</f>
        <v>254.50255623495894</v>
      </c>
      <c r="BD134" s="2">
        <f>Table83[[#This Row],[Weight]]-Table7[[#This Row],[Weight v Protein]]</f>
        <v>0.2974437650410664</v>
      </c>
      <c r="BE134" s="2">
        <f>Table7[[#This Row],[WP Res]]^2</f>
        <v>8.8472793361805108E-2</v>
      </c>
      <c r="BF134">
        <f>Regression!$U$10+(Regression!$U$9*Table83[[#This Row],[Fiber]])</f>
        <v>255.22693266301295</v>
      </c>
      <c r="BG134" s="2">
        <f>Table83[[#This Row],[Weight]]-Table7[[#This Row],[Weight v Fiber]]</f>
        <v>-0.4269326630129342</v>
      </c>
      <c r="BH134" s="2">
        <f>Table7[[#This Row],[Wfib Res]]^2</f>
        <v>0.18227149874731563</v>
      </c>
      <c r="BI134">
        <f>Regression!$V$10+(Regression!$V$9*Table83[[#This Row],[Sugar]])</f>
        <v>254.11629635232609</v>
      </c>
      <c r="BJ134" s="2">
        <f>Table83[[#This Row],[Weight]]-Table7[[#This Row],[Weight v Sugar]]</f>
        <v>0.68370364767392289</v>
      </c>
      <c r="BK134" s="2">
        <f>Table7[[#This Row],[Wsugar Res]]^2</f>
        <v>0.46745067784262767</v>
      </c>
      <c r="BL134">
        <f>Regression!$W$10+(Regression!$W$9*Table83[[#This Row],[Servings]])</f>
        <v>252.34124648031448</v>
      </c>
      <c r="BM134" s="2">
        <f>Table83[[#This Row],[Weight]]-Table7[[#This Row],[Weight v Servings]]</f>
        <v>2.4587535196855299</v>
      </c>
      <c r="BN134" s="2">
        <f>Table7[[#This Row],[Wserv Res]]^2</f>
        <v>6.0454688705659816</v>
      </c>
      <c r="BO134">
        <f>Regression!$X$10+(Regression!$X$9*Table83[[#This Row],[Water]])</f>
        <v>255.06345001025522</v>
      </c>
      <c r="BP134" s="2">
        <f>Table83[[#This Row],[Weight]]-Table7[[#This Row],[Weight v Water]]</f>
        <v>-0.26345001025521242</v>
      </c>
      <c r="BQ134" s="2">
        <f>Table7[[#This Row],[Wwater Res]]^2</f>
        <v>6.9405907903471523E-2</v>
      </c>
      <c r="BR134">
        <f>Regression!$Y$10+(Regression!$Y$9*Table83[[#This Row],[Fat Calories]])</f>
        <v>254.41126430921892</v>
      </c>
      <c r="BS134" s="2">
        <f>Table83[[#This Row],[Weight]]-Table7[[#This Row],[Weight v Fat Calories]]</f>
        <v>0.38873569078108972</v>
      </c>
      <c r="BT134" s="2">
        <f>Table7[[#This Row],[WFC Res]]^2</f>
        <v>0.15111543728705101</v>
      </c>
      <c r="BU134">
        <f>Regression!$B$29+(Regression!$B$28*Table83[[#This Row],[Weight]])</f>
        <v>44.41061110286465</v>
      </c>
      <c r="BV134" s="2">
        <f>Table83[[#This Row],[Waist]]-Table7[[#This Row],[Waist v Weight]]</f>
        <v>-0.41061110286464952</v>
      </c>
      <c r="BW134" s="2">
        <f>Table7[[#This Row],[WaistW Res]]^2</f>
        <v>0.16860147779572379</v>
      </c>
      <c r="BX134">
        <f>Regression!$C$29+(Regression!$C$28*Table83[[#This Row],[Neck]])</f>
        <v>44.175585585585594</v>
      </c>
      <c r="BY134" s="2">
        <f>Table83[[#This Row],[Waist]]-Table7[[#This Row],[Waist v Neck]]</f>
        <v>-0.17558558558559412</v>
      </c>
      <c r="BZ134" s="2">
        <f>Table7[[#This Row],[WaistN Res]]^2</f>
        <v>3.0830297865435997E-2</v>
      </c>
      <c r="CA134">
        <f>Regression!$D$29+(Regression!$D$28*Table83[[#This Row],[Morning Body Temp]])</f>
        <v>44.610772436164225</v>
      </c>
      <c r="CB134" s="2">
        <f>Table83[[#This Row],[Waist]]-Table7[[#This Row],[Waist v Morning Temp]]</f>
        <v>-0.6107724361642255</v>
      </c>
      <c r="CC134" s="2">
        <f>Table7[[#This Row],[WaistMT Res]]^2</f>
        <v>0.37304296877798293</v>
      </c>
      <c r="CD134">
        <f>Regression!$E$29+(Regression!$E$28*Table83[[#This Row],[Morning Systolic Pressure]])</f>
        <v>44.534607969333621</v>
      </c>
      <c r="CE134" s="2">
        <f>Table83[[#This Row],[Waist]]-Table7[[#This Row],[Waist v Morning Sys]]</f>
        <v>-0.53460796933362076</v>
      </c>
      <c r="CF134" s="2">
        <f>Table7[[#This Row],[WaistMS Res]]^2</f>
        <v>0.28580568087501762</v>
      </c>
      <c r="CG134">
        <f>Regression!$F$29+(Regression!$F$28*Table83[[#This Row],[Morning Diastolic Pressure]])</f>
        <v>44.458452288813113</v>
      </c>
      <c r="CH134" s="2">
        <f>Table83[[#This Row],[Waist]]-Table7[[#This Row],[Waist v Morning Dia]]</f>
        <v>-0.45845228881311328</v>
      </c>
      <c r="CI134" s="2">
        <f>Table7[[#This Row],[WaistMD Res]]^2</f>
        <v>0.21017850111798222</v>
      </c>
      <c r="CJ134">
        <f>Regression!$G$29+(Regression!$G$28*Table83[[#This Row],[Morning Pulse]])</f>
        <v>44.441144158901992</v>
      </c>
      <c r="CK134" s="2">
        <f>Table83[[#This Row],[Waist]]-Table7[[#This Row],[Waist v Morning Pulse]]</f>
        <v>-0.44114415890199155</v>
      </c>
      <c r="CL134" s="2">
        <f>Table7[[#This Row],[WaistMP Res]]^2</f>
        <v>0.19460816893334557</v>
      </c>
      <c r="CM134">
        <f>Regression!$H$29+(Regression!$H$28*Table83[[#This Row],[Night Body Temp]])</f>
        <v>44.400372411829863</v>
      </c>
      <c r="CN134" s="2">
        <f>Table83[[#This Row],[Waist]]-Table7[[#This Row],[Waist v Night Temp]]</f>
        <v>-0.40037241182986349</v>
      </c>
      <c r="CO134" s="2">
        <f>Table7[[#This Row],[WaistNT Res]]^2</f>
        <v>0.16029806815446182</v>
      </c>
      <c r="CP134">
        <f>Regression!$I$29+(Regression!$I$28*Table83[[#This Row],[Night Systolic Pressure]])</f>
        <v>44.354718515025915</v>
      </c>
      <c r="CQ134" s="2">
        <f>Table83[[#This Row],[Waist]]-Table7[[#This Row],[Waist v  Night Sys]]</f>
        <v>-0.35471851502591534</v>
      </c>
      <c r="CR134" s="2">
        <f>Table7[[#This Row],[WaistNS Res]]^2</f>
        <v>0.12582522490219053</v>
      </c>
      <c r="CS134">
        <f>Regression!$J$29+(Regression!$J$28*Table83[[#This Row],[Night Diastolic Pressure]])</f>
        <v>44.495227901568619</v>
      </c>
      <c r="CT134" s="2">
        <f>Table83[[#This Row],[Waist]]-Table7[[#This Row],[Waist v Night Dia]]</f>
        <v>-0.49522790156861873</v>
      </c>
      <c r="CU134" s="2">
        <f>Table7[[#This Row],[WaistND Res]]^2</f>
        <v>0.24525067449205754</v>
      </c>
      <c r="CV134">
        <f>Regression!$K$29+(Regression!$K$28*Table83[[#This Row],[Night Pulse]])</f>
        <v>44.433997655766582</v>
      </c>
      <c r="CW134" s="2">
        <f>Table83[[#This Row],[Waist]]-Table7[[#This Row],[Waist v Night Pulse]]</f>
        <v>-0.43399765576658211</v>
      </c>
      <c r="CX134" s="2">
        <f>Table7[[#This Row],[WaistNP Res]]^2</f>
        <v>0.18835396521088871</v>
      </c>
      <c r="CY134">
        <f>Regression!$L$29+(Regression!$L$28*Table83[[#This Row],[Sleep]])</f>
        <v>44.504990820853756</v>
      </c>
      <c r="CZ134" s="2">
        <f>Table83[[#This Row],[Waist]]-Table7[[#This Row],[Waist v  Sleep]]</f>
        <v>-0.50499082085375591</v>
      </c>
      <c r="DA134" s="2">
        <f>Table7[[#This Row],[WaistS Res]]^2</f>
        <v>0.25501572914655019</v>
      </c>
      <c r="DB134">
        <f>Regression!$M$29+(Regression!$M$28*Table83[[#This Row],[BMI]])</f>
        <v>44.410611102864792</v>
      </c>
      <c r="DC134" s="2">
        <f>Table83[[#This Row],[Waist]]-Table7[[#This Row],[Waist v BMI]]</f>
        <v>-0.41061110286479163</v>
      </c>
      <c r="DD134" s="2">
        <f>Table7[[#This Row],[WaistBMI Res]]^2</f>
        <v>0.1686014777958405</v>
      </c>
      <c r="DE134">
        <f>Regression!$N$29+(Regression!$N$28*Table83[[#This Row],[CBF]])</f>
        <v>44.105031770433015</v>
      </c>
      <c r="DF134" s="2">
        <f>Table83[[#This Row],[Waist]]-Table7[[#This Row],[Waist v  CBF]]</f>
        <v>-0.10503177043301548</v>
      </c>
      <c r="DG134" s="2">
        <f>Table7[[#This Row],[WaistCBF Res]]^2</f>
        <v>1.1031672800293666E-2</v>
      </c>
      <c r="DH134">
        <f>Regression!$O$29+(Regression!$O$28*Table83[[#This Row],[Gym]])</f>
        <v>44.347222222222221</v>
      </c>
      <c r="DI134" s="2">
        <f>Table83[[#This Row],[Waist]]-Table7[[#This Row],[Waist v  Gym]]</f>
        <v>-0.34722222222222143</v>
      </c>
      <c r="DJ134" s="2">
        <f>Table7[[#This Row],[WaistGYM Res]]^2</f>
        <v>0.12056327160493772</v>
      </c>
      <c r="DK134">
        <f>Regression!$P$29+(Regression!$P$28*Table83[[#This Row],[Cardio]])</f>
        <v>44.680851063829778</v>
      </c>
      <c r="DL134" s="2">
        <f>Table83[[#This Row],[Waist]]-Table7[[#This Row],[Waist v Cardio]]</f>
        <v>-0.68085106382977756</v>
      </c>
      <c r="DM134" s="2">
        <f>Table7[[#This Row],[WaistC Res]]^2</f>
        <v>0.46355817111813985</v>
      </c>
      <c r="DN134">
        <f>Regression!$Q$29+(Regression!$Q$28*Table83[[#This Row],[Calories]])</f>
        <v>44.213805544792777</v>
      </c>
      <c r="DO134" s="2">
        <f>Table83[[#This Row],[Waist]]-Table7[[#This Row],[Waist v Calories]]</f>
        <v>-0.21380554479277691</v>
      </c>
      <c r="DP134" s="2">
        <f>Table7[[#This Row],[WaistCal Res]]^2</f>
        <v>4.5712810984136133E-2</v>
      </c>
      <c r="DQ134">
        <f>Regression!$R$29+(Regression!$R$28*Table83[[#This Row],[Carbs]])</f>
        <v>44.21512345977758</v>
      </c>
      <c r="DR134" s="2">
        <f>Table83[[#This Row],[Waist]]-Table7[[#This Row],[Waist v Carbs]]</f>
        <v>-0.21512345977757974</v>
      </c>
      <c r="DS134" s="2">
        <f>Table7[[#This Row],[WaistCarb Res]]^2</f>
        <v>4.6278102946675968E-2</v>
      </c>
      <c r="DT134">
        <f>Regression!$S$29+(Regression!$S$28*Table83[[#This Row],[Fat ]])</f>
        <v>44.252793542806387</v>
      </c>
      <c r="DU134" s="2">
        <f>Table83[[#This Row],[Waist]]-Table7[[#This Row],[Waist v Fat]]</f>
        <v>-0.25279354280638699</v>
      </c>
      <c r="DV134" s="2">
        <f>Table7[[#This Row],[WaistF Res]]^2</f>
        <v>6.3904575284604609E-2</v>
      </c>
      <c r="DW134">
        <f>Regression!$T$29+(Regression!$T$28*Table83[[#This Row],[Protein]])</f>
        <v>44.341431764904783</v>
      </c>
      <c r="DX134" s="2">
        <f>Table83[[#This Row],[Waist]]-Table7[[#This Row],[Waist v Protein]]</f>
        <v>-0.34143176490478311</v>
      </c>
      <c r="DY134" s="2">
        <f>Table7[[#This Row],[WaistP Res]]^2</f>
        <v>0.11657565008599509</v>
      </c>
      <c r="DZ134">
        <f>Regression!$U$29+(Regression!$U$28*Table83[[#This Row],[Fiber]])</f>
        <v>44.496713081581582</v>
      </c>
      <c r="EA134" s="2">
        <f>Table83[[#This Row],[Waist]]-Table7[[#This Row],[Waist v Fiber]]</f>
        <v>-0.49671308158158212</v>
      </c>
      <c r="EB134" s="2">
        <f>Table7[[#This Row],[WaistFib Res]]^2</f>
        <v>0.24672388541427145</v>
      </c>
      <c r="EC134">
        <f>Regression!$V$29+(Regression!$V$28*Table83[[#This Row],[Sugar]])</f>
        <v>44.274125902651313</v>
      </c>
      <c r="ED134" s="2">
        <f>Table83[[#This Row],[Waist]]-Table7[[#This Row],[Waist v Sugar]]</f>
        <v>-0.27412590265131342</v>
      </c>
      <c r="EE134" s="2">
        <f>Table7[[#This Row],[WaistSugar Res]]^2</f>
        <v>7.5145010504397369E-2</v>
      </c>
      <c r="EF134">
        <f>Regression!$W$29+(Regression!$W$28*Table83[[#This Row],[Servings]])</f>
        <v>44.030304495150354</v>
      </c>
      <c r="EG134" s="2">
        <f>Table83[[#This Row],[Waist]]-Table7[[#This Row],[Waist v Servings]]</f>
        <v>-3.0304495150353716E-2</v>
      </c>
      <c r="EH134" s="2">
        <f>Table7[[#This Row],[WaistServ Res]]^2</f>
        <v>9.1836242631781193E-4</v>
      </c>
      <c r="EI134">
        <f>Regression!$X$29+(Regression!$X$28*Table83[[#This Row],[Water]])</f>
        <v>44.386198474840633</v>
      </c>
      <c r="EJ134" s="2">
        <f>Table83[[#This Row],[Waist]]-Table7[[#This Row],[Waist v Water]]</f>
        <v>-0.38619847484063285</v>
      </c>
      <c r="EK134" s="2">
        <f>Table7[[#This Row],[WaistWat Res]]^2</f>
        <v>0.14914926196923092</v>
      </c>
      <c r="EL134">
        <f>Regression!$Y$29+(Regression!$Y$28*Table83[[#This Row],[Fat Calories]])</f>
        <v>44.23950009759583</v>
      </c>
      <c r="EM134" s="2">
        <f>Table83[[#This Row],[Waist]]-Table7[[#This Row],[Waist v Fat Calories]]</f>
        <v>-0.23950009759582969</v>
      </c>
      <c r="EN134" s="2">
        <f>Table7[[#This Row],[WaistFatCal Res]]^2</f>
        <v>5.7360296748411942E-2</v>
      </c>
    </row>
    <row r="135" spans="1:144" x14ac:dyDescent="0.25">
      <c r="A135">
        <f>Regression!$B$10+(Regression!$B$9*Table83[[#This Row],[Waist]])</f>
        <v>252.52625917894264</v>
      </c>
      <c r="B135" s="2">
        <f>Table83[[#This Row],[Weight]]-Table7[[#This Row],[Weight v Waist]]</f>
        <v>3.2737408210573733</v>
      </c>
      <c r="C135" s="2">
        <f>Table7[[#This Row],[Weight v Waist Res]]^2</f>
        <v>10.717378963457405</v>
      </c>
      <c r="D135">
        <f>Regression!$C$10+(Regression!$C$9*Table83[[#This Row],[Neck]])</f>
        <v>253.29286486487842</v>
      </c>
      <c r="E135" s="2">
        <f>Table83[[#This Row],[Weight]]-Table7[[#This Row],[Weight v Neck]]</f>
        <v>2.5071351351215867</v>
      </c>
      <c r="F135" s="2">
        <f>Table7[[#This Row],[WN Res]]^2</f>
        <v>6.2857265857611369</v>
      </c>
      <c r="G135">
        <f>Regression!$D$10+(Regression!$D$9*Table83[[#This Row],[Morning Body Temp]])</f>
        <v>254.49637801530542</v>
      </c>
      <c r="H135" s="2">
        <f>Table83[[#This Row],[Weight]]-Table7[[#This Row],[Weight v Morning Temp]]</f>
        <v>1.3036219846945869</v>
      </c>
      <c r="I135" s="2">
        <f>Table7[[#This Row],[WMT Res]]^2</f>
        <v>1.6994302789790539</v>
      </c>
      <c r="J135">
        <f>Regression!$E$10+(Regression!$E$9*Table83[[#This Row],[Morning Systolic Pressure]])</f>
        <v>255.55025866738916</v>
      </c>
      <c r="K135" s="2">
        <f>Table83[[#This Row],[Weight]]-Table7[[#This Row],[Weight v Morning Sys]]</f>
        <v>0.24974133261085285</v>
      </c>
      <c r="L135" s="2">
        <f>Table7[[#This Row],[WMS Res]]^2</f>
        <v>6.2370733214244634E-2</v>
      </c>
      <c r="M135">
        <f>Regression!$F$10+(Regression!$F$9*Table83[[#This Row],[Morning Diastolic Pressure]])</f>
        <v>254.69666290106716</v>
      </c>
      <c r="N135" s="2">
        <f>Table83[[#This Row],[Weight]]-Table7[[#This Row],[Weight v Morning Dia]]</f>
        <v>1.1033370989328546</v>
      </c>
      <c r="O135" s="2">
        <f>Table7[[#This Row],[WMD Res]]^2</f>
        <v>1.2173527538815678</v>
      </c>
      <c r="P135">
        <f>Regression!$G$10+(Regression!$G$9*Table83[[#This Row],[Morning Pulse]])</f>
        <v>255.11912848167003</v>
      </c>
      <c r="Q135" s="2">
        <f>Table83[[#This Row],[Weight]]-Table7[[#This Row],[Weight v Morning Pulse]]</f>
        <v>0.68087151832997961</v>
      </c>
      <c r="R135" s="2">
        <f>Table7[[#This Row],[WMP Res]]^2</f>
        <v>0.46358602447297176</v>
      </c>
      <c r="S135">
        <f>Regression!$H$10+(Regression!$H$9*Table83[[#This Row],[Night Body Temp]])</f>
        <v>255.67305924137855</v>
      </c>
      <c r="T135" s="2">
        <f>Table83[[#This Row],[Weight]]-Table7[[#This Row],[Weight v Night Temp]]</f>
        <v>0.12694075862145837</v>
      </c>
      <c r="U135" s="2">
        <f>Table7[[#This Row],[WNT Res]]^2</f>
        <v>1.6113956199391356E-2</v>
      </c>
      <c r="V135">
        <f>Regression!$I$10+(Regression!$I$9*Table83[[#This Row],[Night Systolic Pressure]])</f>
        <v>252.2618812063416</v>
      </c>
      <c r="W135" s="2">
        <f>Table83[[#This Row],[Weight]]-Table7[[#This Row],[Weight v Night Sys]]</f>
        <v>3.5381187936584126</v>
      </c>
      <c r="X135" s="2">
        <f>Table7[[#This Row],[WNS Res]]^2</f>
        <v>12.518284598038861</v>
      </c>
      <c r="Y135">
        <f>Regression!$J$10+(Regression!$J$9*Table83[[#This Row],[Night Diastolic Pressure]])</f>
        <v>255.01078463741391</v>
      </c>
      <c r="Z135" s="2">
        <f>Table83[[#This Row],[Weight]]-Table7[[#This Row],[Weight v Night Dia]]</f>
        <v>0.78921536258610558</v>
      </c>
      <c r="AA135" s="2">
        <f>Table7[[#This Row],[WND Res]]^2</f>
        <v>0.62286088854191812</v>
      </c>
      <c r="AB135">
        <f>Regression!$K$10+(Regression!$K$9*Table83[[#This Row],[Night Pulse]])</f>
        <v>255.23300518368814</v>
      </c>
      <c r="AC135" s="2">
        <f>Table83[[#This Row],[Weight]]-Table7[[#This Row],[Weight v Night Pulse]]</f>
        <v>0.56699481631187609</v>
      </c>
      <c r="AD135" s="2">
        <f>Table7[[#This Row],[WNP Res ]]^2</f>
        <v>0.32148312172453813</v>
      </c>
      <c r="AE135">
        <f>Regression!$L$10+(Regression!$L$9*Table83[[#This Row],[Sleep]])</f>
        <v>255.45250391075515</v>
      </c>
      <c r="AF135" s="2">
        <f>Table83[[#This Row],[Weight]]-Table7[[#This Row],[Weight v Sleep]]</f>
        <v>0.34749608924485642</v>
      </c>
      <c r="AG135" s="2">
        <f>Table7[[#This Row],[WS Res]]^2</f>
        <v>0.12075353204046922</v>
      </c>
      <c r="AH135">
        <f>Regression!$M$10+(Regression!$M$9*Table83[[#This Row],[BMI]])</f>
        <v>255.79999999999848</v>
      </c>
      <c r="AI135" s="2">
        <f>Table83[[#This Row],[Weight]]-Table7[[#This Row],[Weight v BMI]]</f>
        <v>1.5347723092418164E-12</v>
      </c>
      <c r="AJ135" s="2">
        <f>Table7[[#This Row],[WBMI Res]]^2</f>
        <v>2.3555260412154577E-24</v>
      </c>
      <c r="AK135">
        <f>Regression!$N$10+(Regression!$N$9*Table83[[#This Row],[CBF]])</f>
        <v>253.17965033701802</v>
      </c>
      <c r="AL135" s="2">
        <f>Table83[[#This Row],[Weight]]-Table7[[#This Row],[Weight v CBF]]</f>
        <v>2.6203496629819938</v>
      </c>
      <c r="AM135" s="2">
        <f>Table7[[#This Row],[WCBF Res]]^2</f>
        <v>6.8662323562898484</v>
      </c>
      <c r="AN135">
        <f>Regression!$O$10+(Regression!$O$9*Table83[[#This Row],[Gym]])</f>
        <v>254.72962962962998</v>
      </c>
      <c r="AO135" s="2">
        <f>Table83[[#This Row],[Weight]]-Table7[[#This Row],[Weight v Gym]]</f>
        <v>1.0703703703700285</v>
      </c>
      <c r="AP135" s="2">
        <f>Table7[[#This Row],[WG Res]]^2</f>
        <v>1.1456927297660719</v>
      </c>
      <c r="AQ135">
        <f>Regression!$P$10+(Regression!$P$9*Table83[[#This Row],[Cardio]])</f>
        <v>254.19242424242461</v>
      </c>
      <c r="AR135" s="2">
        <f>Table83[[#This Row],[Weight]]-Table7[[#This Row],[Weight v Cardio]]</f>
        <v>1.6075757575754039</v>
      </c>
      <c r="AS135" s="2">
        <f>Table7[[#This Row],[WC Res]]^2</f>
        <v>2.5842998163441337</v>
      </c>
      <c r="AT135">
        <f>Regression!$Q$10+(Regression!$Q$9*Table83[[#This Row],[Calories]])</f>
        <v>254.3209375187505</v>
      </c>
      <c r="AU135" s="2">
        <f>Table83[[#This Row],[Weight]]-Table7[[#This Row],[Weight v Calories]]</f>
        <v>1.4790624812495139</v>
      </c>
      <c r="AV135" s="2">
        <f>Table7[[#This Row],[WCAL Res]]^2</f>
        <v>2.1876258234399688</v>
      </c>
      <c r="AW135">
        <f>Regression!$R$10+(Regression!$R$9*Table83[[#This Row],[Carbs]])</f>
        <v>254.30247959528558</v>
      </c>
      <c r="AX135" s="2">
        <f>Table83[[#This Row],[Weight]]-Table7[[#This Row],[Weight v Carbs]]</f>
        <v>1.4975204047144359</v>
      </c>
      <c r="AY135" s="2">
        <f>Table7[[#This Row],[Wcarb Res]]^2</f>
        <v>2.242567362536088</v>
      </c>
      <c r="AZ135">
        <f>Regression!$S$10+(Regression!$S$9*Table83[[#This Row],[Fat ]])</f>
        <v>254.64309922470363</v>
      </c>
      <c r="BA135" s="2">
        <f>Table83[[#This Row],[Weight]]-Table7[[#This Row],[Weight v Fat]]</f>
        <v>1.1569007752963785</v>
      </c>
      <c r="BB135" s="2">
        <f>Table7[[#This Row],[WF Res]]^2</f>
        <v>1.3384194038813615</v>
      </c>
      <c r="BC135">
        <f>Regression!$T$10+(Regression!$T$9*Table83[[#This Row],[Protein]])</f>
        <v>254.43802696526174</v>
      </c>
      <c r="BD135" s="2">
        <f>Table83[[#This Row],[Weight]]-Table7[[#This Row],[Weight v Protein]]</f>
        <v>1.3619730347382699</v>
      </c>
      <c r="BE135" s="2">
        <f>Table7[[#This Row],[WP Res]]^2</f>
        <v>1.8549705473541727</v>
      </c>
      <c r="BF135">
        <f>Regression!$U$10+(Regression!$U$9*Table83[[#This Row],[Fiber]])</f>
        <v>255.288234649353</v>
      </c>
      <c r="BG135" s="2">
        <f>Table83[[#This Row],[Weight]]-Table7[[#This Row],[Weight v Fiber]]</f>
        <v>0.51176535064701056</v>
      </c>
      <c r="BH135" s="2">
        <f>Table7[[#This Row],[Wfib Res]]^2</f>
        <v>0.2619037741228577</v>
      </c>
      <c r="BI135">
        <f>Regression!$V$10+(Regression!$V$9*Table83[[#This Row],[Sugar]])</f>
        <v>254.0261958265489</v>
      </c>
      <c r="BJ135" s="2">
        <f>Table83[[#This Row],[Weight]]-Table7[[#This Row],[Weight v Sugar]]</f>
        <v>1.7738041734511114</v>
      </c>
      <c r="BK135" s="2">
        <f>Table7[[#This Row],[Wsugar Res]]^2</f>
        <v>3.1463812457525804</v>
      </c>
      <c r="BL135">
        <f>Regression!$W$10+(Regression!$W$9*Table83[[#This Row],[Servings]])</f>
        <v>253.51092794841117</v>
      </c>
      <c r="BM135" s="2">
        <f>Table83[[#This Row],[Weight]]-Table7[[#This Row],[Weight v Servings]]</f>
        <v>2.2890720515888461</v>
      </c>
      <c r="BN135" s="2">
        <f>Table7[[#This Row],[Wserv Res]]^2</f>
        <v>5.2398508573651688</v>
      </c>
      <c r="BO135">
        <f>Regression!$X$10+(Regression!$X$9*Table83[[#This Row],[Water]])</f>
        <v>255.06345001025522</v>
      </c>
      <c r="BP135" s="2">
        <f>Table83[[#This Row],[Weight]]-Table7[[#This Row],[Weight v Water]]</f>
        <v>0.73654998974478758</v>
      </c>
      <c r="BQ135" s="2">
        <f>Table7[[#This Row],[Wwater Res]]^2</f>
        <v>0.54250588739304673</v>
      </c>
      <c r="BR135">
        <f>Regression!$Y$10+(Regression!$Y$9*Table83[[#This Row],[Fat Calories]])</f>
        <v>254.60791441178787</v>
      </c>
      <c r="BS135" s="2">
        <f>Table83[[#This Row],[Weight]]-Table7[[#This Row],[Weight v Fat Calories]]</f>
        <v>1.1920855882121373</v>
      </c>
      <c r="BT135" s="2">
        <f>Table7[[#This Row],[WFC Res]]^2</f>
        <v>1.4210680496230774</v>
      </c>
      <c r="BU135">
        <f>Regression!$B$29+(Regression!$B$28*Table83[[#This Row],[Weight]])</f>
        <v>44.546873613434634</v>
      </c>
      <c r="BV135" s="2">
        <f>Table83[[#This Row],[Waist]]-Table7[[#This Row],[Waist v Weight]]</f>
        <v>-0.54687361343463436</v>
      </c>
      <c r="BW135" s="2">
        <f>Table7[[#This Row],[WaistW Res]]^2</f>
        <v>0.29907074907105391</v>
      </c>
      <c r="BX135">
        <f>Regression!$C$29+(Regression!$C$28*Table83[[#This Row],[Neck]])</f>
        <v>44.175585585585594</v>
      </c>
      <c r="BY135" s="2">
        <f>Table83[[#This Row],[Waist]]-Table7[[#This Row],[Waist v Neck]]</f>
        <v>-0.17558558558559412</v>
      </c>
      <c r="BZ135" s="2">
        <f>Table7[[#This Row],[WaistN Res]]^2</f>
        <v>3.0830297865435997E-2</v>
      </c>
      <c r="CA135">
        <f>Regression!$D$29+(Regression!$D$28*Table83[[#This Row],[Morning Body Temp]])</f>
        <v>44.2852766121743</v>
      </c>
      <c r="CB135" s="2">
        <f>Table83[[#This Row],[Waist]]-Table7[[#This Row],[Waist v Morning Temp]]</f>
        <v>-0.28527661217430023</v>
      </c>
      <c r="CC135" s="2">
        <f>Table7[[#This Row],[WaistMT Res]]^2</f>
        <v>8.1382745453646099E-2</v>
      </c>
      <c r="CD135">
        <f>Regression!$E$29+(Regression!$E$28*Table83[[#This Row],[Morning Systolic Pressure]])</f>
        <v>44.555788779818471</v>
      </c>
      <c r="CE135" s="2">
        <f>Table83[[#This Row],[Waist]]-Table7[[#This Row],[Waist v Morning Sys]]</f>
        <v>-0.55578877981847086</v>
      </c>
      <c r="CF135" s="2">
        <f>Table7[[#This Row],[WaistMS Res]]^2</f>
        <v>0.30890116777210469</v>
      </c>
      <c r="CG135">
        <f>Regression!$F$29+(Regression!$F$28*Table83[[#This Row],[Morning Diastolic Pressure]])</f>
        <v>44.430274185468846</v>
      </c>
      <c r="CH135" s="2">
        <f>Table83[[#This Row],[Waist]]-Table7[[#This Row],[Waist v Morning Dia]]</f>
        <v>-0.43027418546884633</v>
      </c>
      <c r="CI135" s="2">
        <f>Table7[[#This Row],[WaistMD Res]]^2</f>
        <v>0.18513587468087916</v>
      </c>
      <c r="CJ135">
        <f>Regression!$G$29+(Regression!$G$28*Table83[[#This Row],[Morning Pulse]])</f>
        <v>44.455415702653426</v>
      </c>
      <c r="CK135" s="2">
        <f>Table83[[#This Row],[Waist]]-Table7[[#This Row],[Waist v Morning Pulse]]</f>
        <v>-0.45541570265342557</v>
      </c>
      <c r="CL135" s="2">
        <f>Table7[[#This Row],[WaistMP Res]]^2</f>
        <v>0.20740346222331332</v>
      </c>
      <c r="CM135">
        <f>Regression!$H$29+(Regression!$H$28*Table83[[#This Row],[Night Body Temp]])</f>
        <v>44.497535497488492</v>
      </c>
      <c r="CN135" s="2">
        <f>Table83[[#This Row],[Waist]]-Table7[[#This Row],[Waist v Night Temp]]</f>
        <v>-0.49753549748849224</v>
      </c>
      <c r="CO135" s="2">
        <f>Table7[[#This Row],[WaistNT Res]]^2</f>
        <v>0.24754157126112147</v>
      </c>
      <c r="CP135">
        <f>Regression!$I$29+(Regression!$I$28*Table83[[#This Row],[Night Systolic Pressure]])</f>
        <v>44.049376114188036</v>
      </c>
      <c r="CQ135" s="2">
        <f>Table83[[#This Row],[Waist]]-Table7[[#This Row],[Waist v  Night Sys]]</f>
        <v>-4.9376114188035558E-2</v>
      </c>
      <c r="CR135" s="2">
        <f>Table7[[#This Row],[WaistNS Res]]^2</f>
        <v>2.4380006523099262E-3</v>
      </c>
      <c r="CS135">
        <f>Regression!$J$29+(Regression!$J$28*Table83[[#This Row],[Night Diastolic Pressure]])</f>
        <v>44.409888175531407</v>
      </c>
      <c r="CT135" s="2">
        <f>Table83[[#This Row],[Waist]]-Table7[[#This Row],[Waist v Night Dia]]</f>
        <v>-0.40988817553140677</v>
      </c>
      <c r="CU135" s="2">
        <f>Table7[[#This Row],[WaistND Res]]^2</f>
        <v>0.16800831644046532</v>
      </c>
      <c r="CV135">
        <f>Regression!$K$29+(Regression!$K$28*Table83[[#This Row],[Night Pulse]])</f>
        <v>44.442567894699479</v>
      </c>
      <c r="CW135" s="2">
        <f>Table83[[#This Row],[Waist]]-Table7[[#This Row],[Waist v Night Pulse]]</f>
        <v>-0.44256789469947933</v>
      </c>
      <c r="CX135" s="2">
        <f>Table7[[#This Row],[WaistNP Res]]^2</f>
        <v>0.19586634141872941</v>
      </c>
      <c r="CY135">
        <f>Regression!$L$29+(Regression!$L$28*Table83[[#This Row],[Sleep]])</f>
        <v>44.504990820853756</v>
      </c>
      <c r="CZ135" s="2">
        <f>Table83[[#This Row],[Waist]]-Table7[[#This Row],[Waist v  Sleep]]</f>
        <v>-0.50499082085375591</v>
      </c>
      <c r="DA135" s="2">
        <f>Table7[[#This Row],[WaistS Res]]^2</f>
        <v>0.25501572914655019</v>
      </c>
      <c r="DB135">
        <f>Regression!$M$29+(Regression!$M$28*Table83[[#This Row],[BMI]])</f>
        <v>44.546873613434336</v>
      </c>
      <c r="DC135" s="2">
        <f>Table83[[#This Row],[Waist]]-Table7[[#This Row],[Waist v BMI]]</f>
        <v>-0.54687361343433594</v>
      </c>
      <c r="DD135" s="2">
        <f>Table7[[#This Row],[WaistBMI Res]]^2</f>
        <v>0.2990707490707275</v>
      </c>
      <c r="DE135">
        <f>Regression!$N$29+(Regression!$N$28*Table83[[#This Row],[CBF]])</f>
        <v>44.105031770433015</v>
      </c>
      <c r="DF135" s="2">
        <f>Table83[[#This Row],[Waist]]-Table7[[#This Row],[Waist v  CBF]]</f>
        <v>-0.10503177043301548</v>
      </c>
      <c r="DG135" s="2">
        <f>Table7[[#This Row],[WaistCBF Res]]^2</f>
        <v>1.1031672800293666E-2</v>
      </c>
      <c r="DH135">
        <f>Regression!$O$29+(Regression!$O$28*Table83[[#This Row],[Gym]])</f>
        <v>44.347222222222221</v>
      </c>
      <c r="DI135" s="2">
        <f>Table83[[#This Row],[Waist]]-Table7[[#This Row],[Waist v  Gym]]</f>
        <v>-0.34722222222222143</v>
      </c>
      <c r="DJ135" s="2">
        <f>Table7[[#This Row],[WaistGYM Res]]^2</f>
        <v>0.12056327160493772</v>
      </c>
      <c r="DK135">
        <f>Regression!$P$29+(Regression!$P$28*Table83[[#This Row],[Cardio]])</f>
        <v>44.291666666666664</v>
      </c>
      <c r="DL135" s="2">
        <f>Table83[[#This Row],[Waist]]-Table7[[#This Row],[Waist v Cardio]]</f>
        <v>-0.2916666666666643</v>
      </c>
      <c r="DM135" s="2">
        <f>Table7[[#This Row],[WaistC Res]]^2</f>
        <v>8.506944444444306E-2</v>
      </c>
      <c r="DN135">
        <f>Regression!$Q$29+(Regression!$Q$28*Table83[[#This Row],[Calories]])</f>
        <v>44.275121654013716</v>
      </c>
      <c r="DO135" s="2">
        <f>Table83[[#This Row],[Waist]]-Table7[[#This Row],[Waist v Calories]]</f>
        <v>-0.27512165401371647</v>
      </c>
      <c r="DP135" s="2">
        <f>Table7[[#This Row],[WaistCal Res]]^2</f>
        <v>7.5691924507243116E-2</v>
      </c>
      <c r="DQ135">
        <f>Regression!$R$29+(Regression!$R$28*Table83[[#This Row],[Carbs]])</f>
        <v>44.284368838308552</v>
      </c>
      <c r="DR135" s="2">
        <f>Table83[[#This Row],[Waist]]-Table7[[#This Row],[Waist v Carbs]]</f>
        <v>-0.28436883830855209</v>
      </c>
      <c r="DS135" s="2">
        <f>Table7[[#This Row],[WaistCarb Res]]^2</f>
        <v>8.0865636200955437E-2</v>
      </c>
      <c r="DT135">
        <f>Regression!$S$29+(Regression!$S$28*Table83[[#This Row],[Fat ]])</f>
        <v>44.309276217087778</v>
      </c>
      <c r="DU135" s="2">
        <f>Table83[[#This Row],[Waist]]-Table7[[#This Row],[Waist v Fat]]</f>
        <v>-0.30927621708777764</v>
      </c>
      <c r="DV135" s="2">
        <f>Table7[[#This Row],[WaistF Res]]^2</f>
        <v>9.5651778456126157E-2</v>
      </c>
      <c r="DW135">
        <f>Regression!$T$29+(Regression!$T$28*Table83[[#This Row],[Protein]])</f>
        <v>44.329620511516801</v>
      </c>
      <c r="DX135" s="2">
        <f>Table83[[#This Row],[Waist]]-Table7[[#This Row],[Waist v Protein]]</f>
        <v>-0.32962051151680072</v>
      </c>
      <c r="DY135" s="2">
        <f>Table7[[#This Row],[WaistP Res]]^2</f>
        <v>0.10864968161259736</v>
      </c>
      <c r="DZ135">
        <f>Regression!$U$29+(Regression!$U$28*Table83[[#This Row],[Fiber]])</f>
        <v>44.520367063112694</v>
      </c>
      <c r="EA135" s="2">
        <f>Table83[[#This Row],[Waist]]-Table7[[#This Row],[Waist v Fiber]]</f>
        <v>-0.52036706311269398</v>
      </c>
      <c r="EB135" s="2">
        <f>Table7[[#This Row],[WaistFib Res]]^2</f>
        <v>0.27078188037253043</v>
      </c>
      <c r="EC135">
        <f>Regression!$V$29+(Regression!$V$28*Table83[[#This Row],[Sugar]])</f>
        <v>44.257940348089029</v>
      </c>
      <c r="ED135" s="2">
        <f>Table83[[#This Row],[Waist]]-Table7[[#This Row],[Waist v Sugar]]</f>
        <v>-0.25794034808902921</v>
      </c>
      <c r="EE135" s="2">
        <f>Table7[[#This Row],[WaistSugar Res]]^2</f>
        <v>6.653322317228956E-2</v>
      </c>
      <c r="EF135">
        <f>Regression!$W$29+(Regression!$W$28*Table83[[#This Row],[Servings]])</f>
        <v>44.208778400294079</v>
      </c>
      <c r="EG135" s="2">
        <f>Table83[[#This Row],[Waist]]-Table7[[#This Row],[Waist v Servings]]</f>
        <v>-0.20877840029407935</v>
      </c>
      <c r="EH135" s="2">
        <f>Table7[[#This Row],[WaistServ Res]]^2</f>
        <v>4.3588420429354832E-2</v>
      </c>
      <c r="EI135">
        <f>Regression!$X$29+(Regression!$X$28*Table83[[#This Row],[Water]])</f>
        <v>44.386198474840633</v>
      </c>
      <c r="EJ135" s="2">
        <f>Table83[[#This Row],[Waist]]-Table7[[#This Row],[Waist v Water]]</f>
        <v>-0.38619847484063285</v>
      </c>
      <c r="EK135" s="2">
        <f>Table7[[#This Row],[WaistWat Res]]^2</f>
        <v>0.14914926196923092</v>
      </c>
      <c r="EL135">
        <f>Regression!$Y$29+(Regression!$Y$28*Table83[[#This Row],[Fat Calories]])</f>
        <v>44.299307050948173</v>
      </c>
      <c r="EM135" s="2">
        <f>Table83[[#This Row],[Waist]]-Table7[[#This Row],[Waist v Fat Calories]]</f>
        <v>-0.29930705094817256</v>
      </c>
      <c r="EN135" s="2">
        <f>Table7[[#This Row],[WaistFatCal Res]]^2</f>
        <v>8.9584710747291962E-2</v>
      </c>
    </row>
    <row r="136" spans="1:144" x14ac:dyDescent="0.25">
      <c r="A136">
        <f>Regression!$B$10+(Regression!$B$9*Table83[[#This Row],[Waist]])</f>
        <v>255.38023686459636</v>
      </c>
      <c r="B136" s="2">
        <f>Table83[[#This Row],[Weight]]-Table7[[#This Row],[Weight v Waist]]</f>
        <v>1.8197631354036332</v>
      </c>
      <c r="C136" s="2">
        <f>Table7[[#This Row],[Weight v Waist Res]]^2</f>
        <v>3.311537868974062</v>
      </c>
      <c r="D136">
        <f>Regression!$C$10+(Regression!$C$9*Table83[[#This Row],[Neck]])</f>
        <v>253.29286486487842</v>
      </c>
      <c r="E136" s="2">
        <f>Table83[[#This Row],[Weight]]-Table7[[#This Row],[Weight v Neck]]</f>
        <v>3.907135135121564</v>
      </c>
      <c r="F136" s="2">
        <f>Table7[[#This Row],[WN Res]]^2</f>
        <v>15.265704964101403</v>
      </c>
      <c r="G136">
        <f>Regression!$D$10+(Regression!$D$9*Table83[[#This Row],[Morning Body Temp]])</f>
        <v>255.27076211175142</v>
      </c>
      <c r="H136" s="2">
        <f>Table83[[#This Row],[Weight]]-Table7[[#This Row],[Weight v Morning Temp]]</f>
        <v>1.929237888248565</v>
      </c>
      <c r="I136" s="2">
        <f>Table7[[#This Row],[WMT Res]]^2</f>
        <v>3.7219588294537824</v>
      </c>
      <c r="J136">
        <f>Regression!$E$10+(Regression!$E$9*Table83[[#This Row],[Morning Systolic Pressure]])</f>
        <v>255.46010425966242</v>
      </c>
      <c r="K136" s="2">
        <f>Table83[[#This Row],[Weight]]-Table7[[#This Row],[Weight v Morning Sys]]</f>
        <v>1.7398957403375732</v>
      </c>
      <c r="L136" s="2">
        <f>Table7[[#This Row],[WMS Res]]^2</f>
        <v>3.027237187244832</v>
      </c>
      <c r="M136">
        <f>Regression!$F$10+(Regression!$F$9*Table83[[#This Row],[Morning Diastolic Pressure]])</f>
        <v>256.21682663674034</v>
      </c>
      <c r="N136" s="2">
        <f>Table83[[#This Row],[Weight]]-Table7[[#This Row],[Weight v Morning Dia]]</f>
        <v>0.98317336325965243</v>
      </c>
      <c r="O136" s="2">
        <f>Table7[[#This Row],[WMD Res]]^2</f>
        <v>0.9666298622232965</v>
      </c>
      <c r="P136">
        <f>Regression!$G$10+(Regression!$G$9*Table83[[#This Row],[Morning Pulse]])</f>
        <v>255.10998950288408</v>
      </c>
      <c r="Q136" s="2">
        <f>Table83[[#This Row],[Weight]]-Table7[[#This Row],[Weight v Morning Pulse]]</f>
        <v>2.0900104971159124</v>
      </c>
      <c r="R136" s="2">
        <f>Table7[[#This Row],[WMP Res]]^2</f>
        <v>4.3681438780547035</v>
      </c>
      <c r="S136">
        <f>Regression!$H$10+(Regression!$H$9*Table83[[#This Row],[Night Body Temp]])</f>
        <v>255.05687981848845</v>
      </c>
      <c r="T136" s="2">
        <f>Table83[[#This Row],[Weight]]-Table7[[#This Row],[Weight v Night Temp]]</f>
        <v>2.1431201815115344</v>
      </c>
      <c r="U136" s="2">
        <f>Table7[[#This Row],[WNT Res]]^2</f>
        <v>4.592964112402032</v>
      </c>
      <c r="V136">
        <f>Regression!$I$10+(Regression!$I$9*Table83[[#This Row],[Night Systolic Pressure]])</f>
        <v>255.85445039733804</v>
      </c>
      <c r="W136" s="2">
        <f>Table83[[#This Row],[Weight]]-Table7[[#This Row],[Weight v Night Sys]]</f>
        <v>1.3455496026619471</v>
      </c>
      <c r="X136" s="2">
        <f>Table7[[#This Row],[WNS Res]]^2</f>
        <v>1.8105037332237237</v>
      </c>
      <c r="Y136">
        <f>Regression!$J$10+(Regression!$J$9*Table83[[#This Row],[Night Diastolic Pressure]])</f>
        <v>255.2146139794944</v>
      </c>
      <c r="Z136" s="2">
        <f>Table83[[#This Row],[Weight]]-Table7[[#This Row],[Weight v Night Dia]]</f>
        <v>1.9853860205055867</v>
      </c>
      <c r="AA136" s="2">
        <f>Table7[[#This Row],[WND Res]]^2</f>
        <v>3.9417576504190097</v>
      </c>
      <c r="AB136">
        <f>Regression!$K$10+(Regression!$K$9*Table83[[#This Row],[Night Pulse]])</f>
        <v>255.23300518368814</v>
      </c>
      <c r="AC136" s="2">
        <f>Table83[[#This Row],[Weight]]-Table7[[#This Row],[Weight v Night Pulse]]</f>
        <v>1.9669948163118534</v>
      </c>
      <c r="AD136" s="2">
        <f>Table7[[#This Row],[WNP Res ]]^2</f>
        <v>3.8690686073977019</v>
      </c>
      <c r="AE136">
        <f>Regression!$L$10+(Regression!$L$9*Table83[[#This Row],[Sleep]])</f>
        <v>254.82155554400751</v>
      </c>
      <c r="AF136" s="2">
        <f>Table83[[#This Row],[Weight]]-Table7[[#This Row],[Weight v Sleep]]</f>
        <v>2.3784444559924793</v>
      </c>
      <c r="AG136" s="2">
        <f>Table7[[#This Row],[WS Res]]^2</f>
        <v>5.6569980302413612</v>
      </c>
      <c r="AH136">
        <f>Regression!$M$10+(Regression!$M$9*Table83[[#This Row],[BMI]])</f>
        <v>257.19999999999538</v>
      </c>
      <c r="AI136" s="2">
        <f>Table83[[#This Row],[Weight]]-Table7[[#This Row],[Weight v BMI]]</f>
        <v>4.6043169277254492E-12</v>
      </c>
      <c r="AJ136" s="2">
        <f>Table7[[#This Row],[WBMI Res]]^2</f>
        <v>2.1199734370939119E-23</v>
      </c>
      <c r="AK136">
        <f>Regression!$N$10+(Regression!$N$9*Table83[[#This Row],[CBF]])</f>
        <v>256.25609762651322</v>
      </c>
      <c r="AL136" s="2">
        <f>Table83[[#This Row],[Weight]]-Table7[[#This Row],[Weight v CBF]]</f>
        <v>0.94390237348676465</v>
      </c>
      <c r="AM136" s="2">
        <f>Table7[[#This Row],[WCBF Res]]^2</f>
        <v>0.89095169067394775</v>
      </c>
      <c r="AN136">
        <f>Regression!$O$10+(Regression!$O$9*Table83[[#This Row],[Gym]])</f>
        <v>254.72962962962998</v>
      </c>
      <c r="AO136" s="2">
        <f>Table83[[#This Row],[Weight]]-Table7[[#This Row],[Weight v Gym]]</f>
        <v>2.4703703703700057</v>
      </c>
      <c r="AP136" s="2">
        <f>Table7[[#This Row],[WG Res]]^2</f>
        <v>6.1027297668020397</v>
      </c>
      <c r="AQ136">
        <f>Regression!$P$10+(Regression!$P$9*Table83[[#This Row],[Cardio]])</f>
        <v>254.19242424242461</v>
      </c>
      <c r="AR136" s="2">
        <f>Table83[[#This Row],[Weight]]-Table7[[#This Row],[Weight v Cardio]]</f>
        <v>3.0075757575753812</v>
      </c>
      <c r="AS136" s="2">
        <f>Table7[[#This Row],[WC Res]]^2</f>
        <v>9.0455119375551281</v>
      </c>
      <c r="AT136">
        <f>Regression!$Q$10+(Regression!$Q$9*Table83[[#This Row],[Calories]])</f>
        <v>254.35960209963457</v>
      </c>
      <c r="AU136" s="2">
        <f>Table83[[#This Row],[Weight]]-Table7[[#This Row],[Weight v Calories]]</f>
        <v>2.8403979003654172</v>
      </c>
      <c r="AV136" s="2">
        <f>Table7[[#This Row],[WCAL Res]]^2</f>
        <v>8.0678602324002711</v>
      </c>
      <c r="AW136">
        <f>Regression!$R$10+(Regression!$R$9*Table83[[#This Row],[Carbs]])</f>
        <v>254.32485083570893</v>
      </c>
      <c r="AX136" s="2">
        <f>Table83[[#This Row],[Weight]]-Table7[[#This Row],[Weight v Carbs]]</f>
        <v>2.8751491642910594</v>
      </c>
      <c r="AY136" s="2">
        <f>Table7[[#This Row],[Wcarb Res]]^2</f>
        <v>8.2664827169235764</v>
      </c>
      <c r="AZ136">
        <f>Regression!$S$10+(Regression!$S$9*Table83[[#This Row],[Fat ]])</f>
        <v>254.24403438953311</v>
      </c>
      <c r="BA136" s="2">
        <f>Table83[[#This Row],[Weight]]-Table7[[#This Row],[Weight v Fat]]</f>
        <v>2.9559656104668761</v>
      </c>
      <c r="BB136" s="2">
        <f>Table7[[#This Row],[WF Res]]^2</f>
        <v>8.7377326902628116</v>
      </c>
      <c r="BC136">
        <f>Regression!$T$10+(Regression!$T$9*Table83[[#This Row],[Protein]])</f>
        <v>254.50005194019633</v>
      </c>
      <c r="BD136" s="2">
        <f>Table83[[#This Row],[Weight]]-Table7[[#This Row],[Weight v Protein]]</f>
        <v>2.6999480598036598</v>
      </c>
      <c r="BE136" s="2">
        <f>Table7[[#This Row],[WP Res]]^2</f>
        <v>7.2897195256375467</v>
      </c>
      <c r="BF136">
        <f>Regression!$U$10+(Regression!$U$9*Table83[[#This Row],[Fiber]])</f>
        <v>255.58018792208949</v>
      </c>
      <c r="BG136" s="2">
        <f>Table83[[#This Row],[Weight]]-Table7[[#This Row],[Weight v Fiber]]</f>
        <v>1.6198120779104954</v>
      </c>
      <c r="BH136" s="2">
        <f>Table7[[#This Row],[Wfib Res]]^2</f>
        <v>2.623791167744717</v>
      </c>
      <c r="BI136">
        <f>Regression!$V$10+(Regression!$V$9*Table83[[#This Row],[Sugar]])</f>
        <v>254.56262888106971</v>
      </c>
      <c r="BJ136" s="2">
        <f>Table83[[#This Row],[Weight]]-Table7[[#This Row],[Weight v Sugar]]</f>
        <v>2.6373711189302753</v>
      </c>
      <c r="BK136" s="2">
        <f>Table7[[#This Row],[Wsugar Res]]^2</f>
        <v>6.9557264189675321</v>
      </c>
      <c r="BL136">
        <f>Regression!$W$10+(Regression!$W$9*Table83[[#This Row],[Servings]])</f>
        <v>254.5812247166042</v>
      </c>
      <c r="BM136" s="2">
        <f>Table83[[#This Row],[Weight]]-Table7[[#This Row],[Weight v Servings]]</f>
        <v>2.6187752833957916</v>
      </c>
      <c r="BN136" s="2">
        <f>Table7[[#This Row],[Wserv Res]]^2</f>
        <v>6.8579839849247088</v>
      </c>
      <c r="BO136">
        <f>Regression!$X$10+(Regression!$X$9*Table83[[#This Row],[Water]])</f>
        <v>255.10626599365665</v>
      </c>
      <c r="BP136" s="2">
        <f>Table83[[#This Row],[Weight]]-Table7[[#This Row],[Weight v Water]]</f>
        <v>2.0937340063433396</v>
      </c>
      <c r="BQ136" s="2">
        <f>Table7[[#This Row],[Wwater Res]]^2</f>
        <v>4.3837220893185318</v>
      </c>
      <c r="BR136">
        <f>Regression!$Y$10+(Regression!$Y$9*Table83[[#This Row],[Fat Calories]])</f>
        <v>254.18320903495982</v>
      </c>
      <c r="BS136" s="2">
        <f>Table83[[#This Row],[Weight]]-Table7[[#This Row],[Weight v Fat Calories]]</f>
        <v>3.0167909650401725</v>
      </c>
      <c r="BT136" s="2">
        <f>Table7[[#This Row],[WFC Res]]^2</f>
        <v>9.1010277267480149</v>
      </c>
      <c r="BU136">
        <f>Regression!$B$29+(Regression!$B$28*Table83[[#This Row],[Weight]])</f>
        <v>44.73764112823261</v>
      </c>
      <c r="BV136" s="2">
        <f>Table83[[#This Row],[Waist]]-Table7[[#This Row],[Waist v Weight]]</f>
        <v>-0.2376411282326103</v>
      </c>
      <c r="BW136" s="2">
        <f>Table7[[#This Row],[WaistW Res]]^2</f>
        <v>5.6473305827667929E-2</v>
      </c>
      <c r="BX136">
        <f>Regression!$C$29+(Regression!$C$28*Table83[[#This Row],[Neck]])</f>
        <v>44.175585585585594</v>
      </c>
      <c r="BY136" s="2">
        <f>Table83[[#This Row],[Waist]]-Table7[[#This Row],[Waist v Neck]]</f>
        <v>0.32441441441440588</v>
      </c>
      <c r="BZ136" s="2">
        <f>Table7[[#This Row],[WaistN Res]]^2</f>
        <v>0.10524471227984188</v>
      </c>
      <c r="CA136">
        <f>Regression!$D$29+(Regression!$D$28*Table83[[#This Row],[Morning Body Temp]])</f>
        <v>44.495891557108962</v>
      </c>
      <c r="CB136" s="2">
        <f>Table83[[#This Row],[Waist]]-Table7[[#This Row],[Waist v Morning Temp]]</f>
        <v>4.1084428910380666E-3</v>
      </c>
      <c r="CC136" s="2">
        <f>Table7[[#This Row],[WaistMT Res]]^2</f>
        <v>1.6879302988921227E-5</v>
      </c>
      <c r="CD136">
        <f>Regression!$E$29+(Regression!$E$28*Table83[[#This Row],[Morning Systolic Pressure]])</f>
        <v>44.534607969333621</v>
      </c>
      <c r="CE136" s="2">
        <f>Table83[[#This Row],[Waist]]-Table7[[#This Row],[Waist v Morning Sys]]</f>
        <v>-3.4607969333620758E-2</v>
      </c>
      <c r="CF136" s="2">
        <f>Table7[[#This Row],[WaistMS Res]]^2</f>
        <v>1.1977115413968349E-3</v>
      </c>
      <c r="CG136">
        <f>Regression!$F$29+(Regression!$F$28*Table83[[#This Row],[Morning Diastolic Pressure]])</f>
        <v>44.514808495501654</v>
      </c>
      <c r="CH136" s="2">
        <f>Table83[[#This Row],[Waist]]-Table7[[#This Row],[Waist v Morning Dia]]</f>
        <v>-1.4808495501654306E-2</v>
      </c>
      <c r="CI136" s="2">
        <f>Table7[[#This Row],[WaistMD Res]]^2</f>
        <v>2.1929153902251582E-4</v>
      </c>
      <c r="CJ136">
        <f>Regression!$G$29+(Regression!$G$28*Table83[[#This Row],[Morning Pulse]])</f>
        <v>44.451218189785358</v>
      </c>
      <c r="CK136" s="2">
        <f>Table83[[#This Row],[Waist]]-Table7[[#This Row],[Waist v Morning Pulse]]</f>
        <v>4.8781810214642007E-2</v>
      </c>
      <c r="CL136" s="2">
        <f>Table7[[#This Row],[WaistMP Res]]^2</f>
        <v>2.3796650078173514E-3</v>
      </c>
      <c r="CM136">
        <f>Regression!$H$29+(Regression!$H$28*Table83[[#This Row],[Night Body Temp]])</f>
        <v>44.448953954659181</v>
      </c>
      <c r="CN136" s="2">
        <f>Table83[[#This Row],[Waist]]-Table7[[#This Row],[Waist v Night Temp]]</f>
        <v>5.104604534081858E-2</v>
      </c>
      <c r="CO136" s="2">
        <f>Table7[[#This Row],[WaistNT Res]]^2</f>
        <v>2.605698744936906E-3</v>
      </c>
      <c r="CP136">
        <f>Regression!$I$29+(Regression!$I$28*Table83[[#This Row],[Night Systolic Pressure]])</f>
        <v>44.558280115584509</v>
      </c>
      <c r="CQ136" s="2">
        <f>Table83[[#This Row],[Waist]]-Table7[[#This Row],[Waist v  Night Sys]]</f>
        <v>-5.8280115584508962E-2</v>
      </c>
      <c r="CR136" s="2">
        <f>Table7[[#This Row],[WaistNS Res]]^2</f>
        <v>3.3965718725437245E-3</v>
      </c>
      <c r="CS136">
        <f>Regression!$J$29+(Regression!$J$28*Table83[[#This Row],[Night Diastolic Pressure]])</f>
        <v>44.495227901568619</v>
      </c>
      <c r="CT136" s="2">
        <f>Table83[[#This Row],[Waist]]-Table7[[#This Row],[Waist v Night Dia]]</f>
        <v>4.7720984313812664E-3</v>
      </c>
      <c r="CU136" s="2">
        <f>Table7[[#This Row],[WaistND Res]]^2</f>
        <v>2.2772923438791544E-5</v>
      </c>
      <c r="CV136">
        <f>Regression!$K$29+(Regression!$K$28*Table83[[#This Row],[Night Pulse]])</f>
        <v>44.442567894699479</v>
      </c>
      <c r="CW136" s="2">
        <f>Table83[[#This Row],[Waist]]-Table7[[#This Row],[Waist v Night Pulse]]</f>
        <v>5.7432105300520675E-2</v>
      </c>
      <c r="CX136" s="2">
        <f>Table7[[#This Row],[WaistNP Res]]^2</f>
        <v>3.2984467192500948E-3</v>
      </c>
      <c r="CY136">
        <f>Regression!$L$29+(Regression!$L$28*Table83[[#This Row],[Sleep]])</f>
        <v>44.408792884862443</v>
      </c>
      <c r="CZ136" s="2">
        <f>Table83[[#This Row],[Waist]]-Table7[[#This Row],[Waist v  Sleep]]</f>
        <v>9.1207115137557082E-2</v>
      </c>
      <c r="DA136" s="2">
        <f>Table7[[#This Row],[WaistS Res]]^2</f>
        <v>8.3187378517155935E-3</v>
      </c>
      <c r="DB136">
        <f>Regression!$M$29+(Regression!$M$28*Table83[[#This Row],[BMI]])</f>
        <v>44.737641128231708</v>
      </c>
      <c r="DC136" s="2">
        <f>Table83[[#This Row],[Waist]]-Table7[[#This Row],[Waist v BMI]]</f>
        <v>-0.23764112823170791</v>
      </c>
      <c r="DD136" s="2">
        <f>Table7[[#This Row],[WaistBMI Res]]^2</f>
        <v>5.6473305827239043E-2</v>
      </c>
      <c r="DE136">
        <f>Regression!$N$29+(Regression!$N$28*Table83[[#This Row],[CBF]])</f>
        <v>44.659010290127611</v>
      </c>
      <c r="DF136" s="2">
        <f>Table83[[#This Row],[Waist]]-Table7[[#This Row],[Waist v  CBF]]</f>
        <v>-0.15901029012761114</v>
      </c>
      <c r="DG136" s="2">
        <f>Table7[[#This Row],[WaistCBF Res]]^2</f>
        <v>2.5284272366467068E-2</v>
      </c>
      <c r="DH136">
        <f>Regression!$O$29+(Regression!$O$28*Table83[[#This Row],[Gym]])</f>
        <v>44.347222222222221</v>
      </c>
      <c r="DI136" s="2">
        <f>Table83[[#This Row],[Waist]]-Table7[[#This Row],[Waist v  Gym]]</f>
        <v>0.15277777777777857</v>
      </c>
      <c r="DJ136" s="2">
        <f>Table7[[#This Row],[WaistGYM Res]]^2</f>
        <v>2.3341049382716292E-2</v>
      </c>
      <c r="DK136">
        <f>Regression!$P$29+(Regression!$P$28*Table83[[#This Row],[Cardio]])</f>
        <v>44.291666666666664</v>
      </c>
      <c r="DL136" s="2">
        <f>Table83[[#This Row],[Waist]]-Table7[[#This Row],[Waist v Cardio]]</f>
        <v>0.2083333333333357</v>
      </c>
      <c r="DM136" s="2">
        <f>Table7[[#This Row],[WaistC Res]]^2</f>
        <v>4.3402777777778762E-2</v>
      </c>
      <c r="DN136">
        <f>Regression!$Q$29+(Regression!$Q$28*Table83[[#This Row],[Calories]])</f>
        <v>44.283808727770996</v>
      </c>
      <c r="DO136" s="2">
        <f>Table83[[#This Row],[Waist]]-Table7[[#This Row],[Waist v Calories]]</f>
        <v>0.21619127222900403</v>
      </c>
      <c r="DP136" s="2">
        <f>Table7[[#This Row],[WaistCal Res]]^2</f>
        <v>4.6738666187995326E-2</v>
      </c>
      <c r="DQ136">
        <f>Regression!$R$29+(Regression!$R$28*Table83[[#This Row],[Carbs]])</f>
        <v>44.289026393568598</v>
      </c>
      <c r="DR136" s="2">
        <f>Table83[[#This Row],[Waist]]-Table7[[#This Row],[Waist v Carbs]]</f>
        <v>0.21097360643140206</v>
      </c>
      <c r="DS136" s="2">
        <f>Table7[[#This Row],[WaistCarb Res]]^2</f>
        <v>4.4509862610672135E-2</v>
      </c>
      <c r="DT136">
        <f>Regression!$S$29+(Regression!$S$28*Table83[[#This Row],[Fat ]])</f>
        <v>44.187290542269622</v>
      </c>
      <c r="DU136" s="2">
        <f>Table83[[#This Row],[Waist]]-Table7[[#This Row],[Waist v Fat]]</f>
        <v>0.31270945773037795</v>
      </c>
      <c r="DV136" s="2">
        <f>Table7[[#This Row],[WaistF Res]]^2</f>
        <v>9.7787204954027027E-2</v>
      </c>
      <c r="DW136">
        <f>Regression!$T$29+(Regression!$T$28*Table83[[#This Row],[Protein]])</f>
        <v>44.340973385937559</v>
      </c>
      <c r="DX136" s="2">
        <f>Table83[[#This Row],[Waist]]-Table7[[#This Row],[Waist v Protein]]</f>
        <v>0.15902661406244079</v>
      </c>
      <c r="DY136" s="2">
        <f>Table7[[#This Row],[WaistP Res]]^2</f>
        <v>2.5289463980164489E-2</v>
      </c>
      <c r="DZ136">
        <f>Regression!$U$29+(Regression!$U$28*Table83[[#This Row],[Fiber]])</f>
        <v>44.633020139033434</v>
      </c>
      <c r="EA136" s="2">
        <f>Table83[[#This Row],[Waist]]-Table7[[#This Row],[Waist v Fiber]]</f>
        <v>-0.13302013903343379</v>
      </c>
      <c r="EB136" s="2">
        <f>Table7[[#This Row],[WaistFib Res]]^2</f>
        <v>1.7694357388474056E-2</v>
      </c>
      <c r="EC136">
        <f>Regression!$V$29+(Regression!$V$28*Table83[[#This Row],[Sugar]])</f>
        <v>44.354304563481399</v>
      </c>
      <c r="ED136" s="2">
        <f>Table83[[#This Row],[Waist]]-Table7[[#This Row],[Waist v Sugar]]</f>
        <v>0.14569543651860073</v>
      </c>
      <c r="EE136" s="2">
        <f>Table7[[#This Row],[WaistSugar Res]]^2</f>
        <v>2.1227160222345616E-2</v>
      </c>
      <c r="EF136">
        <f>Regression!$W$29+(Regression!$W$28*Table83[[#This Row],[Servings]])</f>
        <v>44.372087855981142</v>
      </c>
      <c r="EG136" s="2">
        <f>Table83[[#This Row],[Waist]]-Table7[[#This Row],[Waist v Servings]]</f>
        <v>0.12791214401885753</v>
      </c>
      <c r="EH136" s="2">
        <f>Table7[[#This Row],[WaistServ Res]]^2</f>
        <v>1.636151658750095E-2</v>
      </c>
      <c r="EI136">
        <f>Regression!$X$29+(Regression!$X$28*Table83[[#This Row],[Water]])</f>
        <v>44.442082352251923</v>
      </c>
      <c r="EJ136" s="2">
        <f>Table83[[#This Row],[Waist]]-Table7[[#This Row],[Waist v Water]]</f>
        <v>5.7917647748077172E-2</v>
      </c>
      <c r="EK136" s="2">
        <f>Table7[[#This Row],[WaistWat Res]]^2</f>
        <v>3.3544539206703488E-3</v>
      </c>
      <c r="EL136">
        <f>Regression!$Y$29+(Regression!$Y$28*Table83[[#This Row],[Fat Calories]])</f>
        <v>44.170141928079559</v>
      </c>
      <c r="EM136" s="2">
        <f>Table83[[#This Row],[Waist]]-Table7[[#This Row],[Waist v Fat Calories]]</f>
        <v>0.32985807192044092</v>
      </c>
      <c r="EN136" s="2">
        <f>Table7[[#This Row],[WaistFatCal Res]]^2</f>
        <v>0.10880634761107078</v>
      </c>
    </row>
    <row r="137" spans="1:144" x14ac:dyDescent="0.25">
      <c r="A137">
        <f>Regression!$B$10+(Regression!$B$9*Table83[[#This Row],[Waist]])</f>
        <v>255.38023686459636</v>
      </c>
      <c r="B137" s="2">
        <f>Table83[[#This Row],[Weight]]-Table7[[#This Row],[Weight v Waist]]</f>
        <v>2.6197631354036446</v>
      </c>
      <c r="C137" s="2">
        <f>Table7[[#This Row],[Weight v Waist Res]]^2</f>
        <v>6.863158885619935</v>
      </c>
      <c r="D137">
        <f>Regression!$C$10+(Regression!$C$9*Table83[[#This Row],[Neck]])</f>
        <v>253.29286486487842</v>
      </c>
      <c r="E137" s="2">
        <f>Table83[[#This Row],[Weight]]-Table7[[#This Row],[Weight v Neck]]</f>
        <v>4.7071351351215753</v>
      </c>
      <c r="F137" s="2">
        <f>Table7[[#This Row],[WN Res]]^2</f>
        <v>22.157121180296013</v>
      </c>
      <c r="G137">
        <f>Regression!$D$10+(Regression!$D$9*Table83[[#This Row],[Morning Body Temp]])</f>
        <v>255.12996500330669</v>
      </c>
      <c r="H137" s="2">
        <f>Table83[[#This Row],[Weight]]-Table7[[#This Row],[Weight v Morning Temp]]</f>
        <v>2.8700349966933061</v>
      </c>
      <c r="I137" s="2">
        <f>Table7[[#This Row],[WMT Res]]^2</f>
        <v>8.237100882244345</v>
      </c>
      <c r="J137">
        <f>Regression!$E$10+(Regression!$E$9*Table83[[#This Row],[Morning Systolic Pressure]])</f>
        <v>254.78394620171164</v>
      </c>
      <c r="K137" s="2">
        <f>Table83[[#This Row],[Weight]]-Table7[[#This Row],[Weight v Morning Sys]]</f>
        <v>3.2160537982883568</v>
      </c>
      <c r="L137" s="2">
        <f>Table7[[#This Row],[WMS Res]]^2</f>
        <v>10.343002033484966</v>
      </c>
      <c r="M137">
        <f>Regression!$F$10+(Regression!$F$9*Table83[[#This Row],[Morning Diastolic Pressure]])</f>
        <v>255.10203989724667</v>
      </c>
      <c r="N137" s="2">
        <f>Table83[[#This Row],[Weight]]-Table7[[#This Row],[Weight v Morning Dia]]</f>
        <v>2.8979601027533306</v>
      </c>
      <c r="O137" s="2">
        <f>Table7[[#This Row],[WMD Res]]^2</f>
        <v>8.3981727571500944</v>
      </c>
      <c r="P137">
        <f>Regression!$G$10+(Regression!$G$9*Table83[[#This Row],[Morning Pulse]])</f>
        <v>255.1246118689416</v>
      </c>
      <c r="Q137" s="2">
        <f>Table83[[#This Row],[Weight]]-Table7[[#This Row],[Weight v Morning Pulse]]</f>
        <v>2.8753881310584006</v>
      </c>
      <c r="R137" s="2">
        <f>Table7[[#This Row],[WMP Res]]^2</f>
        <v>8.2678569042315218</v>
      </c>
      <c r="S137">
        <f>Regression!$H$10+(Regression!$H$9*Table83[[#This Row],[Night Body Temp]])</f>
        <v>255.87845238234192</v>
      </c>
      <c r="T137" s="2">
        <f>Table83[[#This Row],[Weight]]-Table7[[#This Row],[Weight v Night Temp]]</f>
        <v>2.1215476176580808</v>
      </c>
      <c r="U137" s="2">
        <f>Table7[[#This Row],[WNT Res]]^2</f>
        <v>4.5009642939906778</v>
      </c>
      <c r="V137">
        <f>Regression!$I$10+(Regression!$I$9*Table83[[#This Row],[Night Systolic Pressure]])</f>
        <v>255.44387106122414</v>
      </c>
      <c r="W137" s="2">
        <f>Table83[[#This Row],[Weight]]-Table7[[#This Row],[Weight v Night Sys]]</f>
        <v>2.5561289387758563</v>
      </c>
      <c r="X137" s="2">
        <f>Table7[[#This Row],[WNS Res]]^2</f>
        <v>6.5337951516473858</v>
      </c>
      <c r="Y137">
        <f>Regression!$J$10+(Regression!$J$9*Table83[[#This Row],[Night Diastolic Pressure]])</f>
        <v>255.05155050582999</v>
      </c>
      <c r="Z137" s="2">
        <f>Table83[[#This Row],[Weight]]-Table7[[#This Row],[Weight v Night Dia]]</f>
        <v>2.9484494941700063</v>
      </c>
      <c r="AA137" s="2">
        <f>Table7[[#This Row],[WND Res]]^2</f>
        <v>8.6933544196713655</v>
      </c>
      <c r="AB137">
        <f>Regression!$K$10+(Regression!$K$9*Table83[[#This Row],[Night Pulse]])</f>
        <v>255.47871183358197</v>
      </c>
      <c r="AC137" s="2">
        <f>Table83[[#This Row],[Weight]]-Table7[[#This Row],[Weight v Night Pulse]]</f>
        <v>2.5212881664180316</v>
      </c>
      <c r="AD137" s="2">
        <f>Table7[[#This Row],[WNP Res ]]^2</f>
        <v>6.3568940181195996</v>
      </c>
      <c r="AE137">
        <f>Regression!$L$10+(Regression!$L$9*Table83[[#This Row],[Sleep]])</f>
        <v>255.29476681906823</v>
      </c>
      <c r="AF137" s="2">
        <f>Table83[[#This Row],[Weight]]-Table7[[#This Row],[Weight v Sleep]]</f>
        <v>2.7052331809317707</v>
      </c>
      <c r="AG137" s="2">
        <f>Table7[[#This Row],[WS Res]]^2</f>
        <v>7.318286563214226</v>
      </c>
      <c r="AH137">
        <f>Regression!$M$10+(Regression!$M$9*Table83[[#This Row],[BMI]])</f>
        <v>257.99999999999352</v>
      </c>
      <c r="AI137" s="2">
        <f>Table83[[#This Row],[Weight]]-Table7[[#This Row],[Weight v BMI]]</f>
        <v>6.4801497501321137E-12</v>
      </c>
      <c r="AJ137" s="2">
        <f>Table7[[#This Row],[WBMI Res]]^2</f>
        <v>4.1992340784137296E-23</v>
      </c>
      <c r="AK137">
        <f>Regression!$N$10+(Regression!$N$9*Table83[[#This Row],[CBF]])</f>
        <v>256.25609762651322</v>
      </c>
      <c r="AL137" s="2">
        <f>Table83[[#This Row],[Weight]]-Table7[[#This Row],[Weight v CBF]]</f>
        <v>1.743902373486776</v>
      </c>
      <c r="AM137" s="2">
        <f>Table7[[#This Row],[WCBF Res]]^2</f>
        <v>3.0411954882528107</v>
      </c>
      <c r="AN137">
        <f>Regression!$O$10+(Regression!$O$9*Table83[[#This Row],[Gym]])</f>
        <v>255.46779661016953</v>
      </c>
      <c r="AO137" s="2">
        <f>Table83[[#This Row],[Weight]]-Table7[[#This Row],[Weight v Gym]]</f>
        <v>2.532203389830471</v>
      </c>
      <c r="AP137" s="2">
        <f>Table7[[#This Row],[WG Res]]^2</f>
        <v>6.4120540074689281</v>
      </c>
      <c r="AQ137">
        <f>Regression!$P$10+(Regression!$P$9*Table83[[#This Row],[Cardio]])</f>
        <v>256.41063829787231</v>
      </c>
      <c r="AR137" s="2">
        <f>Table83[[#This Row],[Weight]]-Table7[[#This Row],[Weight v Cardio]]</f>
        <v>1.5893617021276896</v>
      </c>
      <c r="AS137" s="2">
        <f>Table7[[#This Row],[WC Res]]^2</f>
        <v>2.5260706201902265</v>
      </c>
      <c r="AT137">
        <f>Regression!$Q$10+(Regression!$Q$9*Table83[[#This Row],[Calories]])</f>
        <v>254.41330063577078</v>
      </c>
      <c r="AU137" s="2">
        <f>Table83[[#This Row],[Weight]]-Table7[[#This Row],[Weight v Calories]]</f>
        <v>3.5866993642292186</v>
      </c>
      <c r="AV137" s="2">
        <f>Table7[[#This Row],[WCAL Res]]^2</f>
        <v>12.864412329362281</v>
      </c>
      <c r="AW137">
        <f>Regression!$R$10+(Regression!$R$9*Table83[[#This Row],[Carbs]])</f>
        <v>254.02939943264923</v>
      </c>
      <c r="AX137" s="2">
        <f>Table83[[#This Row],[Weight]]-Table7[[#This Row],[Weight v Carbs]]</f>
        <v>3.9706005673507718</v>
      </c>
      <c r="AY137" s="2">
        <f>Table7[[#This Row],[Wcarb Res]]^2</f>
        <v>15.765668865446271</v>
      </c>
      <c r="AZ137">
        <f>Regression!$S$10+(Regression!$S$9*Table83[[#This Row],[Fat ]])</f>
        <v>254.84020509971057</v>
      </c>
      <c r="BA137" s="2">
        <f>Table83[[#This Row],[Weight]]-Table7[[#This Row],[Weight v Fat]]</f>
        <v>3.1597949002894268</v>
      </c>
      <c r="BB137" s="2">
        <f>Table7[[#This Row],[WF Res]]^2</f>
        <v>9.9843038118950691</v>
      </c>
      <c r="BC137">
        <f>Regression!$T$10+(Regression!$T$9*Table83[[#This Row],[Protein]])</f>
        <v>254.79563880137809</v>
      </c>
      <c r="BD137" s="2">
        <f>Table83[[#This Row],[Weight]]-Table7[[#This Row],[Weight v Protein]]</f>
        <v>3.2043611986219105</v>
      </c>
      <c r="BE137" s="2">
        <f>Table7[[#This Row],[WP Res]]^2</f>
        <v>10.267930691233646</v>
      </c>
      <c r="BF137">
        <f>Regression!$U$10+(Regression!$U$9*Table83[[#This Row],[Fiber]])</f>
        <v>254.92952918580531</v>
      </c>
      <c r="BG137" s="2">
        <f>Table83[[#This Row],[Weight]]-Table7[[#This Row],[Weight v Fiber]]</f>
        <v>3.0704708141946924</v>
      </c>
      <c r="BH137" s="2">
        <f>Table7[[#This Row],[Wfib Res]]^2</f>
        <v>9.4277910208214166</v>
      </c>
      <c r="BI137">
        <f>Regression!$V$10+(Regression!$V$9*Table83[[#This Row],[Sugar]])</f>
        <v>252.84735465103009</v>
      </c>
      <c r="BJ137" s="2">
        <f>Table83[[#This Row],[Weight]]-Table7[[#This Row],[Weight v Sugar]]</f>
        <v>5.1526453489699122</v>
      </c>
      <c r="BK137" s="2">
        <f>Table7[[#This Row],[Wsugar Res]]^2</f>
        <v>26.549754092261267</v>
      </c>
      <c r="BL137">
        <f>Regression!$W$10+(Regression!$W$9*Table83[[#This Row],[Servings]])</f>
        <v>252.84581495674834</v>
      </c>
      <c r="BM137" s="2">
        <f>Table83[[#This Row],[Weight]]-Table7[[#This Row],[Weight v Servings]]</f>
        <v>5.1541850432516583</v>
      </c>
      <c r="BN137" s="2">
        <f>Table7[[#This Row],[Wserv Res]]^2</f>
        <v>26.565623460079099</v>
      </c>
      <c r="BO137">
        <f>Regression!$X$10+(Regression!$X$9*Table83[[#This Row],[Water]])</f>
        <v>255.10626599365665</v>
      </c>
      <c r="BP137" s="2">
        <f>Table83[[#This Row],[Weight]]-Table7[[#This Row],[Weight v Water]]</f>
        <v>2.893734006343351</v>
      </c>
      <c r="BQ137" s="2">
        <f>Table7[[#This Row],[Wwater Res]]^2</f>
        <v>8.3736964994679415</v>
      </c>
      <c r="BR137">
        <f>Regression!$Y$10+(Regression!$Y$9*Table83[[#This Row],[Fat Calories]])</f>
        <v>254.81768464845652</v>
      </c>
      <c r="BS137" s="2">
        <f>Table83[[#This Row],[Weight]]-Table7[[#This Row],[Weight v Fat Calories]]</f>
        <v>3.1823153515434797</v>
      </c>
      <c r="BT137" s="2">
        <f>Table7[[#This Row],[WFC Res]]^2</f>
        <v>10.127130996669301</v>
      </c>
      <c r="BU137">
        <f>Regression!$B$29+(Regression!$B$28*Table83[[#This Row],[Weight]])</f>
        <v>44.846651136688592</v>
      </c>
      <c r="BV137" s="2">
        <f>Table83[[#This Row],[Waist]]-Table7[[#This Row],[Waist v Weight]]</f>
        <v>-0.34665113668859249</v>
      </c>
      <c r="BW137" s="2">
        <f>Table7[[#This Row],[WaistW Res]]^2</f>
        <v>0.12016701056749324</v>
      </c>
      <c r="BX137">
        <f>Regression!$C$29+(Regression!$C$28*Table83[[#This Row],[Neck]])</f>
        <v>44.175585585585594</v>
      </c>
      <c r="BY137" s="2">
        <f>Table83[[#This Row],[Waist]]-Table7[[#This Row],[Waist v Neck]]</f>
        <v>0.32441441441440588</v>
      </c>
      <c r="BZ137" s="2">
        <f>Table7[[#This Row],[WaistN Res]]^2</f>
        <v>0.10524471227984188</v>
      </c>
      <c r="CA137">
        <f>Regression!$D$29+(Regression!$D$28*Table83[[#This Row],[Morning Body Temp]])</f>
        <v>44.457597930757203</v>
      </c>
      <c r="CB137" s="2">
        <f>Table83[[#This Row],[Waist]]-Table7[[#This Row],[Waist v Morning Temp]]</f>
        <v>4.2402069242797324E-2</v>
      </c>
      <c r="CC137" s="2">
        <f>Table7[[#This Row],[WaistMT Res]]^2</f>
        <v>1.7979354760709789E-3</v>
      </c>
      <c r="CD137">
        <f>Regression!$E$29+(Regression!$E$28*Table83[[#This Row],[Morning Systolic Pressure]])</f>
        <v>44.375751890697217</v>
      </c>
      <c r="CE137" s="2">
        <f>Table83[[#This Row],[Waist]]-Table7[[#This Row],[Waist v Morning Sys]]</f>
        <v>0.1242481093027834</v>
      </c>
      <c r="CF137" s="2">
        <f>Table7[[#This Row],[WaistMS Res]]^2</f>
        <v>1.5437592665316411E-2</v>
      </c>
      <c r="CG137">
        <f>Regression!$F$29+(Regression!$F$28*Table83[[#This Row],[Morning Diastolic Pressure]])</f>
        <v>44.452816668144258</v>
      </c>
      <c r="CH137" s="2">
        <f>Table83[[#This Row],[Waist]]-Table7[[#This Row],[Waist v Morning Dia]]</f>
        <v>4.7183331855741528E-2</v>
      </c>
      <c r="CI137" s="2">
        <f>Table7[[#This Row],[WaistMD Res]]^2</f>
        <v>2.2262668050090331E-3</v>
      </c>
      <c r="CJ137">
        <f>Regression!$G$29+(Regression!$G$28*Table83[[#This Row],[Morning Pulse]])</f>
        <v>44.457934210374262</v>
      </c>
      <c r="CK137" s="2">
        <f>Table83[[#This Row],[Waist]]-Table7[[#This Row],[Waist v Morning Pulse]]</f>
        <v>4.2065789625738148E-2</v>
      </c>
      <c r="CL137" s="2">
        <f>Table7[[#This Row],[WaistMP Res]]^2</f>
        <v>1.7695306568368593E-3</v>
      </c>
      <c r="CM137">
        <f>Regression!$H$29+(Regression!$H$28*Table83[[#This Row],[Night Body Temp]])</f>
        <v>44.513729345098263</v>
      </c>
      <c r="CN137" s="2">
        <f>Table83[[#This Row],[Waist]]-Table7[[#This Row],[Waist v Night Temp]]</f>
        <v>-1.3729345098262513E-2</v>
      </c>
      <c r="CO137" s="2">
        <f>Table7[[#This Row],[WaistNT Res]]^2</f>
        <v>1.8849491682718491E-4</v>
      </c>
      <c r="CP137">
        <f>Regression!$I$29+(Regression!$I$28*Table83[[#This Row],[Night Systolic Pressure]])</f>
        <v>44.500119658282053</v>
      </c>
      <c r="CQ137" s="2">
        <f>Table83[[#This Row],[Waist]]-Table7[[#This Row],[Waist v  Night Sys]]</f>
        <v>-1.1965828205262596E-4</v>
      </c>
      <c r="CR137" s="2">
        <f>Table7[[#This Row],[WaistNS Res]]^2</f>
        <v>1.4318104463785789E-8</v>
      </c>
      <c r="CS137">
        <f>Regression!$J$29+(Regression!$J$28*Table83[[#This Row],[Night Diastolic Pressure]])</f>
        <v>44.426956120738851</v>
      </c>
      <c r="CT137" s="2">
        <f>Table83[[#This Row],[Waist]]-Table7[[#This Row],[Waist v Night Dia]]</f>
        <v>7.3043879261149414E-2</v>
      </c>
      <c r="CU137" s="2">
        <f>Table7[[#This Row],[WaistND Res]]^2</f>
        <v>5.3354082975173734E-3</v>
      </c>
      <c r="CV137">
        <f>Regression!$K$29+(Regression!$K$28*Table83[[#This Row],[Night Pulse]])</f>
        <v>44.419713924211756</v>
      </c>
      <c r="CW137" s="2">
        <f>Table83[[#This Row],[Waist]]-Table7[[#This Row],[Waist v Night Pulse]]</f>
        <v>8.0286075788244204E-2</v>
      </c>
      <c r="CX137" s="2">
        <f>Table7[[#This Row],[WaistNP Res]]^2</f>
        <v>6.4458539654756921E-3</v>
      </c>
      <c r="CY137">
        <f>Regression!$L$29+(Regression!$L$28*Table83[[#This Row],[Sleep]])</f>
        <v>44.480941336855928</v>
      </c>
      <c r="CZ137" s="2">
        <f>Table83[[#This Row],[Waist]]-Table7[[#This Row],[Waist v  Sleep]]</f>
        <v>1.9058663144072341E-2</v>
      </c>
      <c r="DA137" s="2">
        <f>Table7[[#This Row],[WaistS Res]]^2</f>
        <v>3.6323264083922143E-4</v>
      </c>
      <c r="DB137">
        <f>Regression!$M$29+(Regression!$M$28*Table83[[#This Row],[BMI]])</f>
        <v>44.846651136687342</v>
      </c>
      <c r="DC137" s="2">
        <f>Table83[[#This Row],[Waist]]-Table7[[#This Row],[Waist v BMI]]</f>
        <v>-0.34665113668734193</v>
      </c>
      <c r="DD137" s="2">
        <f>Table7[[#This Row],[WaistBMI Res]]^2</f>
        <v>0.12016701056662622</v>
      </c>
      <c r="DE137">
        <f>Regression!$N$29+(Regression!$N$28*Table83[[#This Row],[CBF]])</f>
        <v>44.659010290127611</v>
      </c>
      <c r="DF137" s="2">
        <f>Table83[[#This Row],[Waist]]-Table7[[#This Row],[Waist v  CBF]]</f>
        <v>-0.15901029012761114</v>
      </c>
      <c r="DG137" s="2">
        <f>Table7[[#This Row],[WaistCBF Res]]^2</f>
        <v>2.5284272366467068E-2</v>
      </c>
      <c r="DH137">
        <f>Regression!$O$29+(Regression!$O$28*Table83[[#This Row],[Gym]])</f>
        <v>44.550847457627107</v>
      </c>
      <c r="DI137" s="2">
        <f>Table83[[#This Row],[Waist]]-Table7[[#This Row],[Waist v  Gym]]</f>
        <v>-5.0847457627106962E-2</v>
      </c>
      <c r="DJ137" s="2">
        <f>Table7[[#This Row],[WaistGYM Res]]^2</f>
        <v>2.5854639471404378E-3</v>
      </c>
      <c r="DK137">
        <f>Regression!$P$29+(Regression!$P$28*Table83[[#This Row],[Cardio]])</f>
        <v>44.680851063829778</v>
      </c>
      <c r="DL137" s="2">
        <f>Table83[[#This Row],[Waist]]-Table7[[#This Row],[Waist v Cardio]]</f>
        <v>-0.18085106382977756</v>
      </c>
      <c r="DM137" s="2">
        <f>Table7[[#This Row],[WaistC Res]]^2</f>
        <v>3.2707107288362278E-2</v>
      </c>
      <c r="DN137">
        <f>Regression!$Q$29+(Regression!$Q$28*Table83[[#This Row],[Calories]])</f>
        <v>44.295873597825377</v>
      </c>
      <c r="DO137" s="2">
        <f>Table83[[#This Row],[Waist]]-Table7[[#This Row],[Waist v Calories]]</f>
        <v>0.20412640217462297</v>
      </c>
      <c r="DP137" s="2">
        <f>Table7[[#This Row],[WaistCal Res]]^2</f>
        <v>4.1667588064755921E-2</v>
      </c>
      <c r="DQ137">
        <f>Regression!$R$29+(Regression!$R$28*Table83[[#This Row],[Carbs]])</f>
        <v>44.227515220724953</v>
      </c>
      <c r="DR137" s="2">
        <f>Table83[[#This Row],[Waist]]-Table7[[#This Row],[Waist v Carbs]]</f>
        <v>0.27248477927504666</v>
      </c>
      <c r="DS137" s="2">
        <f>Table7[[#This Row],[WaistCarb Res]]^2</f>
        <v>7.4247954936570895E-2</v>
      </c>
      <c r="DT137">
        <f>Regression!$S$29+(Regression!$S$28*Table83[[#This Row],[Fat ]])</f>
        <v>44.369527311782882</v>
      </c>
      <c r="DU137" s="2">
        <f>Table83[[#This Row],[Waist]]-Table7[[#This Row],[Waist v Fat]]</f>
        <v>0.1304726882171181</v>
      </c>
      <c r="DV137" s="2">
        <f>Table7[[#This Row],[WaistF Res]]^2</f>
        <v>1.7023122370601308E-2</v>
      </c>
      <c r="DW137">
        <f>Regression!$T$29+(Regression!$T$28*Table83[[#This Row],[Protein]])</f>
        <v>44.395076761536885</v>
      </c>
      <c r="DX137" s="2">
        <f>Table83[[#This Row],[Waist]]-Table7[[#This Row],[Waist v Protein]]</f>
        <v>0.10492323846311535</v>
      </c>
      <c r="DY137" s="2">
        <f>Table7[[#This Row],[WaistP Res]]^2</f>
        <v>1.1008885969587769E-2</v>
      </c>
      <c r="DZ137">
        <f>Regression!$U$29+(Regression!$U$28*Table83[[#This Row],[Fiber]])</f>
        <v>44.381956990023049</v>
      </c>
      <c r="EA137" s="2">
        <f>Table83[[#This Row],[Waist]]-Table7[[#This Row],[Waist v Fiber]]</f>
        <v>0.11804300997695094</v>
      </c>
      <c r="EB137" s="2">
        <f>Table7[[#This Row],[WaistFib Res]]^2</f>
        <v>1.3934152204418539E-2</v>
      </c>
      <c r="EC137">
        <f>Regression!$V$29+(Regression!$V$28*Table83[[#This Row],[Sugar]])</f>
        <v>44.046174678554443</v>
      </c>
      <c r="ED137" s="2">
        <f>Table83[[#This Row],[Waist]]-Table7[[#This Row],[Waist v Sugar]]</f>
        <v>0.45382532144555654</v>
      </c>
      <c r="EE137" s="2">
        <f>Table7[[#This Row],[WaistSugar Res]]^2</f>
        <v>0.20595742238516271</v>
      </c>
      <c r="EF137">
        <f>Regression!$W$29+(Regression!$W$28*Table83[[#This Row],[Servings]])</f>
        <v>44.107293238545687</v>
      </c>
      <c r="EG137" s="2">
        <f>Table83[[#This Row],[Waist]]-Table7[[#This Row],[Waist v Servings]]</f>
        <v>0.39270676145431338</v>
      </c>
      <c r="EH137" s="2">
        <f>Table7[[#This Row],[WaistServ Res]]^2</f>
        <v>0.154218600491935</v>
      </c>
      <c r="EI137">
        <f>Regression!$X$29+(Regression!$X$28*Table83[[#This Row],[Water]])</f>
        <v>44.442082352251923</v>
      </c>
      <c r="EJ137" s="2">
        <f>Table83[[#This Row],[Waist]]-Table7[[#This Row],[Waist v Water]]</f>
        <v>5.7917647748077172E-2</v>
      </c>
      <c r="EK137" s="2">
        <f>Table7[[#This Row],[WaistWat Res]]^2</f>
        <v>3.3544539206703488E-3</v>
      </c>
      <c r="EL137">
        <f>Regression!$Y$29+(Regression!$Y$28*Table83[[#This Row],[Fat Calories]])</f>
        <v>44.363104214515637</v>
      </c>
      <c r="EM137" s="2">
        <f>Table83[[#This Row],[Waist]]-Table7[[#This Row],[Waist v Fat Calories]]</f>
        <v>0.13689578548436288</v>
      </c>
      <c r="EN137" s="2">
        <f>Table7[[#This Row],[WaistFatCal Res]]^2</f>
        <v>1.8740456083380697E-2</v>
      </c>
    </row>
    <row r="138" spans="1:144" x14ac:dyDescent="0.25">
      <c r="A138">
        <f>Regression!$B$10+(Regression!$B$9*Table83[[#This Row],[Waist]])</f>
        <v>255.38023686459636</v>
      </c>
      <c r="B138" s="2">
        <f>Table83[[#This Row],[Weight]]-Table7[[#This Row],[Weight v Waist]]</f>
        <v>-3.580236864596344</v>
      </c>
      <c r="C138" s="2">
        <f>Table7[[#This Row],[Weight v Waist Res]]^2</f>
        <v>12.81809600661466</v>
      </c>
      <c r="D138">
        <f>Regression!$C$10+(Regression!$C$9*Table83[[#This Row],[Neck]])</f>
        <v>253.29286486487842</v>
      </c>
      <c r="E138" s="2">
        <f>Table83[[#This Row],[Weight]]-Table7[[#This Row],[Weight v Neck]]</f>
        <v>-1.4928648648784133</v>
      </c>
      <c r="F138" s="2">
        <f>Table7[[#This Row],[WN Res]]^2</f>
        <v>2.2286455047884433</v>
      </c>
      <c r="G138">
        <f>Regression!$D$10+(Regression!$D$9*Table83[[#This Row],[Morning Body Temp]])</f>
        <v>254.21478379841594</v>
      </c>
      <c r="H138" s="2">
        <f>Table83[[#This Row],[Weight]]-Table7[[#This Row],[Weight v Morning Temp]]</f>
        <v>-2.4147837984159253</v>
      </c>
      <c r="I138" s="2">
        <f>Table7[[#This Row],[WMT Res]]^2</f>
        <v>5.8311807930920443</v>
      </c>
      <c r="J138">
        <f>Regression!$E$10+(Regression!$E$9*Table83[[#This Row],[Morning Systolic Pressure]])</f>
        <v>255.50518146352579</v>
      </c>
      <c r="K138" s="2">
        <f>Table83[[#This Row],[Weight]]-Table7[[#This Row],[Weight v Morning Sys]]</f>
        <v>-3.7051814635257756</v>
      </c>
      <c r="L138" s="2">
        <f>Table7[[#This Row],[WMS Res]]^2</f>
        <v>13.728369677655008</v>
      </c>
      <c r="M138">
        <f>Regression!$F$10+(Regression!$F$9*Table83[[#This Row],[Morning Diastolic Pressure]])</f>
        <v>255.10203989724667</v>
      </c>
      <c r="N138" s="2">
        <f>Table83[[#This Row],[Weight]]-Table7[[#This Row],[Weight v Morning Dia]]</f>
        <v>-3.302039897246658</v>
      </c>
      <c r="O138" s="2">
        <f>Table7[[#This Row],[WMD Res]]^2</f>
        <v>10.90346748300872</v>
      </c>
      <c r="P138">
        <f>Regression!$G$10+(Regression!$G$9*Table83[[#This Row],[Morning Pulse]])</f>
        <v>255.11912848167003</v>
      </c>
      <c r="Q138" s="2">
        <f>Table83[[#This Row],[Weight]]-Table7[[#This Row],[Weight v Morning Pulse]]</f>
        <v>-3.3191284816700204</v>
      </c>
      <c r="R138" s="2">
        <f>Table7[[#This Row],[WMP Res]]^2</f>
        <v>11.016613877833136</v>
      </c>
      <c r="S138">
        <f>Regression!$H$10+(Regression!$H$9*Table83[[#This Row],[Night Body Temp]])</f>
        <v>254.95418324800676</v>
      </c>
      <c r="T138" s="2">
        <f>Table83[[#This Row],[Weight]]-Table7[[#This Row],[Weight v Night Temp]]</f>
        <v>-3.1541832480067455</v>
      </c>
      <c r="U138" s="2">
        <f>Table7[[#This Row],[WNT Res]]^2</f>
        <v>9.9488719620063826</v>
      </c>
      <c r="V138">
        <f>Regression!$I$10+(Regression!$I$9*Table83[[#This Row],[Night Systolic Pressure]])</f>
        <v>254.314777886911</v>
      </c>
      <c r="W138" s="2">
        <f>Table83[[#This Row],[Weight]]-Table7[[#This Row],[Weight v Night Sys]]</f>
        <v>-2.5147778869109914</v>
      </c>
      <c r="X138" s="2">
        <f>Table7[[#This Row],[WNS Res]]^2</f>
        <v>6.3241078204965104</v>
      </c>
      <c r="Y138">
        <f>Regression!$J$10+(Regression!$J$9*Table83[[#This Row],[Night Diastolic Pressure]])</f>
        <v>254.80695529533338</v>
      </c>
      <c r="Z138" s="2">
        <f>Table83[[#This Row],[Weight]]-Table7[[#This Row],[Weight v Night Dia]]</f>
        <v>-3.0069552953333698</v>
      </c>
      <c r="AA138" s="2">
        <f>Table7[[#This Row],[WND Res]]^2</f>
        <v>9.0417801481333928</v>
      </c>
      <c r="AB138">
        <f>Regression!$K$10+(Regression!$K$9*Table83[[#This Row],[Night Pulse]])</f>
        <v>255.32514517739833</v>
      </c>
      <c r="AC138" s="2">
        <f>Table83[[#This Row],[Weight]]-Table7[[#This Row],[Weight v Night Pulse]]</f>
        <v>-3.5251451773983149</v>
      </c>
      <c r="AD138" s="2">
        <f>Table7[[#This Row],[WNP Res ]]^2</f>
        <v>12.426648521734597</v>
      </c>
      <c r="AE138">
        <f>Regression!$L$10+(Regression!$L$9*Table83[[#This Row],[Sleep]])</f>
        <v>254.66381845232058</v>
      </c>
      <c r="AF138" s="2">
        <f>Table83[[#This Row],[Weight]]-Table7[[#This Row],[Weight v Sleep]]</f>
        <v>-2.8638184523205723</v>
      </c>
      <c r="AG138" s="2">
        <f>Table7[[#This Row],[WS Res]]^2</f>
        <v>8.2014561278517988</v>
      </c>
      <c r="AH138">
        <f>Regression!$M$10+(Regression!$M$9*Table83[[#This Row],[BMI]])</f>
        <v>251.80000000000746</v>
      </c>
      <c r="AI138" s="2">
        <f>Table83[[#This Row],[Weight]]-Table7[[#This Row],[Weight v BMI]]</f>
        <v>-7.4464878707658499E-12</v>
      </c>
      <c r="AJ138" s="2">
        <f>Table7[[#This Row],[WBMI Res]]^2</f>
        <v>5.5450181609462922E-23</v>
      </c>
      <c r="AK138">
        <f>Regression!$N$10+(Regression!$N$9*Table83[[#This Row],[CBF]])</f>
        <v>256.25609762651322</v>
      </c>
      <c r="AL138" s="2">
        <f>Table83[[#This Row],[Weight]]-Table7[[#This Row],[Weight v CBF]]</f>
        <v>-4.4560976265132126</v>
      </c>
      <c r="AM138" s="2">
        <f>Table7[[#This Row],[WCBF Res]]^2</f>
        <v>19.856806057016687</v>
      </c>
      <c r="AN138">
        <f>Regression!$O$10+(Regression!$O$9*Table83[[#This Row],[Gym]])</f>
        <v>254.72962962962998</v>
      </c>
      <c r="AO138" s="2">
        <f>Table83[[#This Row],[Weight]]-Table7[[#This Row],[Weight v Gym]]</f>
        <v>-2.9296296296299715</v>
      </c>
      <c r="AP138" s="2">
        <f>Table7[[#This Row],[WG Res]]^2</f>
        <v>8.5827297668058442</v>
      </c>
      <c r="AQ138">
        <f>Regression!$P$10+(Regression!$P$9*Table83[[#This Row],[Cardio]])</f>
        <v>256.41063829787231</v>
      </c>
      <c r="AR138" s="2">
        <f>Table83[[#This Row],[Weight]]-Table7[[#This Row],[Weight v Cardio]]</f>
        <v>-4.6106382978722991</v>
      </c>
      <c r="AS138" s="2">
        <f>Table7[[#This Row],[WC Res]]^2</f>
        <v>21.257985513806773</v>
      </c>
      <c r="AT138">
        <f>Regression!$Q$10+(Regression!$Q$9*Table83[[#This Row],[Calories]])</f>
        <v>255.06972811495405</v>
      </c>
      <c r="AU138" s="2">
        <f>Table83[[#This Row],[Weight]]-Table7[[#This Row],[Weight v Calories]]</f>
        <v>-3.2697281149540345</v>
      </c>
      <c r="AV138" s="2">
        <f>Table7[[#This Row],[WCAL Res]]^2</f>
        <v>10.691121945720864</v>
      </c>
      <c r="AW138">
        <f>Regression!$R$10+(Regression!$R$9*Table83[[#This Row],[Carbs]])</f>
        <v>254.72812207338578</v>
      </c>
      <c r="AX138" s="2">
        <f>Table83[[#This Row],[Weight]]-Table7[[#This Row],[Weight v Carbs]]</f>
        <v>-2.9281220733857651</v>
      </c>
      <c r="AY138" s="2">
        <f>Table7[[#This Row],[Wcarb Res]]^2</f>
        <v>8.5738988766489523</v>
      </c>
      <c r="AZ138">
        <f>Regression!$S$10+(Regression!$S$9*Table83[[#This Row],[Fat ]])</f>
        <v>255.30047515172251</v>
      </c>
      <c r="BA138" s="2">
        <f>Table83[[#This Row],[Weight]]-Table7[[#This Row],[Weight v Fat]]</f>
        <v>-3.5004751517224975</v>
      </c>
      <c r="BB138" s="2">
        <f>Table7[[#This Row],[WF Res]]^2</f>
        <v>12.253326287826642</v>
      </c>
      <c r="BC138">
        <f>Regression!$T$10+(Regression!$T$9*Table83[[#This Row],[Protein]])</f>
        <v>255.30648508525269</v>
      </c>
      <c r="BD138" s="2">
        <f>Table83[[#This Row],[Weight]]-Table7[[#This Row],[Weight v Protein]]</f>
        <v>-3.5064850852526774</v>
      </c>
      <c r="BE138" s="2">
        <f>Table7[[#This Row],[WP Res]]^2</f>
        <v>12.295437653099476</v>
      </c>
      <c r="BF138">
        <f>Regression!$U$10+(Regression!$U$9*Table83[[#This Row],[Fiber]])</f>
        <v>255.24635435559156</v>
      </c>
      <c r="BG138" s="2">
        <f>Table83[[#This Row],[Weight]]-Table7[[#This Row],[Weight v Fiber]]</f>
        <v>-3.4463543555915521</v>
      </c>
      <c r="BH138" s="2">
        <f>Table7[[#This Row],[Wfib Res]]^2</f>
        <v>11.877358344304863</v>
      </c>
      <c r="BI138">
        <f>Regression!$V$10+(Regression!$V$9*Table83[[#This Row],[Sugar]])</f>
        <v>254.15024761807572</v>
      </c>
      <c r="BJ138" s="2">
        <f>Table83[[#This Row],[Weight]]-Table7[[#This Row],[Weight v Sugar]]</f>
        <v>-2.3502476180757128</v>
      </c>
      <c r="BK138" s="2">
        <f>Table7[[#This Row],[Wsugar Res]]^2</f>
        <v>5.5236638662705619</v>
      </c>
      <c r="BL138">
        <f>Regression!$W$10+(Regression!$W$9*Table83[[#This Row],[Servings]])</f>
        <v>254.73297750838015</v>
      </c>
      <c r="BM138" s="2">
        <f>Table83[[#This Row],[Weight]]-Table7[[#This Row],[Weight v Servings]]</f>
        <v>-2.9329775083801337</v>
      </c>
      <c r="BN138" s="2">
        <f>Table7[[#This Row],[Wserv Res]]^2</f>
        <v>8.6023570646637371</v>
      </c>
      <c r="BO138">
        <f>Regression!$X$10+(Regression!$X$9*Table83[[#This Row],[Water]])</f>
        <v>255.06345001025522</v>
      </c>
      <c r="BP138" s="2">
        <f>Table83[[#This Row],[Weight]]-Table7[[#This Row],[Weight v Water]]</f>
        <v>-3.2634500102552124</v>
      </c>
      <c r="BQ138" s="2">
        <f>Table7[[#This Row],[Wwater Res]]^2</f>
        <v>10.650105969434746</v>
      </c>
      <c r="BR138">
        <f>Regression!$Y$10+(Regression!$Y$9*Table83[[#This Row],[Fat Calories]])</f>
        <v>255.30752777331841</v>
      </c>
      <c r="BS138" s="2">
        <f>Table83[[#This Row],[Weight]]-Table7[[#This Row],[Weight v Fat Calories]]</f>
        <v>-3.5075277733184009</v>
      </c>
      <c r="BT138" s="2">
        <f>Table7[[#This Row],[WFC Res]]^2</f>
        <v>12.30275108059994</v>
      </c>
      <c r="BU138">
        <f>Regression!$B$29+(Regression!$B$28*Table83[[#This Row],[Weight]])</f>
        <v>44.001823571154709</v>
      </c>
      <c r="BV138" s="2">
        <f>Table83[[#This Row],[Waist]]-Table7[[#This Row],[Waist v Weight]]</f>
        <v>0.49817642884529079</v>
      </c>
      <c r="BW138" s="2">
        <f>Table7[[#This Row],[WaistW Res]]^2</f>
        <v>0.24817975425704708</v>
      </c>
      <c r="BX138">
        <f>Regression!$C$29+(Regression!$C$28*Table83[[#This Row],[Neck]])</f>
        <v>44.175585585585594</v>
      </c>
      <c r="BY138" s="2">
        <f>Table83[[#This Row],[Waist]]-Table7[[#This Row],[Waist v Neck]]</f>
        <v>0.32441441441440588</v>
      </c>
      <c r="BZ138" s="2">
        <f>Table7[[#This Row],[WaistN Res]]^2</f>
        <v>0.10524471227984188</v>
      </c>
      <c r="CA138">
        <f>Regression!$D$29+(Regression!$D$28*Table83[[#This Row],[Morning Body Temp]])</f>
        <v>44.208689359470796</v>
      </c>
      <c r="CB138" s="2">
        <f>Table83[[#This Row],[Waist]]-Table7[[#This Row],[Waist v Morning Temp]]</f>
        <v>0.29131064052920408</v>
      </c>
      <c r="CC138" s="2">
        <f>Table7[[#This Row],[WaistMT Res]]^2</f>
        <v>8.4861889285535161E-2</v>
      </c>
      <c r="CD138">
        <f>Regression!$E$29+(Regression!$E$28*Table83[[#This Row],[Morning Systolic Pressure]])</f>
        <v>44.545198374576046</v>
      </c>
      <c r="CE138" s="2">
        <f>Table83[[#This Row],[Waist]]-Table7[[#This Row],[Waist v Morning Sys]]</f>
        <v>-4.5198374576045808E-2</v>
      </c>
      <c r="CF138" s="2">
        <f>Table7[[#This Row],[WaistMS Res]]^2</f>
        <v>2.0428930643165439E-3</v>
      </c>
      <c r="CG138">
        <f>Regression!$F$29+(Regression!$F$28*Table83[[#This Row],[Morning Diastolic Pressure]])</f>
        <v>44.452816668144258</v>
      </c>
      <c r="CH138" s="2">
        <f>Table83[[#This Row],[Waist]]-Table7[[#This Row],[Waist v Morning Dia]]</f>
        <v>4.7183331855741528E-2</v>
      </c>
      <c r="CI138" s="2">
        <f>Table7[[#This Row],[WaistMD Res]]^2</f>
        <v>2.2262668050090331E-3</v>
      </c>
      <c r="CJ138">
        <f>Regression!$G$29+(Regression!$G$28*Table83[[#This Row],[Morning Pulse]])</f>
        <v>44.455415702653426</v>
      </c>
      <c r="CK138" s="2">
        <f>Table83[[#This Row],[Waist]]-Table7[[#This Row],[Waist v Morning Pulse]]</f>
        <v>4.4584297346574431E-2</v>
      </c>
      <c r="CL138" s="2">
        <f>Table7[[#This Row],[WaistMP Res]]^2</f>
        <v>1.9877595698877637E-3</v>
      </c>
      <c r="CM138">
        <f>Regression!$H$29+(Regression!$H$28*Table83[[#This Row],[Night Body Temp]])</f>
        <v>44.440857030854289</v>
      </c>
      <c r="CN138" s="2">
        <f>Table83[[#This Row],[Waist]]-Table7[[#This Row],[Waist v Night Temp]]</f>
        <v>5.9142969145710822E-2</v>
      </c>
      <c r="CO138" s="2">
        <f>Table7[[#This Row],[WaistNT Res]]^2</f>
        <v>3.4978907993705021E-3</v>
      </c>
      <c r="CP138">
        <f>Regression!$I$29+(Regression!$I$28*Table83[[#This Row],[Night Systolic Pressure]])</f>
        <v>44.340178400700303</v>
      </c>
      <c r="CQ138" s="2">
        <f>Table83[[#This Row],[Waist]]-Table7[[#This Row],[Waist v  Night Sys]]</f>
        <v>0.15982159929969697</v>
      </c>
      <c r="CR138" s="2">
        <f>Table7[[#This Row],[WaistNS Res]]^2</f>
        <v>2.5542943602712899E-2</v>
      </c>
      <c r="CS138">
        <f>Regression!$J$29+(Regression!$J$28*Table83[[#This Row],[Night Diastolic Pressure]])</f>
        <v>44.324548449494195</v>
      </c>
      <c r="CT138" s="2">
        <f>Table83[[#This Row],[Waist]]-Table7[[#This Row],[Waist v Night Dia]]</f>
        <v>0.17545155050580519</v>
      </c>
      <c r="CU138" s="2">
        <f>Table7[[#This Row],[WaistND Res]]^2</f>
        <v>3.0783246574891107E-2</v>
      </c>
      <c r="CV138">
        <f>Regression!$K$29+(Regression!$K$28*Table83[[#This Row],[Night Pulse]])</f>
        <v>44.433997655766582</v>
      </c>
      <c r="CW138" s="2">
        <f>Table83[[#This Row],[Waist]]-Table7[[#This Row],[Waist v Night Pulse]]</f>
        <v>6.6002344233417887E-2</v>
      </c>
      <c r="CX138" s="2">
        <f>Table7[[#This Row],[WaistNP Res]]^2</f>
        <v>4.3563094443065916E-3</v>
      </c>
      <c r="CY138">
        <f>Regression!$L$29+(Regression!$L$28*Table83[[#This Row],[Sleep]])</f>
        <v>44.384743400864622</v>
      </c>
      <c r="CZ138" s="2">
        <f>Table83[[#This Row],[Waist]]-Table7[[#This Row],[Waist v  Sleep]]</f>
        <v>0.11525659913537822</v>
      </c>
      <c r="DA138" s="2">
        <f>Table7[[#This Row],[WaistS Res]]^2</f>
        <v>1.3284083644253269E-2</v>
      </c>
      <c r="DB138">
        <f>Regression!$M$29+(Regression!$M$28*Table83[[#This Row],[BMI]])</f>
        <v>44.001823571156145</v>
      </c>
      <c r="DC138" s="2">
        <f>Table83[[#This Row],[Waist]]-Table7[[#This Row],[Waist v BMI]]</f>
        <v>0.49817642884385549</v>
      </c>
      <c r="DD138" s="2">
        <f>Table7[[#This Row],[WaistBMI Res]]^2</f>
        <v>0.248179754255617</v>
      </c>
      <c r="DE138">
        <f>Regression!$N$29+(Regression!$N$28*Table83[[#This Row],[CBF]])</f>
        <v>44.659010290127611</v>
      </c>
      <c r="DF138" s="2">
        <f>Table83[[#This Row],[Waist]]-Table7[[#This Row],[Waist v  CBF]]</f>
        <v>-0.15901029012761114</v>
      </c>
      <c r="DG138" s="2">
        <f>Table7[[#This Row],[WaistCBF Res]]^2</f>
        <v>2.5284272366467068E-2</v>
      </c>
      <c r="DH138">
        <f>Regression!$O$29+(Regression!$O$28*Table83[[#This Row],[Gym]])</f>
        <v>44.347222222222221</v>
      </c>
      <c r="DI138" s="2">
        <f>Table83[[#This Row],[Waist]]-Table7[[#This Row],[Waist v  Gym]]</f>
        <v>0.15277777777777857</v>
      </c>
      <c r="DJ138" s="2">
        <f>Table7[[#This Row],[WaistGYM Res]]^2</f>
        <v>2.3341049382716292E-2</v>
      </c>
      <c r="DK138">
        <f>Regression!$P$29+(Regression!$P$28*Table83[[#This Row],[Cardio]])</f>
        <v>44.680851063829778</v>
      </c>
      <c r="DL138" s="2">
        <f>Table83[[#This Row],[Waist]]-Table7[[#This Row],[Waist v Cardio]]</f>
        <v>-0.18085106382977756</v>
      </c>
      <c r="DM138" s="2">
        <f>Table7[[#This Row],[WaistC Res]]^2</f>
        <v>3.2707107288362278E-2</v>
      </c>
      <c r="DN138">
        <f>Regression!$Q$29+(Regression!$Q$28*Table83[[#This Row],[Calories]])</f>
        <v>44.443358293057656</v>
      </c>
      <c r="DO138" s="2">
        <f>Table83[[#This Row],[Waist]]-Table7[[#This Row],[Waist v Calories]]</f>
        <v>5.6641706942343717E-2</v>
      </c>
      <c r="DP138" s="2">
        <f>Table7[[#This Row],[WaistCal Res]]^2</f>
        <v>3.2082829653423484E-3</v>
      </c>
      <c r="DQ138">
        <f>Regression!$R$29+(Regression!$R$28*Table83[[#This Row],[Carbs]])</f>
        <v>44.372984995716763</v>
      </c>
      <c r="DR138" s="2">
        <f>Table83[[#This Row],[Waist]]-Table7[[#This Row],[Waist v Carbs]]</f>
        <v>0.12701500428323698</v>
      </c>
      <c r="DS138" s="2">
        <f>Table7[[#This Row],[WaistCarb Res]]^2</f>
        <v>1.6132811313070709E-2</v>
      </c>
      <c r="DT138">
        <f>Regression!$S$29+(Regression!$S$28*Table83[[#This Row],[Fat ]])</f>
        <v>44.510222126121199</v>
      </c>
      <c r="DU138" s="2">
        <f>Table83[[#This Row],[Waist]]-Table7[[#This Row],[Waist v Fat]]</f>
        <v>-1.0222126121199437E-2</v>
      </c>
      <c r="DV138" s="2">
        <f>Table7[[#This Row],[WaistF Res]]^2</f>
        <v>1.0449186243770785E-4</v>
      </c>
      <c r="DW138">
        <f>Regression!$T$29+(Regression!$T$28*Table83[[#This Row],[Protein]])</f>
        <v>44.488580607612739</v>
      </c>
      <c r="DX138" s="2">
        <f>Table83[[#This Row],[Waist]]-Table7[[#This Row],[Waist v Protein]]</f>
        <v>1.141939238726053E-2</v>
      </c>
      <c r="DY138" s="2">
        <f>Table7[[#This Row],[WaistP Res]]^2</f>
        <v>1.3040252249422373E-4</v>
      </c>
      <c r="DZ138">
        <f>Regression!$U$29+(Regression!$U$28*Table83[[#This Row],[Fiber]])</f>
        <v>44.504207134955465</v>
      </c>
      <c r="EA138" s="2">
        <f>Table83[[#This Row],[Waist]]-Table7[[#This Row],[Waist v Fiber]]</f>
        <v>-4.2071349554646531E-3</v>
      </c>
      <c r="EB138" s="2">
        <f>Table7[[#This Row],[WaistFib Res]]^2</f>
        <v>1.7699984533492568E-5</v>
      </c>
      <c r="EC138">
        <f>Regression!$V$29+(Regression!$V$28*Table83[[#This Row],[Sugar]])</f>
        <v>44.280224868883856</v>
      </c>
      <c r="ED138" s="2">
        <f>Table83[[#This Row],[Waist]]-Table7[[#This Row],[Waist v Sugar]]</f>
        <v>0.219775131116144</v>
      </c>
      <c r="EE138" s="2">
        <f>Table7[[#This Row],[WaistSugar Res]]^2</f>
        <v>4.8301108257118287E-2</v>
      </c>
      <c r="EF138">
        <f>Regression!$W$29+(Regression!$W$28*Table83[[#This Row],[Servings]])</f>
        <v>44.395242803805338</v>
      </c>
      <c r="EG138" s="2">
        <f>Table83[[#This Row],[Waist]]-Table7[[#This Row],[Waist v Servings]]</f>
        <v>0.10475719619466162</v>
      </c>
      <c r="EH138" s="2">
        <f>Table7[[#This Row],[WaistServ Res]]^2</f>
        <v>1.0974070154566827E-2</v>
      </c>
      <c r="EI138">
        <f>Regression!$X$29+(Regression!$X$28*Table83[[#This Row],[Water]])</f>
        <v>44.386198474840633</v>
      </c>
      <c r="EJ138" s="2">
        <f>Table83[[#This Row],[Waist]]-Table7[[#This Row],[Waist v Water]]</f>
        <v>0.11380152515936715</v>
      </c>
      <c r="EK138" s="2">
        <f>Table7[[#This Row],[WaistWat Res]]^2</f>
        <v>1.2950787128598073E-2</v>
      </c>
      <c r="EL138">
        <f>Regression!$Y$29+(Regression!$Y$28*Table83[[#This Row],[Fat Calories]])</f>
        <v>44.512079600421195</v>
      </c>
      <c r="EM138" s="2">
        <f>Table83[[#This Row],[Waist]]-Table7[[#This Row],[Waist v Fat Calories]]</f>
        <v>-1.207960042119538E-2</v>
      </c>
      <c r="EN138" s="2">
        <f>Table7[[#This Row],[WaistFatCal Res]]^2</f>
        <v>1.4591674633574359E-4</v>
      </c>
    </row>
    <row r="139" spans="1:144" x14ac:dyDescent="0.25">
      <c r="A139">
        <f>Regression!$B$10+(Regression!$B$9*Table83[[#This Row],[Waist]])</f>
        <v>255.38023686459636</v>
      </c>
      <c r="B139" s="2">
        <f>Table83[[#This Row],[Weight]]-Table7[[#This Row],[Weight v Waist]]</f>
        <v>-4.9802368645963497</v>
      </c>
      <c r="C139" s="2">
        <f>Table7[[#This Row],[Weight v Waist Res]]^2</f>
        <v>24.802759227484479</v>
      </c>
      <c r="D139">
        <f>Regression!$C$10+(Regression!$C$9*Table83[[#This Row],[Neck]])</f>
        <v>253.29286486487842</v>
      </c>
      <c r="E139" s="2">
        <f>Table83[[#This Row],[Weight]]-Table7[[#This Row],[Weight v Neck]]</f>
        <v>-2.892864864878419</v>
      </c>
      <c r="F139" s="2">
        <f>Table7[[#This Row],[WN Res]]^2</f>
        <v>8.3686671264480328</v>
      </c>
      <c r="G139">
        <f>Regression!$D$10+(Regression!$D$9*Table83[[#This Row],[Morning Body Temp]])</f>
        <v>254.14438524419359</v>
      </c>
      <c r="H139" s="2">
        <f>Table83[[#This Row],[Weight]]-Table7[[#This Row],[Weight v Morning Temp]]</f>
        <v>-3.7443852441935803</v>
      </c>
      <c r="I139" s="2">
        <f>Table7[[#This Row],[WMT Res]]^2</f>
        <v>14.020420856934619</v>
      </c>
      <c r="J139">
        <f>Regression!$E$10+(Regression!$E$9*Table83[[#This Row],[Morning Systolic Pressure]])</f>
        <v>255.32487264807224</v>
      </c>
      <c r="K139" s="2">
        <f>Table83[[#This Row],[Weight]]-Table7[[#This Row],[Weight v Morning Sys]]</f>
        <v>-4.9248726480722382</v>
      </c>
      <c r="L139" s="2">
        <f>Table7[[#This Row],[WMS Res]]^2</f>
        <v>24.254370599730059</v>
      </c>
      <c r="M139">
        <f>Regression!$F$10+(Regression!$F$9*Table83[[#This Row],[Morning Diastolic Pressure]])</f>
        <v>255.40607264438131</v>
      </c>
      <c r="N139" s="2">
        <f>Table83[[#This Row],[Weight]]-Table7[[#This Row],[Weight v Morning Dia]]</f>
        <v>-5.0060726443813053</v>
      </c>
      <c r="O139" s="2">
        <f>Table7[[#This Row],[WMD Res]]^2</f>
        <v>25.060763320822833</v>
      </c>
      <c r="P139">
        <f>Regression!$G$10+(Regression!$G$9*Table83[[#This Row],[Morning Pulse]])</f>
        <v>255.10998950288408</v>
      </c>
      <c r="Q139" s="2">
        <f>Table83[[#This Row],[Weight]]-Table7[[#This Row],[Weight v Morning Pulse]]</f>
        <v>-4.7099895028840706</v>
      </c>
      <c r="R139" s="2">
        <f>Table7[[#This Row],[WMP Res]]^2</f>
        <v>22.184001117278136</v>
      </c>
      <c r="S139">
        <f>Regression!$H$10+(Regression!$H$9*Table83[[#This Row],[Night Body Temp]])</f>
        <v>255.26227295945182</v>
      </c>
      <c r="T139" s="2">
        <f>Table83[[#This Row],[Weight]]-Table7[[#This Row],[Weight v Night Temp]]</f>
        <v>-4.8622729594518148</v>
      </c>
      <c r="U139" s="2">
        <f>Table7[[#This Row],[WNT Res]]^2</f>
        <v>23.641698332216311</v>
      </c>
      <c r="V139">
        <f>Regression!$I$10+(Regression!$I$9*Table83[[#This Row],[Night Systolic Pressure]])</f>
        <v>254.82800205705334</v>
      </c>
      <c r="W139" s="2">
        <f>Table83[[#This Row],[Weight]]-Table7[[#This Row],[Weight v Night Sys]]</f>
        <v>-4.4280020570533338</v>
      </c>
      <c r="X139" s="2">
        <f>Table7[[#This Row],[WNS Res]]^2</f>
        <v>19.607202217268554</v>
      </c>
      <c r="Y139">
        <f>Regression!$J$10+(Regression!$J$9*Table83[[#This Row],[Night Diastolic Pressure]])</f>
        <v>254.8477211637495</v>
      </c>
      <c r="Z139" s="2">
        <f>Table83[[#This Row],[Weight]]-Table7[[#This Row],[Weight v Night Dia]]</f>
        <v>-4.4477211637494918</v>
      </c>
      <c r="AA139" s="2">
        <f>Table7[[#This Row],[WND Res]]^2</f>
        <v>19.782223550465133</v>
      </c>
      <c r="AB139">
        <f>Regression!$K$10+(Regression!$K$9*Table83[[#This Row],[Night Pulse]])</f>
        <v>255.35585850863504</v>
      </c>
      <c r="AC139" s="2">
        <f>Table83[[#This Row],[Weight]]-Table7[[#This Row],[Weight v Night Pulse]]</f>
        <v>-4.955858508635032</v>
      </c>
      <c r="AD139" s="2">
        <f>Table7[[#This Row],[WNP Res ]]^2</f>
        <v>24.560533557610242</v>
      </c>
      <c r="AE139">
        <f>Regression!$L$10+(Regression!$L$9*Table83[[#This Row],[Sleep]])</f>
        <v>254.50608136063369</v>
      </c>
      <c r="AF139" s="2">
        <f>Table83[[#This Row],[Weight]]-Table7[[#This Row],[Weight v Sleep]]</f>
        <v>-4.1060813606336808</v>
      </c>
      <c r="AG139" s="2">
        <f>Table7[[#This Row],[WS Res]]^2</f>
        <v>16.859904140143339</v>
      </c>
      <c r="AH139">
        <f>Regression!$M$10+(Regression!$M$9*Table83[[#This Row],[BMI]])</f>
        <v>250.40000000001052</v>
      </c>
      <c r="AI139" s="2">
        <f>Table83[[#This Row],[Weight]]-Table7[[#This Row],[Weight v BMI]]</f>
        <v>-1.0516032489249483E-11</v>
      </c>
      <c r="AJ139" s="2">
        <f>Table7[[#This Row],[WBMI Res]]^2</f>
        <v>1.1058693931495067E-22</v>
      </c>
      <c r="AK139">
        <f>Regression!$N$10+(Regression!$N$9*Table83[[#This Row],[CBF]])</f>
        <v>256.25609762651322</v>
      </c>
      <c r="AL139" s="2">
        <f>Table83[[#This Row],[Weight]]-Table7[[#This Row],[Weight v CBF]]</f>
        <v>-5.8560976265132183</v>
      </c>
      <c r="AM139" s="2">
        <f>Table7[[#This Row],[WCBF Res]]^2</f>
        <v>34.293879411253748</v>
      </c>
      <c r="AN139">
        <f>Regression!$O$10+(Regression!$O$9*Table83[[#This Row],[Gym]])</f>
        <v>254.72962962962998</v>
      </c>
      <c r="AO139" s="2">
        <f>Table83[[#This Row],[Weight]]-Table7[[#This Row],[Weight v Gym]]</f>
        <v>-4.3296296296299772</v>
      </c>
      <c r="AP139" s="2">
        <f>Table7[[#This Row],[WG Res]]^2</f>
        <v>18.745692729769814</v>
      </c>
      <c r="AQ139">
        <f>Regression!$P$10+(Regression!$P$9*Table83[[#This Row],[Cardio]])</f>
        <v>256.41063829787231</v>
      </c>
      <c r="AR139" s="2">
        <f>Table83[[#This Row],[Weight]]-Table7[[#This Row],[Weight v Cardio]]</f>
        <v>-6.0106382978723047</v>
      </c>
      <c r="AS139" s="2">
        <f>Table7[[#This Row],[WC Res]]^2</f>
        <v>36.127772747849278</v>
      </c>
      <c r="AT139">
        <f>Regression!$Q$10+(Regression!$Q$9*Table83[[#This Row],[Calories]])</f>
        <v>254.9534258764937</v>
      </c>
      <c r="AU139" s="2">
        <f>Table83[[#This Row],[Weight]]-Table7[[#This Row],[Weight v Calories]]</f>
        <v>-4.5534258764936908</v>
      </c>
      <c r="AV139" s="2">
        <f>Table7[[#This Row],[WCAL Res]]^2</f>
        <v>20.733687212722337</v>
      </c>
      <c r="AW139">
        <f>Regression!$R$10+(Regression!$R$9*Table83[[#This Row],[Carbs]])</f>
        <v>254.51775362112119</v>
      </c>
      <c r="AX139" s="2">
        <f>Table83[[#This Row],[Weight]]-Table7[[#This Row],[Weight v Carbs]]</f>
        <v>-4.1177536211211816</v>
      </c>
      <c r="AY139" s="2">
        <f>Table7[[#This Row],[Wcarb Res]]^2</f>
        <v>16.955894884256605</v>
      </c>
      <c r="AZ139">
        <f>Regression!$S$10+(Regression!$S$9*Table83[[#This Row],[Fat ]])</f>
        <v>255.25027915104636</v>
      </c>
      <c r="BA139" s="2">
        <f>Table83[[#This Row],[Weight]]-Table7[[#This Row],[Weight v Fat]]</f>
        <v>-4.850279151046351</v>
      </c>
      <c r="BB139" s="2">
        <f>Table7[[#This Row],[WF Res]]^2</f>
        <v>23.525207843074913</v>
      </c>
      <c r="BC139">
        <f>Regression!$T$10+(Regression!$T$9*Table83[[#This Row],[Protein]])</f>
        <v>255.3974110049339</v>
      </c>
      <c r="BD139" s="2">
        <f>Table83[[#This Row],[Weight]]-Table7[[#This Row],[Weight v Protein]]</f>
        <v>-4.9974110049338947</v>
      </c>
      <c r="BE139" s="2">
        <f>Table7[[#This Row],[WP Res]]^2</f>
        <v>24.974116752234398</v>
      </c>
      <c r="BF139">
        <f>Regression!$U$10+(Regression!$U$9*Table83[[#This Row],[Fiber]])</f>
        <v>254.92214321905649</v>
      </c>
      <c r="BG139" s="2">
        <f>Table83[[#This Row],[Weight]]-Table7[[#This Row],[Weight v Fiber]]</f>
        <v>-4.5221432190564883</v>
      </c>
      <c r="BH139" s="2">
        <f>Table7[[#This Row],[Wfib Res]]^2</f>
        <v>20.44977929365858</v>
      </c>
      <c r="BI139">
        <f>Regression!$V$10+(Regression!$V$9*Table83[[#This Row],[Sugar]])</f>
        <v>253.2503224821474</v>
      </c>
      <c r="BJ139" s="2">
        <f>Table83[[#This Row],[Weight]]-Table7[[#This Row],[Weight v Sugar]]</f>
        <v>-2.8503224821473907</v>
      </c>
      <c r="BK139" s="2">
        <f>Table7[[#This Row],[Wsugar Res]]^2</f>
        <v>8.1243382522348622</v>
      </c>
      <c r="BL139">
        <f>Regression!$W$10+(Regression!$W$9*Table83[[#This Row],[Servings]])</f>
        <v>253.56444278682082</v>
      </c>
      <c r="BM139" s="2">
        <f>Table83[[#This Row],[Weight]]-Table7[[#This Row],[Weight v Servings]]</f>
        <v>-3.164442786820814</v>
      </c>
      <c r="BN139" s="2">
        <f>Table7[[#This Row],[Wserv Res]]^2</f>
        <v>10.013698151062281</v>
      </c>
      <c r="BO139">
        <f>Regression!$X$10+(Regression!$X$9*Table83[[#This Row],[Water]])</f>
        <v>255.06345001025522</v>
      </c>
      <c r="BP139" s="2">
        <f>Table83[[#This Row],[Weight]]-Table7[[#This Row],[Weight v Water]]</f>
        <v>-4.6634500102552181</v>
      </c>
      <c r="BQ139" s="2">
        <f>Table7[[#This Row],[Wwater Res]]^2</f>
        <v>21.747765998149394</v>
      </c>
      <c r="BR139">
        <f>Regression!$Y$10+(Regression!$Y$9*Table83[[#This Row],[Fat Calories]])</f>
        <v>255.25410660085825</v>
      </c>
      <c r="BS139" s="2">
        <f>Table83[[#This Row],[Weight]]-Table7[[#This Row],[Weight v Fat Calories]]</f>
        <v>-4.8541066008582447</v>
      </c>
      <c r="BT139" s="2">
        <f>Table7[[#This Row],[WFC Res]]^2</f>
        <v>23.562350892495584</v>
      </c>
      <c r="BU139">
        <f>Regression!$B$29+(Regression!$B$28*Table83[[#This Row],[Weight]])</f>
        <v>43.811056056356733</v>
      </c>
      <c r="BV139" s="2">
        <f>Table83[[#This Row],[Waist]]-Table7[[#This Row],[Waist v Weight]]</f>
        <v>0.68894394364326672</v>
      </c>
      <c r="BW139" s="2">
        <f>Table7[[#This Row],[WaistW Res]]^2</f>
        <v>0.47464375748273668</v>
      </c>
      <c r="BX139">
        <f>Regression!$C$29+(Regression!$C$28*Table83[[#This Row],[Neck]])</f>
        <v>44.175585585585594</v>
      </c>
      <c r="BY139" s="2">
        <f>Table83[[#This Row],[Waist]]-Table7[[#This Row],[Waist v Neck]]</f>
        <v>0.32441441441440588</v>
      </c>
      <c r="BZ139" s="2">
        <f>Table7[[#This Row],[WaistN Res]]^2</f>
        <v>0.10524471227984188</v>
      </c>
      <c r="CA139">
        <f>Regression!$D$29+(Regression!$D$28*Table83[[#This Row],[Morning Body Temp]])</f>
        <v>44.189542546294916</v>
      </c>
      <c r="CB139" s="2">
        <f>Table83[[#This Row],[Waist]]-Table7[[#This Row],[Waist v Morning Temp]]</f>
        <v>0.31045745370508371</v>
      </c>
      <c r="CC139" s="2">
        <f>Table7[[#This Row],[WaistMT Res]]^2</f>
        <v>9.6383830561044187E-2</v>
      </c>
      <c r="CD139">
        <f>Regression!$E$29+(Regression!$E$28*Table83[[#This Row],[Morning Systolic Pressure]])</f>
        <v>44.502836753606339</v>
      </c>
      <c r="CE139" s="2">
        <f>Table83[[#This Row],[Waist]]-Table7[[#This Row],[Waist v Morning Sys]]</f>
        <v>-2.8367536063385046E-3</v>
      </c>
      <c r="CF139" s="2">
        <f>Table7[[#This Row],[WaistMS Res]]^2</f>
        <v>8.0471710230745112E-6</v>
      </c>
      <c r="CG139">
        <f>Regression!$F$29+(Regression!$F$28*Table83[[#This Row],[Morning Diastolic Pressure]])</f>
        <v>44.469723530150823</v>
      </c>
      <c r="CH139" s="2">
        <f>Table83[[#This Row],[Waist]]-Table7[[#This Row],[Waist v Morning Dia]]</f>
        <v>3.027646984917709E-2</v>
      </c>
      <c r="CI139" s="2">
        <f>Table7[[#This Row],[WaistMD Res]]^2</f>
        <v>9.1666462652812938E-4</v>
      </c>
      <c r="CJ139">
        <f>Regression!$G$29+(Regression!$G$28*Table83[[#This Row],[Morning Pulse]])</f>
        <v>44.451218189785358</v>
      </c>
      <c r="CK139" s="2">
        <f>Table83[[#This Row],[Waist]]-Table7[[#This Row],[Waist v Morning Pulse]]</f>
        <v>4.8781810214642007E-2</v>
      </c>
      <c r="CL139" s="2">
        <f>Table7[[#This Row],[WaistMP Res]]^2</f>
        <v>2.3796650078173514E-3</v>
      </c>
      <c r="CM139">
        <f>Regression!$H$29+(Regression!$H$28*Table83[[#This Row],[Night Body Temp]])</f>
        <v>44.465147802268952</v>
      </c>
      <c r="CN139" s="2">
        <f>Table83[[#This Row],[Waist]]-Table7[[#This Row],[Waist v Night Temp]]</f>
        <v>3.4852197731048307E-2</v>
      </c>
      <c r="CO139" s="2">
        <f>Table7[[#This Row],[WaistNT Res]]^2</f>
        <v>1.2146756866840886E-3</v>
      </c>
      <c r="CP139">
        <f>Regression!$I$29+(Regression!$I$28*Table83[[#This Row],[Night Systolic Pressure]])</f>
        <v>44.412878972328372</v>
      </c>
      <c r="CQ139" s="2">
        <f>Table83[[#This Row],[Waist]]-Table7[[#This Row],[Waist v  Night Sys]]</f>
        <v>8.7121027671628326E-2</v>
      </c>
      <c r="CR139" s="2">
        <f>Table7[[#This Row],[WaistNS Res]]^2</f>
        <v>7.5900734625606288E-3</v>
      </c>
      <c r="CS139">
        <f>Regression!$J$29+(Regression!$J$28*Table83[[#This Row],[Night Diastolic Pressure]])</f>
        <v>44.341616394701639</v>
      </c>
      <c r="CT139" s="2">
        <f>Table83[[#This Row],[Waist]]-Table7[[#This Row],[Waist v Night Dia]]</f>
        <v>0.15838360529836137</v>
      </c>
      <c r="CU139" s="2">
        <f>Table7[[#This Row],[WaistND Res]]^2</f>
        <v>2.5085366427307125E-2</v>
      </c>
      <c r="CV139">
        <f>Regression!$K$29+(Regression!$K$28*Table83[[#This Row],[Night Pulse]])</f>
        <v>44.431140909455621</v>
      </c>
      <c r="CW139" s="2">
        <f>Table83[[#This Row],[Waist]]-Table7[[#This Row],[Waist v Night Pulse]]</f>
        <v>6.8859090544378887E-2</v>
      </c>
      <c r="CX139" s="2">
        <f>Table7[[#This Row],[WaistNP Res]]^2</f>
        <v>4.7415743505989701E-3</v>
      </c>
      <c r="CY139">
        <f>Regression!$L$29+(Regression!$L$28*Table83[[#This Row],[Sleep]])</f>
        <v>44.360693916866794</v>
      </c>
      <c r="CZ139" s="2">
        <f>Table83[[#This Row],[Waist]]-Table7[[#This Row],[Waist v  Sleep]]</f>
        <v>0.13930608313320647</v>
      </c>
      <c r="DA139" s="2">
        <f>Table7[[#This Row],[WaistS Res]]^2</f>
        <v>1.9406184797915834E-2</v>
      </c>
      <c r="DB139">
        <f>Regression!$M$29+(Regression!$M$28*Table83[[#This Row],[BMI]])</f>
        <v>43.811056056358765</v>
      </c>
      <c r="DC139" s="2">
        <f>Table83[[#This Row],[Waist]]-Table7[[#This Row],[Waist v BMI]]</f>
        <v>0.68894394364123457</v>
      </c>
      <c r="DD139" s="2">
        <f>Table7[[#This Row],[WaistBMI Res]]^2</f>
        <v>0.47464375747993659</v>
      </c>
      <c r="DE139">
        <f>Regression!$N$29+(Regression!$N$28*Table83[[#This Row],[CBF]])</f>
        <v>44.659010290127611</v>
      </c>
      <c r="DF139" s="2">
        <f>Table83[[#This Row],[Waist]]-Table7[[#This Row],[Waist v  CBF]]</f>
        <v>-0.15901029012761114</v>
      </c>
      <c r="DG139" s="2">
        <f>Table7[[#This Row],[WaistCBF Res]]^2</f>
        <v>2.5284272366467068E-2</v>
      </c>
      <c r="DH139">
        <f>Regression!$O$29+(Regression!$O$28*Table83[[#This Row],[Gym]])</f>
        <v>44.347222222222221</v>
      </c>
      <c r="DI139" s="2">
        <f>Table83[[#This Row],[Waist]]-Table7[[#This Row],[Waist v  Gym]]</f>
        <v>0.15277777777777857</v>
      </c>
      <c r="DJ139" s="2">
        <f>Table7[[#This Row],[WaistGYM Res]]^2</f>
        <v>2.3341049382716292E-2</v>
      </c>
      <c r="DK139">
        <f>Regression!$P$29+(Regression!$P$28*Table83[[#This Row],[Cardio]])</f>
        <v>44.680851063829778</v>
      </c>
      <c r="DL139" s="2">
        <f>Table83[[#This Row],[Waist]]-Table7[[#This Row],[Waist v Cardio]]</f>
        <v>-0.18085106382977756</v>
      </c>
      <c r="DM139" s="2">
        <f>Table7[[#This Row],[WaistC Res]]^2</f>
        <v>3.2707107288362278E-2</v>
      </c>
      <c r="DN139">
        <f>Regression!$Q$29+(Regression!$Q$28*Table83[[#This Row],[Calories]])</f>
        <v>44.417227759620062</v>
      </c>
      <c r="DO139" s="2">
        <f>Table83[[#This Row],[Waist]]-Table7[[#This Row],[Waist v Calories]]</f>
        <v>8.2772240379938467E-2</v>
      </c>
      <c r="DP139" s="2">
        <f>Table7[[#This Row],[WaistCal Res]]^2</f>
        <v>6.8512437775143159E-3</v>
      </c>
      <c r="DQ139">
        <f>Regression!$R$29+(Regression!$R$28*Table83[[#This Row],[Carbs]])</f>
        <v>44.329187572201121</v>
      </c>
      <c r="DR139" s="2">
        <f>Table83[[#This Row],[Waist]]-Table7[[#This Row],[Waist v Carbs]]</f>
        <v>0.17081242779887873</v>
      </c>
      <c r="DS139" s="2">
        <f>Table7[[#This Row],[WaistCarb Res]]^2</f>
        <v>2.9176885490547158E-2</v>
      </c>
      <c r="DT139">
        <f>Regression!$S$29+(Regression!$S$28*Table83[[#This Row],[Fat ]])</f>
        <v>44.494878270997916</v>
      </c>
      <c r="DU139" s="2">
        <f>Table83[[#This Row],[Waist]]-Table7[[#This Row],[Waist v Fat]]</f>
        <v>5.1217290020844075E-3</v>
      </c>
      <c r="DV139" s="2">
        <f>Table7[[#This Row],[WaistF Res]]^2</f>
        <v>2.623210797079254E-5</v>
      </c>
      <c r="DW139">
        <f>Regression!$T$29+(Regression!$T$28*Table83[[#This Row],[Protein]])</f>
        <v>44.505223428489685</v>
      </c>
      <c r="DX139" s="2">
        <f>Table83[[#This Row],[Waist]]-Table7[[#This Row],[Waist v Protein]]</f>
        <v>-5.2234284896854888E-3</v>
      </c>
      <c r="DY139" s="2">
        <f>Table7[[#This Row],[WaistP Res]]^2</f>
        <v>2.7284205186858025E-5</v>
      </c>
      <c r="DZ139">
        <f>Regression!$U$29+(Regression!$U$28*Table83[[#This Row],[Fiber]])</f>
        <v>44.379107041244929</v>
      </c>
      <c r="EA139" s="2">
        <f>Table83[[#This Row],[Waist]]-Table7[[#This Row],[Waist v Fiber]]</f>
        <v>0.12089295875507133</v>
      </c>
      <c r="EB139" s="2">
        <f>Table7[[#This Row],[WaistFib Res]]^2</f>
        <v>1.4615107476555379E-2</v>
      </c>
      <c r="EC139">
        <f>Regression!$V$29+(Regression!$V$28*Table83[[#This Row],[Sugar]])</f>
        <v>44.118563355103596</v>
      </c>
      <c r="ED139" s="2">
        <f>Table83[[#This Row],[Waist]]-Table7[[#This Row],[Waist v Sugar]]</f>
        <v>0.38143664489640372</v>
      </c>
      <c r="EE139" s="2">
        <f>Table7[[#This Row],[WaistSugar Res]]^2</f>
        <v>0.1454939140698252</v>
      </c>
      <c r="EF139">
        <f>Regression!$W$29+(Regression!$W$28*Table83[[#This Row],[Servings]])</f>
        <v>44.216943873078428</v>
      </c>
      <c r="EG139" s="2">
        <f>Table83[[#This Row],[Waist]]-Table7[[#This Row],[Waist v Servings]]</f>
        <v>0.28305612692157212</v>
      </c>
      <c r="EH139" s="2">
        <f>Table7[[#This Row],[WaistServ Res]]^2</f>
        <v>8.0120770987841136E-2</v>
      </c>
      <c r="EI139">
        <f>Regression!$X$29+(Regression!$X$28*Table83[[#This Row],[Water]])</f>
        <v>44.386198474840633</v>
      </c>
      <c r="EJ139" s="2">
        <f>Table83[[#This Row],[Waist]]-Table7[[#This Row],[Waist v Water]]</f>
        <v>0.11380152515936715</v>
      </c>
      <c r="EK139" s="2">
        <f>Table7[[#This Row],[WaistWat Res]]^2</f>
        <v>1.2950787128598073E-2</v>
      </c>
      <c r="EL139">
        <f>Regression!$Y$29+(Regression!$Y$28*Table83[[#This Row],[Fat Calories]])</f>
        <v>44.495832685074532</v>
      </c>
      <c r="EM139" s="2">
        <f>Table83[[#This Row],[Waist]]-Table7[[#This Row],[Waist v Fat Calories]]</f>
        <v>4.1673149254677355E-3</v>
      </c>
      <c r="EN139" s="2">
        <f>Table7[[#This Row],[WaistFatCal Res]]^2</f>
        <v>1.7366513688026157E-5</v>
      </c>
    </row>
    <row r="140" spans="1:144" x14ac:dyDescent="0.25">
      <c r="A140">
        <f>Regression!$B$10+(Regression!$B$9*Table83[[#This Row],[Waist]])</f>
        <v>255.38023686459636</v>
      </c>
      <c r="B140" s="2">
        <f>Table83[[#This Row],[Weight]]-Table7[[#This Row],[Weight v Waist]]</f>
        <v>-4.3802368645963554</v>
      </c>
      <c r="C140" s="2">
        <f>Table7[[#This Row],[Weight v Waist Res]]^2</f>
        <v>19.186474989968911</v>
      </c>
      <c r="D140">
        <f>Regression!$C$10+(Regression!$C$9*Table83[[#This Row],[Neck]])</f>
        <v>253.29286486487842</v>
      </c>
      <c r="E140" s="2">
        <f>Table83[[#This Row],[Weight]]-Table7[[#This Row],[Weight v Neck]]</f>
        <v>-2.2928648648784247</v>
      </c>
      <c r="F140" s="2">
        <f>Table7[[#This Row],[WN Res]]^2</f>
        <v>5.2572292885939564</v>
      </c>
      <c r="G140">
        <f>Regression!$D$10+(Regression!$D$9*Table83[[#This Row],[Morning Body Temp]])</f>
        <v>254.21478379841594</v>
      </c>
      <c r="H140" s="2">
        <f>Table83[[#This Row],[Weight]]-Table7[[#This Row],[Weight v Morning Temp]]</f>
        <v>-3.2147837984159366</v>
      </c>
      <c r="I140" s="2">
        <f>Table7[[#This Row],[WMT Res]]^2</f>
        <v>10.334834870557598</v>
      </c>
      <c r="J140">
        <f>Regression!$E$10+(Regression!$E$9*Table83[[#This Row],[Morning Systolic Pressure]])</f>
        <v>255.09948662875533</v>
      </c>
      <c r="K140" s="2">
        <f>Table83[[#This Row],[Weight]]-Table7[[#This Row],[Weight v Morning Sys]]</f>
        <v>-4.0994866287553293</v>
      </c>
      <c r="L140" s="2">
        <f>Table7[[#This Row],[WMS Res]]^2</f>
        <v>16.805790619343735</v>
      </c>
      <c r="M140">
        <f>Regression!$F$10+(Regression!$F$9*Table83[[#This Row],[Morning Diastolic Pressure]])</f>
        <v>254.8993513991569</v>
      </c>
      <c r="N140" s="2">
        <f>Table83[[#This Row],[Weight]]-Table7[[#This Row],[Weight v Morning Dia]]</f>
        <v>-3.8993513991568989</v>
      </c>
      <c r="O140" s="2">
        <f>Table7[[#This Row],[WMD Res]]^2</f>
        <v>15.204941334106865</v>
      </c>
      <c r="P140">
        <f>Regression!$G$10+(Regression!$G$9*Table83[[#This Row],[Morning Pulse]])</f>
        <v>255.11547289015564</v>
      </c>
      <c r="Q140" s="2">
        <f>Table83[[#This Row],[Weight]]-Table7[[#This Row],[Weight v Morning Pulse]]</f>
        <v>-4.1154728901556439</v>
      </c>
      <c r="R140" s="2">
        <f>Table7[[#This Row],[WMP Res]]^2</f>
        <v>16.937117109606049</v>
      </c>
      <c r="S140">
        <f>Regression!$H$10+(Regression!$H$9*Table83[[#This Row],[Night Body Temp]])</f>
        <v>256.18654209378701</v>
      </c>
      <c r="T140" s="2">
        <f>Table83[[#This Row],[Weight]]-Table7[[#This Row],[Weight v Night Temp]]</f>
        <v>-5.1865420937870113</v>
      </c>
      <c r="U140" s="2">
        <f>Table7[[#This Row],[WNT Res]]^2</f>
        <v>26.900218890624554</v>
      </c>
      <c r="V140">
        <f>Regression!$I$10+(Regression!$I$9*Table83[[#This Row],[Night Systolic Pressure]])</f>
        <v>254.10948821885404</v>
      </c>
      <c r="W140" s="2">
        <f>Table83[[#This Row],[Weight]]-Table7[[#This Row],[Weight v Night Sys]]</f>
        <v>-3.1094882188540396</v>
      </c>
      <c r="X140" s="2">
        <f>Table7[[#This Row],[WNS Res]]^2</f>
        <v>9.6689169831920676</v>
      </c>
      <c r="Y140">
        <f>Regression!$J$10+(Regression!$J$9*Table83[[#This Row],[Night Diastolic Pressure]])</f>
        <v>254.88848703216559</v>
      </c>
      <c r="Z140" s="2">
        <f>Table83[[#This Row],[Weight]]-Table7[[#This Row],[Weight v Night Dia]]</f>
        <v>-3.8884870321655853</v>
      </c>
      <c r="AA140" s="2">
        <f>Table7[[#This Row],[WND Res]]^2</f>
        <v>15.120331399319921</v>
      </c>
      <c r="AB140">
        <f>Regression!$K$10+(Regression!$K$9*Table83[[#This Row],[Night Pulse]])</f>
        <v>255.41728517110852</v>
      </c>
      <c r="AC140" s="2">
        <f>Table83[[#This Row],[Weight]]-Table7[[#This Row],[Weight v Night Pulse]]</f>
        <v>-4.4172851711085173</v>
      </c>
      <c r="AD140" s="2">
        <f>Table7[[#This Row],[WNP Res ]]^2</f>
        <v>19.512408282895201</v>
      </c>
      <c r="AE140">
        <f>Regression!$L$10+(Regression!$L$9*Table83[[#This Row],[Sleep]])</f>
        <v>254.50608136063369</v>
      </c>
      <c r="AF140" s="2">
        <f>Table83[[#This Row],[Weight]]-Table7[[#This Row],[Weight v Sleep]]</f>
        <v>-3.5060813606336865</v>
      </c>
      <c r="AG140" s="2">
        <f>Table7[[#This Row],[WS Res]]^2</f>
        <v>12.292606507382962</v>
      </c>
      <c r="AH140">
        <f>Regression!$M$10+(Regression!$M$9*Table83[[#This Row],[BMI]])</f>
        <v>251.00000000000921</v>
      </c>
      <c r="AI140" s="2">
        <f>Table83[[#This Row],[Weight]]-Table7[[#This Row],[Weight v BMI]]</f>
        <v>-9.2086338554508984E-12</v>
      </c>
      <c r="AJ140" s="2">
        <f>Table7[[#This Row],[WBMI Res]]^2</f>
        <v>8.4798937483756478E-23</v>
      </c>
      <c r="AK140">
        <f>Regression!$N$10+(Regression!$N$9*Table83[[#This Row],[CBF]])</f>
        <v>256.25609762651322</v>
      </c>
      <c r="AL140" s="2">
        <f>Table83[[#This Row],[Weight]]-Table7[[#This Row],[Weight v CBF]]</f>
        <v>-5.256097626513224</v>
      </c>
      <c r="AM140" s="2">
        <f>Table7[[#This Row],[WCBF Res]]^2</f>
        <v>27.626562259437947</v>
      </c>
      <c r="AN140">
        <f>Regression!$O$10+(Regression!$O$9*Table83[[#This Row],[Gym]])</f>
        <v>254.72962962962998</v>
      </c>
      <c r="AO140" s="2">
        <f>Table83[[#This Row],[Weight]]-Table7[[#This Row],[Weight v Gym]]</f>
        <v>-3.7296296296299829</v>
      </c>
      <c r="AP140" s="2">
        <f>Table7[[#This Row],[WG Res]]^2</f>
        <v>13.910137174213883</v>
      </c>
      <c r="AQ140">
        <f>Regression!$P$10+(Regression!$P$9*Table83[[#This Row],[Cardio]])</f>
        <v>256.41063829787231</v>
      </c>
      <c r="AR140" s="2">
        <f>Table83[[#This Row],[Weight]]-Table7[[#This Row],[Weight v Cardio]]</f>
        <v>-5.4106382978723104</v>
      </c>
      <c r="AS140" s="2">
        <f>Table7[[#This Row],[WC Res]]^2</f>
        <v>29.275006790402571</v>
      </c>
      <c r="AT140">
        <f>Regression!$Q$10+(Regression!$Q$9*Table83[[#This Row],[Calories]])</f>
        <v>256.02335754355778</v>
      </c>
      <c r="AU140" s="2">
        <f>Table83[[#This Row],[Weight]]-Table7[[#This Row],[Weight v Calories]]</f>
        <v>-5.0233575435577791</v>
      </c>
      <c r="AV140" s="2">
        <f>Table7[[#This Row],[WCAL Res]]^2</f>
        <v>25.234121010418843</v>
      </c>
      <c r="AW140">
        <f>Regression!$R$10+(Regression!$R$9*Table83[[#This Row],[Carbs]])</f>
        <v>255.93137439494467</v>
      </c>
      <c r="AX140" s="2">
        <f>Table83[[#This Row],[Weight]]-Table7[[#This Row],[Weight v Carbs]]</f>
        <v>-4.9313743949446689</v>
      </c>
      <c r="AY140" s="2">
        <f>Table7[[#This Row],[Wcarb Res]]^2</f>
        <v>24.318453423115898</v>
      </c>
      <c r="AZ140">
        <f>Regression!$S$10+(Regression!$S$9*Table83[[#This Row],[Fat ]])</f>
        <v>255.64650087464176</v>
      </c>
      <c r="BA140" s="2">
        <f>Table83[[#This Row],[Weight]]-Table7[[#This Row],[Weight v Fat]]</f>
        <v>-4.6465008746417595</v>
      </c>
      <c r="BB140" s="2">
        <f>Table7[[#This Row],[WF Res]]^2</f>
        <v>21.589970378046637</v>
      </c>
      <c r="BC140">
        <f>Regression!$T$10+(Regression!$T$9*Table83[[#This Row],[Protein]])</f>
        <v>256.85076937051019</v>
      </c>
      <c r="BD140" s="2">
        <f>Table83[[#This Row],[Weight]]-Table7[[#This Row],[Weight v Protein]]</f>
        <v>-5.8507693705101929</v>
      </c>
      <c r="BE140" s="2">
        <f>Table7[[#This Row],[WP Res]]^2</f>
        <v>34.23150222690024</v>
      </c>
      <c r="BF140">
        <f>Regression!$U$10+(Regression!$U$9*Table83[[#This Row],[Fiber]])</f>
        <v>254.83021245041104</v>
      </c>
      <c r="BG140" s="2">
        <f>Table83[[#This Row],[Weight]]-Table7[[#This Row],[Weight v Fiber]]</f>
        <v>-3.8302124504110395</v>
      </c>
      <c r="BH140" s="2">
        <f>Table7[[#This Row],[Wfib Res]]^2</f>
        <v>14.67052741528374</v>
      </c>
      <c r="BI140">
        <f>Regression!$V$10+(Regression!$V$9*Table83[[#This Row],[Sugar]])</f>
        <v>255.97702379516198</v>
      </c>
      <c r="BJ140" s="2">
        <f>Table83[[#This Row],[Weight]]-Table7[[#This Row],[Weight v Sugar]]</f>
        <v>-4.9770237951619833</v>
      </c>
      <c r="BK140" s="2">
        <f>Table7[[#This Row],[Wsugar Res]]^2</f>
        <v>24.770765857608591</v>
      </c>
      <c r="BL140">
        <f>Regression!$W$10+(Regression!$W$9*Table83[[#This Row],[Servings]])</f>
        <v>257.04290728344819</v>
      </c>
      <c r="BM140" s="2">
        <f>Table83[[#This Row],[Weight]]-Table7[[#This Row],[Weight v Servings]]</f>
        <v>-6.0429072834481872</v>
      </c>
      <c r="BN140" s="2">
        <f>Table7[[#This Row],[Wserv Res]]^2</f>
        <v>36.516728436351151</v>
      </c>
      <c r="BO140">
        <f>Regression!$X$10+(Regression!$X$9*Table83[[#This Row],[Water]])</f>
        <v>255.0206340268538</v>
      </c>
      <c r="BP140" s="2">
        <f>Table83[[#This Row],[Weight]]-Table7[[#This Row],[Weight v Water]]</f>
        <v>-4.0206340268537986</v>
      </c>
      <c r="BQ140" s="2">
        <f>Table7[[#This Row],[Wwater Res]]^2</f>
        <v>16.165497977894592</v>
      </c>
      <c r="BR140">
        <f>Regression!$Y$10+(Regression!$Y$9*Table83[[#This Row],[Fat Calories]])</f>
        <v>255.67578619173261</v>
      </c>
      <c r="BS140" s="2">
        <f>Table83[[#This Row],[Weight]]-Table7[[#This Row],[Weight v Fat Calories]]</f>
        <v>-4.6757861917326125</v>
      </c>
      <c r="BT140" s="2">
        <f>Table7[[#This Row],[WFC Res]]^2</f>
        <v>21.862976510797367</v>
      </c>
      <c r="BU140">
        <f>Regression!$B$29+(Regression!$B$28*Table83[[#This Row],[Weight]])</f>
        <v>43.89281356269872</v>
      </c>
      <c r="BV140" s="2">
        <f>Table83[[#This Row],[Waist]]-Table7[[#This Row],[Waist v Weight]]</f>
        <v>0.60718643730128008</v>
      </c>
      <c r="BW140" s="2">
        <f>Table7[[#This Row],[WaistW Res]]^2</f>
        <v>0.36867536964262132</v>
      </c>
      <c r="BX140">
        <f>Regression!$C$29+(Regression!$C$28*Table83[[#This Row],[Neck]])</f>
        <v>44.175585585585594</v>
      </c>
      <c r="BY140" s="2">
        <f>Table83[[#This Row],[Waist]]-Table7[[#This Row],[Waist v Neck]]</f>
        <v>0.32441441441440588</v>
      </c>
      <c r="BZ140" s="2">
        <f>Table7[[#This Row],[WaistN Res]]^2</f>
        <v>0.10524471227984188</v>
      </c>
      <c r="CA140">
        <f>Regression!$D$29+(Regression!$D$28*Table83[[#This Row],[Morning Body Temp]])</f>
        <v>44.208689359470796</v>
      </c>
      <c r="CB140" s="2">
        <f>Table83[[#This Row],[Waist]]-Table7[[#This Row],[Waist v Morning Temp]]</f>
        <v>0.29131064052920408</v>
      </c>
      <c r="CC140" s="2">
        <f>Table7[[#This Row],[WaistMT Res]]^2</f>
        <v>8.4861889285535161E-2</v>
      </c>
      <c r="CD140">
        <f>Regression!$E$29+(Regression!$E$28*Table83[[#This Row],[Morning Systolic Pressure]])</f>
        <v>44.449884727394206</v>
      </c>
      <c r="CE140" s="2">
        <f>Table83[[#This Row],[Waist]]-Table7[[#This Row],[Waist v Morning Sys]]</f>
        <v>5.0115272605793848E-2</v>
      </c>
      <c r="CF140" s="2">
        <f>Table7[[#This Row],[WaistMS Res]]^2</f>
        <v>2.5115405483530314E-3</v>
      </c>
      <c r="CG140">
        <f>Regression!$F$29+(Regression!$F$28*Table83[[#This Row],[Morning Diastolic Pressure]])</f>
        <v>44.441545426806556</v>
      </c>
      <c r="CH140" s="2">
        <f>Table83[[#This Row],[Waist]]-Table7[[#This Row],[Waist v Morning Dia]]</f>
        <v>5.8454573193444048E-2</v>
      </c>
      <c r="CI140" s="2">
        <f>Table7[[#This Row],[WaistMD Res]]^2</f>
        <v>3.4169371272277076E-3</v>
      </c>
      <c r="CJ140">
        <f>Regression!$G$29+(Regression!$G$28*Table83[[#This Row],[Morning Pulse]])</f>
        <v>44.453736697506194</v>
      </c>
      <c r="CK140" s="2">
        <f>Table83[[#This Row],[Waist]]-Table7[[#This Row],[Waist v Morning Pulse]]</f>
        <v>4.6263302493805725E-2</v>
      </c>
      <c r="CL140" s="2">
        <f>Table7[[#This Row],[WaistMP Res]]^2</f>
        <v>2.1402931576333709E-3</v>
      </c>
      <c r="CM140">
        <f>Regression!$H$29+(Regression!$H$28*Table83[[#This Row],[Night Body Temp]])</f>
        <v>44.538020116512925</v>
      </c>
      <c r="CN140" s="2">
        <f>Table83[[#This Row],[Waist]]-Table7[[#This Row],[Waist v Night Temp]]</f>
        <v>-3.8020116512925028E-2</v>
      </c>
      <c r="CO140" s="2">
        <f>Table7[[#This Row],[WaistNT Res]]^2</f>
        <v>1.4455292596563943E-3</v>
      </c>
      <c r="CP140">
        <f>Regression!$I$29+(Regression!$I$28*Table83[[#This Row],[Night Systolic Pressure]])</f>
        <v>44.311098172049078</v>
      </c>
      <c r="CQ140" s="2">
        <f>Table83[[#This Row],[Waist]]-Table7[[#This Row],[Waist v  Night Sys]]</f>
        <v>0.18890182795092159</v>
      </c>
      <c r="CR140" s="2">
        <f>Table7[[#This Row],[WaistNS Res]]^2</f>
        <v>3.5683900603199578E-2</v>
      </c>
      <c r="CS140">
        <f>Regression!$J$29+(Regression!$J$28*Table83[[#This Row],[Night Diastolic Pressure]])</f>
        <v>44.358684339909082</v>
      </c>
      <c r="CT140" s="2">
        <f>Table83[[#This Row],[Waist]]-Table7[[#This Row],[Waist v Night Dia]]</f>
        <v>0.14131566009091756</v>
      </c>
      <c r="CU140" s="2">
        <f>Table7[[#This Row],[WaistND Res]]^2</f>
        <v>1.9970115786931749E-2</v>
      </c>
      <c r="CV140">
        <f>Regression!$K$29+(Regression!$K$28*Table83[[#This Row],[Night Pulse]])</f>
        <v>44.425427416833685</v>
      </c>
      <c r="CW140" s="2">
        <f>Table83[[#This Row],[Waist]]-Table7[[#This Row],[Waist v Night Pulse]]</f>
        <v>7.4572583166315098E-2</v>
      </c>
      <c r="CX140" s="2">
        <f>Table7[[#This Row],[WaistNP Res]]^2</f>
        <v>5.5610701600969821E-3</v>
      </c>
      <c r="CY140">
        <f>Regression!$L$29+(Regression!$L$28*Table83[[#This Row],[Sleep]])</f>
        <v>44.360693916866794</v>
      </c>
      <c r="CZ140" s="2">
        <f>Table83[[#This Row],[Waist]]-Table7[[#This Row],[Waist v  Sleep]]</f>
        <v>0.13930608313320647</v>
      </c>
      <c r="DA140" s="2">
        <f>Table7[[#This Row],[WaistS Res]]^2</f>
        <v>1.9406184797915834E-2</v>
      </c>
      <c r="DB140">
        <f>Regression!$M$29+(Regression!$M$28*Table83[[#This Row],[BMI]])</f>
        <v>43.892813562700496</v>
      </c>
      <c r="DC140" s="2">
        <f>Table83[[#This Row],[Waist]]-Table7[[#This Row],[Waist v BMI]]</f>
        <v>0.60718643729950372</v>
      </c>
      <c r="DD140" s="2">
        <f>Table7[[#This Row],[WaistBMI Res]]^2</f>
        <v>0.36867536964046416</v>
      </c>
      <c r="DE140">
        <f>Regression!$N$29+(Regression!$N$28*Table83[[#This Row],[CBF]])</f>
        <v>44.659010290127611</v>
      </c>
      <c r="DF140" s="2">
        <f>Table83[[#This Row],[Waist]]-Table7[[#This Row],[Waist v  CBF]]</f>
        <v>-0.15901029012761114</v>
      </c>
      <c r="DG140" s="2">
        <f>Table7[[#This Row],[WaistCBF Res]]^2</f>
        <v>2.5284272366467068E-2</v>
      </c>
      <c r="DH140">
        <f>Regression!$O$29+(Regression!$O$28*Table83[[#This Row],[Gym]])</f>
        <v>44.347222222222221</v>
      </c>
      <c r="DI140" s="2">
        <f>Table83[[#This Row],[Waist]]-Table7[[#This Row],[Waist v  Gym]]</f>
        <v>0.15277777777777857</v>
      </c>
      <c r="DJ140" s="2">
        <f>Table7[[#This Row],[WaistGYM Res]]^2</f>
        <v>2.3341049382716292E-2</v>
      </c>
      <c r="DK140">
        <f>Regression!$P$29+(Regression!$P$28*Table83[[#This Row],[Cardio]])</f>
        <v>44.680851063829778</v>
      </c>
      <c r="DL140" s="2">
        <f>Table83[[#This Row],[Waist]]-Table7[[#This Row],[Waist v Cardio]]</f>
        <v>-0.18085106382977756</v>
      </c>
      <c r="DM140" s="2">
        <f>Table7[[#This Row],[WaistC Res]]^2</f>
        <v>3.2707107288362278E-2</v>
      </c>
      <c r="DN140">
        <f>Regression!$Q$29+(Regression!$Q$28*Table83[[#This Row],[Calories]])</f>
        <v>44.657617674485678</v>
      </c>
      <c r="DO140" s="2">
        <f>Table83[[#This Row],[Waist]]-Table7[[#This Row],[Waist v Calories]]</f>
        <v>-0.15761767448567809</v>
      </c>
      <c r="DP140" s="2">
        <f>Table7[[#This Row],[WaistCal Res]]^2</f>
        <v>2.4843331310273178E-2</v>
      </c>
      <c r="DQ140">
        <f>Regression!$R$29+(Regression!$R$28*Table83[[#This Row],[Carbs]])</f>
        <v>44.623494760637264</v>
      </c>
      <c r="DR140" s="2">
        <f>Table83[[#This Row],[Waist]]-Table7[[#This Row],[Waist v Carbs]]</f>
        <v>-0.12349476063726428</v>
      </c>
      <c r="DS140" s="2">
        <f>Table7[[#This Row],[WaistCarb Res]]^2</f>
        <v>1.5250955904855198E-2</v>
      </c>
      <c r="DT140">
        <f>Regression!$S$29+(Regression!$S$28*Table83[[#This Row],[Fat ]])</f>
        <v>44.615994866775509</v>
      </c>
      <c r="DU140" s="2">
        <f>Table83[[#This Row],[Waist]]-Table7[[#This Row],[Waist v Fat]]</f>
        <v>-0.11599486677550885</v>
      </c>
      <c r="DV140" s="2">
        <f>Table7[[#This Row],[WaistF Res]]^2</f>
        <v>1.3454809118268048E-2</v>
      </c>
      <c r="DW140">
        <f>Regression!$T$29+(Regression!$T$28*Table83[[#This Row],[Protein]])</f>
        <v>44.771241996496464</v>
      </c>
      <c r="DX140" s="2">
        <f>Table83[[#This Row],[Waist]]-Table7[[#This Row],[Waist v Protein]]</f>
        <v>-0.27124199649646386</v>
      </c>
      <c r="DY140" s="2">
        <f>Table7[[#This Row],[WaistP Res]]^2</f>
        <v>7.3572220663387713E-2</v>
      </c>
      <c r="DZ140">
        <f>Regression!$U$29+(Regression!$U$28*Table83[[#This Row],[Fiber]])</f>
        <v>44.343634639231425</v>
      </c>
      <c r="EA140" s="2">
        <f>Table83[[#This Row],[Waist]]-Table7[[#This Row],[Waist v Fiber]]</f>
        <v>0.1563653607685751</v>
      </c>
      <c r="EB140" s="2">
        <f>Table7[[#This Row],[WaistFib Res]]^2</f>
        <v>2.4450126048286645E-2</v>
      </c>
      <c r="EC140">
        <f>Regression!$V$29+(Regression!$V$28*Table83[[#This Row],[Sugar]])</f>
        <v>44.608384835013517</v>
      </c>
      <c r="ED140" s="2">
        <f>Table83[[#This Row],[Waist]]-Table7[[#This Row],[Waist v Sugar]]</f>
        <v>-0.10838483501351703</v>
      </c>
      <c r="EE140" s="2">
        <f>Table7[[#This Row],[WaistSugar Res]]^2</f>
        <v>1.1747272460907308E-2</v>
      </c>
      <c r="EF140">
        <f>Regression!$W$29+(Regression!$W$28*Table83[[#This Row],[Servings]])</f>
        <v>44.747699604061388</v>
      </c>
      <c r="EG140" s="2">
        <f>Table83[[#This Row],[Waist]]-Table7[[#This Row],[Waist v Servings]]</f>
        <v>-0.24769960406138836</v>
      </c>
      <c r="EH140" s="2">
        <f>Table7[[#This Row],[WaistServ Res]]^2</f>
        <v>6.1355093852168557E-2</v>
      </c>
      <c r="EI140">
        <f>Regression!$X$29+(Regression!$X$28*Table83[[#This Row],[Water]])</f>
        <v>44.33031459742935</v>
      </c>
      <c r="EJ140" s="2">
        <f>Table83[[#This Row],[Waist]]-Table7[[#This Row],[Waist v Water]]</f>
        <v>0.16968540257065001</v>
      </c>
      <c r="EK140" s="2">
        <f>Table7[[#This Row],[WaistWat Res]]^2</f>
        <v>2.8793135845563558E-2</v>
      </c>
      <c r="EL140">
        <f>Regression!$Y$29+(Regression!$Y$28*Table83[[#This Row],[Fat Calories]])</f>
        <v>44.624077579389869</v>
      </c>
      <c r="EM140" s="2">
        <f>Table83[[#This Row],[Waist]]-Table7[[#This Row],[Waist v Fat Calories]]</f>
        <v>-0.12407757938986919</v>
      </c>
      <c r="EN140" s="2">
        <f>Table7[[#This Row],[WaistFatCal Res]]^2</f>
        <v>1.539524570724929E-2</v>
      </c>
    </row>
    <row r="141" spans="1:144" x14ac:dyDescent="0.25">
      <c r="A141">
        <f>Regression!$B$10+(Regression!$B$9*Table83[[#This Row],[Waist]])</f>
        <v>252.52625917894264</v>
      </c>
      <c r="B141" s="2">
        <f>Table83[[#This Row],[Weight]]-Table7[[#This Row],[Weight v Waist]]</f>
        <v>-3.3262591789426494</v>
      </c>
      <c r="C141" s="2">
        <f>Table7[[#This Row],[Weight v Waist Res]]^2</f>
        <v>11.064000125500229</v>
      </c>
      <c r="D141">
        <f>Regression!$C$10+(Regression!$C$9*Table83[[#This Row],[Neck]])</f>
        <v>253.29286486487842</v>
      </c>
      <c r="E141" s="2">
        <f>Table83[[#This Row],[Weight]]-Table7[[#This Row],[Weight v Neck]]</f>
        <v>-4.092864864878436</v>
      </c>
      <c r="F141" s="2">
        <f>Table7[[#This Row],[WN Res]]^2</f>
        <v>16.751542802156379</v>
      </c>
      <c r="G141">
        <f>Regression!$D$10+(Regression!$D$9*Table83[[#This Row],[Morning Body Temp]])</f>
        <v>255.3411606659738</v>
      </c>
      <c r="H141" s="2">
        <f>Table83[[#This Row],[Weight]]-Table7[[#This Row],[Weight v Morning Temp]]</f>
        <v>-6.141160665973814</v>
      </c>
      <c r="I141" s="2">
        <f>Table7[[#This Row],[WMT Res]]^2</f>
        <v>37.713854325303942</v>
      </c>
      <c r="J141">
        <f>Regression!$E$10+(Regression!$E$9*Table83[[#This Row],[Morning Systolic Pressure]])</f>
        <v>254.73886899784827</v>
      </c>
      <c r="K141" s="2">
        <f>Table83[[#This Row],[Weight]]-Table7[[#This Row],[Weight v Morning Sys]]</f>
        <v>-5.538868997848283</v>
      </c>
      <c r="L141" s="2">
        <f>Table7[[#This Row],[WMS Res]]^2</f>
        <v>30.679069775324844</v>
      </c>
      <c r="M141">
        <f>Regression!$F$10+(Regression!$F$9*Table83[[#This Row],[Morning Diastolic Pressure]])</f>
        <v>255.91279388960569</v>
      </c>
      <c r="N141" s="2">
        <f>Table83[[#This Row],[Weight]]-Table7[[#This Row],[Weight v Morning Dia]]</f>
        <v>-6.712793889605706</v>
      </c>
      <c r="O141" s="2">
        <f>Table7[[#This Row],[WMD Res]]^2</f>
        <v>45.061601804327701</v>
      </c>
      <c r="P141">
        <f>Regression!$G$10+(Regression!$G$9*Table83[[#This Row],[Morning Pulse]])</f>
        <v>255.08805595379781</v>
      </c>
      <c r="Q141" s="2">
        <f>Table83[[#This Row],[Weight]]-Table7[[#This Row],[Weight v Morning Pulse]]</f>
        <v>-5.8880559537978172</v>
      </c>
      <c r="R141" s="2">
        <f>Table7[[#This Row],[WMP Res]]^2</f>
        <v>34.669202915053923</v>
      </c>
      <c r="S141">
        <f>Regression!$H$10+(Regression!$H$9*Table83[[#This Row],[Night Body Temp]])</f>
        <v>256.08384552330529</v>
      </c>
      <c r="T141" s="2">
        <f>Table83[[#This Row],[Weight]]-Table7[[#This Row],[Weight v Night Temp]]</f>
        <v>-6.8838455233052969</v>
      </c>
      <c r="U141" s="2">
        <f>Table7[[#This Row],[WNT Res]]^2</f>
        <v>47.387329188730376</v>
      </c>
      <c r="V141">
        <f>Regression!$I$10+(Regression!$I$9*Table83[[#This Row],[Night Systolic Pressure]])</f>
        <v>255.13593655913874</v>
      </c>
      <c r="W141" s="2">
        <f>Table83[[#This Row],[Weight]]-Table7[[#This Row],[Weight v Night Sys]]</f>
        <v>-5.935936559138753</v>
      </c>
      <c r="X141" s="2">
        <f>Table7[[#This Row],[WNS Res]]^2</f>
        <v>35.235342834120019</v>
      </c>
      <c r="Y141">
        <f>Regression!$J$10+(Regression!$J$9*Table83[[#This Row],[Night Diastolic Pressure]])</f>
        <v>255.17384811107831</v>
      </c>
      <c r="Z141" s="2">
        <f>Table83[[#This Row],[Weight]]-Table7[[#This Row],[Weight v Night Dia]]</f>
        <v>-5.9738481110783255</v>
      </c>
      <c r="AA141" s="2">
        <f>Table7[[#This Row],[WND Res]]^2</f>
        <v>35.686861254234074</v>
      </c>
      <c r="AB141">
        <f>Regression!$K$10+(Regression!$K$9*Table83[[#This Row],[Night Pulse]])</f>
        <v>255.57085182729213</v>
      </c>
      <c r="AC141" s="2">
        <f>Table83[[#This Row],[Weight]]-Table7[[#This Row],[Weight v Night Pulse]]</f>
        <v>-6.3708518272921424</v>
      </c>
      <c r="AD141" s="2">
        <f>Table7[[#This Row],[WNP Res ]]^2</f>
        <v>40.587753005311633</v>
      </c>
      <c r="AE141">
        <f>Regression!$L$10+(Regression!$L$9*Table83[[#This Row],[Sleep]])</f>
        <v>255.29476681906823</v>
      </c>
      <c r="AF141" s="2">
        <f>Table83[[#This Row],[Weight]]-Table7[[#This Row],[Weight v Sleep]]</f>
        <v>-6.0947668190682407</v>
      </c>
      <c r="AG141" s="2">
        <f>Table7[[#This Row],[WS Res]]^2</f>
        <v>37.1461825788152</v>
      </c>
      <c r="AH141">
        <f>Regression!$M$10+(Regression!$M$9*Table83[[#This Row],[BMI]])</f>
        <v>249.20000000001323</v>
      </c>
      <c r="AI141" s="2">
        <f>Table83[[#This Row],[Weight]]-Table7[[#This Row],[Weight v BMI]]</f>
        <v>-1.3244516594568267E-11</v>
      </c>
      <c r="AJ141" s="2">
        <f>Table7[[#This Row],[WBMI Res]]^2</f>
        <v>1.7541721982379422E-22</v>
      </c>
      <c r="AK141">
        <f>Regression!$N$10+(Regression!$N$9*Table83[[#This Row],[CBF]])</f>
        <v>253.17965033701802</v>
      </c>
      <c r="AL141" s="2">
        <f>Table83[[#This Row],[Weight]]-Table7[[#This Row],[Weight v CBF]]</f>
        <v>-3.9796503370180289</v>
      </c>
      <c r="AM141" s="2">
        <f>Table7[[#This Row],[WCBF Res]]^2</f>
        <v>15.837616804927711</v>
      </c>
      <c r="AN141">
        <f>Regression!$O$10+(Regression!$O$9*Table83[[#This Row],[Gym]])</f>
        <v>254.72962962962998</v>
      </c>
      <c r="AO141" s="2">
        <f>Table83[[#This Row],[Weight]]-Table7[[#This Row],[Weight v Gym]]</f>
        <v>-5.5296296296299943</v>
      </c>
      <c r="AP141" s="2">
        <f>Table7[[#This Row],[WG Res]]^2</f>
        <v>30.576803840881947</v>
      </c>
      <c r="AQ141">
        <f>Regression!$P$10+(Regression!$P$9*Table83[[#This Row],[Cardio]])</f>
        <v>254.19242424242461</v>
      </c>
      <c r="AR141" s="2">
        <f>Table83[[#This Row],[Weight]]-Table7[[#This Row],[Weight v Cardio]]</f>
        <v>-4.9924242424246188</v>
      </c>
      <c r="AS141" s="2">
        <f>Table7[[#This Row],[WC Res]]^2</f>
        <v>24.924299816349031</v>
      </c>
      <c r="AT141">
        <f>Regression!$Q$10+(Regression!$Q$9*Table83[[#This Row],[Calories]])</f>
        <v>254.7626619631086</v>
      </c>
      <c r="AU141" s="2">
        <f>Table83[[#This Row],[Weight]]-Table7[[#This Row],[Weight v Calories]]</f>
        <v>-5.5626619631086101</v>
      </c>
      <c r="AV141" s="2">
        <f>Table7[[#This Row],[WCAL Res]]^2</f>
        <v>30.943208115815334</v>
      </c>
      <c r="AW141">
        <f>Regression!$R$10+(Regression!$R$9*Table83[[#This Row],[Carbs]])</f>
        <v>254.35222387855046</v>
      </c>
      <c r="AX141" s="2">
        <f>Table83[[#This Row],[Weight]]-Table7[[#This Row],[Weight v Carbs]]</f>
        <v>-5.1522238785504726</v>
      </c>
      <c r="AY141" s="2">
        <f>Table7[[#This Row],[Wcarb Res]]^2</f>
        <v>26.545410894705675</v>
      </c>
      <c r="AZ141">
        <f>Regression!$S$10+(Regression!$S$9*Table83[[#This Row],[Fat ]])</f>
        <v>255.15253193085411</v>
      </c>
      <c r="BA141" s="2">
        <f>Table83[[#This Row],[Weight]]-Table7[[#This Row],[Weight v Fat]]</f>
        <v>-5.9525319308541214</v>
      </c>
      <c r="BB141" s="2">
        <f>Table7[[#This Row],[WF Res]]^2</f>
        <v>35.432636387837896</v>
      </c>
      <c r="BC141">
        <f>Regression!$T$10+(Regression!$T$9*Table83[[#This Row],[Protein]])</f>
        <v>255.24446229429608</v>
      </c>
      <c r="BD141" s="2">
        <f>Table83[[#This Row],[Weight]]-Table7[[#This Row],[Weight v Protein]]</f>
        <v>-6.0444622942960962</v>
      </c>
      <c r="BE141" s="2">
        <f>Table7[[#This Row],[WP Res]]^2</f>
        <v>36.535524427167225</v>
      </c>
      <c r="BF141">
        <f>Regression!$U$10+(Regression!$U$9*Table83[[#This Row],[Fiber]])</f>
        <v>255.28433237129278</v>
      </c>
      <c r="BG141" s="2">
        <f>Table83[[#This Row],[Weight]]-Table7[[#This Row],[Weight v Fiber]]</f>
        <v>-6.0843323712927884</v>
      </c>
      <c r="BH141" s="2">
        <f>Table7[[#This Row],[Wfib Res]]^2</f>
        <v>37.019100404361325</v>
      </c>
      <c r="BI141">
        <f>Regression!$V$10+(Regression!$V$9*Table83[[#This Row],[Sugar]])</f>
        <v>253.53461771126061</v>
      </c>
      <c r="BJ141" s="2">
        <f>Table83[[#This Row],[Weight]]-Table7[[#This Row],[Weight v Sugar]]</f>
        <v>-4.3346177112606199</v>
      </c>
      <c r="BK141" s="2">
        <f>Table7[[#This Row],[Wsugar Res]]^2</f>
        <v>18.788910702774256</v>
      </c>
      <c r="BL141">
        <f>Regression!$W$10+(Regression!$W$9*Table83[[#This Row],[Servings]])</f>
        <v>252.54651411050008</v>
      </c>
      <c r="BM141" s="2">
        <f>Table83[[#This Row],[Weight]]-Table7[[#This Row],[Weight v Servings]]</f>
        <v>-3.3465141105000953</v>
      </c>
      <c r="BN141" s="2">
        <f>Table7[[#This Row],[Wserv Res]]^2</f>
        <v>11.199156691776244</v>
      </c>
      <c r="BO141">
        <f>Regression!$X$10+(Regression!$X$9*Table83[[#This Row],[Water]])</f>
        <v>255.04204201855453</v>
      </c>
      <c r="BP141" s="2">
        <f>Table83[[#This Row],[Weight]]-Table7[[#This Row],[Weight v Water]]</f>
        <v>-5.8420420185545368</v>
      </c>
      <c r="BQ141" s="2">
        <f>Table7[[#This Row],[Wwater Res]]^2</f>
        <v>34.12945494655677</v>
      </c>
      <c r="BR141">
        <f>Regression!$Y$10+(Regression!$Y$9*Table83[[#This Row],[Fat Calories]])</f>
        <v>255.1500789684363</v>
      </c>
      <c r="BS141" s="2">
        <f>Table83[[#This Row],[Weight]]-Table7[[#This Row],[Weight v Fat Calories]]</f>
        <v>-5.9500789684363156</v>
      </c>
      <c r="BT141" s="2">
        <f>Table7[[#This Row],[WFC Res]]^2</f>
        <v>35.403439730628172</v>
      </c>
      <c r="BU141">
        <f>Regression!$B$29+(Regression!$B$28*Table83[[#This Row],[Weight]])</f>
        <v>43.647541043672753</v>
      </c>
      <c r="BV141" s="2">
        <f>Table83[[#This Row],[Waist]]-Table7[[#This Row],[Waist v Weight]]</f>
        <v>0.35245895632724711</v>
      </c>
      <c r="BW141" s="2">
        <f>Table7[[#This Row],[WaistW Res]]^2</f>
        <v>0.12422731589529229</v>
      </c>
      <c r="BX141">
        <f>Regression!$C$29+(Regression!$C$28*Table83[[#This Row],[Neck]])</f>
        <v>44.175585585585594</v>
      </c>
      <c r="BY141" s="2">
        <f>Table83[[#This Row],[Waist]]-Table7[[#This Row],[Waist v Neck]]</f>
        <v>-0.17558558558559412</v>
      </c>
      <c r="BZ141" s="2">
        <f>Table7[[#This Row],[WaistN Res]]^2</f>
        <v>3.0830297865435997E-2</v>
      </c>
      <c r="CA141">
        <f>Regression!$D$29+(Regression!$D$28*Table83[[#This Row],[Morning Body Temp]])</f>
        <v>44.515038370284842</v>
      </c>
      <c r="CB141" s="2">
        <f>Table83[[#This Row],[Waist]]-Table7[[#This Row],[Waist v Morning Temp]]</f>
        <v>-0.51503837028484156</v>
      </c>
      <c r="CC141" s="2">
        <f>Table7[[#This Row],[WaistMT Res]]^2</f>
        <v>0.26526452286566554</v>
      </c>
      <c r="CD141">
        <f>Regression!$E$29+(Regression!$E$28*Table83[[#This Row],[Morning Systolic Pressure]])</f>
        <v>44.365161485454784</v>
      </c>
      <c r="CE141" s="2">
        <f>Table83[[#This Row],[Waist]]-Table7[[#This Row],[Waist v Morning Sys]]</f>
        <v>-0.36516148545478444</v>
      </c>
      <c r="CF141" s="2">
        <f>Table7[[#This Row],[WaistMS Res]]^2</f>
        <v>0.13334291045954474</v>
      </c>
      <c r="CG141">
        <f>Regression!$F$29+(Regression!$F$28*Table83[[#This Row],[Morning Diastolic Pressure]])</f>
        <v>44.497901633495097</v>
      </c>
      <c r="CH141" s="2">
        <f>Table83[[#This Row],[Waist]]-Table7[[#This Row],[Waist v Morning Dia]]</f>
        <v>-0.49790163349509697</v>
      </c>
      <c r="CI141" s="2">
        <f>Table7[[#This Row],[WaistMD Res]]^2</f>
        <v>0.24790603663708588</v>
      </c>
      <c r="CJ141">
        <f>Regression!$G$29+(Regression!$G$28*Table83[[#This Row],[Morning Pulse]])</f>
        <v>44.441144158901992</v>
      </c>
      <c r="CK141" s="2">
        <f>Table83[[#This Row],[Waist]]-Table7[[#This Row],[Waist v Morning Pulse]]</f>
        <v>-0.44114415890199155</v>
      </c>
      <c r="CL141" s="2">
        <f>Table7[[#This Row],[WaistMP Res]]^2</f>
        <v>0.19460816893334557</v>
      </c>
      <c r="CM141">
        <f>Regression!$H$29+(Regression!$H$28*Table83[[#This Row],[Night Body Temp]])</f>
        <v>44.52992319270804</v>
      </c>
      <c r="CN141" s="2">
        <f>Table83[[#This Row],[Waist]]-Table7[[#This Row],[Waist v Night Temp]]</f>
        <v>-0.52992319270803989</v>
      </c>
      <c r="CO141" s="2">
        <f>Table7[[#This Row],[WaistNT Res]]^2</f>
        <v>0.28081859016988236</v>
      </c>
      <c r="CP141">
        <f>Regression!$I$29+(Regression!$I$28*Table83[[#This Row],[Night Systolic Pressure]])</f>
        <v>44.456499315305209</v>
      </c>
      <c r="CQ141" s="2">
        <f>Table83[[#This Row],[Waist]]-Table7[[#This Row],[Waist v  Night Sys]]</f>
        <v>-0.4564993153052086</v>
      </c>
      <c r="CR141" s="2">
        <f>Table7[[#This Row],[WaistNS Res]]^2</f>
        <v>0.20839162487412424</v>
      </c>
      <c r="CS141">
        <f>Regression!$J$29+(Regression!$J$28*Table83[[#This Row],[Night Diastolic Pressure]])</f>
        <v>44.478159956361175</v>
      </c>
      <c r="CT141" s="2">
        <f>Table83[[#This Row],[Waist]]-Table7[[#This Row],[Waist v Night Dia]]</f>
        <v>-0.47815995636117492</v>
      </c>
      <c r="CU141" s="2">
        <f>Table7[[#This Row],[WaistND Res]]^2</f>
        <v>0.2286369438673207</v>
      </c>
      <c r="CV141">
        <f>Regression!$K$29+(Regression!$K$28*Table83[[#This Row],[Night Pulse]])</f>
        <v>44.411143685278866</v>
      </c>
      <c r="CW141" s="2">
        <f>Table83[[#This Row],[Waist]]-Table7[[#This Row],[Waist v Night Pulse]]</f>
        <v>-0.41114368527886569</v>
      </c>
      <c r="CX141" s="2">
        <f>Table7[[#This Row],[WaistNP Res]]^2</f>
        <v>0.16903912994468695</v>
      </c>
      <c r="CY141">
        <f>Regression!$L$29+(Regression!$L$28*Table83[[#This Row],[Sleep]])</f>
        <v>44.480941336855928</v>
      </c>
      <c r="CZ141" s="2">
        <f>Table83[[#This Row],[Waist]]-Table7[[#This Row],[Waist v  Sleep]]</f>
        <v>-0.48094133685592766</v>
      </c>
      <c r="DA141" s="2">
        <f>Table7[[#This Row],[WaistS Res]]^2</f>
        <v>0.23130456949676689</v>
      </c>
      <c r="DB141">
        <f>Regression!$M$29+(Regression!$M$28*Table83[[#This Row],[BMI]])</f>
        <v>43.647541043675311</v>
      </c>
      <c r="DC141" s="2">
        <f>Table83[[#This Row],[Waist]]-Table7[[#This Row],[Waist v BMI]]</f>
        <v>0.35245895632468915</v>
      </c>
      <c r="DD141" s="2">
        <f>Table7[[#This Row],[WaistBMI Res]]^2</f>
        <v>0.12422731589348913</v>
      </c>
      <c r="DE141">
        <f>Regression!$N$29+(Regression!$N$28*Table83[[#This Row],[CBF]])</f>
        <v>44.105031770433015</v>
      </c>
      <c r="DF141" s="2">
        <f>Table83[[#This Row],[Waist]]-Table7[[#This Row],[Waist v  CBF]]</f>
        <v>-0.10503177043301548</v>
      </c>
      <c r="DG141" s="2">
        <f>Table7[[#This Row],[WaistCBF Res]]^2</f>
        <v>1.1031672800293666E-2</v>
      </c>
      <c r="DH141">
        <f>Regression!$O$29+(Regression!$O$28*Table83[[#This Row],[Gym]])</f>
        <v>44.347222222222221</v>
      </c>
      <c r="DI141" s="2">
        <f>Table83[[#This Row],[Waist]]-Table7[[#This Row],[Waist v  Gym]]</f>
        <v>-0.34722222222222143</v>
      </c>
      <c r="DJ141" s="2">
        <f>Table7[[#This Row],[WaistGYM Res]]^2</f>
        <v>0.12056327160493772</v>
      </c>
      <c r="DK141">
        <f>Regression!$P$29+(Regression!$P$28*Table83[[#This Row],[Cardio]])</f>
        <v>44.291666666666664</v>
      </c>
      <c r="DL141" s="2">
        <f>Table83[[#This Row],[Waist]]-Table7[[#This Row],[Waist v Cardio]]</f>
        <v>-0.2916666666666643</v>
      </c>
      <c r="DM141" s="2">
        <f>Table7[[#This Row],[WaistC Res]]^2</f>
        <v>8.506944444444306E-2</v>
      </c>
      <c r="DN141">
        <f>Regression!$Q$29+(Regression!$Q$28*Table83[[#This Row],[Calories]])</f>
        <v>44.374367339361719</v>
      </c>
      <c r="DO141" s="2">
        <f>Table83[[#This Row],[Waist]]-Table7[[#This Row],[Waist v Calories]]</f>
        <v>-0.37436733936171862</v>
      </c>
      <c r="DP141" s="2">
        <f>Table7[[#This Row],[WaistCal Res]]^2</f>
        <v>0.14015090478077219</v>
      </c>
      <c r="DQ141">
        <f>Regression!$R$29+(Regression!$R$28*Table83[[#This Row],[Carbs]])</f>
        <v>44.294725293462264</v>
      </c>
      <c r="DR141" s="2">
        <f>Table83[[#This Row],[Waist]]-Table7[[#This Row],[Waist v Carbs]]</f>
        <v>-0.29472529346226395</v>
      </c>
      <c r="DS141" s="2">
        <f>Table7[[#This Row],[WaistCarb Res]]^2</f>
        <v>8.6862998606417607E-2</v>
      </c>
      <c r="DT141">
        <f>Regression!$S$29+(Regression!$S$28*Table83[[#This Row],[Fat ]])</f>
        <v>44.464999014381242</v>
      </c>
      <c r="DU141" s="2">
        <f>Table83[[#This Row],[Waist]]-Table7[[#This Row],[Waist v Fat]]</f>
        <v>-0.46499901438124169</v>
      </c>
      <c r="DV141" s="2">
        <f>Table7[[#This Row],[WaistF Res]]^2</f>
        <v>0.21622408337552623</v>
      </c>
      <c r="DW141">
        <f>Regression!$T$29+(Regression!$T$28*Table83[[#This Row],[Protein]])</f>
        <v>44.477228132941079</v>
      </c>
      <c r="DX141" s="2">
        <f>Table83[[#This Row],[Waist]]-Table7[[#This Row],[Waist v Protein]]</f>
        <v>-0.4772281329410788</v>
      </c>
      <c r="DY141" s="2">
        <f>Table7[[#This Row],[WaistP Res]]^2</f>
        <v>0.22774669087042798</v>
      </c>
      <c r="DZ141">
        <f>Regression!$U$29+(Regression!$U$28*Table83[[#This Row],[Fiber]])</f>
        <v>44.518861330286128</v>
      </c>
      <c r="EA141" s="2">
        <f>Table83[[#This Row],[Waist]]-Table7[[#This Row],[Waist v Fiber]]</f>
        <v>-0.51886133028612846</v>
      </c>
      <c r="EB141" s="2">
        <f>Table7[[#This Row],[WaistFib Res]]^2</f>
        <v>0.26921708006629091</v>
      </c>
      <c r="EC141">
        <f>Regression!$V$29+(Regression!$V$28*Table83[[#This Row],[Sugar]])</f>
        <v>44.169633822261439</v>
      </c>
      <c r="ED141" s="2">
        <f>Table83[[#This Row],[Waist]]-Table7[[#This Row],[Waist v Sugar]]</f>
        <v>-0.16963382226143864</v>
      </c>
      <c r="EE141" s="2">
        <f>Table7[[#This Row],[WaistSugar Res]]^2</f>
        <v>2.8775633655025355E-2</v>
      </c>
      <c r="EF141">
        <f>Regression!$W$29+(Regression!$W$28*Table83[[#This Row],[Servings]])</f>
        <v>44.061624915758912</v>
      </c>
      <c r="EG141" s="2">
        <f>Table83[[#This Row],[Waist]]-Table7[[#This Row],[Waist v Servings]]</f>
        <v>-6.162491575891238E-2</v>
      </c>
      <c r="EH141" s="2">
        <f>Table7[[#This Row],[WaistServ Res]]^2</f>
        <v>3.7976302422930474E-3</v>
      </c>
      <c r="EI141">
        <f>Regression!$X$29+(Regression!$X$28*Table83[[#This Row],[Water]])</f>
        <v>44.358256536134995</v>
      </c>
      <c r="EJ141" s="2">
        <f>Table83[[#This Row],[Waist]]-Table7[[#This Row],[Waist v Water]]</f>
        <v>-0.35825653613499497</v>
      </c>
      <c r="EK141" s="2">
        <f>Table7[[#This Row],[WaistWat Res]]^2</f>
        <v>0.12834774568344495</v>
      </c>
      <c r="EL141">
        <f>Regression!$Y$29+(Regression!$Y$28*Table83[[#This Row],[Fat Calories]])</f>
        <v>44.464194889424597</v>
      </c>
      <c r="EM141" s="2">
        <f>Table83[[#This Row],[Waist]]-Table7[[#This Row],[Waist v Fat Calories]]</f>
        <v>-0.46419488942459708</v>
      </c>
      <c r="EN141" s="2">
        <f>Table7[[#This Row],[WaistFatCal Res]]^2</f>
        <v>0.2154768953679139</v>
      </c>
    </row>
    <row r="142" spans="1:144" x14ac:dyDescent="0.25">
      <c r="A142">
        <f>Regression!$B$10+(Regression!$B$9*Table83[[#This Row],[Waist]])</f>
        <v>252.52625917894264</v>
      </c>
      <c r="B142" s="2">
        <f>Table83[[#This Row],[Weight]]-Table7[[#This Row],[Weight v Waist]]</f>
        <v>-4.5262591789426381</v>
      </c>
      <c r="C142" s="2">
        <f>Table7[[#This Row],[Weight v Waist Res]]^2</f>
        <v>20.487022154962485</v>
      </c>
      <c r="D142">
        <f>Regression!$C$10+(Regression!$C$9*Table83[[#This Row],[Neck]])</f>
        <v>253.29286486487842</v>
      </c>
      <c r="E142" s="2">
        <f>Table83[[#This Row],[Weight]]-Table7[[#This Row],[Weight v Neck]]</f>
        <v>-5.2928648648784247</v>
      </c>
      <c r="F142" s="2">
        <f>Table7[[#This Row],[WN Res]]^2</f>
        <v>28.014418477864506</v>
      </c>
      <c r="G142">
        <f>Regression!$D$10+(Regression!$D$9*Table83[[#This Row],[Morning Body Temp]])</f>
        <v>255.4819577744185</v>
      </c>
      <c r="H142" s="2">
        <f>Table83[[#This Row],[Weight]]-Table7[[#This Row],[Weight v Morning Temp]]</f>
        <v>-7.481957774418504</v>
      </c>
      <c r="I142" s="2">
        <f>Table7[[#This Row],[WMT Res]]^2</f>
        <v>55.979692138181491</v>
      </c>
      <c r="J142">
        <f>Regression!$E$10+(Regression!$E$9*Table83[[#This Row],[Morning Systolic Pressure]])</f>
        <v>255.50518146352579</v>
      </c>
      <c r="K142" s="2">
        <f>Table83[[#This Row],[Weight]]-Table7[[#This Row],[Weight v Morning Sys]]</f>
        <v>-7.505181463525787</v>
      </c>
      <c r="L142" s="2">
        <f>Table7[[#This Row],[WMS Res]]^2</f>
        <v>56.327748800451076</v>
      </c>
      <c r="M142">
        <f>Regression!$F$10+(Regression!$F$9*Table83[[#This Row],[Morning Diastolic Pressure]])</f>
        <v>254.39263015393252</v>
      </c>
      <c r="N142" s="2">
        <f>Table83[[#This Row],[Weight]]-Table7[[#This Row],[Weight v Morning Dia]]</f>
        <v>-6.3926301539325152</v>
      </c>
      <c r="O142" s="2">
        <f>Table7[[#This Row],[WMD Res]]^2</f>
        <v>40.865720284967253</v>
      </c>
      <c r="P142">
        <f>Regression!$G$10+(Regression!$G$9*Table83[[#This Row],[Morning Pulse]])</f>
        <v>255.10998950288408</v>
      </c>
      <c r="Q142" s="2">
        <f>Table83[[#This Row],[Weight]]-Table7[[#This Row],[Weight v Morning Pulse]]</f>
        <v>-7.1099895028840763</v>
      </c>
      <c r="R142" s="2">
        <f>Table7[[#This Row],[WMP Res]]^2</f>
        <v>50.551950731121757</v>
      </c>
      <c r="S142">
        <f>Regression!$H$10+(Regression!$H$9*Table83[[#This Row],[Night Body Temp]])</f>
        <v>254.85148667752509</v>
      </c>
      <c r="T142" s="2">
        <f>Table83[[#This Row],[Weight]]-Table7[[#This Row],[Weight v Night Temp]]</f>
        <v>-6.851486677525088</v>
      </c>
      <c r="U142" s="2">
        <f>Table7[[#This Row],[WNT Res]]^2</f>
        <v>46.942869692303766</v>
      </c>
      <c r="V142">
        <f>Regression!$I$10+(Regression!$I$9*Table83[[#This Row],[Night Systolic Pressure]])</f>
        <v>253.80155371676864</v>
      </c>
      <c r="W142" s="2">
        <f>Table83[[#This Row],[Weight]]-Table7[[#This Row],[Weight v Night Sys]]</f>
        <v>-5.8015537167686375</v>
      </c>
      <c r="X142" s="2">
        <f>Table7[[#This Row],[WNS Res]]^2</f>
        <v>33.658025528551995</v>
      </c>
      <c r="Y142">
        <f>Regression!$J$10+(Regression!$J$9*Table83[[#This Row],[Night Diastolic Pressure]])</f>
        <v>254.76618942691729</v>
      </c>
      <c r="Z142" s="2">
        <f>Table83[[#This Row],[Weight]]-Table7[[#This Row],[Weight v Night Dia]]</f>
        <v>-6.7661894269172933</v>
      </c>
      <c r="AA142" s="2">
        <f>Table7[[#This Row],[WND Res]]^2</f>
        <v>45.78131936092737</v>
      </c>
      <c r="AB142">
        <f>Regression!$K$10+(Regression!$K$9*Table83[[#This Row],[Night Pulse]])</f>
        <v>255.26371851492488</v>
      </c>
      <c r="AC142" s="2">
        <f>Table83[[#This Row],[Weight]]-Table7[[#This Row],[Weight v Night Pulse]]</f>
        <v>-7.2637185149248751</v>
      </c>
      <c r="AD142" s="2">
        <f>Table7[[#This Row],[WNP Res ]]^2</f>
        <v>52.761606664062434</v>
      </c>
      <c r="AE142">
        <f>Regression!$L$10+(Regression!$L$9*Table83[[#This Row],[Sleep]])</f>
        <v>256.39892646087662</v>
      </c>
      <c r="AF142" s="2">
        <f>Table83[[#This Row],[Weight]]-Table7[[#This Row],[Weight v Sleep]]</f>
        <v>-8.3989264608766234</v>
      </c>
      <c r="AG142" s="2">
        <f>Table7[[#This Row],[WS Res]]^2</f>
        <v>70.54196569521352</v>
      </c>
      <c r="AH142">
        <f>Regression!$M$10+(Regression!$M$9*Table83[[#This Row],[BMI]])</f>
        <v>248.00000000001594</v>
      </c>
      <c r="AI142" s="2">
        <f>Table83[[#This Row],[Weight]]-Table7[[#This Row],[Weight v BMI]]</f>
        <v>-1.5944578990456648E-11</v>
      </c>
      <c r="AJ142" s="2">
        <f>Table7[[#This Row],[WBMI Res]]^2</f>
        <v>2.5422959918291155E-22</v>
      </c>
      <c r="AK142">
        <f>Regression!$N$10+(Regression!$N$9*Table83[[#This Row],[CBF]])</f>
        <v>253.17965033701802</v>
      </c>
      <c r="AL142" s="2">
        <f>Table83[[#This Row],[Weight]]-Table7[[#This Row],[Weight v CBF]]</f>
        <v>-5.1796503370180176</v>
      </c>
      <c r="AM142" s="2">
        <f>Table7[[#This Row],[WCBF Res]]^2</f>
        <v>26.828777613770864</v>
      </c>
      <c r="AN142">
        <f>Regression!$O$10+(Regression!$O$9*Table83[[#This Row],[Gym]])</f>
        <v>255.46779661016953</v>
      </c>
      <c r="AO142" s="2">
        <f>Table83[[#This Row],[Weight]]-Table7[[#This Row],[Weight v Gym]]</f>
        <v>-7.467796610169529</v>
      </c>
      <c r="AP142" s="2">
        <f>Table7[[#This Row],[WG Res]]^2</f>
        <v>55.767986210859512</v>
      </c>
      <c r="AQ142">
        <f>Regression!$P$10+(Regression!$P$9*Table83[[#This Row],[Cardio]])</f>
        <v>254.19242424242461</v>
      </c>
      <c r="AR142" s="2">
        <f>Table83[[#This Row],[Weight]]-Table7[[#This Row],[Weight v Cardio]]</f>
        <v>-6.1924242424246074</v>
      </c>
      <c r="AS142" s="2">
        <f>Table7[[#This Row],[WC Res]]^2</f>
        <v>38.346117998167976</v>
      </c>
      <c r="AT142">
        <f>Regression!$Q$10+(Regression!$Q$9*Table83[[#This Row],[Calories]])</f>
        <v>254.30918359855877</v>
      </c>
      <c r="AU142" s="2">
        <f>Table83[[#This Row],[Weight]]-Table7[[#This Row],[Weight v Calories]]</f>
        <v>-6.309183598558775</v>
      </c>
      <c r="AV142" s="2">
        <f>Table7[[#This Row],[WCAL Res]]^2</f>
        <v>39.805797680323053</v>
      </c>
      <c r="AW142">
        <f>Regression!$R$10+(Regression!$R$9*Table83[[#This Row],[Carbs]])</f>
        <v>254.0684152482772</v>
      </c>
      <c r="AX142" s="2">
        <f>Table83[[#This Row],[Weight]]-Table7[[#This Row],[Weight v Carbs]]</f>
        <v>-6.0684152482772049</v>
      </c>
      <c r="AY142" s="2">
        <f>Table7[[#This Row],[Wcarb Res]]^2</f>
        <v>36.825663625523291</v>
      </c>
      <c r="AZ142">
        <f>Regression!$S$10+(Regression!$S$9*Table83[[#This Row],[Fat ]])</f>
        <v>254.85408034062394</v>
      </c>
      <c r="BA142" s="2">
        <f>Table83[[#This Row],[Weight]]-Table7[[#This Row],[Weight v Fat]]</f>
        <v>-6.8540803406239377</v>
      </c>
      <c r="BB142" s="2">
        <f>Table7[[#This Row],[WF Res]]^2</f>
        <v>46.978417315727555</v>
      </c>
      <c r="BC142">
        <f>Regression!$T$10+(Regression!$T$9*Table83[[#This Row],[Protein]])</f>
        <v>254.17885830107048</v>
      </c>
      <c r="BD142" s="2">
        <f>Table83[[#This Row],[Weight]]-Table7[[#This Row],[Weight v Protein]]</f>
        <v>-6.178858301070477</v>
      </c>
      <c r="BE142" s="2">
        <f>Table7[[#This Row],[WP Res]]^2</f>
        <v>38.17828990470754</v>
      </c>
      <c r="BF142">
        <f>Regression!$U$10+(Regression!$U$9*Table83[[#This Row],[Fiber]])</f>
        <v>255.32942298925522</v>
      </c>
      <c r="BG142" s="2">
        <f>Table83[[#This Row],[Weight]]-Table7[[#This Row],[Weight v Fiber]]</f>
        <v>-7.329422989255221</v>
      </c>
      <c r="BH142" s="2">
        <f>Table7[[#This Row],[Wfib Res]]^2</f>
        <v>53.720441355422942</v>
      </c>
      <c r="BI142">
        <f>Regression!$V$10+(Regression!$V$9*Table83[[#This Row],[Sugar]])</f>
        <v>252.9421224235866</v>
      </c>
      <c r="BJ142" s="2">
        <f>Table83[[#This Row],[Weight]]-Table7[[#This Row],[Weight v Sugar]]</f>
        <v>-4.9421224235865964</v>
      </c>
      <c r="BK142" s="2">
        <f>Table7[[#This Row],[Wsugar Res]]^2</f>
        <v>24.424574049717453</v>
      </c>
      <c r="BL142">
        <f>Regression!$W$10+(Regression!$W$9*Table83[[#This Row],[Servings]])</f>
        <v>251.00872700391417</v>
      </c>
      <c r="BM142" s="2">
        <f>Table83[[#This Row],[Weight]]-Table7[[#This Row],[Weight v Servings]]</f>
        <v>-3.0087270039141742</v>
      </c>
      <c r="BN142" s="2">
        <f>Table7[[#This Row],[Wserv Res]]^2</f>
        <v>9.052438184082364</v>
      </c>
      <c r="BO142">
        <f>Regression!$X$10+(Regression!$X$9*Table83[[#This Row],[Water]])</f>
        <v>255.0206340268538</v>
      </c>
      <c r="BP142" s="2">
        <f>Table83[[#This Row],[Weight]]-Table7[[#This Row],[Weight v Water]]</f>
        <v>-7.0206340268537986</v>
      </c>
      <c r="BQ142" s="2">
        <f>Table7[[#This Row],[Wwater Res]]^2</f>
        <v>49.28930213901738</v>
      </c>
      <c r="BR142">
        <f>Regression!$Y$10+(Regression!$Y$9*Table83[[#This Row],[Fat Calories]])</f>
        <v>254.83245139536413</v>
      </c>
      <c r="BS142" s="2">
        <f>Table83[[#This Row],[Weight]]-Table7[[#This Row],[Weight v Fat Calories]]</f>
        <v>-6.8324513953641315</v>
      </c>
      <c r="BT142" s="2">
        <f>Table7[[#This Row],[WFC Res]]^2</f>
        <v>46.682392070013265</v>
      </c>
      <c r="BU142">
        <f>Regression!$B$29+(Regression!$B$28*Table83[[#This Row],[Weight]])</f>
        <v>43.484026030988773</v>
      </c>
      <c r="BV142" s="2">
        <f>Table83[[#This Row],[Waist]]-Table7[[#This Row],[Waist v Weight]]</f>
        <v>0.5159739690112275</v>
      </c>
      <c r="BW142" s="2">
        <f>Table7[[#This Row],[WaistW Res]]^2</f>
        <v>0.26622913669719916</v>
      </c>
      <c r="BX142">
        <f>Regression!$C$29+(Regression!$C$28*Table83[[#This Row],[Neck]])</f>
        <v>44.175585585585594</v>
      </c>
      <c r="BY142" s="2">
        <f>Table83[[#This Row],[Waist]]-Table7[[#This Row],[Waist v Neck]]</f>
        <v>-0.17558558558559412</v>
      </c>
      <c r="BZ142" s="2">
        <f>Table7[[#This Row],[WaistN Res]]^2</f>
        <v>3.0830297865435997E-2</v>
      </c>
      <c r="CA142">
        <f>Regression!$D$29+(Regression!$D$28*Table83[[#This Row],[Morning Body Temp]])</f>
        <v>44.553331996636587</v>
      </c>
      <c r="CB142" s="2">
        <f>Table83[[#This Row],[Waist]]-Table7[[#This Row],[Waist v Morning Temp]]</f>
        <v>-0.55333199663658661</v>
      </c>
      <c r="CC142" s="2">
        <f>Table7[[#This Row],[WaistMT Res]]^2</f>
        <v>0.30617629850183148</v>
      </c>
      <c r="CD142">
        <f>Regression!$E$29+(Regression!$E$28*Table83[[#This Row],[Morning Systolic Pressure]])</f>
        <v>44.545198374576046</v>
      </c>
      <c r="CE142" s="2">
        <f>Table83[[#This Row],[Waist]]-Table7[[#This Row],[Waist v Morning Sys]]</f>
        <v>-0.54519837457604581</v>
      </c>
      <c r="CF142" s="2">
        <f>Table7[[#This Row],[WaistMS Res]]^2</f>
        <v>0.29724126764036235</v>
      </c>
      <c r="CG142">
        <f>Regression!$F$29+(Regression!$F$28*Table83[[#This Row],[Morning Diastolic Pressure]])</f>
        <v>44.413367323462282</v>
      </c>
      <c r="CH142" s="2">
        <f>Table83[[#This Row],[Waist]]-Table7[[#This Row],[Waist v Morning Dia]]</f>
        <v>-0.41336732346228189</v>
      </c>
      <c r="CI142" s="2">
        <f>Table7[[#This Row],[WaistMD Res]]^2</f>
        <v>0.17087254410637079</v>
      </c>
      <c r="CJ142">
        <f>Regression!$G$29+(Regression!$G$28*Table83[[#This Row],[Morning Pulse]])</f>
        <v>44.451218189785358</v>
      </c>
      <c r="CK142" s="2">
        <f>Table83[[#This Row],[Waist]]-Table7[[#This Row],[Waist v Morning Pulse]]</f>
        <v>-0.45121818978535799</v>
      </c>
      <c r="CL142" s="2">
        <f>Table7[[#This Row],[WaistMP Res]]^2</f>
        <v>0.20359785479317535</v>
      </c>
      <c r="CM142">
        <f>Regression!$H$29+(Regression!$H$28*Table83[[#This Row],[Night Body Temp]])</f>
        <v>44.432760107049404</v>
      </c>
      <c r="CN142" s="2">
        <f>Table83[[#This Row],[Waist]]-Table7[[#This Row],[Waist v Night Temp]]</f>
        <v>-0.43276010704940404</v>
      </c>
      <c r="CO142" s="2">
        <f>Table7[[#This Row],[WaistNT Res]]^2</f>
        <v>0.18728131025341166</v>
      </c>
      <c r="CP142">
        <f>Regression!$I$29+(Regression!$I$28*Table83[[#This Row],[Night Systolic Pressure]])</f>
        <v>44.267477829072234</v>
      </c>
      <c r="CQ142" s="2">
        <f>Table83[[#This Row],[Waist]]-Table7[[#This Row],[Waist v  Night Sys]]</f>
        <v>-0.26747782907223439</v>
      </c>
      <c r="CR142" s="2">
        <f>Table7[[#This Row],[WaistNS Res]]^2</f>
        <v>7.1544389045195431E-2</v>
      </c>
      <c r="CS142">
        <f>Regression!$J$29+(Regression!$J$28*Table83[[#This Row],[Night Diastolic Pressure]])</f>
        <v>44.307480504286751</v>
      </c>
      <c r="CT142" s="2">
        <f>Table83[[#This Row],[Waist]]-Table7[[#This Row],[Waist v Night Dia]]</f>
        <v>-0.307480504286751</v>
      </c>
      <c r="CU142" s="2">
        <f>Table7[[#This Row],[WaistND Res]]^2</f>
        <v>9.4544260516434706E-2</v>
      </c>
      <c r="CV142">
        <f>Regression!$K$29+(Regression!$K$28*Table83[[#This Row],[Night Pulse]])</f>
        <v>44.439711148388511</v>
      </c>
      <c r="CW142" s="2">
        <f>Table83[[#This Row],[Waist]]-Table7[[#This Row],[Waist v Night Pulse]]</f>
        <v>-0.43971114838851122</v>
      </c>
      <c r="CX142" s="2">
        <f>Table7[[#This Row],[WaistNP Res]]^2</f>
        <v>0.19334589401714333</v>
      </c>
      <c r="CY142">
        <f>Regression!$L$29+(Regression!$L$28*Table83[[#This Row],[Sleep]])</f>
        <v>44.649287724840718</v>
      </c>
      <c r="CZ142" s="2">
        <f>Table83[[#This Row],[Waist]]-Table7[[#This Row],[Waist v  Sleep]]</f>
        <v>-0.64928772484071828</v>
      </c>
      <c r="DA142" s="2">
        <f>Table7[[#This Row],[WaistS Res]]^2</f>
        <v>0.42157454962883628</v>
      </c>
      <c r="DB142">
        <f>Regression!$M$29+(Regression!$M$28*Table83[[#This Row],[BMI]])</f>
        <v>43.484026030991856</v>
      </c>
      <c r="DC142" s="2">
        <f>Table83[[#This Row],[Waist]]-Table7[[#This Row],[Waist v BMI]]</f>
        <v>0.51597396900814374</v>
      </c>
      <c r="DD142" s="2">
        <f>Table7[[#This Row],[WaistBMI Res]]^2</f>
        <v>0.26622913669401688</v>
      </c>
      <c r="DE142">
        <f>Regression!$N$29+(Regression!$N$28*Table83[[#This Row],[CBF]])</f>
        <v>44.105031770433015</v>
      </c>
      <c r="DF142" s="2">
        <f>Table83[[#This Row],[Waist]]-Table7[[#This Row],[Waist v  CBF]]</f>
        <v>-0.10503177043301548</v>
      </c>
      <c r="DG142" s="2">
        <f>Table7[[#This Row],[WaistCBF Res]]^2</f>
        <v>1.1031672800293666E-2</v>
      </c>
      <c r="DH142">
        <f>Regression!$O$29+(Regression!$O$28*Table83[[#This Row],[Gym]])</f>
        <v>44.550847457627107</v>
      </c>
      <c r="DI142" s="2">
        <f>Table83[[#This Row],[Waist]]-Table7[[#This Row],[Waist v  Gym]]</f>
        <v>-0.55084745762710696</v>
      </c>
      <c r="DJ142" s="2">
        <f>Table7[[#This Row],[WaistGYM Res]]^2</f>
        <v>0.30343292157424739</v>
      </c>
      <c r="DK142">
        <f>Regression!$P$29+(Regression!$P$28*Table83[[#This Row],[Cardio]])</f>
        <v>44.291666666666664</v>
      </c>
      <c r="DL142" s="2">
        <f>Table83[[#This Row],[Waist]]-Table7[[#This Row],[Waist v Cardio]]</f>
        <v>-0.2916666666666643</v>
      </c>
      <c r="DM142" s="2">
        <f>Table7[[#This Row],[WaistC Res]]^2</f>
        <v>8.506944444444306E-2</v>
      </c>
      <c r="DN142">
        <f>Regression!$Q$29+(Regression!$Q$28*Table83[[#This Row],[Calories]])</f>
        <v>44.27248080884462</v>
      </c>
      <c r="DO142" s="2">
        <f>Table83[[#This Row],[Waist]]-Table7[[#This Row],[Waist v Calories]]</f>
        <v>-0.27248080884461956</v>
      </c>
      <c r="DP142" s="2">
        <f>Table7[[#This Row],[WaistCal Res]]^2</f>
        <v>7.4245791188618099E-2</v>
      </c>
      <c r="DQ142">
        <f>Regression!$R$29+(Regression!$R$28*Table83[[#This Row],[Carbs]])</f>
        <v>44.235638074615217</v>
      </c>
      <c r="DR142" s="2">
        <f>Table83[[#This Row],[Waist]]-Table7[[#This Row],[Waist v Carbs]]</f>
        <v>-0.23563807461521691</v>
      </c>
      <c r="DS142" s="2">
        <f>Table7[[#This Row],[WaistCarb Res]]^2</f>
        <v>5.5525302208366531E-2</v>
      </c>
      <c r="DT142">
        <f>Regression!$S$29+(Regression!$S$28*Table83[[#This Row],[Fat ]])</f>
        <v>44.373768679292397</v>
      </c>
      <c r="DU142" s="2">
        <f>Table83[[#This Row],[Waist]]-Table7[[#This Row],[Waist v Fat]]</f>
        <v>-0.37376867929239666</v>
      </c>
      <c r="DV142" s="2">
        <f>Table7[[#This Row],[WaistF Res]]^2</f>
        <v>0.13970302561998246</v>
      </c>
      <c r="DW142">
        <f>Regression!$T$29+(Regression!$T$28*Table83[[#This Row],[Protein]])</f>
        <v>44.28218301877353</v>
      </c>
      <c r="DX142" s="2">
        <f>Table83[[#This Row],[Waist]]-Table7[[#This Row],[Waist v Protein]]</f>
        <v>-0.28218301877353014</v>
      </c>
      <c r="DY142" s="2">
        <f>Table7[[#This Row],[WaistP Res]]^2</f>
        <v>7.9627256084142464E-2</v>
      </c>
      <c r="DZ142">
        <f>Regression!$U$29+(Regression!$U$28*Table83[[#This Row],[Fiber]])</f>
        <v>44.536259993986754</v>
      </c>
      <c r="EA142" s="2">
        <f>Table83[[#This Row],[Waist]]-Table7[[#This Row],[Waist v Fiber]]</f>
        <v>-0.53625999398675361</v>
      </c>
      <c r="EB142" s="2">
        <f>Table7[[#This Row],[WaistFib Res]]^2</f>
        <v>0.28757478115067303</v>
      </c>
      <c r="EC142">
        <f>Regression!$V$29+(Regression!$V$28*Table83[[#This Row],[Sugar]])</f>
        <v>44.063198651946699</v>
      </c>
      <c r="ED142" s="2">
        <f>Table83[[#This Row],[Waist]]-Table7[[#This Row],[Waist v Sugar]]</f>
        <v>-6.3198651946699158E-2</v>
      </c>
      <c r="EE142" s="2">
        <f>Table7[[#This Row],[WaistSugar Res]]^2</f>
        <v>3.9940696078800209E-3</v>
      </c>
      <c r="EF142">
        <f>Regression!$W$29+(Regression!$W$28*Table83[[#This Row],[Servings]])</f>
        <v>43.826984222819959</v>
      </c>
      <c r="EG142" s="2">
        <f>Table83[[#This Row],[Waist]]-Table7[[#This Row],[Waist v Servings]]</f>
        <v>0.17301577718004069</v>
      </c>
      <c r="EH142" s="2">
        <f>Table7[[#This Row],[WaistServ Res]]^2</f>
        <v>2.9934459153213487E-2</v>
      </c>
      <c r="EI142">
        <f>Regression!$X$29+(Regression!$X$28*Table83[[#This Row],[Water]])</f>
        <v>44.33031459742935</v>
      </c>
      <c r="EJ142" s="2">
        <f>Table83[[#This Row],[Waist]]-Table7[[#This Row],[Waist v Water]]</f>
        <v>-0.33031459742934999</v>
      </c>
      <c r="EK142" s="2">
        <f>Table7[[#This Row],[WaistWat Res]]^2</f>
        <v>0.10910773327491355</v>
      </c>
      <c r="EL142">
        <f>Regression!$Y$29+(Regression!$Y$28*Table83[[#This Row],[Fat Calories]])</f>
        <v>44.367595207054833</v>
      </c>
      <c r="EM142" s="2">
        <f>Table83[[#This Row],[Waist]]-Table7[[#This Row],[Waist v Fat Calories]]</f>
        <v>-0.36759520705483339</v>
      </c>
      <c r="EN142" s="2">
        <f>Table7[[#This Row],[WaistFatCal Res]]^2</f>
        <v>0.13512623624968584</v>
      </c>
    </row>
    <row r="143" spans="1:144" x14ac:dyDescent="0.25">
      <c r="A143">
        <f>Regression!$B$10+(Regression!$B$9*Table83[[#This Row],[Waist]])</f>
        <v>252.52625917894264</v>
      </c>
      <c r="B143" s="2">
        <f>Table83[[#This Row],[Weight]]-Table7[[#This Row],[Weight v Waist]]</f>
        <v>-2.3262591789426494</v>
      </c>
      <c r="C143" s="2">
        <f>Table7[[#This Row],[Weight v Waist Res]]^2</f>
        <v>5.4114817676149292</v>
      </c>
      <c r="D143">
        <f>Regression!$C$10+(Regression!$C$9*Table83[[#This Row],[Neck]])</f>
        <v>253.29286486487842</v>
      </c>
      <c r="E143" s="2">
        <f>Table83[[#This Row],[Weight]]-Table7[[#This Row],[Weight v Neck]]</f>
        <v>-3.092864864878436</v>
      </c>
      <c r="F143" s="2">
        <f>Table7[[#This Row],[WN Res]]^2</f>
        <v>9.5658130723995072</v>
      </c>
      <c r="G143">
        <f>Regression!$D$10+(Regression!$D$9*Table83[[#This Row],[Morning Body Temp]])</f>
        <v>254.98916789486196</v>
      </c>
      <c r="H143" s="2">
        <f>Table83[[#This Row],[Weight]]-Table7[[#This Row],[Weight v Morning Temp]]</f>
        <v>-4.7891678948619756</v>
      </c>
      <c r="I143" s="2">
        <f>Table7[[#This Row],[WMT Res]]^2</f>
        <v>22.936129125176688</v>
      </c>
      <c r="J143">
        <f>Regression!$E$10+(Regression!$E$9*Table83[[#This Row],[Morning Systolic Pressure]])</f>
        <v>255.2347182403455</v>
      </c>
      <c r="K143" s="2">
        <f>Table83[[#This Row],[Weight]]-Table7[[#This Row],[Weight v Morning Sys]]</f>
        <v>-5.0347182403455122</v>
      </c>
      <c r="L143" s="2">
        <f>Table7[[#This Row],[WMS Res]]^2</f>
        <v>25.348387759667812</v>
      </c>
      <c r="M143">
        <f>Regression!$F$10+(Regression!$F$9*Table83[[#This Row],[Morning Diastolic Pressure]])</f>
        <v>254.59531865202226</v>
      </c>
      <c r="N143" s="2">
        <f>Table83[[#This Row],[Weight]]-Table7[[#This Row],[Weight v Morning Dia]]</f>
        <v>-4.3953186520222687</v>
      </c>
      <c r="O143" s="2">
        <f>Table7[[#This Row],[WMD Res]]^2</f>
        <v>19.318826052814853</v>
      </c>
      <c r="P143">
        <f>Regression!$G$10+(Regression!$G$9*Table83[[#This Row],[Morning Pulse]])</f>
        <v>255.12095627742721</v>
      </c>
      <c r="Q143" s="2">
        <f>Table83[[#This Row],[Weight]]-Table7[[#This Row],[Weight v Morning Pulse]]</f>
        <v>-4.9209562774272229</v>
      </c>
      <c r="R143" s="2">
        <f>Table7[[#This Row],[WMP Res]]^2</f>
        <v>24.215810684350391</v>
      </c>
      <c r="S143">
        <f>Regression!$H$10+(Regression!$H$9*Table83[[#This Row],[Night Body Temp]])</f>
        <v>254.85148667752509</v>
      </c>
      <c r="T143" s="2">
        <f>Table83[[#This Row],[Weight]]-Table7[[#This Row],[Weight v Night Temp]]</f>
        <v>-4.6514866775250994</v>
      </c>
      <c r="U143" s="2">
        <f>Table7[[#This Row],[WNT Res]]^2</f>
        <v>21.636328311193488</v>
      </c>
      <c r="V143">
        <f>Regression!$I$10+(Regression!$I$9*Table83[[#This Row],[Night Systolic Pressure]])</f>
        <v>253.80155371676864</v>
      </c>
      <c r="W143" s="2">
        <f>Table83[[#This Row],[Weight]]-Table7[[#This Row],[Weight v Night Sys]]</f>
        <v>-3.6015537167686489</v>
      </c>
      <c r="X143" s="2">
        <f>Table7[[#This Row],[WNS Res]]^2</f>
        <v>12.971189174770069</v>
      </c>
      <c r="Y143">
        <f>Regression!$J$10+(Regression!$J$9*Table83[[#This Row],[Night Diastolic Pressure]])</f>
        <v>254.76618942691729</v>
      </c>
      <c r="Z143" s="2">
        <f>Table83[[#This Row],[Weight]]-Table7[[#This Row],[Weight v Night Dia]]</f>
        <v>-4.5661894269173047</v>
      </c>
      <c r="AA143" s="2">
        <f>Table7[[#This Row],[WND Res]]^2</f>
        <v>20.850085882491385</v>
      </c>
      <c r="AB143">
        <f>Regression!$K$10+(Regression!$K$9*Table83[[#This Row],[Night Pulse]])</f>
        <v>255.14086518997797</v>
      </c>
      <c r="AC143" s="2">
        <f>Table83[[#This Row],[Weight]]-Table7[[#This Row],[Weight v Night Pulse]]</f>
        <v>-4.9408651899779841</v>
      </c>
      <c r="AD143" s="2">
        <f>Table7[[#This Row],[WNP Res ]]^2</f>
        <v>24.412148825536182</v>
      </c>
      <c r="AE143">
        <f>Regression!$L$10+(Regression!$L$9*Table83[[#This Row],[Sleep]])</f>
        <v>254.97929263569441</v>
      </c>
      <c r="AF143" s="2">
        <f>Table83[[#This Row],[Weight]]-Table7[[#This Row],[Weight v Sleep]]</f>
        <v>-4.7792926356944179</v>
      </c>
      <c r="AG143" s="2">
        <f>Table7[[#This Row],[WS Res]]^2</f>
        <v>22.841638097602896</v>
      </c>
      <c r="AH143">
        <f>Regression!$M$10+(Regression!$M$9*Table83[[#This Row],[BMI]])</f>
        <v>250.20000000001099</v>
      </c>
      <c r="AI143" s="2">
        <f>Table83[[#This Row],[Weight]]-Table7[[#This Row],[Weight v BMI]]</f>
        <v>-1.0999201549566351E-11</v>
      </c>
      <c r="AJ143" s="2">
        <f>Table7[[#This Row],[WBMI Res]]^2</f>
        <v>1.2098243472798281E-22</v>
      </c>
      <c r="AK143">
        <f>Regression!$N$10+(Regression!$N$9*Table83[[#This Row],[CBF]])</f>
        <v>253.17965033701802</v>
      </c>
      <c r="AL143" s="2">
        <f>Table83[[#This Row],[Weight]]-Table7[[#This Row],[Weight v CBF]]</f>
        <v>-2.9796503370180289</v>
      </c>
      <c r="AM143" s="2">
        <f>Table7[[#This Row],[WCBF Res]]^2</f>
        <v>8.8783161308916529</v>
      </c>
      <c r="AN143">
        <f>Regression!$O$10+(Regression!$O$9*Table83[[#This Row],[Gym]])</f>
        <v>254.72962962962998</v>
      </c>
      <c r="AO143" s="2">
        <f>Table83[[#This Row],[Weight]]-Table7[[#This Row],[Weight v Gym]]</f>
        <v>-4.5296296296299943</v>
      </c>
      <c r="AP143" s="2">
        <f>Table7[[#This Row],[WG Res]]^2</f>
        <v>20.517544581621959</v>
      </c>
      <c r="AQ143">
        <f>Regression!$P$10+(Regression!$P$9*Table83[[#This Row],[Cardio]])</f>
        <v>254.19242424242461</v>
      </c>
      <c r="AR143" s="2">
        <f>Table83[[#This Row],[Weight]]-Table7[[#This Row],[Weight v Cardio]]</f>
        <v>-3.9924242424246188</v>
      </c>
      <c r="AS143" s="2">
        <f>Table7[[#This Row],[WC Res]]^2</f>
        <v>15.939451331499791</v>
      </c>
      <c r="AT143">
        <f>Regression!$Q$10+(Regression!$Q$9*Table83[[#This Row],[Calories]])</f>
        <v>254.95216004743401</v>
      </c>
      <c r="AU143" s="2">
        <f>Table83[[#This Row],[Weight]]-Table7[[#This Row],[Weight v Calories]]</f>
        <v>-4.7521600474340175</v>
      </c>
      <c r="AV143" s="2">
        <f>Table7[[#This Row],[WCAL Res]]^2</f>
        <v>22.583025116428082</v>
      </c>
      <c r="AW143">
        <f>Regression!$R$10+(Regression!$R$9*Table83[[#This Row],[Carbs]])</f>
        <v>254.75693972885168</v>
      </c>
      <c r="AX143" s="2">
        <f>Table83[[#This Row],[Weight]]-Table7[[#This Row],[Weight v Carbs]]</f>
        <v>-4.5569397288516882</v>
      </c>
      <c r="AY143" s="2">
        <f>Table7[[#This Row],[Wcarb Res]]^2</f>
        <v>20.765699692386896</v>
      </c>
      <c r="AZ143">
        <f>Regression!$S$10+(Regression!$S$9*Table83[[#This Row],[Fat ]])</f>
        <v>255.1839338709477</v>
      </c>
      <c r="BA143" s="2">
        <f>Table83[[#This Row],[Weight]]-Table7[[#This Row],[Weight v Fat]]</f>
        <v>-4.983933870947709</v>
      </c>
      <c r="BB143" s="2">
        <f>Table7[[#This Row],[WF Res]]^2</f>
        <v>24.839596829979815</v>
      </c>
      <c r="BC143">
        <f>Regression!$T$10+(Regression!$T$9*Table83[[#This Row],[Protein]])</f>
        <v>254.71947147696503</v>
      </c>
      <c r="BD143" s="2">
        <f>Table83[[#This Row],[Weight]]-Table7[[#This Row],[Weight v Protein]]</f>
        <v>-4.5194714769650375</v>
      </c>
      <c r="BE143" s="2">
        <f>Table7[[#This Row],[WP Res]]^2</f>
        <v>20.425622431100539</v>
      </c>
      <c r="BF143">
        <f>Regression!$U$10+(Regression!$U$9*Table83[[#This Row],[Fiber]])</f>
        <v>255.29481504512748</v>
      </c>
      <c r="BG143" s="2">
        <f>Table83[[#This Row],[Weight]]-Table7[[#This Row],[Weight v Fiber]]</f>
        <v>-5.0948150451274898</v>
      </c>
      <c r="BH143" s="2">
        <f>Table7[[#This Row],[Wfib Res]]^2</f>
        <v>25.957140344057425</v>
      </c>
      <c r="BI143">
        <f>Regression!$V$10+(Regression!$V$9*Table83[[#This Row],[Sugar]])</f>
        <v>254.01947498519519</v>
      </c>
      <c r="BJ143" s="2">
        <f>Table83[[#This Row],[Weight]]-Table7[[#This Row],[Weight v Sugar]]</f>
        <v>-3.8194749851951997</v>
      </c>
      <c r="BK143" s="2">
        <f>Table7[[#This Row],[Wsugar Res]]^2</f>
        <v>14.58838916253187</v>
      </c>
      <c r="BL143">
        <f>Regression!$W$10+(Regression!$W$9*Table83[[#This Row],[Servings]])</f>
        <v>253.1225631210954</v>
      </c>
      <c r="BM143" s="2">
        <f>Table83[[#This Row],[Weight]]-Table7[[#This Row],[Weight v Servings]]</f>
        <v>-2.9225631210954077</v>
      </c>
      <c r="BN143" s="2">
        <f>Table7[[#This Row],[Wserv Res]]^2</f>
        <v>8.5413751967869302</v>
      </c>
      <c r="BO143">
        <f>Regression!$X$10+(Regression!$X$9*Table83[[#This Row],[Water]])</f>
        <v>255.0206340268538</v>
      </c>
      <c r="BP143" s="2">
        <f>Table83[[#This Row],[Weight]]-Table7[[#This Row],[Weight v Water]]</f>
        <v>-4.8206340268538099</v>
      </c>
      <c r="BQ143" s="2">
        <f>Table7[[#This Row],[Wwater Res]]^2</f>
        <v>23.238512420860779</v>
      </c>
      <c r="BR143">
        <f>Regression!$Y$10+(Regression!$Y$9*Table83[[#This Row],[Fat Calories]])</f>
        <v>255.18349853243993</v>
      </c>
      <c r="BS143" s="2">
        <f>Table83[[#This Row],[Weight]]-Table7[[#This Row],[Weight v Fat Calories]]</f>
        <v>-4.9834985324399383</v>
      </c>
      <c r="BT143" s="2">
        <f>Table7[[#This Row],[WFC Res]]^2</f>
        <v>24.835257622831019</v>
      </c>
      <c r="BU143">
        <f>Regression!$B$29+(Regression!$B$28*Table83[[#This Row],[Weight]])</f>
        <v>43.783803554242731</v>
      </c>
      <c r="BV143" s="2">
        <f>Table83[[#This Row],[Waist]]-Table7[[#This Row],[Waist v Weight]]</f>
        <v>0.21619644575726937</v>
      </c>
      <c r="BW143" s="2">
        <f>Table7[[#This Row],[WaistW Res]]^2</f>
        <v>4.6740903158075921E-2</v>
      </c>
      <c r="BX143">
        <f>Regression!$C$29+(Regression!$C$28*Table83[[#This Row],[Neck]])</f>
        <v>44.175585585585594</v>
      </c>
      <c r="BY143" s="2">
        <f>Table83[[#This Row],[Waist]]-Table7[[#This Row],[Waist v Neck]]</f>
        <v>-0.17558558558559412</v>
      </c>
      <c r="BZ143" s="2">
        <f>Table7[[#This Row],[WaistN Res]]^2</f>
        <v>3.0830297865435997E-2</v>
      </c>
      <c r="CA143">
        <f>Regression!$D$29+(Regression!$D$28*Table83[[#This Row],[Morning Body Temp]])</f>
        <v>44.419304304405451</v>
      </c>
      <c r="CB143" s="2">
        <f>Table83[[#This Row],[Waist]]-Table7[[#This Row],[Waist v Morning Temp]]</f>
        <v>-0.41930430440545052</v>
      </c>
      <c r="CC143" s="2">
        <f>Table7[[#This Row],[WaistMT Res]]^2</f>
        <v>0.17581609969293871</v>
      </c>
      <c r="CD143">
        <f>Regression!$E$29+(Regression!$E$28*Table83[[#This Row],[Morning Systolic Pressure]])</f>
        <v>44.481655943121481</v>
      </c>
      <c r="CE143" s="2">
        <f>Table83[[#This Row],[Waist]]-Table7[[#This Row],[Waist v Morning Sys]]</f>
        <v>-0.4816559431214813</v>
      </c>
      <c r="CF143" s="2">
        <f>Table7[[#This Row],[WaistMS Res]]^2</f>
        <v>0.23199244754424364</v>
      </c>
      <c r="CG143">
        <f>Regression!$F$29+(Regression!$F$28*Table83[[#This Row],[Morning Diastolic Pressure]])</f>
        <v>44.424638564799992</v>
      </c>
      <c r="CH143" s="2">
        <f>Table83[[#This Row],[Waist]]-Table7[[#This Row],[Waist v Morning Dia]]</f>
        <v>-0.42463856479999151</v>
      </c>
      <c r="CI143" s="2">
        <f>Table7[[#This Row],[WaistMD Res]]^2</f>
        <v>0.1803179107153966</v>
      </c>
      <c r="CJ143">
        <f>Regression!$G$29+(Regression!$G$28*Table83[[#This Row],[Morning Pulse]])</f>
        <v>44.456255205227038</v>
      </c>
      <c r="CK143" s="2">
        <f>Table83[[#This Row],[Waist]]-Table7[[#This Row],[Waist v Morning Pulse]]</f>
        <v>-0.45625520522703766</v>
      </c>
      <c r="CL143" s="2">
        <f>Table7[[#This Row],[WaistMP Res]]^2</f>
        <v>0.20816881229676626</v>
      </c>
      <c r="CM143">
        <f>Regression!$H$29+(Regression!$H$28*Table83[[#This Row],[Night Body Temp]])</f>
        <v>44.432760107049404</v>
      </c>
      <c r="CN143" s="2">
        <f>Table83[[#This Row],[Waist]]-Table7[[#This Row],[Waist v Night Temp]]</f>
        <v>-0.43276010704940404</v>
      </c>
      <c r="CO143" s="2">
        <f>Table7[[#This Row],[WaistNT Res]]^2</f>
        <v>0.18728131025341166</v>
      </c>
      <c r="CP143">
        <f>Regression!$I$29+(Regression!$I$28*Table83[[#This Row],[Night Systolic Pressure]])</f>
        <v>44.267477829072234</v>
      </c>
      <c r="CQ143" s="2">
        <f>Table83[[#This Row],[Waist]]-Table7[[#This Row],[Waist v  Night Sys]]</f>
        <v>-0.26747782907223439</v>
      </c>
      <c r="CR143" s="2">
        <f>Table7[[#This Row],[WaistNS Res]]^2</f>
        <v>7.1544389045195431E-2</v>
      </c>
      <c r="CS143">
        <f>Regression!$J$29+(Regression!$J$28*Table83[[#This Row],[Night Diastolic Pressure]])</f>
        <v>44.307480504286751</v>
      </c>
      <c r="CT143" s="2">
        <f>Table83[[#This Row],[Waist]]-Table7[[#This Row],[Waist v Night Dia]]</f>
        <v>-0.307480504286751</v>
      </c>
      <c r="CU143" s="2">
        <f>Table7[[#This Row],[WaistND Res]]^2</f>
        <v>9.4544260516434706E-2</v>
      </c>
      <c r="CV143">
        <f>Regression!$K$29+(Regression!$K$28*Table83[[#This Row],[Night Pulse]])</f>
        <v>44.451138133632369</v>
      </c>
      <c r="CW143" s="2">
        <f>Table83[[#This Row],[Waist]]-Table7[[#This Row],[Waist v Night Pulse]]</f>
        <v>-0.45113813363236943</v>
      </c>
      <c r="CX143" s="2">
        <f>Table7[[#This Row],[WaistNP Res]]^2</f>
        <v>0.20352561561729762</v>
      </c>
      <c r="CY143">
        <f>Regression!$L$29+(Regression!$L$28*Table83[[#This Row],[Sleep]])</f>
        <v>44.432842368860271</v>
      </c>
      <c r="CZ143" s="2">
        <f>Table83[[#This Row],[Waist]]-Table7[[#This Row],[Waist v  Sleep]]</f>
        <v>-0.43284236886027116</v>
      </c>
      <c r="DA143" s="2">
        <f>Table7[[#This Row],[WaistS Res]]^2</f>
        <v>0.18735251628057104</v>
      </c>
      <c r="DB143">
        <f>Regression!$M$29+(Regression!$M$28*Table83[[#This Row],[BMI]])</f>
        <v>43.783803554244855</v>
      </c>
      <c r="DC143" s="2">
        <f>Table83[[#This Row],[Waist]]-Table7[[#This Row],[Waist v BMI]]</f>
        <v>0.21619644575514485</v>
      </c>
      <c r="DD143" s="2">
        <f>Table7[[#This Row],[WaistBMI Res]]^2</f>
        <v>4.6740903157157287E-2</v>
      </c>
      <c r="DE143">
        <f>Regression!$N$29+(Regression!$N$28*Table83[[#This Row],[CBF]])</f>
        <v>44.105031770433015</v>
      </c>
      <c r="DF143" s="2">
        <f>Table83[[#This Row],[Waist]]-Table7[[#This Row],[Waist v  CBF]]</f>
        <v>-0.10503177043301548</v>
      </c>
      <c r="DG143" s="2">
        <f>Table7[[#This Row],[WaistCBF Res]]^2</f>
        <v>1.1031672800293666E-2</v>
      </c>
      <c r="DH143">
        <f>Regression!$O$29+(Regression!$O$28*Table83[[#This Row],[Gym]])</f>
        <v>44.347222222222221</v>
      </c>
      <c r="DI143" s="2">
        <f>Table83[[#This Row],[Waist]]-Table7[[#This Row],[Waist v  Gym]]</f>
        <v>-0.34722222222222143</v>
      </c>
      <c r="DJ143" s="2">
        <f>Table7[[#This Row],[WaistGYM Res]]^2</f>
        <v>0.12056327160493772</v>
      </c>
      <c r="DK143">
        <f>Regression!$P$29+(Regression!$P$28*Table83[[#This Row],[Cardio]])</f>
        <v>44.291666666666664</v>
      </c>
      <c r="DL143" s="2">
        <f>Table83[[#This Row],[Waist]]-Table7[[#This Row],[Waist v Cardio]]</f>
        <v>-0.2916666666666643</v>
      </c>
      <c r="DM143" s="2">
        <f>Table7[[#This Row],[WaistC Res]]^2</f>
        <v>8.506944444444306E-2</v>
      </c>
      <c r="DN143">
        <f>Regression!$Q$29+(Regression!$Q$28*Table83[[#This Row],[Calories]])</f>
        <v>44.416943355906007</v>
      </c>
      <c r="DO143" s="2">
        <f>Table83[[#This Row],[Waist]]-Table7[[#This Row],[Waist v Calories]]</f>
        <v>-0.41694335590600673</v>
      </c>
      <c r="DP143" s="2">
        <f>Table7[[#This Row],[WaistCal Res]]^2</f>
        <v>0.17384176203416299</v>
      </c>
      <c r="DQ143">
        <f>Regression!$R$29+(Regression!$R$28*Table83[[#This Row],[Carbs]])</f>
        <v>44.378984655112362</v>
      </c>
      <c r="DR143" s="2">
        <f>Table83[[#This Row],[Waist]]-Table7[[#This Row],[Waist v Carbs]]</f>
        <v>-0.37898465511236168</v>
      </c>
      <c r="DS143" s="2">
        <f>Table7[[#This Row],[WaistCarb Res]]^2</f>
        <v>0.14362936881063573</v>
      </c>
      <c r="DT143">
        <f>Regression!$S$29+(Regression!$S$28*Table83[[#This Row],[Fat ]])</f>
        <v>44.474597922917695</v>
      </c>
      <c r="DU143" s="2">
        <f>Table83[[#This Row],[Waist]]-Table7[[#This Row],[Waist v Fat]]</f>
        <v>-0.47459792291769531</v>
      </c>
      <c r="DV143" s="2">
        <f>Table7[[#This Row],[WaistF Res]]^2</f>
        <v>0.22524318843779068</v>
      </c>
      <c r="DW143">
        <f>Regression!$T$29+(Regression!$T$28*Table83[[#This Row],[Protein]])</f>
        <v>44.381135311823456</v>
      </c>
      <c r="DX143" s="2">
        <f>Table83[[#This Row],[Waist]]-Table7[[#This Row],[Waist v Protein]]</f>
        <v>-0.38113531182345639</v>
      </c>
      <c r="DY143" s="2">
        <f>Table7[[#This Row],[WaistP Res]]^2</f>
        <v>0.14526412591876334</v>
      </c>
      <c r="DZ143">
        <f>Regression!$U$29+(Regression!$U$28*Table83[[#This Row],[Fiber]])</f>
        <v>44.522906174313</v>
      </c>
      <c r="EA143" s="2">
        <f>Table83[[#This Row],[Waist]]-Table7[[#This Row],[Waist v Fiber]]</f>
        <v>-0.52290617431300035</v>
      </c>
      <c r="EB143" s="2">
        <f>Table7[[#This Row],[WaistFib Res]]^2</f>
        <v>0.27343086713465792</v>
      </c>
      <c r="EC143">
        <f>Regression!$V$29+(Regression!$V$28*Table83[[#This Row],[Sugar]])</f>
        <v>44.25673302389756</v>
      </c>
      <c r="ED143" s="2">
        <f>Table83[[#This Row],[Waist]]-Table7[[#This Row],[Waist v Sugar]]</f>
        <v>-0.25673302389756003</v>
      </c>
      <c r="EE143" s="2">
        <f>Table7[[#This Row],[WaistSugar Res]]^2</f>
        <v>6.5911845559585125E-2</v>
      </c>
      <c r="EF143">
        <f>Regression!$W$29+(Regression!$W$28*Table83[[#This Row],[Servings]])</f>
        <v>44.149520397801915</v>
      </c>
      <c r="EG143" s="2">
        <f>Table83[[#This Row],[Waist]]-Table7[[#This Row],[Waist v Servings]]</f>
        <v>-0.14952039780191484</v>
      </c>
      <c r="EH143" s="2">
        <f>Table7[[#This Row],[WaistServ Res]]^2</f>
        <v>2.2356349358842859E-2</v>
      </c>
      <c r="EI143">
        <f>Regression!$X$29+(Regression!$X$28*Table83[[#This Row],[Water]])</f>
        <v>44.33031459742935</v>
      </c>
      <c r="EJ143" s="2">
        <f>Table83[[#This Row],[Waist]]-Table7[[#This Row],[Waist v Water]]</f>
        <v>-0.33031459742934999</v>
      </c>
      <c r="EK143" s="2">
        <f>Table7[[#This Row],[WaistWat Res]]^2</f>
        <v>0.10910773327491355</v>
      </c>
      <c r="EL143">
        <f>Regression!$Y$29+(Regression!$Y$28*Table83[[#This Row],[Fat Calories]])</f>
        <v>44.47435874024039</v>
      </c>
      <c r="EM143" s="2">
        <f>Table83[[#This Row],[Waist]]-Table7[[#This Row],[Waist v Fat Calories]]</f>
        <v>-0.47435874024039038</v>
      </c>
      <c r="EN143" s="2">
        <f>Table7[[#This Row],[WaistFatCal Res]]^2</f>
        <v>0.22501621444245015</v>
      </c>
    </row>
    <row r="144" spans="1:144" x14ac:dyDescent="0.25">
      <c r="A144">
        <f>Regression!$B$10+(Regression!$B$9*Table83[[#This Row],[Waist]])</f>
        <v>252.52625917894264</v>
      </c>
      <c r="B144" s="2">
        <f>Table83[[#This Row],[Weight]]-Table7[[#This Row],[Weight v Waist]]</f>
        <v>0.47374082105736193</v>
      </c>
      <c r="C144" s="2">
        <f>Table7[[#This Row],[Weight v Waist Res]]^2</f>
        <v>0.2244303655361034</v>
      </c>
      <c r="D144">
        <f>Regression!$C$10+(Regression!$C$9*Table83[[#This Row],[Neck]])</f>
        <v>253.29286486487842</v>
      </c>
      <c r="E144" s="2">
        <f>Table83[[#This Row],[Weight]]-Table7[[#This Row],[Weight v Neck]]</f>
        <v>-0.29286486487842467</v>
      </c>
      <c r="F144" s="2">
        <f>Table7[[#This Row],[WN Res]]^2</f>
        <v>8.5769829080257945E-2</v>
      </c>
      <c r="G144">
        <f>Regression!$D$10+(Regression!$D$9*Table83[[#This Row],[Morning Body Temp]])</f>
        <v>255.12996500330669</v>
      </c>
      <c r="H144" s="2">
        <f>Table83[[#This Row],[Weight]]-Table7[[#This Row],[Weight v Morning Temp]]</f>
        <v>-2.1299650033066939</v>
      </c>
      <c r="I144" s="2">
        <f>Table7[[#This Row],[WMT Res]]^2</f>
        <v>4.536750915311285</v>
      </c>
      <c r="J144">
        <f>Regression!$E$10+(Regression!$E$9*Table83[[#This Row],[Morning Systolic Pressure]])</f>
        <v>255.05440942489196</v>
      </c>
      <c r="K144" s="2">
        <f>Table83[[#This Row],[Weight]]-Table7[[#This Row],[Weight v Morning Sys]]</f>
        <v>-2.0544094248919578</v>
      </c>
      <c r="L144" s="2">
        <f>Table7[[#This Row],[WMS Res]]^2</f>
        <v>4.2205980850849043</v>
      </c>
      <c r="M144">
        <f>Regression!$F$10+(Regression!$F$9*Table83[[#This Row],[Morning Diastolic Pressure]])</f>
        <v>254.69666290106716</v>
      </c>
      <c r="N144" s="2">
        <f>Table83[[#This Row],[Weight]]-Table7[[#This Row],[Weight v Morning Dia]]</f>
        <v>-1.6966629010671568</v>
      </c>
      <c r="O144" s="2">
        <f>Table7[[#This Row],[WMD Res]]^2</f>
        <v>2.8786649998576208</v>
      </c>
      <c r="P144">
        <f>Regression!$G$10+(Regression!$G$9*Table83[[#This Row],[Morning Pulse]])</f>
        <v>255.11364509439846</v>
      </c>
      <c r="Q144" s="2">
        <f>Table83[[#This Row],[Weight]]-Table7[[#This Row],[Weight v Morning Pulse]]</f>
        <v>-2.1136450943984642</v>
      </c>
      <c r="R144" s="2">
        <f>Table7[[#This Row],[WMP Res]]^2</f>
        <v>4.4674955850746922</v>
      </c>
      <c r="S144">
        <f>Regression!$H$10+(Regression!$H$9*Table83[[#This Row],[Night Body Temp]])</f>
        <v>254.64609353656169</v>
      </c>
      <c r="T144" s="2">
        <f>Table83[[#This Row],[Weight]]-Table7[[#This Row],[Weight v Night Temp]]</f>
        <v>-1.6460935365616933</v>
      </c>
      <c r="U144" s="2">
        <f>Table7[[#This Row],[WNT Res]]^2</f>
        <v>2.7096239311101828</v>
      </c>
      <c r="V144">
        <f>Regression!$I$10+(Regression!$I$9*Table83[[#This Row],[Night Systolic Pressure]])</f>
        <v>254.52006755496794</v>
      </c>
      <c r="W144" s="2">
        <f>Table83[[#This Row],[Weight]]-Table7[[#This Row],[Weight v Night Sys]]</f>
        <v>-1.5200675549679374</v>
      </c>
      <c r="X144" s="2">
        <f>Table7[[#This Row],[WNS Res]]^2</f>
        <v>2.3106053716662034</v>
      </c>
      <c r="Y144">
        <f>Regression!$J$10+(Regression!$J$9*Table83[[#This Row],[Night Diastolic Pressure]])</f>
        <v>254.52159421642068</v>
      </c>
      <c r="Z144" s="2">
        <f>Table83[[#This Row],[Weight]]-Table7[[#This Row],[Weight v Night Dia]]</f>
        <v>-1.5215942164206808</v>
      </c>
      <c r="AA144" s="2">
        <f>Table7[[#This Row],[WND Res]]^2</f>
        <v>2.3152489594448658</v>
      </c>
      <c r="AB144">
        <f>Regression!$K$10+(Regression!$K$9*Table83[[#This Row],[Night Pulse]])</f>
        <v>255.35585850863504</v>
      </c>
      <c r="AC144" s="2">
        <f>Table83[[#This Row],[Weight]]-Table7[[#This Row],[Weight v Night Pulse]]</f>
        <v>-2.3558585086350377</v>
      </c>
      <c r="AD144" s="2">
        <f>Table7[[#This Row],[WNP Res ]]^2</f>
        <v>5.5500693127081036</v>
      </c>
      <c r="AE144">
        <f>Regression!$L$10+(Regression!$L$9*Table83[[#This Row],[Sleep]])</f>
        <v>255.13702972738133</v>
      </c>
      <c r="AF144" s="2">
        <f>Table83[[#This Row],[Weight]]-Table7[[#This Row],[Weight v Sleep]]</f>
        <v>-2.1370297273813321</v>
      </c>
      <c r="AG144" s="2">
        <f>Table7[[#This Row],[WS Res]]^2</f>
        <v>4.5668960557115303</v>
      </c>
      <c r="AH144">
        <f>Regression!$M$10+(Regression!$M$9*Table83[[#This Row],[BMI]])</f>
        <v>253.00000000000475</v>
      </c>
      <c r="AI144" s="2">
        <f>Table83[[#This Row],[Weight]]-Table7[[#This Row],[Weight v BMI]]</f>
        <v>-4.7464254748774692E-12</v>
      </c>
      <c r="AJ144" s="2">
        <f>Table7[[#This Row],[WBMI Res]]^2</f>
        <v>2.2528554788565809E-23</v>
      </c>
      <c r="AK144">
        <f>Regression!$N$10+(Regression!$N$9*Table83[[#This Row],[CBF]])</f>
        <v>253.17965033701802</v>
      </c>
      <c r="AL144" s="2">
        <f>Table83[[#This Row],[Weight]]-Table7[[#This Row],[Weight v CBF]]</f>
        <v>-0.17965033701801758</v>
      </c>
      <c r="AM144" s="2">
        <f>Table7[[#This Row],[WCBF Res]]^2</f>
        <v>3.2274243590687299E-2</v>
      </c>
      <c r="AN144">
        <f>Regression!$O$10+(Regression!$O$9*Table83[[#This Row],[Gym]])</f>
        <v>255.46779661016953</v>
      </c>
      <c r="AO144" s="2">
        <f>Table83[[#This Row],[Weight]]-Table7[[#This Row],[Weight v Gym]]</f>
        <v>-2.467796610169529</v>
      </c>
      <c r="AP144" s="2">
        <f>Table7[[#This Row],[WG Res]]^2</f>
        <v>6.0900201091642181</v>
      </c>
      <c r="AQ144">
        <f>Regression!$P$10+(Regression!$P$9*Table83[[#This Row],[Cardio]])</f>
        <v>254.19242424242461</v>
      </c>
      <c r="AR144" s="2">
        <f>Table83[[#This Row],[Weight]]-Table7[[#This Row],[Weight v Cardio]]</f>
        <v>-1.1924242424246074</v>
      </c>
      <c r="AS144" s="2">
        <f>Table7[[#This Row],[WC Res]]^2</f>
        <v>1.4218755739218989</v>
      </c>
      <c r="AT144">
        <f>Regression!$Q$10+(Regression!$Q$9*Table83[[#This Row],[Calories]])</f>
        <v>255.03370460900231</v>
      </c>
      <c r="AU144" s="2">
        <f>Table83[[#This Row],[Weight]]-Table7[[#This Row],[Weight v Calories]]</f>
        <v>-2.0337046090023136</v>
      </c>
      <c r="AV144" s="2">
        <f>Table7[[#This Row],[WCAL Res]]^2</f>
        <v>4.1359544366772534</v>
      </c>
      <c r="AW144">
        <f>Regression!$R$10+(Regression!$R$9*Table83[[#This Row],[Carbs]])</f>
        <v>255.23062321340251</v>
      </c>
      <c r="AX144" s="2">
        <f>Table83[[#This Row],[Weight]]-Table7[[#This Row],[Weight v Carbs]]</f>
        <v>-2.2306232134025095</v>
      </c>
      <c r="AY144" s="2">
        <f>Table7[[#This Row],[Wcarb Res]]^2</f>
        <v>4.9756799201701369</v>
      </c>
      <c r="AZ144">
        <f>Regression!$S$10+(Regression!$S$9*Table83[[#This Row],[Fat ]])</f>
        <v>255.07884354226266</v>
      </c>
      <c r="BA144" s="2">
        <f>Table83[[#This Row],[Weight]]-Table7[[#This Row],[Weight v Fat]]</f>
        <v>-2.0788435422626605</v>
      </c>
      <c r="BB144" s="2">
        <f>Table7[[#This Row],[WF Res]]^2</f>
        <v>4.3215904732071664</v>
      </c>
      <c r="BC144">
        <f>Regression!$T$10+(Regression!$T$9*Table83[[#This Row],[Protein]])</f>
        <v>254.51228840488162</v>
      </c>
      <c r="BD144" s="2">
        <f>Table83[[#This Row],[Weight]]-Table7[[#This Row],[Weight v Protein]]</f>
        <v>-1.5122884048816161</v>
      </c>
      <c r="BE144" s="2">
        <f>Table7[[#This Row],[WP Res]]^2</f>
        <v>2.2870162195393826</v>
      </c>
      <c r="BF144">
        <f>Regression!$U$10+(Regression!$U$9*Table83[[#This Row],[Fiber]])</f>
        <v>255.11038883931695</v>
      </c>
      <c r="BG144" s="2">
        <f>Table83[[#This Row],[Weight]]-Table7[[#This Row],[Weight v Fiber]]</f>
        <v>-2.1103888393169541</v>
      </c>
      <c r="BH144" s="2">
        <f>Table7[[#This Row],[Wfib Res]]^2</f>
        <v>4.4537410531135606</v>
      </c>
      <c r="BI144">
        <f>Regression!$V$10+(Regression!$V$9*Table83[[#This Row],[Sugar]])</f>
        <v>255.44462198723355</v>
      </c>
      <c r="BJ144" s="2">
        <f>Table83[[#This Row],[Weight]]-Table7[[#This Row],[Weight v Sugar]]</f>
        <v>-2.4446219872335462</v>
      </c>
      <c r="BK144" s="2">
        <f>Table7[[#This Row],[Wsugar Res]]^2</f>
        <v>5.9761766604656925</v>
      </c>
      <c r="BL144">
        <f>Regression!$W$10+(Regression!$W$9*Table83[[#This Row],[Servings]])</f>
        <v>254.45508259749573</v>
      </c>
      <c r="BM144" s="2">
        <f>Table83[[#This Row],[Weight]]-Table7[[#This Row],[Weight v Servings]]</f>
        <v>-1.455082597495732</v>
      </c>
      <c r="BN144" s="2">
        <f>Table7[[#This Row],[Wserv Res]]^2</f>
        <v>2.1172653655349265</v>
      </c>
      <c r="BO144">
        <f>Regression!$X$10+(Regression!$X$9*Table83[[#This Row],[Water]])</f>
        <v>255.0206340268538</v>
      </c>
      <c r="BP144" s="2">
        <f>Table83[[#This Row],[Weight]]-Table7[[#This Row],[Weight v Water]]</f>
        <v>-2.0206340268537986</v>
      </c>
      <c r="BQ144" s="2">
        <f>Table7[[#This Row],[Wwater Res]]^2</f>
        <v>4.082961870479398</v>
      </c>
      <c r="BR144">
        <f>Regression!$Y$10+(Regression!$Y$9*Table83[[#This Row],[Fat Calories]])</f>
        <v>255.07165598528564</v>
      </c>
      <c r="BS144" s="2">
        <f>Table83[[#This Row],[Weight]]-Table7[[#This Row],[Weight v Fat Calories]]</f>
        <v>-2.0716559852856449</v>
      </c>
      <c r="BT144" s="2">
        <f>Table7[[#This Row],[WFC Res]]^2</f>
        <v>4.2917585213698359</v>
      </c>
      <c r="BU144">
        <f>Regression!$B$29+(Regression!$B$28*Table83[[#This Row],[Weight]])</f>
        <v>44.165338583838682</v>
      </c>
      <c r="BV144" s="2">
        <f>Table83[[#This Row],[Waist]]-Table7[[#This Row],[Waist v Weight]]</f>
        <v>-0.1653385838386825</v>
      </c>
      <c r="BW144" s="2">
        <f>Table7[[#This Row],[WaistW Res]]^2</f>
        <v>2.733684730578104E-2</v>
      </c>
      <c r="BX144">
        <f>Regression!$C$29+(Regression!$C$28*Table83[[#This Row],[Neck]])</f>
        <v>44.175585585585594</v>
      </c>
      <c r="BY144" s="2">
        <f>Table83[[#This Row],[Waist]]-Table7[[#This Row],[Waist v Neck]]</f>
        <v>-0.17558558558559412</v>
      </c>
      <c r="BZ144" s="2">
        <f>Table7[[#This Row],[WaistN Res]]^2</f>
        <v>3.0830297865435997E-2</v>
      </c>
      <c r="CA144">
        <f>Regression!$D$29+(Regression!$D$28*Table83[[#This Row],[Morning Body Temp]])</f>
        <v>44.457597930757203</v>
      </c>
      <c r="CB144" s="2">
        <f>Table83[[#This Row],[Waist]]-Table7[[#This Row],[Waist v Morning Temp]]</f>
        <v>-0.45759793075720268</v>
      </c>
      <c r="CC144" s="2">
        <f>Table7[[#This Row],[WaistMT Res]]^2</f>
        <v>0.20939586623327366</v>
      </c>
      <c r="CD144">
        <f>Regression!$E$29+(Regression!$E$28*Table83[[#This Row],[Morning Systolic Pressure]])</f>
        <v>44.439294322151774</v>
      </c>
      <c r="CE144" s="2">
        <f>Table83[[#This Row],[Waist]]-Table7[[#This Row],[Waist v Morning Sys]]</f>
        <v>-0.439294322151774</v>
      </c>
      <c r="CF144" s="2">
        <f>Table7[[#This Row],[WaistMS Res]]^2</f>
        <v>0.1929795014747866</v>
      </c>
      <c r="CG144">
        <f>Regression!$F$29+(Regression!$F$28*Table83[[#This Row],[Morning Diastolic Pressure]])</f>
        <v>44.430274185468846</v>
      </c>
      <c r="CH144" s="2">
        <f>Table83[[#This Row],[Waist]]-Table7[[#This Row],[Waist v Morning Dia]]</f>
        <v>-0.43027418546884633</v>
      </c>
      <c r="CI144" s="2">
        <f>Table7[[#This Row],[WaistMD Res]]^2</f>
        <v>0.18513587468087916</v>
      </c>
      <c r="CJ144">
        <f>Regression!$G$29+(Regression!$G$28*Table83[[#This Row],[Morning Pulse]])</f>
        <v>44.452897194932582</v>
      </c>
      <c r="CK144" s="2">
        <f>Table83[[#This Row],[Waist]]-Table7[[#This Row],[Waist v Morning Pulse]]</f>
        <v>-0.45289719493258218</v>
      </c>
      <c r="CL144" s="2">
        <f>Table7[[#This Row],[WaistMP Res]]^2</f>
        <v>0.20511586917780134</v>
      </c>
      <c r="CM144">
        <f>Regression!$H$29+(Regression!$H$28*Table83[[#This Row],[Night Body Temp]])</f>
        <v>44.416566259439634</v>
      </c>
      <c r="CN144" s="2">
        <f>Table83[[#This Row],[Waist]]-Table7[[#This Row],[Waist v Night Temp]]</f>
        <v>-0.41656625943963377</v>
      </c>
      <c r="CO144" s="2">
        <f>Table7[[#This Row],[WaistNT Res]]^2</f>
        <v>0.17352744850352828</v>
      </c>
      <c r="CP144">
        <f>Regression!$I$29+(Regression!$I$28*Table83[[#This Row],[Night Systolic Pressure]])</f>
        <v>44.369258629351535</v>
      </c>
      <c r="CQ144" s="2">
        <f>Table83[[#This Row],[Waist]]-Table7[[#This Row],[Waist v  Night Sys]]</f>
        <v>-0.36925862935153475</v>
      </c>
      <c r="CR144" s="2">
        <f>Table7[[#This Row],[WaistNS Res]]^2</f>
        <v>0.13635193535057413</v>
      </c>
      <c r="CS144">
        <f>Regression!$J$29+(Regression!$J$28*Table83[[#This Row],[Night Diastolic Pressure]])</f>
        <v>44.205072833042102</v>
      </c>
      <c r="CT144" s="2">
        <f>Table83[[#This Row],[Waist]]-Table7[[#This Row],[Waist v Night Dia]]</f>
        <v>-0.20507283304210233</v>
      </c>
      <c r="CU144" s="2">
        <f>Table7[[#This Row],[WaistND Res]]^2</f>
        <v>4.205486685191398E-2</v>
      </c>
      <c r="CV144">
        <f>Regression!$K$29+(Regression!$K$28*Table83[[#This Row],[Night Pulse]])</f>
        <v>44.431140909455621</v>
      </c>
      <c r="CW144" s="2">
        <f>Table83[[#This Row],[Waist]]-Table7[[#This Row],[Waist v Night Pulse]]</f>
        <v>-0.43114090945562111</v>
      </c>
      <c r="CX144" s="2">
        <f>Table7[[#This Row],[WaistNP Res]]^2</f>
        <v>0.18588248380622008</v>
      </c>
      <c r="CY144">
        <f>Regression!$L$29+(Regression!$L$28*Table83[[#This Row],[Sleep]])</f>
        <v>44.456891852858099</v>
      </c>
      <c r="CZ144" s="2">
        <f>Table83[[#This Row],[Waist]]-Table7[[#This Row],[Waist v  Sleep]]</f>
        <v>-0.45689185285809941</v>
      </c>
      <c r="DA144" s="2">
        <f>Table7[[#This Row],[WaistS Res]]^2</f>
        <v>0.20875016520810716</v>
      </c>
      <c r="DB144">
        <f>Regression!$M$29+(Regression!$M$28*Table83[[#This Row],[BMI]])</f>
        <v>44.165338583839599</v>
      </c>
      <c r="DC144" s="2">
        <f>Table83[[#This Row],[Waist]]-Table7[[#This Row],[Waist v BMI]]</f>
        <v>-0.1653385838395991</v>
      </c>
      <c r="DD144" s="2">
        <f>Table7[[#This Row],[WaistBMI Res]]^2</f>
        <v>2.7336847306084138E-2</v>
      </c>
      <c r="DE144">
        <f>Regression!$N$29+(Regression!$N$28*Table83[[#This Row],[CBF]])</f>
        <v>44.105031770433015</v>
      </c>
      <c r="DF144" s="2">
        <f>Table83[[#This Row],[Waist]]-Table7[[#This Row],[Waist v  CBF]]</f>
        <v>-0.10503177043301548</v>
      </c>
      <c r="DG144" s="2">
        <f>Table7[[#This Row],[WaistCBF Res]]^2</f>
        <v>1.1031672800293666E-2</v>
      </c>
      <c r="DH144">
        <f>Regression!$O$29+(Regression!$O$28*Table83[[#This Row],[Gym]])</f>
        <v>44.550847457627107</v>
      </c>
      <c r="DI144" s="2">
        <f>Table83[[#This Row],[Waist]]-Table7[[#This Row],[Waist v  Gym]]</f>
        <v>-0.55084745762710696</v>
      </c>
      <c r="DJ144" s="2">
        <f>Table7[[#This Row],[WaistGYM Res]]^2</f>
        <v>0.30343292157424739</v>
      </c>
      <c r="DK144">
        <f>Regression!$P$29+(Regression!$P$28*Table83[[#This Row],[Cardio]])</f>
        <v>44.291666666666664</v>
      </c>
      <c r="DL144" s="2">
        <f>Table83[[#This Row],[Waist]]-Table7[[#This Row],[Waist v Cardio]]</f>
        <v>-0.2916666666666643</v>
      </c>
      <c r="DM144" s="2">
        <f>Table7[[#This Row],[WaistC Res]]^2</f>
        <v>8.506944444444306E-2</v>
      </c>
      <c r="DN144">
        <f>Regression!$Q$29+(Regression!$Q$28*Table83[[#This Row],[Calories]])</f>
        <v>44.435264610259516</v>
      </c>
      <c r="DO144" s="2">
        <f>Table83[[#This Row],[Waist]]-Table7[[#This Row],[Waist v Calories]]</f>
        <v>-0.4352646102595159</v>
      </c>
      <c r="DP144" s="2">
        <f>Table7[[#This Row],[WaistCal Res]]^2</f>
        <v>0.18945528094436828</v>
      </c>
      <c r="DQ144">
        <f>Regression!$R$29+(Regression!$R$28*Table83[[#This Row],[Carbs]])</f>
        <v>44.477602655872026</v>
      </c>
      <c r="DR144" s="2">
        <f>Table83[[#This Row],[Waist]]-Table7[[#This Row],[Waist v Carbs]]</f>
        <v>-0.47760265587202611</v>
      </c>
      <c r="DS144" s="2">
        <f>Table7[[#This Row],[WaistCarb Res]]^2</f>
        <v>0.228104296896013</v>
      </c>
      <c r="DT144">
        <f>Regression!$S$29+(Regression!$S$28*Table83[[#This Row],[Fat ]])</f>
        <v>44.442474033434848</v>
      </c>
      <c r="DU144" s="2">
        <f>Table83[[#This Row],[Waist]]-Table7[[#This Row],[Waist v Fat]]</f>
        <v>-0.44247403343484848</v>
      </c>
      <c r="DV144" s="2">
        <f>Table7[[#This Row],[WaistF Res]]^2</f>
        <v>0.19578327026410342</v>
      </c>
      <c r="DW144">
        <f>Regression!$T$29+(Regression!$T$28*Table83[[#This Row],[Protein]])</f>
        <v>44.343213113516214</v>
      </c>
      <c r="DX144" s="2">
        <f>Table83[[#This Row],[Waist]]-Table7[[#This Row],[Waist v Protein]]</f>
        <v>-0.34321311351621375</v>
      </c>
      <c r="DY144" s="2">
        <f>Table7[[#This Row],[WaistP Res]]^2</f>
        <v>0.11779524128949342</v>
      </c>
      <c r="DZ144">
        <f>Regression!$U$29+(Regression!$U$28*Table83[[#This Row],[Fiber]])</f>
        <v>44.451743487317884</v>
      </c>
      <c r="EA144" s="2">
        <f>Table83[[#This Row],[Waist]]-Table7[[#This Row],[Waist v Fiber]]</f>
        <v>-0.45174348731788427</v>
      </c>
      <c r="EB144" s="2">
        <f>Table7[[#This Row],[WaistFib Res]]^2</f>
        <v>0.20407217833412347</v>
      </c>
      <c r="EC144">
        <f>Regression!$V$29+(Regression!$V$28*Table83[[#This Row],[Sugar]])</f>
        <v>44.512744788110872</v>
      </c>
      <c r="ED144" s="2">
        <f>Table83[[#This Row],[Waist]]-Table7[[#This Row],[Waist v Sugar]]</f>
        <v>-0.51274478811087221</v>
      </c>
      <c r="EE144" s="2">
        <f>Table7[[#This Row],[WaistSugar Res]]^2</f>
        <v>0.26290721773486325</v>
      </c>
      <c r="EF144">
        <f>Regression!$W$29+(Regression!$W$28*Table83[[#This Row],[Servings]])</f>
        <v>44.352840670132309</v>
      </c>
      <c r="EG144" s="2">
        <f>Table83[[#This Row],[Waist]]-Table7[[#This Row],[Waist v Servings]]</f>
        <v>-0.35284067013230924</v>
      </c>
      <c r="EH144" s="2">
        <f>Table7[[#This Row],[WaistServ Res]]^2</f>
        <v>0.12449653849941707</v>
      </c>
      <c r="EI144">
        <f>Regression!$X$29+(Regression!$X$28*Table83[[#This Row],[Water]])</f>
        <v>44.33031459742935</v>
      </c>
      <c r="EJ144" s="2">
        <f>Table83[[#This Row],[Waist]]-Table7[[#This Row],[Waist v Water]]</f>
        <v>-0.33031459742934999</v>
      </c>
      <c r="EK144" s="2">
        <f>Table7[[#This Row],[WaistWat Res]]^2</f>
        <v>0.10910773327491355</v>
      </c>
      <c r="EL144">
        <f>Regression!$Y$29+(Regression!$Y$28*Table83[[#This Row],[Fat Calories]])</f>
        <v>44.44034420420364</v>
      </c>
      <c r="EM144" s="2">
        <f>Table83[[#This Row],[Waist]]-Table7[[#This Row],[Waist v Fat Calories]]</f>
        <v>-0.44034420420364029</v>
      </c>
      <c r="EN144" s="2">
        <f>Table7[[#This Row],[WaistFatCal Res]]^2</f>
        <v>0.19390301817573727</v>
      </c>
    </row>
    <row r="145" spans="1:144" x14ac:dyDescent="0.25">
      <c r="A145">
        <f>Regression!$B$10+(Regression!$B$9*Table83[[#This Row],[Waist]])</f>
        <v>252.52625917894264</v>
      </c>
      <c r="B145" s="2">
        <f>Table83[[#This Row],[Weight]]-Table7[[#This Row],[Weight v Waist]]</f>
        <v>-1.7262591789426267</v>
      </c>
      <c r="C145" s="2">
        <f>Table7[[#This Row],[Weight v Waist Res]]^2</f>
        <v>2.9799707528836716</v>
      </c>
      <c r="D145">
        <f>Regression!$C$10+(Regression!$C$9*Table83[[#This Row],[Neck]])</f>
        <v>253.29286486487842</v>
      </c>
      <c r="E145" s="2">
        <f>Table83[[#This Row],[Weight]]-Table7[[#This Row],[Weight v Neck]]</f>
        <v>-2.4928648648784133</v>
      </c>
      <c r="F145" s="2">
        <f>Table7[[#This Row],[WN Res]]^2</f>
        <v>6.2143752345452699</v>
      </c>
      <c r="G145">
        <f>Regression!$D$10+(Regression!$D$9*Table83[[#This Row],[Morning Body Temp]])</f>
        <v>255.41155922019615</v>
      </c>
      <c r="H145" s="2">
        <f>Table83[[#This Row],[Weight]]-Table7[[#This Row],[Weight v Morning Temp]]</f>
        <v>-4.611559220196142</v>
      </c>
      <c r="I145" s="2">
        <f>Table7[[#This Row],[WMT Res]]^2</f>
        <v>21.266478441376048</v>
      </c>
      <c r="J145">
        <f>Regression!$E$10+(Regression!$E$9*Table83[[#This Row],[Morning Systolic Pressure]])</f>
        <v>255.82072189056947</v>
      </c>
      <c r="K145" s="2">
        <f>Table83[[#This Row],[Weight]]-Table7[[#This Row],[Weight v Morning Sys]]</f>
        <v>-5.0207218905694617</v>
      </c>
      <c r="L145" s="2">
        <f>Table7[[#This Row],[WMS Res]]^2</f>
        <v>25.207648302443388</v>
      </c>
      <c r="M145">
        <f>Regression!$F$10+(Regression!$F$9*Table83[[#This Row],[Morning Diastolic Pressure]])</f>
        <v>254.49397440297739</v>
      </c>
      <c r="N145" s="2">
        <f>Table83[[#This Row],[Weight]]-Table7[[#This Row],[Weight v Morning Dia]]</f>
        <v>-3.6939744029773749</v>
      </c>
      <c r="O145" s="2">
        <f>Table7[[#This Row],[WMD Res]]^2</f>
        <v>13.645446889852053</v>
      </c>
      <c r="P145">
        <f>Regression!$G$10+(Regression!$G$9*Table83[[#This Row],[Morning Pulse]])</f>
        <v>255.10267831985533</v>
      </c>
      <c r="Q145" s="2">
        <f>Table83[[#This Row],[Weight]]-Table7[[#This Row],[Weight v Morning Pulse]]</f>
        <v>-4.3026783198553176</v>
      </c>
      <c r="R145" s="2">
        <f>Table7[[#This Row],[WMP Res]]^2</f>
        <v>18.51304072415298</v>
      </c>
      <c r="S145">
        <f>Regression!$H$10+(Regression!$H$9*Table83[[#This Row],[Night Body Temp]])</f>
        <v>254.64609353656169</v>
      </c>
      <c r="T145" s="2">
        <f>Table83[[#This Row],[Weight]]-Table7[[#This Row],[Weight v Night Temp]]</f>
        <v>-3.846093536561682</v>
      </c>
      <c r="U145" s="2">
        <f>Table7[[#This Row],[WNT Res]]^2</f>
        <v>14.792435491981546</v>
      </c>
      <c r="V145">
        <f>Regression!$I$10+(Regression!$I$9*Table83[[#This Row],[Night Systolic Pressure]])</f>
        <v>256.16238489942344</v>
      </c>
      <c r="W145" s="2">
        <f>Table83[[#This Row],[Weight]]-Table7[[#This Row],[Weight v Night Sys]]</f>
        <v>-5.3623848994234322</v>
      </c>
      <c r="X145" s="2">
        <f>Table7[[#This Row],[WNS Res]]^2</f>
        <v>28.755171809564452</v>
      </c>
      <c r="Y145">
        <f>Regression!$J$10+(Regression!$J$9*Table83[[#This Row],[Night Diastolic Pressure]])</f>
        <v>255.49997505840713</v>
      </c>
      <c r="Z145" s="2">
        <f>Table83[[#This Row],[Weight]]-Table7[[#This Row],[Weight v Night Dia]]</f>
        <v>-4.6999750584071194</v>
      </c>
      <c r="AA145" s="2">
        <f>Table7[[#This Row],[WND Res]]^2</f>
        <v>22.089765549649005</v>
      </c>
      <c r="AB145">
        <f>Regression!$K$10+(Regression!$K$9*Table83[[#This Row],[Night Pulse]])</f>
        <v>254.83373187761069</v>
      </c>
      <c r="AC145" s="2">
        <f>Table83[[#This Row],[Weight]]-Table7[[#This Row],[Weight v Night Pulse]]</f>
        <v>-4.033731877610677</v>
      </c>
      <c r="AD145" s="2">
        <f>Table7[[#This Row],[WNP Res ]]^2</f>
        <v>16.270992860452559</v>
      </c>
      <c r="AE145">
        <f>Regression!$L$10+(Regression!$L$9*Table83[[#This Row],[Sleep]])</f>
        <v>255.13702972738133</v>
      </c>
      <c r="AF145" s="2">
        <f>Table83[[#This Row],[Weight]]-Table7[[#This Row],[Weight v Sleep]]</f>
        <v>-4.3370297273813208</v>
      </c>
      <c r="AG145" s="2">
        <f>Table7[[#This Row],[WS Res]]^2</f>
        <v>18.809826856189293</v>
      </c>
      <c r="AH145">
        <f>Regression!$M$10+(Regression!$M$9*Table83[[#This Row],[BMI]])</f>
        <v>250.8000000000097</v>
      </c>
      <c r="AI145" s="2">
        <f>Table83[[#This Row],[Weight]]-Table7[[#This Row],[Weight v BMI]]</f>
        <v>-9.6918029157677665E-12</v>
      </c>
      <c r="AJ145" s="2">
        <f>Table7[[#This Row],[WBMI Res]]^2</f>
        <v>9.3931043758084581E-23</v>
      </c>
      <c r="AK145">
        <f>Regression!$N$10+(Regression!$N$9*Table83[[#This Row],[CBF]])</f>
        <v>253.17965033701802</v>
      </c>
      <c r="AL145" s="2">
        <f>Table83[[#This Row],[Weight]]-Table7[[#This Row],[Weight v CBF]]</f>
        <v>-2.3796503370180062</v>
      </c>
      <c r="AM145" s="2">
        <f>Table7[[#This Row],[WCBF Res]]^2</f>
        <v>5.6627357264699105</v>
      </c>
      <c r="AN145">
        <f>Regression!$O$10+(Regression!$O$9*Table83[[#This Row],[Gym]])</f>
        <v>255.46779661016953</v>
      </c>
      <c r="AO145" s="2">
        <f>Table83[[#This Row],[Weight]]-Table7[[#This Row],[Weight v Gym]]</f>
        <v>-4.6677966101695176</v>
      </c>
      <c r="AP145" s="2">
        <f>Table7[[#This Row],[WG Res]]^2</f>
        <v>21.78832519391004</v>
      </c>
      <c r="AQ145">
        <f>Regression!$P$10+(Regression!$P$9*Table83[[#This Row],[Cardio]])</f>
        <v>254.19242424242461</v>
      </c>
      <c r="AR145" s="2">
        <f>Table83[[#This Row],[Weight]]-Table7[[#This Row],[Weight v Cardio]]</f>
        <v>-3.3924242424245961</v>
      </c>
      <c r="AS145" s="2">
        <f>Table7[[#This Row],[WC Res]]^2</f>
        <v>11.508542240590094</v>
      </c>
      <c r="AT145">
        <f>Regression!$Q$10+(Regression!$Q$9*Table83[[#This Row],[Calories]])</f>
        <v>254.65064911916474</v>
      </c>
      <c r="AU145" s="2">
        <f>Table83[[#This Row],[Weight]]-Table7[[#This Row],[Weight v Calories]]</f>
        <v>-3.8506491191647285</v>
      </c>
      <c r="AV145" s="2">
        <f>Table7[[#This Row],[WCAL Res]]^2</f>
        <v>14.8274986389241</v>
      </c>
      <c r="AW145">
        <f>Regression!$R$10+(Regression!$R$9*Table83[[#This Row],[Carbs]])</f>
        <v>254.33789810391647</v>
      </c>
      <c r="AX145" s="2">
        <f>Table83[[#This Row],[Weight]]-Table7[[#This Row],[Weight v Carbs]]</f>
        <v>-3.5378981039164614</v>
      </c>
      <c r="AY145" s="2">
        <f>Table7[[#This Row],[Wcarb Res]]^2</f>
        <v>12.516722993695693</v>
      </c>
      <c r="AZ145">
        <f>Regression!$S$10+(Regression!$S$9*Table83[[#This Row],[Fat ]])</f>
        <v>255.11626751495925</v>
      </c>
      <c r="BA145" s="2">
        <f>Table83[[#This Row],[Weight]]-Table7[[#This Row],[Weight v Fat]]</f>
        <v>-4.316267514959236</v>
      </c>
      <c r="BB145" s="2">
        <f>Table7[[#This Row],[WF Res]]^2</f>
        <v>18.63016526069238</v>
      </c>
      <c r="BC145">
        <f>Regression!$T$10+(Regression!$T$9*Table83[[#This Row],[Protein]])</f>
        <v>255.32967237957945</v>
      </c>
      <c r="BD145" s="2">
        <f>Table83[[#This Row],[Weight]]-Table7[[#This Row],[Weight v Protein]]</f>
        <v>-4.5296723795794378</v>
      </c>
      <c r="BE145" s="2">
        <f>Table7[[#This Row],[WP Res]]^2</f>
        <v>20.517931866324847</v>
      </c>
      <c r="BF145">
        <f>Regression!$U$10+(Regression!$U$9*Table83[[#This Row],[Fiber]])</f>
        <v>255.12301998717123</v>
      </c>
      <c r="BG145" s="2">
        <f>Table83[[#This Row],[Weight]]-Table7[[#This Row],[Weight v Fiber]]</f>
        <v>-4.3230199871712216</v>
      </c>
      <c r="BH145" s="2">
        <f>Table7[[#This Row],[Wfib Res]]^2</f>
        <v>18.68850180948187</v>
      </c>
      <c r="BI145">
        <f>Regression!$V$10+(Regression!$V$9*Table83[[#This Row],[Sugar]])</f>
        <v>253.69637445781748</v>
      </c>
      <c r="BJ145" s="2">
        <f>Table83[[#This Row],[Weight]]-Table7[[#This Row],[Weight v Sugar]]</f>
        <v>-2.8963744578174726</v>
      </c>
      <c r="BK145" s="2">
        <f>Table7[[#This Row],[Wsugar Res]]^2</f>
        <v>8.3889849998974579</v>
      </c>
      <c r="BL145">
        <f>Regression!$W$10+(Regression!$W$9*Table83[[#This Row],[Servings]])</f>
        <v>252.16158952279639</v>
      </c>
      <c r="BM145" s="2">
        <f>Table83[[#This Row],[Weight]]-Table7[[#This Row],[Weight v Servings]]</f>
        <v>-1.361589522796379</v>
      </c>
      <c r="BN145" s="2">
        <f>Table7[[#This Row],[Wserv Res]]^2</f>
        <v>1.8539260285888712</v>
      </c>
      <c r="BO145">
        <f>Regression!$X$10+(Regression!$X$9*Table83[[#This Row],[Water]])</f>
        <v>255.1490819770581</v>
      </c>
      <c r="BP145" s="2">
        <f>Table83[[#This Row],[Weight]]-Table7[[#This Row],[Weight v Water]]</f>
        <v>-4.3490819770580913</v>
      </c>
      <c r="BQ145" s="2">
        <f>Table7[[#This Row],[Wwater Res]]^2</f>
        <v>18.914514043171515</v>
      </c>
      <c r="BR145">
        <f>Regression!$Y$10+(Regression!$Y$9*Table83[[#This Row],[Fat Calories]])</f>
        <v>255.11148450693358</v>
      </c>
      <c r="BS145" s="2">
        <f>Table83[[#This Row],[Weight]]-Table7[[#This Row],[Weight v Fat Calories]]</f>
        <v>-4.3114845069335672</v>
      </c>
      <c r="BT145" s="2">
        <f>Table7[[#This Row],[WFC Res]]^2</f>
        <v>18.588898653528187</v>
      </c>
      <c r="BU145">
        <f>Regression!$B$29+(Regression!$B$28*Table83[[#This Row],[Weight]])</f>
        <v>43.865561060584724</v>
      </c>
      <c r="BV145" s="2">
        <f>Table83[[#This Row],[Waist]]-Table7[[#This Row],[Waist v Weight]]</f>
        <v>0.13443893941527563</v>
      </c>
      <c r="BW145" s="2">
        <f>Table7[[#This Row],[WaistW Res]]^2</f>
        <v>1.8073828431104149E-2</v>
      </c>
      <c r="BX145">
        <f>Regression!$C$29+(Regression!$C$28*Table83[[#This Row],[Neck]])</f>
        <v>44.175585585585594</v>
      </c>
      <c r="BY145" s="2">
        <f>Table83[[#This Row],[Waist]]-Table7[[#This Row],[Waist v Neck]]</f>
        <v>-0.17558558558559412</v>
      </c>
      <c r="BZ145" s="2">
        <f>Table7[[#This Row],[WaistN Res]]^2</f>
        <v>3.0830297865435997E-2</v>
      </c>
      <c r="CA145">
        <f>Regression!$D$29+(Regression!$D$28*Table83[[#This Row],[Morning Body Temp]])</f>
        <v>44.534185183460714</v>
      </c>
      <c r="CB145" s="2">
        <f>Table83[[#This Row],[Waist]]-Table7[[#This Row],[Waist v Morning Temp]]</f>
        <v>-0.53418518346071409</v>
      </c>
      <c r="CC145" s="2">
        <f>Table7[[#This Row],[WaistMT Res]]^2</f>
        <v>0.28535381022895678</v>
      </c>
      <c r="CD145">
        <f>Regression!$E$29+(Regression!$E$28*Table83[[#This Row],[Morning Systolic Pressure]])</f>
        <v>44.619331211273035</v>
      </c>
      <c r="CE145" s="2">
        <f>Table83[[#This Row],[Waist]]-Table7[[#This Row],[Waist v Morning Sys]]</f>
        <v>-0.61933121127303536</v>
      </c>
      <c r="CF145" s="2">
        <f>Table7[[#This Row],[WaistMS Res]]^2</f>
        <v>0.38357114925692515</v>
      </c>
      <c r="CG145">
        <f>Regression!$F$29+(Regression!$F$28*Table83[[#This Row],[Morning Diastolic Pressure]])</f>
        <v>44.419002944131137</v>
      </c>
      <c r="CH145" s="2">
        <f>Table83[[#This Row],[Waist]]-Table7[[#This Row],[Waist v Morning Dia]]</f>
        <v>-0.4190029441311367</v>
      </c>
      <c r="CI145" s="2">
        <f>Table7[[#This Row],[WaistMD Res]]^2</f>
        <v>0.17556346719056046</v>
      </c>
      <c r="CJ145">
        <f>Regression!$G$29+(Regression!$G$28*Table83[[#This Row],[Morning Pulse]])</f>
        <v>44.447860179490903</v>
      </c>
      <c r="CK145" s="2">
        <f>Table83[[#This Row],[Waist]]-Table7[[#This Row],[Waist v Morning Pulse]]</f>
        <v>-0.44786017949090251</v>
      </c>
      <c r="CL145" s="2">
        <f>Table7[[#This Row],[WaistMP Res]]^2</f>
        <v>0.20057874037362342</v>
      </c>
      <c r="CM145">
        <f>Regression!$H$29+(Regression!$H$28*Table83[[#This Row],[Night Body Temp]])</f>
        <v>44.416566259439634</v>
      </c>
      <c r="CN145" s="2">
        <f>Table83[[#This Row],[Waist]]-Table7[[#This Row],[Waist v Night Temp]]</f>
        <v>-0.41656625943963377</v>
      </c>
      <c r="CO145" s="2">
        <f>Table7[[#This Row],[WaistNT Res]]^2</f>
        <v>0.17352744850352828</v>
      </c>
      <c r="CP145">
        <f>Regression!$I$29+(Regression!$I$28*Table83[[#This Row],[Night Systolic Pressure]])</f>
        <v>44.601900458561346</v>
      </c>
      <c r="CQ145" s="2">
        <f>Table83[[#This Row],[Waist]]-Table7[[#This Row],[Waist v  Night Sys]]</f>
        <v>-0.60190045856134589</v>
      </c>
      <c r="CR145" s="2">
        <f>Table7[[#This Row],[WaistNS Res]]^2</f>
        <v>0.36228416201635844</v>
      </c>
      <c r="CS145">
        <f>Regression!$J$29+(Regression!$J$28*Table83[[#This Row],[Night Diastolic Pressure]])</f>
        <v>44.614703518020711</v>
      </c>
      <c r="CT145" s="2">
        <f>Table83[[#This Row],[Waist]]-Table7[[#This Row],[Waist v Night Dia]]</f>
        <v>-0.61470351802071121</v>
      </c>
      <c r="CU145" s="2">
        <f>Table7[[#This Row],[WaistND Res]]^2</f>
        <v>0.37786041506703882</v>
      </c>
      <c r="CV145">
        <f>Regression!$K$29+(Regression!$K$28*Table83[[#This Row],[Night Pulse]])</f>
        <v>44.479705596742022</v>
      </c>
      <c r="CW145" s="2">
        <f>Table83[[#This Row],[Waist]]-Table7[[#This Row],[Waist v Night Pulse]]</f>
        <v>-0.47970559674202207</v>
      </c>
      <c r="CX145" s="2">
        <f>Table7[[#This Row],[WaistNP Res]]^2</f>
        <v>0.23011745954561949</v>
      </c>
      <c r="CY145">
        <f>Regression!$L$29+(Regression!$L$28*Table83[[#This Row],[Sleep]])</f>
        <v>44.456891852858099</v>
      </c>
      <c r="CZ145" s="2">
        <f>Table83[[#This Row],[Waist]]-Table7[[#This Row],[Waist v  Sleep]]</f>
        <v>-0.45689185285809941</v>
      </c>
      <c r="DA145" s="2">
        <f>Table7[[#This Row],[WaistS Res]]^2</f>
        <v>0.20875016520810716</v>
      </c>
      <c r="DB145">
        <f>Regression!$M$29+(Regression!$M$28*Table83[[#This Row],[BMI]])</f>
        <v>43.865561060586593</v>
      </c>
      <c r="DC145" s="2">
        <f>Table83[[#This Row],[Waist]]-Table7[[#This Row],[Waist v BMI]]</f>
        <v>0.1344389394134069</v>
      </c>
      <c r="DD145" s="2">
        <f>Table7[[#This Row],[WaistBMI Res]]^2</f>
        <v>1.807382843060169E-2</v>
      </c>
      <c r="DE145">
        <f>Regression!$N$29+(Regression!$N$28*Table83[[#This Row],[CBF]])</f>
        <v>44.105031770433015</v>
      </c>
      <c r="DF145" s="2">
        <f>Table83[[#This Row],[Waist]]-Table7[[#This Row],[Waist v  CBF]]</f>
        <v>-0.10503177043301548</v>
      </c>
      <c r="DG145" s="2">
        <f>Table7[[#This Row],[WaistCBF Res]]^2</f>
        <v>1.1031672800293666E-2</v>
      </c>
      <c r="DH145">
        <f>Regression!$O$29+(Regression!$O$28*Table83[[#This Row],[Gym]])</f>
        <v>44.550847457627107</v>
      </c>
      <c r="DI145" s="2">
        <f>Table83[[#This Row],[Waist]]-Table7[[#This Row],[Waist v  Gym]]</f>
        <v>-0.55084745762710696</v>
      </c>
      <c r="DJ145" s="2">
        <f>Table7[[#This Row],[WaistGYM Res]]^2</f>
        <v>0.30343292157424739</v>
      </c>
      <c r="DK145">
        <f>Regression!$P$29+(Regression!$P$28*Table83[[#This Row],[Cardio]])</f>
        <v>44.291666666666664</v>
      </c>
      <c r="DL145" s="2">
        <f>Table83[[#This Row],[Waist]]-Table7[[#This Row],[Waist v Cardio]]</f>
        <v>-0.2916666666666643</v>
      </c>
      <c r="DM145" s="2">
        <f>Table7[[#This Row],[WaistC Res]]^2</f>
        <v>8.506944444444306E-2</v>
      </c>
      <c r="DN145">
        <f>Regression!$Q$29+(Regression!$Q$28*Table83[[#This Row],[Calories]])</f>
        <v>44.349200537734646</v>
      </c>
      <c r="DO145" s="2">
        <f>Table83[[#This Row],[Waist]]-Table7[[#This Row],[Waist v Calories]]</f>
        <v>-0.34920053773464588</v>
      </c>
      <c r="DP145" s="2">
        <f>Table7[[#This Row],[WaistCal Res]]^2</f>
        <v>0.12194101555416584</v>
      </c>
      <c r="DQ145">
        <f>Regression!$R$29+(Regression!$R$28*Table83[[#This Row],[Carbs]])</f>
        <v>44.29174275491107</v>
      </c>
      <c r="DR145" s="2">
        <f>Table83[[#This Row],[Waist]]-Table7[[#This Row],[Waist v Carbs]]</f>
        <v>-0.29174275491106982</v>
      </c>
      <c r="DS145" s="2">
        <f>Table7[[#This Row],[WaistCarb Res]]^2</f>
        <v>8.511383504310055E-2</v>
      </c>
      <c r="DT145">
        <f>Regression!$S$29+(Regression!$S$28*Table83[[#This Row],[Fat ]])</f>
        <v>44.453913749895513</v>
      </c>
      <c r="DU145" s="2">
        <f>Table83[[#This Row],[Waist]]-Table7[[#This Row],[Waist v Fat]]</f>
        <v>-0.45391374989551281</v>
      </c>
      <c r="DV145" s="2">
        <f>Table7[[#This Row],[WaistF Res]]^2</f>
        <v>0.20603769234420616</v>
      </c>
      <c r="DW145">
        <f>Regression!$T$29+(Regression!$T$28*Table83[[#This Row],[Protein]])</f>
        <v>44.492824743800249</v>
      </c>
      <c r="DX145" s="2">
        <f>Table83[[#This Row],[Waist]]-Table7[[#This Row],[Waist v Protein]]</f>
        <v>-0.49282474380024865</v>
      </c>
      <c r="DY145" s="2">
        <f>Table7[[#This Row],[WaistP Res]]^2</f>
        <v>0.24287622810178072</v>
      </c>
      <c r="DZ145">
        <f>Regression!$U$29+(Regression!$U$28*Table83[[#This Row],[Fiber]])</f>
        <v>44.45661734142768</v>
      </c>
      <c r="EA145" s="2">
        <f>Table83[[#This Row],[Waist]]-Table7[[#This Row],[Waist v Fiber]]</f>
        <v>-0.4566173414276804</v>
      </c>
      <c r="EB145" s="2">
        <f>Table7[[#This Row],[WaistFib Res]]^2</f>
        <v>0.20849939649248286</v>
      </c>
      <c r="EC145">
        <f>Regression!$V$29+(Regression!$V$28*Table83[[#This Row],[Sugar]])</f>
        <v>44.198691617703034</v>
      </c>
      <c r="ED145" s="2">
        <f>Table83[[#This Row],[Waist]]-Table7[[#This Row],[Waist v Sugar]]</f>
        <v>-0.19869161770303378</v>
      </c>
      <c r="EE145" s="2">
        <f>Table7[[#This Row],[WaistSugar Res]]^2</f>
        <v>3.947835894544853E-2</v>
      </c>
      <c r="EF145">
        <f>Regression!$W$29+(Regression!$W$28*Table83[[#This Row],[Servings]])</f>
        <v>44.002891836517172</v>
      </c>
      <c r="EG145" s="2">
        <f>Table83[[#This Row],[Waist]]-Table7[[#This Row],[Waist v Servings]]</f>
        <v>-2.8918365171719529E-3</v>
      </c>
      <c r="EH145" s="2">
        <f>Table7[[#This Row],[WaistServ Res]]^2</f>
        <v>8.3627184420492103E-6</v>
      </c>
      <c r="EI145">
        <f>Regression!$X$29+(Regression!$X$28*Table83[[#This Row],[Water]])</f>
        <v>44.497966229663206</v>
      </c>
      <c r="EJ145" s="2">
        <f>Table83[[#This Row],[Waist]]-Table7[[#This Row],[Waist v Water]]</f>
        <v>-0.4979662296632057</v>
      </c>
      <c r="EK145" s="2">
        <f>Table7[[#This Row],[WaistWat Res]]^2</f>
        <v>0.24797036588498853</v>
      </c>
      <c r="EL145">
        <f>Regression!$Y$29+(Regression!$Y$28*Table83[[#This Row],[Fat Calories]])</f>
        <v>44.452457203409701</v>
      </c>
      <c r="EM145" s="2">
        <f>Table83[[#This Row],[Waist]]-Table7[[#This Row],[Waist v Fat Calories]]</f>
        <v>-0.45245720340970053</v>
      </c>
      <c r="EN145" s="2">
        <f>Table7[[#This Row],[WaistFatCal Res]]^2</f>
        <v>0.20471752091732712</v>
      </c>
    </row>
    <row r="146" spans="1:144" x14ac:dyDescent="0.25">
      <c r="A146">
        <f>Regression!$B$10+(Regression!$B$9*Table83[[#This Row],[Waist]])</f>
        <v>252.52625917894264</v>
      </c>
      <c r="B146" s="2">
        <f>Table83[[#This Row],[Weight]]-Table7[[#This Row],[Weight v Waist]]</f>
        <v>0.2737408210573733</v>
      </c>
      <c r="C146" s="2">
        <f>Table7[[#This Row],[Weight v Waist Res]]^2</f>
        <v>7.4934037113164861E-2</v>
      </c>
      <c r="D146">
        <f>Regression!$C$10+(Regression!$C$9*Table83[[#This Row],[Neck]])</f>
        <v>253.29286486487842</v>
      </c>
      <c r="E146" s="2">
        <f>Table83[[#This Row],[Weight]]-Table7[[#This Row],[Weight v Neck]]</f>
        <v>-0.4928648648784133</v>
      </c>
      <c r="F146" s="2">
        <f>Table7[[#This Row],[WN Res]]^2</f>
        <v>0.2429157750316166</v>
      </c>
      <c r="G146">
        <f>Regression!$D$10+(Regression!$D$9*Table83[[#This Row],[Morning Body Temp]])</f>
        <v>254.84837078641723</v>
      </c>
      <c r="H146" s="2">
        <f>Table83[[#This Row],[Weight]]-Table7[[#This Row],[Weight v Morning Temp]]</f>
        <v>-2.0483707864172231</v>
      </c>
      <c r="I146" s="2">
        <f>Table7[[#This Row],[WMT Res]]^2</f>
        <v>4.1958228786475136</v>
      </c>
      <c r="J146">
        <f>Regression!$E$10+(Regression!$E$9*Table83[[#This Row],[Morning Systolic Pressure]])</f>
        <v>255.27979544420887</v>
      </c>
      <c r="K146" s="2">
        <f>Table83[[#This Row],[Weight]]-Table7[[#This Row],[Weight v Morning Sys]]</f>
        <v>-2.479795444208861</v>
      </c>
      <c r="L146" s="2">
        <f>Table7[[#This Row],[WMS Res]]^2</f>
        <v>6.1493854451190222</v>
      </c>
      <c r="M146">
        <f>Regression!$F$10+(Regression!$F$9*Table83[[#This Row],[Morning Diastolic Pressure]])</f>
        <v>254.39263015393252</v>
      </c>
      <c r="N146" s="2">
        <f>Table83[[#This Row],[Weight]]-Table7[[#This Row],[Weight v Morning Dia]]</f>
        <v>-1.5926301539325038</v>
      </c>
      <c r="O146" s="2">
        <f>Table7[[#This Row],[WMD Res]]^2</f>
        <v>2.5364708072150708</v>
      </c>
      <c r="P146">
        <f>Regression!$G$10+(Regression!$G$9*Table83[[#This Row],[Morning Pulse]])</f>
        <v>255.13009525621317</v>
      </c>
      <c r="Q146" s="2">
        <f>Table83[[#This Row],[Weight]]-Table7[[#This Row],[Weight v Morning Pulse]]</f>
        <v>-2.3300952562131556</v>
      </c>
      <c r="R146" s="2">
        <f>Table7[[#This Row],[WMP Res]]^2</f>
        <v>5.4293439030270516</v>
      </c>
      <c r="S146">
        <f>Regression!$H$10+(Regression!$H$9*Table83[[#This Row],[Night Body Temp]])</f>
        <v>254.23530725463496</v>
      </c>
      <c r="T146" s="2">
        <f>Table83[[#This Row],[Weight]]-Table7[[#This Row],[Weight v Night Temp]]</f>
        <v>-1.4353072546349495</v>
      </c>
      <c r="U146" s="2">
        <f>Table7[[#This Row],[WNT Res]]^2</f>
        <v>2.0601069152077156</v>
      </c>
      <c r="V146">
        <f>Regression!$I$10+(Regression!$I$9*Table83[[#This Row],[Night Systolic Pressure]])</f>
        <v>256.47031940150885</v>
      </c>
      <c r="W146" s="2">
        <f>Table83[[#This Row],[Weight]]-Table7[[#This Row],[Weight v Night Sys]]</f>
        <v>-3.6703194015088343</v>
      </c>
      <c r="X146" s="2">
        <f>Table7[[#This Row],[WNS Res]]^2</f>
        <v>13.471244509092168</v>
      </c>
      <c r="Y146">
        <f>Regression!$J$10+(Regression!$J$9*Table83[[#This Row],[Night Diastolic Pressure]])</f>
        <v>255.17384811107831</v>
      </c>
      <c r="Z146" s="2">
        <f>Table83[[#This Row],[Weight]]-Table7[[#This Row],[Weight v Night Dia]]</f>
        <v>-2.3738481110783027</v>
      </c>
      <c r="AA146" s="2">
        <f>Table7[[#This Row],[WND Res]]^2</f>
        <v>5.6351548544700263</v>
      </c>
      <c r="AB146">
        <f>Regression!$K$10+(Regression!$K$9*Table83[[#This Row],[Night Pulse]])</f>
        <v>254.89515854008414</v>
      </c>
      <c r="AC146" s="2">
        <f>Table83[[#This Row],[Weight]]-Table7[[#This Row],[Weight v Night Pulse]]</f>
        <v>-2.0951585400841282</v>
      </c>
      <c r="AD146" s="2">
        <f>Table7[[#This Row],[WNP Res ]]^2</f>
        <v>4.3896893080874548</v>
      </c>
      <c r="AE146">
        <f>Regression!$L$10+(Regression!$L$9*Table83[[#This Row],[Sleep]])</f>
        <v>254.82155554400751</v>
      </c>
      <c r="AF146" s="2">
        <f>Table83[[#This Row],[Weight]]-Table7[[#This Row],[Weight v Sleep]]</f>
        <v>-2.0215555440074979</v>
      </c>
      <c r="AG146" s="2">
        <f>Table7[[#This Row],[WS Res]]^2</f>
        <v>4.0866868175074513</v>
      </c>
      <c r="AH146">
        <f>Regression!$M$10+(Regression!$M$9*Table83[[#This Row],[BMI]])</f>
        <v>252.80000000000521</v>
      </c>
      <c r="AI146" s="2">
        <f>Table83[[#This Row],[Weight]]-Table7[[#This Row],[Weight v BMI]]</f>
        <v>-5.2011728257639334E-12</v>
      </c>
      <c r="AJ146" s="2">
        <f>Table7[[#This Row],[WBMI Res]]^2</f>
        <v>2.7052198763465179E-23</v>
      </c>
      <c r="AK146">
        <f>Regression!$N$10+(Regression!$N$9*Table83[[#This Row],[CBF]])</f>
        <v>253.17965033701802</v>
      </c>
      <c r="AL146" s="2">
        <f>Table83[[#This Row],[Weight]]-Table7[[#This Row],[Weight v CBF]]</f>
        <v>-0.37965033701800621</v>
      </c>
      <c r="AM146" s="2">
        <f>Table7[[#This Row],[WCBF Res]]^2</f>
        <v>0.1441343783978857</v>
      </c>
      <c r="AN146">
        <f>Regression!$O$10+(Regression!$O$9*Table83[[#This Row],[Gym]])</f>
        <v>255.46779661016953</v>
      </c>
      <c r="AO146" s="2">
        <f>Table83[[#This Row],[Weight]]-Table7[[#This Row],[Weight v Gym]]</f>
        <v>-2.6677966101695176</v>
      </c>
      <c r="AP146" s="2">
        <f>Table7[[#This Row],[WG Res]]^2</f>
        <v>7.117138753231969</v>
      </c>
      <c r="AQ146">
        <f>Regression!$P$10+(Regression!$P$9*Table83[[#This Row],[Cardio]])</f>
        <v>254.19242424242461</v>
      </c>
      <c r="AR146" s="2">
        <f>Table83[[#This Row],[Weight]]-Table7[[#This Row],[Weight v Cardio]]</f>
        <v>-1.3924242424245961</v>
      </c>
      <c r="AS146" s="2">
        <f>Table7[[#This Row],[WC Res]]^2</f>
        <v>1.9388452708917103</v>
      </c>
      <c r="AT146">
        <f>Regression!$Q$10+(Regression!$Q$9*Table83[[#This Row],[Calories]])</f>
        <v>255.38098676144577</v>
      </c>
      <c r="AU146" s="2">
        <f>Table83[[#This Row],[Weight]]-Table7[[#This Row],[Weight v Calories]]</f>
        <v>-2.5809867614457573</v>
      </c>
      <c r="AV146" s="2">
        <f>Table7[[#This Row],[WCAL Res]]^2</f>
        <v>6.6614926627582589</v>
      </c>
      <c r="AW146">
        <f>Regression!$R$10+(Regression!$R$9*Table83[[#This Row],[Carbs]])</f>
        <v>255.13380440742117</v>
      </c>
      <c r="AX146" s="2">
        <f>Table83[[#This Row],[Weight]]-Table7[[#This Row],[Weight v Carbs]]</f>
        <v>-2.3338044074211552</v>
      </c>
      <c r="AY146" s="2">
        <f>Table7[[#This Row],[Wcarb Res]]^2</f>
        <v>5.4466430120984093</v>
      </c>
      <c r="AZ146">
        <f>Regression!$S$10+(Regression!$S$9*Table83[[#This Row],[Fat ]])</f>
        <v>255.43324722271544</v>
      </c>
      <c r="BA146" s="2">
        <f>Table83[[#This Row],[Weight]]-Table7[[#This Row],[Weight v Fat]]</f>
        <v>-2.6332472227154256</v>
      </c>
      <c r="BB146" s="2">
        <f>Table7[[#This Row],[WF Res]]^2</f>
        <v>6.9339909359385024</v>
      </c>
      <c r="BC146">
        <f>Regression!$T$10+(Regression!$T$9*Table83[[#This Row],[Protein]])</f>
        <v>255.72396157807449</v>
      </c>
      <c r="BD146" s="2">
        <f>Table83[[#This Row],[Weight]]-Table7[[#This Row],[Weight v Protein]]</f>
        <v>-2.9239615780744828</v>
      </c>
      <c r="BE146" s="2">
        <f>Table7[[#This Row],[WP Res]]^2</f>
        <v>8.5495513100558203</v>
      </c>
      <c r="BF146">
        <f>Regression!$U$10+(Regression!$U$9*Table83[[#This Row],[Fiber]])</f>
        <v>254.90455990265684</v>
      </c>
      <c r="BG146" s="2">
        <f>Table83[[#This Row],[Weight]]-Table7[[#This Row],[Weight v Fiber]]</f>
        <v>-2.1045599026568311</v>
      </c>
      <c r="BH146" s="2">
        <f>Table7[[#This Row],[Wfib Res]]^2</f>
        <v>4.4291723838709309</v>
      </c>
      <c r="BI146">
        <f>Regression!$V$10+(Regression!$V$9*Table83[[#This Row],[Sugar]])</f>
        <v>254.32171377775504</v>
      </c>
      <c r="BJ146" s="2">
        <f>Table83[[#This Row],[Weight]]-Table7[[#This Row],[Weight v Sugar]]</f>
        <v>-1.5217137777550249</v>
      </c>
      <c r="BK146" s="2">
        <f>Table7[[#This Row],[Wsugar Res]]^2</f>
        <v>2.3156128214094696</v>
      </c>
      <c r="BL146">
        <f>Regression!$W$10+(Regression!$W$9*Table83[[#This Row],[Servings]])</f>
        <v>252.91461974898934</v>
      </c>
      <c r="BM146" s="2">
        <f>Table83[[#This Row],[Weight]]-Table7[[#This Row],[Weight v Servings]]</f>
        <v>-0.11461974898932681</v>
      </c>
      <c r="BN146" s="2">
        <f>Table7[[#This Row],[Wserv Res]]^2</f>
        <v>1.3137686858376284E-2</v>
      </c>
      <c r="BO146">
        <f>Regression!$X$10+(Regression!$X$9*Table83[[#This Row],[Water]])</f>
        <v>255.06345001025522</v>
      </c>
      <c r="BP146" s="2">
        <f>Table83[[#This Row],[Weight]]-Table7[[#This Row],[Weight v Water]]</f>
        <v>-2.2634500102552124</v>
      </c>
      <c r="BQ146" s="2">
        <f>Table7[[#This Row],[Wwater Res]]^2</f>
        <v>5.1232059489243209</v>
      </c>
      <c r="BR146">
        <f>Regression!$Y$10+(Regression!$Y$9*Table83[[#This Row],[Fat Calories]])</f>
        <v>255.44883065814713</v>
      </c>
      <c r="BS146" s="2">
        <f>Table83[[#This Row],[Weight]]-Table7[[#This Row],[Weight v Fat Calories]]</f>
        <v>-2.6488306581471193</v>
      </c>
      <c r="BT146" s="2">
        <f>Table7[[#This Row],[WFC Res]]^2</f>
        <v>7.0163038555401007</v>
      </c>
      <c r="BU146">
        <f>Regression!$B$29+(Regression!$B$28*Table83[[#This Row],[Weight]])</f>
        <v>44.138086081724687</v>
      </c>
      <c r="BV146" s="2">
        <f>Table83[[#This Row],[Waist]]-Table7[[#This Row],[Waist v Weight]]</f>
        <v>-0.13808608172468695</v>
      </c>
      <c r="BW146" s="2">
        <f>Table7[[#This Row],[WaistW Res]]^2</f>
        <v>1.9067765966076924E-2</v>
      </c>
      <c r="BX146">
        <f>Regression!$C$29+(Regression!$C$28*Table83[[#This Row],[Neck]])</f>
        <v>44.175585585585594</v>
      </c>
      <c r="BY146" s="2">
        <f>Table83[[#This Row],[Waist]]-Table7[[#This Row],[Waist v Neck]]</f>
        <v>-0.17558558558559412</v>
      </c>
      <c r="BZ146" s="2">
        <f>Table7[[#This Row],[WaistN Res]]^2</f>
        <v>3.0830297865435997E-2</v>
      </c>
      <c r="CA146">
        <f>Regression!$D$29+(Regression!$D$28*Table83[[#This Row],[Morning Body Temp]])</f>
        <v>44.381010678053698</v>
      </c>
      <c r="CB146" s="2">
        <f>Table83[[#This Row],[Waist]]-Table7[[#This Row],[Waist v Morning Temp]]</f>
        <v>-0.38101067805369837</v>
      </c>
      <c r="CC146" s="2">
        <f>Table7[[#This Row],[WaistMT Res]]^2</f>
        <v>0.14516913679093899</v>
      </c>
      <c r="CD146">
        <f>Regression!$E$29+(Regression!$E$28*Table83[[#This Row],[Morning Systolic Pressure]])</f>
        <v>44.492246348363913</v>
      </c>
      <c r="CE146" s="2">
        <f>Table83[[#This Row],[Waist]]-Table7[[#This Row],[Waist v Morning Sys]]</f>
        <v>-0.49224634836391346</v>
      </c>
      <c r="CF146" s="2">
        <f>Table7[[#This Row],[WaistMS Res]]^2</f>
        <v>0.24230646747760723</v>
      </c>
      <c r="CG146">
        <f>Regression!$F$29+(Regression!$F$28*Table83[[#This Row],[Morning Diastolic Pressure]])</f>
        <v>44.413367323462282</v>
      </c>
      <c r="CH146" s="2">
        <f>Table83[[#This Row],[Waist]]-Table7[[#This Row],[Waist v Morning Dia]]</f>
        <v>-0.41336732346228189</v>
      </c>
      <c r="CI146" s="2">
        <f>Table7[[#This Row],[WaistMD Res]]^2</f>
        <v>0.17087254410637079</v>
      </c>
      <c r="CJ146">
        <f>Regression!$G$29+(Regression!$G$28*Table83[[#This Row],[Morning Pulse]])</f>
        <v>44.460452718095105</v>
      </c>
      <c r="CK146" s="2">
        <f>Table83[[#This Row],[Waist]]-Table7[[#This Row],[Waist v Morning Pulse]]</f>
        <v>-0.46045271809510524</v>
      </c>
      <c r="CL146" s="2">
        <f>Table7[[#This Row],[WaistMP Res]]^2</f>
        <v>0.21201670560117045</v>
      </c>
      <c r="CM146">
        <f>Regression!$H$29+(Regression!$H$28*Table83[[#This Row],[Night Body Temp]])</f>
        <v>44.384178564220093</v>
      </c>
      <c r="CN146" s="2">
        <f>Table83[[#This Row],[Waist]]-Table7[[#This Row],[Waist v Night Temp]]</f>
        <v>-0.38417856422009322</v>
      </c>
      <c r="CO146" s="2">
        <f>Table7[[#This Row],[WaistNT Res]]^2</f>
        <v>0.14759316920621229</v>
      </c>
      <c r="CP146">
        <f>Regression!$I$29+(Regression!$I$28*Table83[[#This Row],[Night Systolic Pressure]])</f>
        <v>44.64552080153819</v>
      </c>
      <c r="CQ146" s="2">
        <f>Table83[[#This Row],[Waist]]-Table7[[#This Row],[Waist v  Night Sys]]</f>
        <v>-0.64552080153818991</v>
      </c>
      <c r="CR146" s="2">
        <f>Table7[[#This Row],[WaistNS Res]]^2</f>
        <v>0.41669710521850717</v>
      </c>
      <c r="CS146">
        <f>Regression!$J$29+(Regression!$J$28*Table83[[#This Row],[Night Diastolic Pressure]])</f>
        <v>44.478159956361175</v>
      </c>
      <c r="CT146" s="2">
        <f>Table83[[#This Row],[Waist]]-Table7[[#This Row],[Waist v Night Dia]]</f>
        <v>-0.47815995636117492</v>
      </c>
      <c r="CU146" s="2">
        <f>Table7[[#This Row],[WaistND Res]]^2</f>
        <v>0.2286369438673207</v>
      </c>
      <c r="CV146">
        <f>Regression!$K$29+(Regression!$K$28*Table83[[#This Row],[Night Pulse]])</f>
        <v>44.473992104120093</v>
      </c>
      <c r="CW146" s="2">
        <f>Table83[[#This Row],[Waist]]-Table7[[#This Row],[Waist v Night Pulse]]</f>
        <v>-0.47399210412009296</v>
      </c>
      <c r="CX146" s="2">
        <f>Table7[[#This Row],[WaistNP Res]]^2</f>
        <v>0.22466851476819305</v>
      </c>
      <c r="CY146">
        <f>Regression!$L$29+(Regression!$L$28*Table83[[#This Row],[Sleep]])</f>
        <v>44.408792884862443</v>
      </c>
      <c r="CZ146" s="2">
        <f>Table83[[#This Row],[Waist]]-Table7[[#This Row],[Waist v  Sleep]]</f>
        <v>-0.40879288486244292</v>
      </c>
      <c r="DA146" s="2">
        <f>Table7[[#This Row],[WaistS Res]]^2</f>
        <v>0.16711162271415853</v>
      </c>
      <c r="DB146">
        <f>Regression!$M$29+(Regression!$M$28*Table83[[#This Row],[BMI]])</f>
        <v>44.138086081725689</v>
      </c>
      <c r="DC146" s="2">
        <f>Table83[[#This Row],[Waist]]-Table7[[#This Row],[Waist v BMI]]</f>
        <v>-0.13808608172568881</v>
      </c>
      <c r="DD146" s="2">
        <f>Table7[[#This Row],[WaistBMI Res]]^2</f>
        <v>1.9067765966353609E-2</v>
      </c>
      <c r="DE146">
        <f>Regression!$N$29+(Regression!$N$28*Table83[[#This Row],[CBF]])</f>
        <v>44.105031770433015</v>
      </c>
      <c r="DF146" s="2">
        <f>Table83[[#This Row],[Waist]]-Table7[[#This Row],[Waist v  CBF]]</f>
        <v>-0.10503177043301548</v>
      </c>
      <c r="DG146" s="2">
        <f>Table7[[#This Row],[WaistCBF Res]]^2</f>
        <v>1.1031672800293666E-2</v>
      </c>
      <c r="DH146">
        <f>Regression!$O$29+(Regression!$O$28*Table83[[#This Row],[Gym]])</f>
        <v>44.550847457627107</v>
      </c>
      <c r="DI146" s="2">
        <f>Table83[[#This Row],[Waist]]-Table7[[#This Row],[Waist v  Gym]]</f>
        <v>-0.55084745762710696</v>
      </c>
      <c r="DJ146" s="2">
        <f>Table7[[#This Row],[WaistGYM Res]]^2</f>
        <v>0.30343292157424739</v>
      </c>
      <c r="DK146">
        <f>Regression!$P$29+(Regression!$P$28*Table83[[#This Row],[Cardio]])</f>
        <v>44.291666666666664</v>
      </c>
      <c r="DL146" s="2">
        <f>Table83[[#This Row],[Waist]]-Table7[[#This Row],[Waist v Cardio]]</f>
        <v>-0.2916666666666643</v>
      </c>
      <c r="DM146" s="2">
        <f>Table7[[#This Row],[WaistC Res]]^2</f>
        <v>8.506944444444306E-2</v>
      </c>
      <c r="DN146">
        <f>Regression!$Q$29+(Regression!$Q$28*Table83[[#This Row],[Calories]])</f>
        <v>44.513291207312498</v>
      </c>
      <c r="DO146" s="2">
        <f>Table83[[#This Row],[Waist]]-Table7[[#This Row],[Waist v Calories]]</f>
        <v>-0.51329120731249844</v>
      </c>
      <c r="DP146" s="2">
        <f>Table7[[#This Row],[WaistCal Res]]^2</f>
        <v>0.26346786350432227</v>
      </c>
      <c r="DQ146">
        <f>Regression!$R$29+(Regression!$R$28*Table83[[#This Row],[Carbs]])</f>
        <v>44.457445573361802</v>
      </c>
      <c r="DR146" s="2">
        <f>Table83[[#This Row],[Waist]]-Table7[[#This Row],[Waist v Carbs]]</f>
        <v>-0.45744557336180236</v>
      </c>
      <c r="DS146" s="2">
        <f>Table7[[#This Row],[WaistCarb Res]]^2</f>
        <v>0.20925645258830811</v>
      </c>
      <c r="DT146">
        <f>Regression!$S$29+(Regression!$S$28*Table83[[#This Row],[Fat ]])</f>
        <v>44.550807738406874</v>
      </c>
      <c r="DU146" s="2">
        <f>Table83[[#This Row],[Waist]]-Table7[[#This Row],[Waist v Fat]]</f>
        <v>-0.55080773840687414</v>
      </c>
      <c r="DV146" s="2">
        <f>Table7[[#This Row],[WaistF Res]]^2</f>
        <v>0.30338916468889549</v>
      </c>
      <c r="DW146">
        <f>Regression!$T$29+(Regression!$T$28*Table83[[#This Row],[Protein]])</f>
        <v>44.564994313569507</v>
      </c>
      <c r="DX146" s="2">
        <f>Table83[[#This Row],[Waist]]-Table7[[#This Row],[Waist v Protein]]</f>
        <v>-0.5649943135695068</v>
      </c>
      <c r="DY146" s="2">
        <f>Table7[[#This Row],[WaistP Res]]^2</f>
        <v>0.31921857436587819</v>
      </c>
      <c r="DZ146">
        <f>Regression!$U$29+(Regression!$U$28*Table83[[#This Row],[Fiber]])</f>
        <v>44.372322343615956</v>
      </c>
      <c r="EA146" s="2">
        <f>Table83[[#This Row],[Waist]]-Table7[[#This Row],[Waist v Fiber]]</f>
        <v>-0.37232234361595573</v>
      </c>
      <c r="EB146" s="2">
        <f>Table7[[#This Row],[WaistFib Res]]^2</f>
        <v>0.13862392755567782</v>
      </c>
      <c r="EC146">
        <f>Regression!$V$29+(Regression!$V$28*Table83[[#This Row],[Sugar]])</f>
        <v>44.311026852103545</v>
      </c>
      <c r="ED146" s="2">
        <f>Table83[[#This Row],[Waist]]-Table7[[#This Row],[Waist v Sugar]]</f>
        <v>-0.31102685210354508</v>
      </c>
      <c r="EE146" s="2">
        <f>Table7[[#This Row],[WaistSugar Res]]^2</f>
        <v>9.6737702729440503E-2</v>
      </c>
      <c r="EF146">
        <f>Regression!$W$29+(Regression!$W$28*Table83[[#This Row],[Servings]])</f>
        <v>44.11779170355414</v>
      </c>
      <c r="EG146" s="2">
        <f>Table83[[#This Row],[Waist]]-Table7[[#This Row],[Waist v Servings]]</f>
        <v>-0.11779170355413981</v>
      </c>
      <c r="EH146" s="2">
        <f>Table7[[#This Row],[WaistServ Res]]^2</f>
        <v>1.3874885426186354E-2</v>
      </c>
      <c r="EI146">
        <f>Regression!$X$29+(Regression!$X$28*Table83[[#This Row],[Water]])</f>
        <v>44.386198474840633</v>
      </c>
      <c r="EJ146" s="2">
        <f>Table83[[#This Row],[Waist]]-Table7[[#This Row],[Waist v Water]]</f>
        <v>-0.38619847484063285</v>
      </c>
      <c r="EK146" s="2">
        <f>Table7[[#This Row],[WaistWat Res]]^2</f>
        <v>0.14914926196923092</v>
      </c>
      <c r="EL146">
        <f>Regression!$Y$29+(Regression!$Y$28*Table83[[#This Row],[Fat Calories]])</f>
        <v>44.555053872649403</v>
      </c>
      <c r="EM146" s="2">
        <f>Table83[[#This Row],[Waist]]-Table7[[#This Row],[Waist v Fat Calories]]</f>
        <v>-0.55505387264940254</v>
      </c>
      <c r="EN146" s="2">
        <f>Table7[[#This Row],[WaistFatCal Res]]^2</f>
        <v>0.30808480154309914</v>
      </c>
    </row>
    <row r="147" spans="1:144" x14ac:dyDescent="0.25">
      <c r="A147">
        <f>Regression!$B$10+(Regression!$B$9*Table83[[#This Row],[Waist]])</f>
        <v>252.52625917894264</v>
      </c>
      <c r="B147" s="2">
        <f>Table83[[#This Row],[Weight]]-Table7[[#This Row],[Weight v Waist]]</f>
        <v>-1.5262591789426381</v>
      </c>
      <c r="C147" s="2">
        <f>Table7[[#This Row],[Weight v Waist Res]]^2</f>
        <v>2.3294670813066558</v>
      </c>
      <c r="D147">
        <f>Regression!$C$10+(Regression!$C$9*Table83[[#This Row],[Neck]])</f>
        <v>253.29286486487842</v>
      </c>
      <c r="E147" s="2">
        <f>Table83[[#This Row],[Weight]]-Table7[[#This Row],[Weight v Neck]]</f>
        <v>-2.2928648648784247</v>
      </c>
      <c r="F147" s="2">
        <f>Table7[[#This Row],[WN Res]]^2</f>
        <v>5.2572292885939564</v>
      </c>
      <c r="G147">
        <f>Regression!$D$10+(Regression!$D$9*Table83[[#This Row],[Morning Body Temp]])</f>
        <v>254.98916789486196</v>
      </c>
      <c r="H147" s="2">
        <f>Table83[[#This Row],[Weight]]-Table7[[#This Row],[Weight v Morning Temp]]</f>
        <v>-3.9891678948619642</v>
      </c>
      <c r="I147" s="2">
        <f>Table7[[#This Row],[WMT Res]]^2</f>
        <v>15.913460493397436</v>
      </c>
      <c r="J147">
        <f>Regression!$E$10+(Regression!$E$9*Table83[[#This Row],[Morning Systolic Pressure]])</f>
        <v>254.73886899784827</v>
      </c>
      <c r="K147" s="2">
        <f>Table83[[#This Row],[Weight]]-Table7[[#This Row],[Weight v Morning Sys]]</f>
        <v>-3.7388689978482716</v>
      </c>
      <c r="L147" s="2">
        <f>Table7[[#This Row],[WMS Res]]^2</f>
        <v>13.979141383070939</v>
      </c>
      <c r="M147">
        <f>Regression!$F$10+(Regression!$F$9*Table83[[#This Row],[Morning Diastolic Pressure]])</f>
        <v>255.10203989724667</v>
      </c>
      <c r="N147" s="2">
        <f>Table83[[#This Row],[Weight]]-Table7[[#This Row],[Weight v Morning Dia]]</f>
        <v>-4.1020398972466694</v>
      </c>
      <c r="O147" s="2">
        <f>Table7[[#This Row],[WMD Res]]^2</f>
        <v>16.826731318603468</v>
      </c>
      <c r="P147">
        <f>Regression!$G$10+(Regression!$G$9*Table83[[#This Row],[Morning Pulse]])</f>
        <v>255.10998950288408</v>
      </c>
      <c r="Q147" s="2">
        <f>Table83[[#This Row],[Weight]]-Table7[[#This Row],[Weight v Morning Pulse]]</f>
        <v>-4.1099895028840763</v>
      </c>
      <c r="R147" s="2">
        <f>Table7[[#This Row],[WMP Res]]^2</f>
        <v>16.892013713817295</v>
      </c>
      <c r="S147">
        <f>Regression!$H$10+(Regression!$H$9*Table83[[#This Row],[Night Body Temp]])</f>
        <v>256.08384552330529</v>
      </c>
      <c r="T147" s="2">
        <f>Table83[[#This Row],[Weight]]-Table7[[#This Row],[Weight v Night Temp]]</f>
        <v>-5.0838455233052855</v>
      </c>
      <c r="U147" s="2">
        <f>Table7[[#This Row],[WNT Res]]^2</f>
        <v>25.845485304831193</v>
      </c>
      <c r="V147">
        <f>Regression!$I$10+(Regression!$I$9*Table83[[#This Row],[Night Systolic Pressure]])</f>
        <v>254.6227123889964</v>
      </c>
      <c r="W147" s="2">
        <f>Table83[[#This Row],[Weight]]-Table7[[#This Row],[Weight v Night Sys]]</f>
        <v>-3.6227123889964048</v>
      </c>
      <c r="X147" s="2">
        <f>Table7[[#This Row],[WNS Res]]^2</f>
        <v>13.124045053388038</v>
      </c>
      <c r="Y147">
        <f>Regression!$J$10+(Regression!$J$9*Table83[[#This Row],[Night Diastolic Pressure]])</f>
        <v>255.29614571632661</v>
      </c>
      <c r="Z147" s="2">
        <f>Table83[[#This Row],[Weight]]-Table7[[#This Row],[Weight v Night Dia]]</f>
        <v>-4.2961457163266061</v>
      </c>
      <c r="AA147" s="2">
        <f>Table7[[#This Row],[WND Res]]^2</f>
        <v>18.456868015911446</v>
      </c>
      <c r="AB147">
        <f>Regression!$K$10+(Regression!$K$9*Table83[[#This Row],[Night Pulse]])</f>
        <v>255.60156515852887</v>
      </c>
      <c r="AC147" s="2">
        <f>Table83[[#This Row],[Weight]]-Table7[[#This Row],[Weight v Night Pulse]]</f>
        <v>-4.6015651585288708</v>
      </c>
      <c r="AD147" s="2">
        <f>Table7[[#This Row],[WNP Res ]]^2</f>
        <v>21.174401908186834</v>
      </c>
      <c r="AE147">
        <f>Regression!$L$10+(Regression!$L$9*Table83[[#This Row],[Sleep]])</f>
        <v>254.50608136063369</v>
      </c>
      <c r="AF147" s="2">
        <f>Table83[[#This Row],[Weight]]-Table7[[#This Row],[Weight v Sleep]]</f>
        <v>-3.5060813606336865</v>
      </c>
      <c r="AG147" s="2">
        <f>Table7[[#This Row],[WS Res]]^2</f>
        <v>12.292606507382962</v>
      </c>
      <c r="AH147">
        <f>Regression!$M$10+(Regression!$M$9*Table83[[#This Row],[BMI]])</f>
        <v>251.00000000000921</v>
      </c>
      <c r="AI147" s="2">
        <f>Table83[[#This Row],[Weight]]-Table7[[#This Row],[Weight v BMI]]</f>
        <v>-9.2086338554508984E-12</v>
      </c>
      <c r="AJ147" s="2">
        <f>Table7[[#This Row],[WBMI Res]]^2</f>
        <v>8.4798937483756478E-23</v>
      </c>
      <c r="AK147">
        <f>Regression!$N$10+(Regression!$N$9*Table83[[#This Row],[CBF]])</f>
        <v>253.17965033701802</v>
      </c>
      <c r="AL147" s="2">
        <f>Table83[[#This Row],[Weight]]-Table7[[#This Row],[Weight v CBF]]</f>
        <v>-2.1796503370180176</v>
      </c>
      <c r="AM147" s="2">
        <f>Table7[[#This Row],[WCBF Res]]^2</f>
        <v>4.7508755916627576</v>
      </c>
      <c r="AN147">
        <f>Regression!$O$10+(Regression!$O$9*Table83[[#This Row],[Gym]])</f>
        <v>254.72962962962998</v>
      </c>
      <c r="AO147" s="2">
        <f>Table83[[#This Row],[Weight]]-Table7[[#This Row],[Weight v Gym]]</f>
        <v>-3.7296296296299829</v>
      </c>
      <c r="AP147" s="2">
        <f>Table7[[#This Row],[WG Res]]^2</f>
        <v>13.910137174213883</v>
      </c>
      <c r="AQ147">
        <f>Regression!$P$10+(Regression!$P$9*Table83[[#This Row],[Cardio]])</f>
        <v>254.19242424242461</v>
      </c>
      <c r="AR147" s="2">
        <f>Table83[[#This Row],[Weight]]-Table7[[#This Row],[Weight v Cardio]]</f>
        <v>-3.1924242424246074</v>
      </c>
      <c r="AS147" s="2">
        <f>Table7[[#This Row],[WC Res]]^2</f>
        <v>10.191572543620328</v>
      </c>
      <c r="AT147">
        <f>Regression!$Q$10+(Regression!$Q$9*Table83[[#This Row],[Calories]])</f>
        <v>256.302102196443</v>
      </c>
      <c r="AU147" s="2">
        <f>Table83[[#This Row],[Weight]]-Table7[[#This Row],[Weight v Calories]]</f>
        <v>-5.302102196443002</v>
      </c>
      <c r="AV147" s="2">
        <f>Table7[[#This Row],[WCAL Res]]^2</f>
        <v>28.112287701525705</v>
      </c>
      <c r="AW147">
        <f>Regression!$R$10+(Regression!$R$9*Table83[[#This Row],[Carbs]])</f>
        <v>256.35740336165696</v>
      </c>
      <c r="AX147" s="2">
        <f>Table83[[#This Row],[Weight]]-Table7[[#This Row],[Weight v Carbs]]</f>
        <v>-5.3574033616569636</v>
      </c>
      <c r="AY147" s="2">
        <f>Table7[[#This Row],[Wcarb Res]]^2</f>
        <v>28.701770779493334</v>
      </c>
      <c r="AZ147">
        <f>Regression!$S$10+(Regression!$S$9*Table83[[#This Row],[Fat ]])</f>
        <v>255.74867108846553</v>
      </c>
      <c r="BA147" s="2">
        <f>Table83[[#This Row],[Weight]]-Table7[[#This Row],[Weight v Fat]]</f>
        <v>-4.7486710884655281</v>
      </c>
      <c r="BB147" s="2">
        <f>Table7[[#This Row],[WF Res]]^2</f>
        <v>22.549877106428383</v>
      </c>
      <c r="BC147">
        <f>Regression!$T$10+(Regression!$T$9*Table83[[#This Row],[Protein]])</f>
        <v>256.88571301836066</v>
      </c>
      <c r="BD147" s="2">
        <f>Table83[[#This Row],[Weight]]-Table7[[#This Row],[Weight v Protein]]</f>
        <v>-5.8857130183606614</v>
      </c>
      <c r="BE147" s="2">
        <f>Table7[[#This Row],[WP Res]]^2</f>
        <v>34.641617734500166</v>
      </c>
      <c r="BF147">
        <f>Regression!$U$10+(Regression!$U$9*Table83[[#This Row],[Fiber]])</f>
        <v>254.83021245041104</v>
      </c>
      <c r="BG147" s="2">
        <f>Table83[[#This Row],[Weight]]-Table7[[#This Row],[Weight v Fiber]]</f>
        <v>-3.8302124504110395</v>
      </c>
      <c r="BH147" s="2">
        <f>Table7[[#This Row],[Wfib Res]]^2</f>
        <v>14.67052741528374</v>
      </c>
      <c r="BI147">
        <f>Regression!$V$10+(Regression!$V$9*Table83[[#This Row],[Sugar]])</f>
        <v>256.82110958259989</v>
      </c>
      <c r="BJ147" s="2">
        <f>Table83[[#This Row],[Weight]]-Table7[[#This Row],[Weight v Sugar]]</f>
        <v>-5.8211095825998882</v>
      </c>
      <c r="BK147" s="2">
        <f>Table7[[#This Row],[Wsugar Res]]^2</f>
        <v>33.885316772636244</v>
      </c>
      <c r="BL147">
        <f>Regression!$W$10+(Regression!$W$9*Table83[[#This Row],[Servings]])</f>
        <v>257.23403170633981</v>
      </c>
      <c r="BM147" s="2">
        <f>Table83[[#This Row],[Weight]]-Table7[[#This Row],[Weight v Servings]]</f>
        <v>-6.2340317063398061</v>
      </c>
      <c r="BN147" s="2">
        <f>Table7[[#This Row],[Wserv Res]]^2</f>
        <v>38.863151315649993</v>
      </c>
      <c r="BO147">
        <f>Regression!$X$10+(Regression!$X$9*Table83[[#This Row],[Water]])</f>
        <v>255.04204201855453</v>
      </c>
      <c r="BP147" s="2">
        <f>Table83[[#This Row],[Weight]]-Table7[[#This Row],[Weight v Water]]</f>
        <v>-4.0420420185545254</v>
      </c>
      <c r="BQ147" s="2">
        <f>Table7[[#This Row],[Wwater Res]]^2</f>
        <v>16.338103679760341</v>
      </c>
      <c r="BR147">
        <f>Regression!$Y$10+(Regression!$Y$9*Table83[[#This Row],[Fat Calories]])</f>
        <v>255.78452100206511</v>
      </c>
      <c r="BS147" s="2">
        <f>Table83[[#This Row],[Weight]]-Table7[[#This Row],[Weight v Fat Calories]]</f>
        <v>-4.7845210020651052</v>
      </c>
      <c r="BT147" s="2">
        <f>Table7[[#This Row],[WFC Res]]^2</f>
        <v>22.891641219202079</v>
      </c>
      <c r="BU147">
        <f>Regression!$B$29+(Regression!$B$28*Table83[[#This Row],[Weight]])</f>
        <v>43.89281356269872</v>
      </c>
      <c r="BV147" s="2">
        <f>Table83[[#This Row],[Waist]]-Table7[[#This Row],[Waist v Weight]]</f>
        <v>0.10718643730128008</v>
      </c>
      <c r="BW147" s="2">
        <f>Table7[[#This Row],[WaistW Res]]^2</f>
        <v>1.1488932341341246E-2</v>
      </c>
      <c r="BX147">
        <f>Regression!$C$29+(Regression!$C$28*Table83[[#This Row],[Neck]])</f>
        <v>44.175585585585594</v>
      </c>
      <c r="BY147" s="2">
        <f>Table83[[#This Row],[Waist]]-Table7[[#This Row],[Waist v Neck]]</f>
        <v>-0.17558558558559412</v>
      </c>
      <c r="BZ147" s="2">
        <f>Table7[[#This Row],[WaistN Res]]^2</f>
        <v>3.0830297865435997E-2</v>
      </c>
      <c r="CA147">
        <f>Regression!$D$29+(Regression!$D$28*Table83[[#This Row],[Morning Body Temp]])</f>
        <v>44.419304304405451</v>
      </c>
      <c r="CB147" s="2">
        <f>Table83[[#This Row],[Waist]]-Table7[[#This Row],[Waist v Morning Temp]]</f>
        <v>-0.41930430440545052</v>
      </c>
      <c r="CC147" s="2">
        <f>Table7[[#This Row],[WaistMT Res]]^2</f>
        <v>0.17581609969293871</v>
      </c>
      <c r="CD147">
        <f>Regression!$E$29+(Regression!$E$28*Table83[[#This Row],[Morning Systolic Pressure]])</f>
        <v>44.365161485454784</v>
      </c>
      <c r="CE147" s="2">
        <f>Table83[[#This Row],[Waist]]-Table7[[#This Row],[Waist v Morning Sys]]</f>
        <v>-0.36516148545478444</v>
      </c>
      <c r="CF147" s="2">
        <f>Table7[[#This Row],[WaistMS Res]]^2</f>
        <v>0.13334291045954474</v>
      </c>
      <c r="CG147">
        <f>Regression!$F$29+(Regression!$F$28*Table83[[#This Row],[Morning Diastolic Pressure]])</f>
        <v>44.452816668144258</v>
      </c>
      <c r="CH147" s="2">
        <f>Table83[[#This Row],[Waist]]-Table7[[#This Row],[Waist v Morning Dia]]</f>
        <v>-0.45281666814425847</v>
      </c>
      <c r="CI147" s="2">
        <f>Table7[[#This Row],[WaistMD Res]]^2</f>
        <v>0.20504293494926751</v>
      </c>
      <c r="CJ147">
        <f>Regression!$G$29+(Regression!$G$28*Table83[[#This Row],[Morning Pulse]])</f>
        <v>44.451218189785358</v>
      </c>
      <c r="CK147" s="2">
        <f>Table83[[#This Row],[Waist]]-Table7[[#This Row],[Waist v Morning Pulse]]</f>
        <v>-0.45121818978535799</v>
      </c>
      <c r="CL147" s="2">
        <f>Table7[[#This Row],[WaistMP Res]]^2</f>
        <v>0.20359785479317535</v>
      </c>
      <c r="CM147">
        <f>Regression!$H$29+(Regression!$H$28*Table83[[#This Row],[Night Body Temp]])</f>
        <v>44.52992319270804</v>
      </c>
      <c r="CN147" s="2">
        <f>Table83[[#This Row],[Waist]]-Table7[[#This Row],[Waist v Night Temp]]</f>
        <v>-0.52992319270803989</v>
      </c>
      <c r="CO147" s="2">
        <f>Table7[[#This Row],[WaistNT Res]]^2</f>
        <v>0.28081859016988236</v>
      </c>
      <c r="CP147">
        <f>Regression!$I$29+(Regression!$I$28*Table83[[#This Row],[Night Systolic Pressure]])</f>
        <v>44.383798743677147</v>
      </c>
      <c r="CQ147" s="2">
        <f>Table83[[#This Row],[Waist]]-Table7[[#This Row],[Waist v  Night Sys]]</f>
        <v>-0.38379874367714706</v>
      </c>
      <c r="CR147" s="2">
        <f>Table7[[#This Row],[WaistNS Res]]^2</f>
        <v>0.14730147564815643</v>
      </c>
      <c r="CS147">
        <f>Regression!$J$29+(Regression!$J$28*Table83[[#This Row],[Night Diastolic Pressure]])</f>
        <v>44.529363791983499</v>
      </c>
      <c r="CT147" s="2">
        <f>Table83[[#This Row],[Waist]]-Table7[[#This Row],[Waist v Night Dia]]</f>
        <v>-0.52936379198349925</v>
      </c>
      <c r="CU147" s="2">
        <f>Table7[[#This Row],[WaistND Res]]^2</f>
        <v>0.28022602426314946</v>
      </c>
      <c r="CV147">
        <f>Regression!$K$29+(Regression!$K$28*Table83[[#This Row],[Night Pulse]])</f>
        <v>44.408286938967898</v>
      </c>
      <c r="CW147" s="2">
        <f>Table83[[#This Row],[Waist]]-Table7[[#This Row],[Waist v Night Pulse]]</f>
        <v>-0.40828693896789758</v>
      </c>
      <c r="CX147" s="2">
        <f>Table7[[#This Row],[WaistNP Res]]^2</f>
        <v>0.16669822453177571</v>
      </c>
      <c r="CY147">
        <f>Regression!$L$29+(Regression!$L$28*Table83[[#This Row],[Sleep]])</f>
        <v>44.360693916866794</v>
      </c>
      <c r="CZ147" s="2">
        <f>Table83[[#This Row],[Waist]]-Table7[[#This Row],[Waist v  Sleep]]</f>
        <v>-0.36069391686679353</v>
      </c>
      <c r="DA147" s="2">
        <f>Table7[[#This Row],[WaistS Res]]^2</f>
        <v>0.13010010166470937</v>
      </c>
      <c r="DB147">
        <f>Regression!$M$29+(Regression!$M$28*Table83[[#This Row],[BMI]])</f>
        <v>43.892813562700496</v>
      </c>
      <c r="DC147" s="2">
        <f>Table83[[#This Row],[Waist]]-Table7[[#This Row],[Waist v BMI]]</f>
        <v>0.10718643729950372</v>
      </c>
      <c r="DD147" s="2">
        <f>Table7[[#This Row],[WaistBMI Res]]^2</f>
        <v>1.1488932340960442E-2</v>
      </c>
      <c r="DE147">
        <f>Regression!$N$29+(Regression!$N$28*Table83[[#This Row],[CBF]])</f>
        <v>44.105031770433015</v>
      </c>
      <c r="DF147" s="2">
        <f>Table83[[#This Row],[Waist]]-Table7[[#This Row],[Waist v  CBF]]</f>
        <v>-0.10503177043301548</v>
      </c>
      <c r="DG147" s="2">
        <f>Table7[[#This Row],[WaistCBF Res]]^2</f>
        <v>1.1031672800293666E-2</v>
      </c>
      <c r="DH147">
        <f>Regression!$O$29+(Regression!$O$28*Table83[[#This Row],[Gym]])</f>
        <v>44.347222222222221</v>
      </c>
      <c r="DI147" s="2">
        <f>Table83[[#This Row],[Waist]]-Table7[[#This Row],[Waist v  Gym]]</f>
        <v>-0.34722222222222143</v>
      </c>
      <c r="DJ147" s="2">
        <f>Table7[[#This Row],[WaistGYM Res]]^2</f>
        <v>0.12056327160493772</v>
      </c>
      <c r="DK147">
        <f>Regression!$P$29+(Regression!$P$28*Table83[[#This Row],[Cardio]])</f>
        <v>44.291666666666664</v>
      </c>
      <c r="DL147" s="2">
        <f>Table83[[#This Row],[Waist]]-Table7[[#This Row],[Waist v Cardio]]</f>
        <v>-0.2916666666666643</v>
      </c>
      <c r="DM147" s="2">
        <f>Table7[[#This Row],[WaistC Res]]^2</f>
        <v>8.506944444444306E-2</v>
      </c>
      <c r="DN147">
        <f>Regression!$Q$29+(Regression!$Q$28*Table83[[#This Row],[Calories]])</f>
        <v>44.720245415526556</v>
      </c>
      <c r="DO147" s="2">
        <f>Table83[[#This Row],[Waist]]-Table7[[#This Row],[Waist v Calories]]</f>
        <v>-0.72024541552655563</v>
      </c>
      <c r="DP147" s="2">
        <f>Table7[[#This Row],[WaistCal Res]]^2</f>
        <v>0.51875345858702082</v>
      </c>
      <c r="DQ147">
        <f>Regression!$R$29+(Regression!$R$28*Table83[[#This Row],[Carbs]])</f>
        <v>44.712191382607749</v>
      </c>
      <c r="DR147" s="2">
        <f>Table83[[#This Row],[Waist]]-Table7[[#This Row],[Waist v Carbs]]</f>
        <v>-0.71219138260774884</v>
      </c>
      <c r="DS147" s="2">
        <f>Table7[[#This Row],[WaistCarb Res]]^2</f>
        <v>0.5072165654607369</v>
      </c>
      <c r="DT147">
        <f>Regression!$S$29+(Regression!$S$28*Table83[[#This Row],[Fat ]])</f>
        <v>44.647226138942806</v>
      </c>
      <c r="DU147" s="2">
        <f>Table83[[#This Row],[Waist]]-Table7[[#This Row],[Waist v Fat]]</f>
        <v>-0.64722613894280556</v>
      </c>
      <c r="DV147" s="2">
        <f>Table7[[#This Row],[WaistF Res]]^2</f>
        <v>0.41890167493081187</v>
      </c>
      <c r="DW147">
        <f>Regression!$T$29+(Regression!$T$28*Table83[[#This Row],[Protein]])</f>
        <v>44.777637982085629</v>
      </c>
      <c r="DX147" s="2">
        <f>Table83[[#This Row],[Waist]]-Table7[[#This Row],[Waist v Protein]]</f>
        <v>-0.77763798208562918</v>
      </c>
      <c r="DY147" s="2">
        <f>Table7[[#This Row],[WaistP Res]]^2</f>
        <v>0.60472083118220932</v>
      </c>
      <c r="DZ147">
        <f>Regression!$U$29+(Regression!$U$28*Table83[[#This Row],[Fiber]])</f>
        <v>44.343634639231425</v>
      </c>
      <c r="EA147" s="2">
        <f>Table83[[#This Row],[Waist]]-Table7[[#This Row],[Waist v Fiber]]</f>
        <v>-0.3436346392314249</v>
      </c>
      <c r="EB147" s="2">
        <f>Table7[[#This Row],[WaistFib Res]]^2</f>
        <v>0.11808476527971154</v>
      </c>
      <c r="EC147">
        <f>Regression!$V$29+(Regression!$V$28*Table83[[#This Row],[Sugar]])</f>
        <v>44.760015432615234</v>
      </c>
      <c r="ED147" s="2">
        <f>Table83[[#This Row],[Waist]]-Table7[[#This Row],[Waist v Sugar]]</f>
        <v>-0.76001543261523352</v>
      </c>
      <c r="EE147" s="2">
        <f>Table7[[#This Row],[WaistSugar Res]]^2</f>
        <v>0.57762345781332058</v>
      </c>
      <c r="EF147">
        <f>Regression!$W$29+(Regression!$W$28*Table83[[#This Row],[Servings]])</f>
        <v>44.77686200686265</v>
      </c>
      <c r="EG147" s="2">
        <f>Table83[[#This Row],[Waist]]-Table7[[#This Row],[Waist v Servings]]</f>
        <v>-0.77686200686265039</v>
      </c>
      <c r="EH147" s="2">
        <f>Table7[[#This Row],[WaistServ Res]]^2</f>
        <v>0.60351457770666461</v>
      </c>
      <c r="EI147">
        <f>Regression!$X$29+(Regression!$X$28*Table83[[#This Row],[Water]])</f>
        <v>44.358256536134995</v>
      </c>
      <c r="EJ147" s="2">
        <f>Table83[[#This Row],[Waist]]-Table7[[#This Row],[Waist v Water]]</f>
        <v>-0.35825653613499497</v>
      </c>
      <c r="EK147" s="2">
        <f>Table7[[#This Row],[WaistWat Res]]^2</f>
        <v>0.12834774568344495</v>
      </c>
      <c r="EL147">
        <f>Regression!$Y$29+(Regression!$Y$28*Table83[[#This Row],[Fat Calories]])</f>
        <v>44.657146963256835</v>
      </c>
      <c r="EM147" s="2">
        <f>Table83[[#This Row],[Waist]]-Table7[[#This Row],[Waist v Fat Calories]]</f>
        <v>-0.65714696325683519</v>
      </c>
      <c r="EN147" s="2">
        <f>Table7[[#This Row],[WaistFatCal Res]]^2</f>
        <v>0.43184213131768029</v>
      </c>
    </row>
    <row r="148" spans="1:144" x14ac:dyDescent="0.25">
      <c r="A148">
        <f>Regression!$B$10+(Regression!$B$9*Table83[[#This Row],[Waist]])</f>
        <v>252.52625917894264</v>
      </c>
      <c r="B148" s="2">
        <f>Table83[[#This Row],[Weight]]-Table7[[#This Row],[Weight v Waist]]</f>
        <v>-3.1262591789426324</v>
      </c>
      <c r="C148" s="2">
        <f>Table7[[#This Row],[Weight v Waist Res]]^2</f>
        <v>9.7734964539230624</v>
      </c>
      <c r="D148">
        <f>Regression!$C$10+(Regression!$C$9*Table83[[#This Row],[Neck]])</f>
        <v>253.29286486487842</v>
      </c>
      <c r="E148" s="2">
        <f>Table83[[#This Row],[Weight]]-Table7[[#This Row],[Weight v Neck]]</f>
        <v>-3.892864864878419</v>
      </c>
      <c r="F148" s="2">
        <f>Table7[[#This Row],[WN Res]]^2</f>
        <v>15.154396856204871</v>
      </c>
      <c r="G148">
        <f>Regression!$D$10+(Regression!$D$9*Table83[[#This Row],[Morning Body Temp]])</f>
        <v>255.3411606659738</v>
      </c>
      <c r="H148" s="2">
        <f>Table83[[#This Row],[Weight]]-Table7[[#This Row],[Weight v Morning Temp]]</f>
        <v>-5.941160665973797</v>
      </c>
      <c r="I148" s="2">
        <f>Table7[[#This Row],[WMT Res]]^2</f>
        <v>35.29739005891421</v>
      </c>
      <c r="J148">
        <f>Regression!$E$10+(Regression!$E$9*Table83[[#This Row],[Morning Systolic Pressure]])</f>
        <v>254.82902340557504</v>
      </c>
      <c r="K148" s="2">
        <f>Table83[[#This Row],[Weight]]-Table7[[#This Row],[Weight v Morning Sys]]</f>
        <v>-5.4290234055750375</v>
      </c>
      <c r="L148" s="2">
        <f>Table7[[#This Row],[WMS Res]]^2</f>
        <v>29.47429513828158</v>
      </c>
      <c r="M148">
        <f>Regression!$F$10+(Regression!$F$9*Table83[[#This Row],[Morning Diastolic Pressure]])</f>
        <v>255.20338414629154</v>
      </c>
      <c r="N148" s="2">
        <f>Table83[[#This Row],[Weight]]-Table7[[#This Row],[Weight v Morning Dia]]</f>
        <v>-5.8033841462915348</v>
      </c>
      <c r="O148" s="2">
        <f>Table7[[#This Row],[WMD Res]]^2</f>
        <v>33.679267549427927</v>
      </c>
      <c r="P148">
        <f>Regression!$G$10+(Regression!$G$9*Table83[[#This Row],[Morning Pulse]])</f>
        <v>255.1081617071269</v>
      </c>
      <c r="Q148" s="2">
        <f>Table83[[#This Row],[Weight]]-Table7[[#This Row],[Weight v Morning Pulse]]</f>
        <v>-5.7081617071268909</v>
      </c>
      <c r="R148" s="2">
        <f>Table7[[#This Row],[WMP Res]]^2</f>
        <v>32.583110074709779</v>
      </c>
      <c r="S148">
        <f>Regression!$H$10+(Regression!$H$9*Table83[[#This Row],[Night Body Temp]])</f>
        <v>256.28923866426868</v>
      </c>
      <c r="T148" s="2">
        <f>Table83[[#This Row],[Weight]]-Table7[[#This Row],[Weight v Night Temp]]</f>
        <v>-6.8892386642686745</v>
      </c>
      <c r="U148" s="2">
        <f>Table7[[#This Row],[WNT Res]]^2</f>
        <v>47.461609373254433</v>
      </c>
      <c r="V148">
        <f>Regression!$I$10+(Regression!$I$9*Table83[[#This Row],[Night Systolic Pressure]])</f>
        <v>256.05974006539498</v>
      </c>
      <c r="W148" s="2">
        <f>Table83[[#This Row],[Weight]]-Table7[[#This Row],[Weight v Night Sys]]</f>
        <v>-6.6597400653949705</v>
      </c>
      <c r="X148" s="2">
        <f>Table7[[#This Row],[WNS Res]]^2</f>
        <v>44.352137738627007</v>
      </c>
      <c r="Y148">
        <f>Regression!$J$10+(Regression!$J$9*Table83[[#This Row],[Night Diastolic Pressure]])</f>
        <v>255.17384811107831</v>
      </c>
      <c r="Z148" s="2">
        <f>Table83[[#This Row],[Weight]]-Table7[[#This Row],[Weight v Night Dia]]</f>
        <v>-5.7738481110783084</v>
      </c>
      <c r="AA148" s="2">
        <f>Table7[[#This Row],[WND Res]]^2</f>
        <v>33.337322009802548</v>
      </c>
      <c r="AB148">
        <f>Regression!$K$10+(Regression!$K$9*Table83[[#This Row],[Night Pulse]])</f>
        <v>255.63227848976558</v>
      </c>
      <c r="AC148" s="2">
        <f>Table83[[#This Row],[Weight]]-Table7[[#This Row],[Weight v Night Pulse]]</f>
        <v>-6.2322784897655765</v>
      </c>
      <c r="AD148" s="2">
        <f>Table7[[#This Row],[WNP Res ]]^2</f>
        <v>38.841295173994695</v>
      </c>
      <c r="AE148">
        <f>Regression!$L$10+(Regression!$L$9*Table83[[#This Row],[Sleep]])</f>
        <v>254.66381845232058</v>
      </c>
      <c r="AF148" s="2">
        <f>Table83[[#This Row],[Weight]]-Table7[[#This Row],[Weight v Sleep]]</f>
        <v>-5.263818452320578</v>
      </c>
      <c r="AG148" s="2">
        <f>Table7[[#This Row],[WS Res]]^2</f>
        <v>27.707784698990604</v>
      </c>
      <c r="AH148">
        <f>Regression!$M$10+(Regression!$M$9*Table83[[#This Row],[BMI]])</f>
        <v>249.4000000000128</v>
      </c>
      <c r="AI148" s="2">
        <f>Table83[[#This Row],[Weight]]-Table7[[#This Row],[Weight v BMI]]</f>
        <v>-1.2789769243681803E-11</v>
      </c>
      <c r="AJ148" s="2">
        <f>Table7[[#This Row],[WBMI Res]]^2</f>
        <v>1.6357819730662901E-22</v>
      </c>
      <c r="AK148">
        <f>Regression!$N$10+(Regression!$N$9*Table83[[#This Row],[CBF]])</f>
        <v>253.17965033701802</v>
      </c>
      <c r="AL148" s="2">
        <f>Table83[[#This Row],[Weight]]-Table7[[#This Row],[Weight v CBF]]</f>
        <v>-3.7796503370180119</v>
      </c>
      <c r="AM148" s="2">
        <f>Table7[[#This Row],[WCBF Res]]^2</f>
        <v>14.285756670120371</v>
      </c>
      <c r="AN148">
        <f>Regression!$O$10+(Regression!$O$9*Table83[[#This Row],[Gym]])</f>
        <v>255.46779661016953</v>
      </c>
      <c r="AO148" s="2">
        <f>Table83[[#This Row],[Weight]]-Table7[[#This Row],[Weight v Gym]]</f>
        <v>-6.0677966101695233</v>
      </c>
      <c r="AP148" s="2">
        <f>Table7[[#This Row],[WG Res]]^2</f>
        <v>36.818155702384757</v>
      </c>
      <c r="AQ148">
        <f>Regression!$P$10+(Regression!$P$9*Table83[[#This Row],[Cardio]])</f>
        <v>254.19242424242461</v>
      </c>
      <c r="AR148" s="2">
        <f>Table83[[#This Row],[Weight]]-Table7[[#This Row],[Weight v Cardio]]</f>
        <v>-4.7924242424246017</v>
      </c>
      <c r="AS148" s="2">
        <f>Table7[[#This Row],[WC Res]]^2</f>
        <v>22.967330119379017</v>
      </c>
      <c r="AT148">
        <f>Regression!$Q$10+(Regression!$Q$9*Table83[[#This Row],[Calories]])</f>
        <v>255.39243082344106</v>
      </c>
      <c r="AU148" s="2">
        <f>Table83[[#This Row],[Weight]]-Table7[[#This Row],[Weight v Calories]]</f>
        <v>-5.9924308234410546</v>
      </c>
      <c r="AV148" s="2">
        <f>Table7[[#This Row],[WCAL Res]]^2</f>
        <v>35.909227173726435</v>
      </c>
      <c r="AW148">
        <f>Regression!$R$10+(Regression!$R$9*Table83[[#This Row],[Carbs]])</f>
        <v>255.0696168821558</v>
      </c>
      <c r="AX148" s="2">
        <f>Table83[[#This Row],[Weight]]-Table7[[#This Row],[Weight v Carbs]]</f>
        <v>-5.6696168821557933</v>
      </c>
      <c r="AY148" s="2">
        <f>Table7[[#This Row],[Wcarb Res]]^2</f>
        <v>32.144555590425981</v>
      </c>
      <c r="AZ148">
        <f>Regression!$S$10+(Regression!$S$9*Table83[[#This Row],[Fat ]])</f>
        <v>255.4632972856048</v>
      </c>
      <c r="BA148" s="2">
        <f>Table83[[#This Row],[Weight]]-Table7[[#This Row],[Weight v Fat]]</f>
        <v>-6.06329728560479</v>
      </c>
      <c r="BB148" s="2">
        <f>Table7[[#This Row],[WF Res]]^2</f>
        <v>36.763573973622414</v>
      </c>
      <c r="BC148">
        <f>Regression!$T$10+(Regression!$T$9*Table83[[#This Row],[Protein]])</f>
        <v>255.7763770498502</v>
      </c>
      <c r="BD148" s="2">
        <f>Table83[[#This Row],[Weight]]-Table7[[#This Row],[Weight v Protein]]</f>
        <v>-6.3763770498501913</v>
      </c>
      <c r="BE148" s="2">
        <f>Table7[[#This Row],[WP Res]]^2</f>
        <v>40.658184281856229</v>
      </c>
      <c r="BF148">
        <f>Regression!$U$10+(Regression!$U$9*Table83[[#This Row],[Fiber]])</f>
        <v>254.98656924893115</v>
      </c>
      <c r="BG148" s="2">
        <f>Table83[[#This Row],[Weight]]-Table7[[#This Row],[Weight v Fiber]]</f>
        <v>-5.5865692489311414</v>
      </c>
      <c r="BH148" s="2">
        <f>Table7[[#This Row],[Wfib Res]]^2</f>
        <v>31.209755973103057</v>
      </c>
      <c r="BI148">
        <f>Regression!$V$10+(Regression!$V$9*Table83[[#This Row],[Sugar]])</f>
        <v>254.16066163432566</v>
      </c>
      <c r="BJ148" s="2">
        <f>Table83[[#This Row],[Weight]]-Table7[[#This Row],[Weight v Sugar]]</f>
        <v>-4.7606616343256576</v>
      </c>
      <c r="BK148" s="2">
        <f>Table7[[#This Row],[Wsugar Res]]^2</f>
        <v>22.663899196540243</v>
      </c>
      <c r="BL148">
        <f>Regression!$W$10+(Regression!$W$9*Table83[[#This Row],[Servings]])</f>
        <v>253.3733183639292</v>
      </c>
      <c r="BM148" s="2">
        <f>Table83[[#This Row],[Weight]]-Table7[[#This Row],[Weight v Servings]]</f>
        <v>-3.9733183639291951</v>
      </c>
      <c r="BN148" s="2">
        <f>Table7[[#This Row],[Wserv Res]]^2</f>
        <v>15.787258821136977</v>
      </c>
      <c r="BO148">
        <f>Regression!$X$10+(Regression!$X$9*Table83[[#This Row],[Water]])</f>
        <v>255.0206340268538</v>
      </c>
      <c r="BP148" s="2">
        <f>Table83[[#This Row],[Weight]]-Table7[[#This Row],[Weight v Water]]</f>
        <v>-5.6206340268537929</v>
      </c>
      <c r="BQ148" s="2">
        <f>Table7[[#This Row],[Wwater Res]]^2</f>
        <v>31.591526863826683</v>
      </c>
      <c r="BR148">
        <f>Regression!$Y$10+(Regression!$Y$9*Table83[[#This Row],[Fat Calories]])</f>
        <v>255.4808114847155</v>
      </c>
      <c r="BS148" s="2">
        <f>Table83[[#This Row],[Weight]]-Table7[[#This Row],[Weight v Fat Calories]]</f>
        <v>-6.0808114847154968</v>
      </c>
      <c r="BT148" s="2">
        <f>Table7[[#This Row],[WFC Res]]^2</f>
        <v>36.976268312647882</v>
      </c>
      <c r="BU148">
        <f>Regression!$B$29+(Regression!$B$28*Table83[[#This Row],[Weight]])</f>
        <v>43.674793545786748</v>
      </c>
      <c r="BV148" s="2">
        <f>Table83[[#This Row],[Waist]]-Table7[[#This Row],[Waist v Weight]]</f>
        <v>0.32520645421325156</v>
      </c>
      <c r="BW148" s="2">
        <f>Table7[[#This Row],[WaistW Res]]^2</f>
        <v>0.10575923786195568</v>
      </c>
      <c r="BX148">
        <f>Regression!$C$29+(Regression!$C$28*Table83[[#This Row],[Neck]])</f>
        <v>44.175585585585594</v>
      </c>
      <c r="BY148" s="2">
        <f>Table83[[#This Row],[Waist]]-Table7[[#This Row],[Waist v Neck]]</f>
        <v>-0.17558558558559412</v>
      </c>
      <c r="BZ148" s="2">
        <f>Table7[[#This Row],[WaistN Res]]^2</f>
        <v>3.0830297865435997E-2</v>
      </c>
      <c r="CA148">
        <f>Regression!$D$29+(Regression!$D$28*Table83[[#This Row],[Morning Body Temp]])</f>
        <v>44.515038370284842</v>
      </c>
      <c r="CB148" s="2">
        <f>Table83[[#This Row],[Waist]]-Table7[[#This Row],[Waist v Morning Temp]]</f>
        <v>-0.51503837028484156</v>
      </c>
      <c r="CC148" s="2">
        <f>Table7[[#This Row],[WaistMT Res]]^2</f>
        <v>0.26526452286566554</v>
      </c>
      <c r="CD148">
        <f>Regression!$E$29+(Regression!$E$28*Table83[[#This Row],[Morning Systolic Pressure]])</f>
        <v>44.386342295939642</v>
      </c>
      <c r="CE148" s="2">
        <f>Table83[[#This Row],[Waist]]-Table7[[#This Row],[Waist v Morning Sys]]</f>
        <v>-0.38634229593964164</v>
      </c>
      <c r="CF148" s="2">
        <f>Table7[[#This Row],[WaistMS Res]]^2</f>
        <v>0.14926036963191364</v>
      </c>
      <c r="CG148">
        <f>Regression!$F$29+(Regression!$F$28*Table83[[#This Row],[Morning Diastolic Pressure]])</f>
        <v>44.458452288813113</v>
      </c>
      <c r="CH148" s="2">
        <f>Table83[[#This Row],[Waist]]-Table7[[#This Row],[Waist v Morning Dia]]</f>
        <v>-0.45845228881311328</v>
      </c>
      <c r="CI148" s="2">
        <f>Table7[[#This Row],[WaistMD Res]]^2</f>
        <v>0.21017850111798222</v>
      </c>
      <c r="CJ148">
        <f>Regression!$G$29+(Regression!$G$28*Table83[[#This Row],[Morning Pulse]])</f>
        <v>44.450378687211739</v>
      </c>
      <c r="CK148" s="2">
        <f>Table83[[#This Row],[Waist]]-Table7[[#This Row],[Waist v Morning Pulse]]</f>
        <v>-0.45037868721173879</v>
      </c>
      <c r="CL148" s="2">
        <f>Table7[[#This Row],[WaistMP Res]]^2</f>
        <v>0.20284096189456924</v>
      </c>
      <c r="CM148">
        <f>Regression!$H$29+(Regression!$H$28*Table83[[#This Row],[Night Body Temp]])</f>
        <v>44.54611704031781</v>
      </c>
      <c r="CN148" s="2">
        <f>Table83[[#This Row],[Waist]]-Table7[[#This Row],[Waist v Night Temp]]</f>
        <v>-0.54611704031781017</v>
      </c>
      <c r="CO148" s="2">
        <f>Table7[[#This Row],[WaistNT Res]]^2</f>
        <v>0.29824382172548469</v>
      </c>
      <c r="CP148">
        <f>Regression!$I$29+(Regression!$I$28*Table83[[#This Row],[Night Systolic Pressure]])</f>
        <v>44.587360344235734</v>
      </c>
      <c r="CQ148" s="2">
        <f>Table83[[#This Row],[Waist]]-Table7[[#This Row],[Waist v  Night Sys]]</f>
        <v>-0.58736034423573358</v>
      </c>
      <c r="CR148" s="2">
        <f>Table7[[#This Row],[WaistNS Res]]^2</f>
        <v>0.34499217398071946</v>
      </c>
      <c r="CS148">
        <f>Regression!$J$29+(Regression!$J$28*Table83[[#This Row],[Night Diastolic Pressure]])</f>
        <v>44.478159956361175</v>
      </c>
      <c r="CT148" s="2">
        <f>Table83[[#This Row],[Waist]]-Table7[[#This Row],[Waist v Night Dia]]</f>
        <v>-0.47815995636117492</v>
      </c>
      <c r="CU148" s="2">
        <f>Table7[[#This Row],[WaistND Res]]^2</f>
        <v>0.2286369438673207</v>
      </c>
      <c r="CV148">
        <f>Regression!$K$29+(Regression!$K$28*Table83[[#This Row],[Night Pulse]])</f>
        <v>44.405430192656937</v>
      </c>
      <c r="CW148" s="2">
        <f>Table83[[#This Row],[Waist]]-Table7[[#This Row],[Waist v Night Pulse]]</f>
        <v>-0.40543019265693658</v>
      </c>
      <c r="CX148" s="2">
        <f>Table7[[#This Row],[WaistNP Res]]^2</f>
        <v>0.16437364111784072</v>
      </c>
      <c r="CY148">
        <f>Regression!$L$29+(Regression!$L$28*Table83[[#This Row],[Sleep]])</f>
        <v>44.384743400864622</v>
      </c>
      <c r="CZ148" s="2">
        <f>Table83[[#This Row],[Waist]]-Table7[[#This Row],[Waist v  Sleep]]</f>
        <v>-0.38474340086462178</v>
      </c>
      <c r="DA148" s="2">
        <f>Table7[[#This Row],[WaistS Res]]^2</f>
        <v>0.14802748450887504</v>
      </c>
      <c r="DB148">
        <f>Regression!$M$29+(Regression!$M$28*Table83[[#This Row],[BMI]])</f>
        <v>43.674793545789221</v>
      </c>
      <c r="DC148" s="2">
        <f>Table83[[#This Row],[Waist]]-Table7[[#This Row],[Waist v BMI]]</f>
        <v>0.32520645421077887</v>
      </c>
      <c r="DD148" s="2">
        <f>Table7[[#This Row],[WaistBMI Res]]^2</f>
        <v>0.10575923786034741</v>
      </c>
      <c r="DE148">
        <f>Regression!$N$29+(Regression!$N$28*Table83[[#This Row],[CBF]])</f>
        <v>44.105031770433015</v>
      </c>
      <c r="DF148" s="2">
        <f>Table83[[#This Row],[Waist]]-Table7[[#This Row],[Waist v  CBF]]</f>
        <v>-0.10503177043301548</v>
      </c>
      <c r="DG148" s="2">
        <f>Table7[[#This Row],[WaistCBF Res]]^2</f>
        <v>1.1031672800293666E-2</v>
      </c>
      <c r="DH148">
        <f>Regression!$O$29+(Regression!$O$28*Table83[[#This Row],[Gym]])</f>
        <v>44.550847457627107</v>
      </c>
      <c r="DI148" s="2">
        <f>Table83[[#This Row],[Waist]]-Table7[[#This Row],[Waist v  Gym]]</f>
        <v>-0.55084745762710696</v>
      </c>
      <c r="DJ148" s="2">
        <f>Table7[[#This Row],[WaistGYM Res]]^2</f>
        <v>0.30343292157424739</v>
      </c>
      <c r="DK148">
        <f>Regression!$P$29+(Regression!$P$28*Table83[[#This Row],[Cardio]])</f>
        <v>44.291666666666664</v>
      </c>
      <c r="DL148" s="2">
        <f>Table83[[#This Row],[Waist]]-Table7[[#This Row],[Waist v Cardio]]</f>
        <v>-0.2916666666666643</v>
      </c>
      <c r="DM148" s="2">
        <f>Table7[[#This Row],[WaistC Res]]^2</f>
        <v>8.506944444444306E-2</v>
      </c>
      <c r="DN148">
        <f>Regression!$Q$29+(Regression!$Q$28*Table83[[#This Row],[Calories]])</f>
        <v>44.515862434217404</v>
      </c>
      <c r="DO148" s="2">
        <f>Table83[[#This Row],[Waist]]-Table7[[#This Row],[Waist v Calories]]</f>
        <v>-0.51586243421740363</v>
      </c>
      <c r="DP148" s="2">
        <f>Table7[[#This Row],[WaistCal Res]]^2</f>
        <v>0.2661140510367051</v>
      </c>
      <c r="DQ148">
        <f>Regression!$R$29+(Regression!$R$28*Table83[[#This Row],[Carbs]])</f>
        <v>44.444082123670533</v>
      </c>
      <c r="DR148" s="2">
        <f>Table83[[#This Row],[Waist]]-Table7[[#This Row],[Waist v Carbs]]</f>
        <v>-0.44408212367053324</v>
      </c>
      <c r="DS148" s="2">
        <f>Table7[[#This Row],[WaistCarb Res]]^2</f>
        <v>0.19720893256373079</v>
      </c>
      <c r="DT148">
        <f>Regression!$S$29+(Regression!$S$28*Table83[[#This Row],[Fat ]])</f>
        <v>44.559993406691376</v>
      </c>
      <c r="DU148" s="2">
        <f>Table83[[#This Row],[Waist]]-Table7[[#This Row],[Waist v Fat]]</f>
        <v>-0.55999340669137609</v>
      </c>
      <c r="DV148" s="2">
        <f>Table7[[#This Row],[WaistF Res]]^2</f>
        <v>0.31359261553781292</v>
      </c>
      <c r="DW148">
        <f>Regression!$T$29+(Regression!$T$28*Table83[[#This Row],[Protein]])</f>
        <v>44.574588291953248</v>
      </c>
      <c r="DX148" s="2">
        <f>Table83[[#This Row],[Waist]]-Table7[[#This Row],[Waist v Protein]]</f>
        <v>-0.57458829195324768</v>
      </c>
      <c r="DY148" s="2">
        <f>Table7[[#This Row],[WaistP Res]]^2</f>
        <v>0.33015170524975057</v>
      </c>
      <c r="DZ148">
        <f>Regression!$U$29+(Regression!$U$28*Table83[[#This Row],[Fiber]])</f>
        <v>44.403966466065604</v>
      </c>
      <c r="EA148" s="2">
        <f>Table83[[#This Row],[Waist]]-Table7[[#This Row],[Waist v Fiber]]</f>
        <v>-0.40396646606560438</v>
      </c>
      <c r="EB148" s="2">
        <f>Table7[[#This Row],[WaistFib Res]]^2</f>
        <v>0.1631889057055331</v>
      </c>
      <c r="EC148">
        <f>Regression!$V$29+(Regression!$V$28*Table83[[#This Row],[Sugar]])</f>
        <v>44.28209563075535</v>
      </c>
      <c r="ED148" s="2">
        <f>Table83[[#This Row],[Waist]]-Table7[[#This Row],[Waist v Sugar]]</f>
        <v>-0.28209563075535016</v>
      </c>
      <c r="EE148" s="2">
        <f>Table7[[#This Row],[WaistSugar Res]]^2</f>
        <v>7.9577944891258856E-2</v>
      </c>
      <c r="EF148">
        <f>Regression!$W$29+(Regression!$W$28*Table83[[#This Row],[Servings]])</f>
        <v>44.187781470277166</v>
      </c>
      <c r="EG148" s="2">
        <f>Table83[[#This Row],[Waist]]-Table7[[#This Row],[Waist v Servings]]</f>
        <v>-0.18778147027716585</v>
      </c>
      <c r="EH148" s="2">
        <f>Table7[[#This Row],[WaistServ Res]]^2</f>
        <v>3.5261880579454119E-2</v>
      </c>
      <c r="EI148">
        <f>Regression!$X$29+(Regression!$X$28*Table83[[#This Row],[Water]])</f>
        <v>44.33031459742935</v>
      </c>
      <c r="EJ148" s="2">
        <f>Table83[[#This Row],[Waist]]-Table7[[#This Row],[Waist v Water]]</f>
        <v>-0.33031459742934999</v>
      </c>
      <c r="EK148" s="2">
        <f>Table7[[#This Row],[WaistWat Res]]^2</f>
        <v>0.10910773327491355</v>
      </c>
      <c r="EL148">
        <f>Regression!$Y$29+(Regression!$Y$28*Table83[[#This Row],[Fat Calories]])</f>
        <v>44.564780162022039</v>
      </c>
      <c r="EM148" s="2">
        <f>Table83[[#This Row],[Waist]]-Table7[[#This Row],[Waist v Fat Calories]]</f>
        <v>-0.56478016202203918</v>
      </c>
      <c r="EN148" s="2">
        <f>Table7[[#This Row],[WaistFatCal Res]]^2</f>
        <v>0.3189766314136408</v>
      </c>
    </row>
    <row r="149" spans="1:144" x14ac:dyDescent="0.25">
      <c r="A149">
        <f>Regression!$B$10+(Regression!$B$9*Table83[[#This Row],[Waist]])</f>
        <v>252.52625917894264</v>
      </c>
      <c r="B149" s="2">
        <f>Table83[[#This Row],[Weight]]-Table7[[#This Row],[Weight v Waist]]</f>
        <v>1.0737408210573562</v>
      </c>
      <c r="C149" s="2">
        <f>Table7[[#This Row],[Weight v Waist Res]]^2</f>
        <v>1.1529193508049256</v>
      </c>
      <c r="D149">
        <f>Regression!$C$10+(Regression!$C$9*Table83[[#This Row],[Neck]])</f>
        <v>253.29286486487842</v>
      </c>
      <c r="E149" s="2">
        <f>Table83[[#This Row],[Weight]]-Table7[[#This Row],[Weight v Neck]]</f>
        <v>0.30713513512156965</v>
      </c>
      <c r="F149" s="2">
        <f>Table7[[#This Row],[WN Res]]^2</f>
        <v>9.4331991226144843E-2</v>
      </c>
      <c r="G149">
        <f>Regression!$D$10+(Regression!$D$9*Table83[[#This Row],[Morning Body Temp]])</f>
        <v>255.05956644908434</v>
      </c>
      <c r="H149" s="2">
        <f>Table83[[#This Row],[Weight]]-Table7[[#This Row],[Weight v Morning Temp]]</f>
        <v>-1.459566449084349</v>
      </c>
      <c r="I149" s="2">
        <f>Table7[[#This Row],[WMT Res]]^2</f>
        <v>2.1303342192926955</v>
      </c>
      <c r="J149">
        <f>Regression!$E$10+(Regression!$E$9*Table83[[#This Row],[Morning Systolic Pressure]])</f>
        <v>255.36994985193564</v>
      </c>
      <c r="K149" s="2">
        <f>Table83[[#This Row],[Weight]]-Table7[[#This Row],[Weight v Morning Sys]]</f>
        <v>-1.7699498519356496</v>
      </c>
      <c r="L149" s="2">
        <f>Table7[[#This Row],[WMS Res]]^2</f>
        <v>3.132722478367028</v>
      </c>
      <c r="M149">
        <f>Regression!$F$10+(Regression!$F$9*Table83[[#This Row],[Morning Diastolic Pressure]])</f>
        <v>254.29128590488762</v>
      </c>
      <c r="N149" s="2">
        <f>Table83[[#This Row],[Weight]]-Table7[[#This Row],[Weight v Morning Dia]]</f>
        <v>-0.69128590488762143</v>
      </c>
      <c r="O149" s="2">
        <f>Table7[[#This Row],[WMD Res]]^2</f>
        <v>0.47787620229629757</v>
      </c>
      <c r="P149">
        <f>Regression!$G$10+(Regression!$G$9*Table83[[#This Row],[Morning Pulse]])</f>
        <v>255.12095627742721</v>
      </c>
      <c r="Q149" s="2">
        <f>Table83[[#This Row],[Weight]]-Table7[[#This Row],[Weight v Morning Pulse]]</f>
        <v>-1.5209562774272172</v>
      </c>
      <c r="R149" s="2">
        <f>Table7[[#This Row],[WMP Res]]^2</f>
        <v>2.313307997845258</v>
      </c>
      <c r="S149">
        <f>Regression!$H$10+(Regression!$H$9*Table83[[#This Row],[Night Body Temp]])</f>
        <v>256.49463180523202</v>
      </c>
      <c r="T149" s="2">
        <f>Table83[[#This Row],[Weight]]-Table7[[#This Row],[Weight v Night Temp]]</f>
        <v>-2.8946318052320237</v>
      </c>
      <c r="U149" s="2">
        <f>Table7[[#This Row],[WNT Res]]^2</f>
        <v>8.3788932878608051</v>
      </c>
      <c r="V149">
        <f>Regression!$I$10+(Regression!$I$9*Table83[[#This Row],[Night Systolic Pressure]])</f>
        <v>255.64916072928111</v>
      </c>
      <c r="W149" s="2">
        <f>Table83[[#This Row],[Weight]]-Table7[[#This Row],[Weight v Night Sys]]</f>
        <v>-2.0491607292811125</v>
      </c>
      <c r="X149" s="2">
        <f>Table7[[#This Row],[WNS Res]]^2</f>
        <v>4.1990596944279011</v>
      </c>
      <c r="Y149">
        <f>Regression!$J$10+(Regression!$J$9*Table83[[#This Row],[Night Diastolic Pressure]])</f>
        <v>255.09231637424611</v>
      </c>
      <c r="Z149" s="2">
        <f>Table83[[#This Row],[Weight]]-Table7[[#This Row],[Weight v Night Dia]]</f>
        <v>-1.4923163742461156</v>
      </c>
      <c r="AA149" s="2">
        <f>Table7[[#This Row],[WND Res]]^2</f>
        <v>2.2270081608430727</v>
      </c>
      <c r="AB149">
        <f>Regression!$K$10+(Regression!$K$9*Table83[[#This Row],[Night Pulse]])</f>
        <v>255.66299182100232</v>
      </c>
      <c r="AC149" s="2">
        <f>Table83[[#This Row],[Weight]]-Table7[[#This Row],[Weight v Night Pulse]]</f>
        <v>-2.0629918210023277</v>
      </c>
      <c r="AD149" s="2">
        <f>Table7[[#This Row],[WNP Res ]]^2</f>
        <v>4.2559352535224999</v>
      </c>
      <c r="AE149">
        <f>Regression!$L$10+(Regression!$L$9*Table83[[#This Row],[Sleep]])</f>
        <v>254.82155554400751</v>
      </c>
      <c r="AF149" s="2">
        <f>Table83[[#This Row],[Weight]]-Table7[[#This Row],[Weight v Sleep]]</f>
        <v>-1.221555544007515</v>
      </c>
      <c r="AG149" s="2">
        <f>Table7[[#This Row],[WS Res]]^2</f>
        <v>1.4921979470954958</v>
      </c>
      <c r="AH149">
        <f>Regression!$M$10+(Regression!$M$9*Table83[[#This Row],[BMI]])</f>
        <v>253.60000000000343</v>
      </c>
      <c r="AI149" s="2">
        <f>Table83[[#This Row],[Weight]]-Table7[[#This Row],[Weight v BMI]]</f>
        <v>-3.4390268410788849E-12</v>
      </c>
      <c r="AJ149" s="2">
        <f>Table7[[#This Row],[WBMI Res]]^2</f>
        <v>1.1826905613661014E-23</v>
      </c>
      <c r="AK149">
        <f>Regression!$N$10+(Regression!$N$9*Table83[[#This Row],[CBF]])</f>
        <v>253.17965033701802</v>
      </c>
      <c r="AL149" s="2">
        <f>Table83[[#This Row],[Weight]]-Table7[[#This Row],[Weight v CBF]]</f>
        <v>0.42034966298197673</v>
      </c>
      <c r="AM149" s="2">
        <f>Table7[[#This Row],[WCBF Res]]^2</f>
        <v>0.17669383916906142</v>
      </c>
      <c r="AN149">
        <f>Regression!$O$10+(Regression!$O$9*Table83[[#This Row],[Gym]])</f>
        <v>254.72962962962998</v>
      </c>
      <c r="AO149" s="2">
        <f>Table83[[#This Row],[Weight]]-Table7[[#This Row],[Weight v Gym]]</f>
        <v>-1.1296296296299886</v>
      </c>
      <c r="AP149" s="2">
        <f>Table7[[#This Row],[WG Res]]^2</f>
        <v>1.2760631001379852</v>
      </c>
      <c r="AQ149">
        <f>Regression!$P$10+(Regression!$P$9*Table83[[#This Row],[Cardio]])</f>
        <v>254.19242424242461</v>
      </c>
      <c r="AR149" s="2">
        <f>Table83[[#This Row],[Weight]]-Table7[[#This Row],[Weight v Cardio]]</f>
        <v>-0.59242424242461311</v>
      </c>
      <c r="AS149" s="2">
        <f>Table7[[#This Row],[WC Res]]^2</f>
        <v>0.35096648301237676</v>
      </c>
      <c r="AT149">
        <f>Regression!$Q$10+(Regression!$Q$9*Table83[[#This Row],[Calories]])</f>
        <v>253.83468068695905</v>
      </c>
      <c r="AU149" s="2">
        <f>Table83[[#This Row],[Weight]]-Table7[[#This Row],[Weight v Calories]]</f>
        <v>-0.23468068695905231</v>
      </c>
      <c r="AV149" s="2">
        <f>Table7[[#This Row],[WCAL Res]]^2</f>
        <v>5.5075024831572707E-2</v>
      </c>
      <c r="AW149">
        <f>Regression!$R$10+(Regression!$R$9*Table83[[#This Row],[Carbs]])</f>
        <v>253.97743061113127</v>
      </c>
      <c r="AX149" s="2">
        <f>Table83[[#This Row],[Weight]]-Table7[[#This Row],[Weight v Carbs]]</f>
        <v>-0.37743061113127396</v>
      </c>
      <c r="AY149" s="2">
        <f>Table7[[#This Row],[Wcarb Res]]^2</f>
        <v>0.14245386621892694</v>
      </c>
      <c r="AZ149">
        <f>Regression!$S$10+(Regression!$S$9*Table83[[#This Row],[Fat ]])</f>
        <v>254.15902276161916</v>
      </c>
      <c r="BA149" s="2">
        <f>Table83[[#This Row],[Weight]]-Table7[[#This Row],[Weight v Fat]]</f>
        <v>-0.5590227616191612</v>
      </c>
      <c r="BB149" s="2">
        <f>Table7[[#This Row],[WF Res]]^2</f>
        <v>0.31250644800831351</v>
      </c>
      <c r="BC149">
        <f>Regression!$T$10+(Regression!$T$9*Table83[[#This Row],[Protein]])</f>
        <v>254.72794276359446</v>
      </c>
      <c r="BD149" s="2">
        <f>Table83[[#This Row],[Weight]]-Table7[[#This Row],[Weight v Protein]]</f>
        <v>-1.1279427635944614</v>
      </c>
      <c r="BE149" s="2">
        <f>Table7[[#This Row],[WP Res]]^2</f>
        <v>1.2722548779451111</v>
      </c>
      <c r="BF149">
        <f>Regression!$U$10+(Regression!$U$9*Table83[[#This Row],[Fiber]])</f>
        <v>255.29664060734612</v>
      </c>
      <c r="BG149" s="2">
        <f>Table83[[#This Row],[Weight]]-Table7[[#This Row],[Weight v Fiber]]</f>
        <v>-1.6966406073461258</v>
      </c>
      <c r="BH149" s="2">
        <f>Table7[[#This Row],[Wfib Res]]^2</f>
        <v>2.8785893504958304</v>
      </c>
      <c r="BI149">
        <f>Regression!$V$10+(Regression!$V$9*Table83[[#This Row],[Sugar]])</f>
        <v>254.45997012267986</v>
      </c>
      <c r="BJ149" s="2">
        <f>Table83[[#This Row],[Weight]]-Table7[[#This Row],[Weight v Sugar]]</f>
        <v>-0.85997012267986861</v>
      </c>
      <c r="BK149" s="2">
        <f>Table7[[#This Row],[Wsugar Res]]^2</f>
        <v>0.73954861190202825</v>
      </c>
      <c r="BL149">
        <f>Regression!$W$10+(Regression!$W$9*Table83[[#This Row],[Servings]])</f>
        <v>254.59651467043554</v>
      </c>
      <c r="BM149" s="2">
        <f>Table83[[#This Row],[Weight]]-Table7[[#This Row],[Weight v Servings]]</f>
        <v>-0.99651467043554476</v>
      </c>
      <c r="BN149" s="2">
        <f>Table7[[#This Row],[Wserv Res]]^2</f>
        <v>0.99304148839326234</v>
      </c>
      <c r="BO149">
        <f>Regression!$X$10+(Regression!$X$9*Table83[[#This Row],[Water]])</f>
        <v>255.0206340268538</v>
      </c>
      <c r="BP149" s="2">
        <f>Table83[[#This Row],[Weight]]-Table7[[#This Row],[Weight v Water]]</f>
        <v>-1.4206340268538042</v>
      </c>
      <c r="BQ149" s="2">
        <f>Table7[[#This Row],[Wwater Res]]^2</f>
        <v>2.0182010382548552</v>
      </c>
      <c r="BR149">
        <f>Regression!$Y$10+(Regression!$Y$9*Table83[[#This Row],[Fat Calories]])</f>
        <v>254.09273527659786</v>
      </c>
      <c r="BS149" s="2">
        <f>Table83[[#This Row],[Weight]]-Table7[[#This Row],[Weight v Fat Calories]]</f>
        <v>-0.49273527659786964</v>
      </c>
      <c r="BT149" s="2">
        <f>Table7[[#This Row],[WFC Res]]^2</f>
        <v>0.24278805280397911</v>
      </c>
      <c r="BU149">
        <f>Regression!$B$29+(Regression!$B$28*Table83[[#This Row],[Weight]])</f>
        <v>44.247096090180669</v>
      </c>
      <c r="BV149" s="2">
        <f>Table83[[#This Row],[Waist]]-Table7[[#This Row],[Waist v Weight]]</f>
        <v>-0.24709609018066914</v>
      </c>
      <c r="BW149" s="2">
        <f>Table7[[#This Row],[WaistW Res]]^2</f>
        <v>6.1056477782573372E-2</v>
      </c>
      <c r="BX149">
        <f>Regression!$C$29+(Regression!$C$28*Table83[[#This Row],[Neck]])</f>
        <v>44.175585585585594</v>
      </c>
      <c r="BY149" s="2">
        <f>Table83[[#This Row],[Waist]]-Table7[[#This Row],[Waist v Neck]]</f>
        <v>-0.17558558558559412</v>
      </c>
      <c r="BZ149" s="2">
        <f>Table7[[#This Row],[WaistN Res]]^2</f>
        <v>3.0830297865435997E-2</v>
      </c>
      <c r="CA149">
        <f>Regression!$D$29+(Regression!$D$28*Table83[[#This Row],[Morning Body Temp]])</f>
        <v>44.438451117581323</v>
      </c>
      <c r="CB149" s="2">
        <f>Table83[[#This Row],[Waist]]-Table7[[#This Row],[Waist v Morning Temp]]</f>
        <v>-0.43845111758132305</v>
      </c>
      <c r="CC149" s="2">
        <f>Table7[[#This Row],[WaistMT Res]]^2</f>
        <v>0.19223938250831116</v>
      </c>
      <c r="CD149">
        <f>Regression!$E$29+(Regression!$E$28*Table83[[#This Row],[Morning Systolic Pressure]])</f>
        <v>44.513427158848764</v>
      </c>
      <c r="CE149" s="2">
        <f>Table83[[#This Row],[Waist]]-Table7[[#This Row],[Waist v Morning Sys]]</f>
        <v>-0.51342715884876355</v>
      </c>
      <c r="CF149" s="2">
        <f>Table7[[#This Row],[WaistMS Res]]^2</f>
        <v>0.2636074474435135</v>
      </c>
      <c r="CG149">
        <f>Regression!$F$29+(Regression!$F$28*Table83[[#This Row],[Morning Diastolic Pressure]])</f>
        <v>44.407731702793427</v>
      </c>
      <c r="CH149" s="2">
        <f>Table83[[#This Row],[Waist]]-Table7[[#This Row],[Waist v Morning Dia]]</f>
        <v>-0.40773170279342708</v>
      </c>
      <c r="CI149" s="2">
        <f>Table7[[#This Row],[WaistMD Res]]^2</f>
        <v>0.16624514146282754</v>
      </c>
      <c r="CJ149">
        <f>Regression!$G$29+(Regression!$G$28*Table83[[#This Row],[Morning Pulse]])</f>
        <v>44.456255205227038</v>
      </c>
      <c r="CK149" s="2">
        <f>Table83[[#This Row],[Waist]]-Table7[[#This Row],[Waist v Morning Pulse]]</f>
        <v>-0.45625520522703766</v>
      </c>
      <c r="CL149" s="2">
        <f>Table7[[#This Row],[WaistMP Res]]^2</f>
        <v>0.20816881229676626</v>
      </c>
      <c r="CM149">
        <f>Regression!$H$29+(Regression!$H$28*Table83[[#This Row],[Night Body Temp]])</f>
        <v>44.56231088792758</v>
      </c>
      <c r="CN149" s="2">
        <f>Table83[[#This Row],[Waist]]-Table7[[#This Row],[Waist v Night Temp]]</f>
        <v>-0.56231088792758044</v>
      </c>
      <c r="CO149" s="2">
        <f>Table7[[#This Row],[WaistNT Res]]^2</f>
        <v>0.31619353468190392</v>
      </c>
      <c r="CP149">
        <f>Regression!$I$29+(Regression!$I$28*Table83[[#This Row],[Night Systolic Pressure]])</f>
        <v>44.529199886933277</v>
      </c>
      <c r="CQ149" s="2">
        <f>Table83[[#This Row],[Waist]]-Table7[[#This Row],[Waist v  Night Sys]]</f>
        <v>-0.52919988693327724</v>
      </c>
      <c r="CR149" s="2">
        <f>Table7[[#This Row],[WaistNS Res]]^2</f>
        <v>0.2800525203301934</v>
      </c>
      <c r="CS149">
        <f>Regression!$J$29+(Regression!$J$28*Table83[[#This Row],[Night Diastolic Pressure]])</f>
        <v>44.444024065946287</v>
      </c>
      <c r="CT149" s="2">
        <f>Table83[[#This Row],[Waist]]-Table7[[#This Row],[Waist v Night Dia]]</f>
        <v>-0.44402406594628729</v>
      </c>
      <c r="CU149" s="2">
        <f>Table7[[#This Row],[WaistND Res]]^2</f>
        <v>0.19715737113947288</v>
      </c>
      <c r="CV149">
        <f>Regression!$K$29+(Regression!$K$28*Table83[[#This Row],[Night Pulse]])</f>
        <v>44.402573446345968</v>
      </c>
      <c r="CW149" s="2">
        <f>Table83[[#This Row],[Waist]]-Table7[[#This Row],[Waist v Night Pulse]]</f>
        <v>-0.40257344634596848</v>
      </c>
      <c r="CX149" s="2">
        <f>Table7[[#This Row],[WaistNP Res]]^2</f>
        <v>0.16206537970287035</v>
      </c>
      <c r="CY149">
        <f>Regression!$L$29+(Regression!$L$28*Table83[[#This Row],[Sleep]])</f>
        <v>44.408792884862443</v>
      </c>
      <c r="CZ149" s="2">
        <f>Table83[[#This Row],[Waist]]-Table7[[#This Row],[Waist v  Sleep]]</f>
        <v>-0.40879288486244292</v>
      </c>
      <c r="DA149" s="2">
        <f>Table7[[#This Row],[WaistS Res]]^2</f>
        <v>0.16711162271415853</v>
      </c>
      <c r="DB149">
        <f>Regression!$M$29+(Regression!$M$28*Table83[[#This Row],[BMI]])</f>
        <v>44.24709609018133</v>
      </c>
      <c r="DC149" s="2">
        <f>Table83[[#This Row],[Waist]]-Table7[[#This Row],[Waist v BMI]]</f>
        <v>-0.24709609018132994</v>
      </c>
      <c r="DD149" s="2">
        <f>Table7[[#This Row],[WaistBMI Res]]^2</f>
        <v>6.1056477782899937E-2</v>
      </c>
      <c r="DE149">
        <f>Regression!$N$29+(Regression!$N$28*Table83[[#This Row],[CBF]])</f>
        <v>44.105031770433015</v>
      </c>
      <c r="DF149" s="2">
        <f>Table83[[#This Row],[Waist]]-Table7[[#This Row],[Waist v  CBF]]</f>
        <v>-0.10503177043301548</v>
      </c>
      <c r="DG149" s="2">
        <f>Table7[[#This Row],[WaistCBF Res]]^2</f>
        <v>1.1031672800293666E-2</v>
      </c>
      <c r="DH149">
        <f>Regression!$O$29+(Regression!$O$28*Table83[[#This Row],[Gym]])</f>
        <v>44.347222222222221</v>
      </c>
      <c r="DI149" s="2">
        <f>Table83[[#This Row],[Waist]]-Table7[[#This Row],[Waist v  Gym]]</f>
        <v>-0.34722222222222143</v>
      </c>
      <c r="DJ149" s="2">
        <f>Table7[[#This Row],[WaistGYM Res]]^2</f>
        <v>0.12056327160493772</v>
      </c>
      <c r="DK149">
        <f>Regression!$P$29+(Regression!$P$28*Table83[[#This Row],[Cardio]])</f>
        <v>44.291666666666664</v>
      </c>
      <c r="DL149" s="2">
        <f>Table83[[#This Row],[Waist]]-Table7[[#This Row],[Waist v Cardio]]</f>
        <v>-0.2916666666666643</v>
      </c>
      <c r="DM149" s="2">
        <f>Table7[[#This Row],[WaistC Res]]^2</f>
        <v>8.506944444444306E-2</v>
      </c>
      <c r="DN149">
        <f>Regression!$Q$29+(Regression!$Q$28*Table83[[#This Row],[Calories]])</f>
        <v>44.165870528922781</v>
      </c>
      <c r="DO149" s="2">
        <f>Table83[[#This Row],[Waist]]-Table7[[#This Row],[Waist v Calories]]</f>
        <v>-0.16587052892278109</v>
      </c>
      <c r="DP149" s="2">
        <f>Table7[[#This Row],[WaistCal Res]]^2</f>
        <v>2.7513032365123157E-2</v>
      </c>
      <c r="DQ149">
        <f>Regression!$R$29+(Regression!$R$28*Table83[[#This Row],[Carbs]])</f>
        <v>44.21669563032949</v>
      </c>
      <c r="DR149" s="2">
        <f>Table83[[#This Row],[Waist]]-Table7[[#This Row],[Waist v Carbs]]</f>
        <v>-0.21669563032948957</v>
      </c>
      <c r="DS149" s="2">
        <f>Table7[[#This Row],[WaistCarb Res]]^2</f>
        <v>4.6956996203894805E-2</v>
      </c>
      <c r="DT149">
        <f>Regression!$S$29+(Regression!$S$28*Table83[[#This Row],[Fat ]])</f>
        <v>44.161304286692776</v>
      </c>
      <c r="DU149" s="2">
        <f>Table83[[#This Row],[Waist]]-Table7[[#This Row],[Waist v Fat]]</f>
        <v>-0.16130428669277563</v>
      </c>
      <c r="DV149" s="2">
        <f>Table7[[#This Row],[WaistF Res]]^2</f>
        <v>2.6019072905465155E-2</v>
      </c>
      <c r="DW149">
        <f>Regression!$T$29+(Regression!$T$28*Table83[[#This Row],[Protein]])</f>
        <v>44.382685871954877</v>
      </c>
      <c r="DX149" s="2">
        <f>Table83[[#This Row],[Waist]]-Table7[[#This Row],[Waist v Protein]]</f>
        <v>-0.38268587195487669</v>
      </c>
      <c r="DY149" s="2">
        <f>Table7[[#This Row],[WaistP Res]]^2</f>
        <v>0.14644847659386429</v>
      </c>
      <c r="DZ149">
        <f>Regression!$U$29+(Regression!$U$28*Table83[[#This Row],[Fiber]])</f>
        <v>44.523610585663782</v>
      </c>
      <c r="EA149" s="2">
        <f>Table83[[#This Row],[Waist]]-Table7[[#This Row],[Waist v Fiber]]</f>
        <v>-0.52361058566378205</v>
      </c>
      <c r="EB149" s="2">
        <f>Table7[[#This Row],[WaistFib Res]]^2</f>
        <v>0.27416804541916884</v>
      </c>
      <c r="EC149">
        <f>Regression!$V$29+(Regression!$V$28*Table83[[#This Row],[Sugar]])</f>
        <v>44.335863062492557</v>
      </c>
      <c r="ED149" s="2">
        <f>Table83[[#This Row],[Waist]]-Table7[[#This Row],[Waist v Sugar]]</f>
        <v>-0.33586306249255671</v>
      </c>
      <c r="EE149" s="2">
        <f>Table7[[#This Row],[WaistSugar Res]]^2</f>
        <v>0.11280399674687905</v>
      </c>
      <c r="EF149">
        <f>Regression!$W$29+(Regression!$W$28*Table83[[#This Row],[Servings]])</f>
        <v>44.37442084820524</v>
      </c>
      <c r="EG149" s="2">
        <f>Table83[[#This Row],[Waist]]-Table7[[#This Row],[Waist v Servings]]</f>
        <v>-0.37442084820524002</v>
      </c>
      <c r="EH149" s="2">
        <f>Table7[[#This Row],[WaistServ Res]]^2</f>
        <v>0.14019097157073138</v>
      </c>
      <c r="EI149">
        <f>Regression!$X$29+(Regression!$X$28*Table83[[#This Row],[Water]])</f>
        <v>44.33031459742935</v>
      </c>
      <c r="EJ149" s="2">
        <f>Table83[[#This Row],[Waist]]-Table7[[#This Row],[Waist v Water]]</f>
        <v>-0.33031459742934999</v>
      </c>
      <c r="EK149" s="2">
        <f>Table7[[#This Row],[WaistWat Res]]^2</f>
        <v>0.10910773327491355</v>
      </c>
      <c r="EL149">
        <f>Regression!$Y$29+(Regression!$Y$28*Table83[[#This Row],[Fat Calories]])</f>
        <v>44.14262625544437</v>
      </c>
      <c r="EM149" s="2">
        <f>Table83[[#This Row],[Waist]]-Table7[[#This Row],[Waist v Fat Calories]]</f>
        <v>-0.14262625544436958</v>
      </c>
      <c r="EN149" s="2">
        <f>Table7[[#This Row],[WaistFatCal Res]]^2</f>
        <v>2.0342248742082562E-2</v>
      </c>
    </row>
    <row r="150" spans="1:144" x14ac:dyDescent="0.25">
      <c r="A150">
        <f>Regression!$B$10+(Regression!$B$9*Table83[[#This Row],[Waist]])</f>
        <v>252.52625917894264</v>
      </c>
      <c r="B150" s="2">
        <f>Table83[[#This Row],[Weight]]-Table7[[#This Row],[Weight v Waist]]</f>
        <v>2.0737408210573562</v>
      </c>
      <c r="C150" s="2">
        <f>Table7[[#This Row],[Weight v Waist Res]]^2</f>
        <v>4.3004009929196378</v>
      </c>
      <c r="D150">
        <f>Regression!$C$10+(Regression!$C$9*Table83[[#This Row],[Neck]])</f>
        <v>253.29286486487842</v>
      </c>
      <c r="E150" s="2">
        <f>Table83[[#This Row],[Weight]]-Table7[[#This Row],[Weight v Neck]]</f>
        <v>1.3071351351215696</v>
      </c>
      <c r="F150" s="2">
        <f>Table7[[#This Row],[WN Res]]^2</f>
        <v>1.7086022614692842</v>
      </c>
      <c r="G150">
        <f>Regression!$D$10+(Regression!$D$9*Table83[[#This Row],[Morning Body Temp]])</f>
        <v>254.7075736779725</v>
      </c>
      <c r="H150" s="2">
        <f>Table83[[#This Row],[Weight]]-Table7[[#This Row],[Weight v Morning Temp]]</f>
        <v>-0.1075736779725105</v>
      </c>
      <c r="I150" s="2">
        <f>Table7[[#This Row],[WMT Res]]^2</f>
        <v>1.1572096192533389E-2</v>
      </c>
      <c r="J150">
        <f>Regression!$E$10+(Regression!$E$9*Table83[[#This Row],[Morning Systolic Pressure]])</f>
        <v>255.68549027897933</v>
      </c>
      <c r="K150" s="2">
        <f>Table83[[#This Row],[Weight]]-Table7[[#This Row],[Weight v Morning Sys]]</f>
        <v>-1.0854902789793357</v>
      </c>
      <c r="L150" s="2">
        <f>Table7[[#This Row],[WMS Res]]^2</f>
        <v>1.178289145758636</v>
      </c>
      <c r="M150">
        <f>Regression!$F$10+(Regression!$F$9*Table83[[#This Row],[Morning Diastolic Pressure]])</f>
        <v>255.30472839533641</v>
      </c>
      <c r="N150" s="2">
        <f>Table83[[#This Row],[Weight]]-Table7[[#This Row],[Weight v Morning Dia]]</f>
        <v>-0.70472839533641718</v>
      </c>
      <c r="O150" s="2">
        <f>Table7[[#This Row],[WMD Res]]^2</f>
        <v>0.49664211119344148</v>
      </c>
      <c r="P150">
        <f>Regression!$G$10+(Regression!$G$9*Table83[[#This Row],[Morning Pulse]])</f>
        <v>255.1081617071269</v>
      </c>
      <c r="Q150" s="2">
        <f>Table83[[#This Row],[Weight]]-Table7[[#This Row],[Weight v Morning Pulse]]</f>
        <v>-0.50816170712690223</v>
      </c>
      <c r="R150" s="2">
        <f>Table7[[#This Row],[WMP Res]]^2</f>
        <v>0.25822832059012757</v>
      </c>
      <c r="S150">
        <f>Regression!$H$10+(Regression!$H$9*Table83[[#This Row],[Night Body Temp]])</f>
        <v>256.08384552330529</v>
      </c>
      <c r="T150" s="2">
        <f>Table83[[#This Row],[Weight]]-Table7[[#This Row],[Weight v Night Temp]]</f>
        <v>-1.4838455233052912</v>
      </c>
      <c r="U150" s="2">
        <f>Table7[[#This Row],[WNT Res]]^2</f>
        <v>2.2017975370331535</v>
      </c>
      <c r="V150">
        <f>Regression!$I$10+(Regression!$I$9*Table83[[#This Row],[Night Systolic Pressure]])</f>
        <v>254.41742272093947</v>
      </c>
      <c r="W150" s="2">
        <f>Table83[[#This Row],[Weight]]-Table7[[#This Row],[Weight v Night Sys]]</f>
        <v>0.18257727906052423</v>
      </c>
      <c r="X150" s="2">
        <f>Table7[[#This Row],[WNS Res]]^2</f>
        <v>3.333446282914454E-2</v>
      </c>
      <c r="Y150">
        <f>Regression!$J$10+(Regression!$J$9*Table83[[#This Row],[Night Diastolic Pressure]])</f>
        <v>254.72542355850118</v>
      </c>
      <c r="Z150" s="2">
        <f>Table83[[#This Row],[Weight]]-Table7[[#This Row],[Weight v Night Dia]]</f>
        <v>-0.1254235585011827</v>
      </c>
      <c r="AA150" s="2">
        <f>Table7[[#This Row],[WND Res]]^2</f>
        <v>1.5731069027099597E-2</v>
      </c>
      <c r="AB150">
        <f>Regression!$K$10+(Regression!$K$9*Table83[[#This Row],[Night Pulse]])</f>
        <v>255.66299182100232</v>
      </c>
      <c r="AC150" s="2">
        <f>Table83[[#This Row],[Weight]]-Table7[[#This Row],[Weight v Night Pulse]]</f>
        <v>-1.0629918210023277</v>
      </c>
      <c r="AD150" s="2">
        <f>Table7[[#This Row],[WNP Res ]]^2</f>
        <v>1.1299516115178447</v>
      </c>
      <c r="AE150">
        <f>Regression!$L$10+(Regression!$L$9*Table83[[#This Row],[Sleep]])</f>
        <v>254.34834426894676</v>
      </c>
      <c r="AF150" s="2">
        <f>Table83[[#This Row],[Weight]]-Table7[[#This Row],[Weight v Sleep]]</f>
        <v>0.25165573105323347</v>
      </c>
      <c r="AG150" s="2">
        <f>Table7[[#This Row],[WS Res]]^2</f>
        <v>6.3330606971937375E-2</v>
      </c>
      <c r="AH150">
        <f>Regression!$M$10+(Regression!$M$9*Table83[[#This Row],[BMI]])</f>
        <v>254.60000000000116</v>
      </c>
      <c r="AI150" s="2">
        <f>Table83[[#This Row],[Weight]]-Table7[[#This Row],[Weight v BMI]]</f>
        <v>-1.1652900866465643E-12</v>
      </c>
      <c r="AJ150" s="2">
        <f>Table7[[#This Row],[WBMI Res]]^2</f>
        <v>1.3579009860367573E-24</v>
      </c>
      <c r="AK150">
        <f>Regression!$N$10+(Regression!$N$9*Table83[[#This Row],[CBF]])</f>
        <v>253.17965033701802</v>
      </c>
      <c r="AL150" s="2">
        <f>Table83[[#This Row],[Weight]]-Table7[[#This Row],[Weight v CBF]]</f>
        <v>1.4203496629819767</v>
      </c>
      <c r="AM150" s="2">
        <f>Table7[[#This Row],[WCBF Res]]^2</f>
        <v>2.017393165133015</v>
      </c>
      <c r="AN150">
        <f>Regression!$O$10+(Regression!$O$9*Table83[[#This Row],[Gym]])</f>
        <v>254.72962962962998</v>
      </c>
      <c r="AO150" s="2">
        <f>Table83[[#This Row],[Weight]]-Table7[[#This Row],[Weight v Gym]]</f>
        <v>-0.12962962962998859</v>
      </c>
      <c r="AP150" s="2">
        <f>Table7[[#This Row],[WG Res]]^2</f>
        <v>1.6803840878008014E-2</v>
      </c>
      <c r="AQ150">
        <f>Regression!$P$10+(Regression!$P$9*Table83[[#This Row],[Cardio]])</f>
        <v>254.19242424242461</v>
      </c>
      <c r="AR150" s="2">
        <f>Table83[[#This Row],[Weight]]-Table7[[#This Row],[Weight v Cardio]]</f>
        <v>0.40757575757538689</v>
      </c>
      <c r="AS150" s="2">
        <f>Table7[[#This Row],[WC Res]]^2</f>
        <v>0.16611799816315054</v>
      </c>
      <c r="AT150">
        <f>Regression!$Q$10+(Regression!$Q$9*Table83[[#This Row],[Calories]])</f>
        <v>255.2161424563902</v>
      </c>
      <c r="AU150" s="2">
        <f>Table83[[#This Row],[Weight]]-Table7[[#This Row],[Weight v Calories]]</f>
        <v>-0.61614245639020737</v>
      </c>
      <c r="AV150" s="2">
        <f>Table7[[#This Row],[WCAL Res]]^2</f>
        <v>0.37963152656655857</v>
      </c>
      <c r="AW150">
        <f>Regression!$R$10+(Regression!$R$9*Table83[[#This Row],[Carbs]])</f>
        <v>254.97800085791494</v>
      </c>
      <c r="AX150" s="2">
        <f>Table83[[#This Row],[Weight]]-Table7[[#This Row],[Weight v Carbs]]</f>
        <v>-0.37800085791494098</v>
      </c>
      <c r="AY150" s="2">
        <f>Table7[[#This Row],[Wcarb Res]]^2</f>
        <v>0.1428846485844314</v>
      </c>
      <c r="AZ150">
        <f>Regression!$S$10+(Regression!$S$9*Table83[[#This Row],[Fat ]])</f>
        <v>255.25284505079134</v>
      </c>
      <c r="BA150" s="2">
        <f>Table83[[#This Row],[Weight]]-Table7[[#This Row],[Weight v Fat]]</f>
        <v>-0.65284505079134192</v>
      </c>
      <c r="BB150" s="2">
        <f>Table7[[#This Row],[WF Res]]^2</f>
        <v>0.42620666034274979</v>
      </c>
      <c r="BC150">
        <f>Regression!$T$10+(Regression!$T$9*Table83[[#This Row],[Protein]])</f>
        <v>256.16936823742611</v>
      </c>
      <c r="BD150" s="2">
        <f>Table83[[#This Row],[Weight]]-Table7[[#This Row],[Weight v Protein]]</f>
        <v>-1.5693682374261186</v>
      </c>
      <c r="BE150" s="2">
        <f>Table7[[#This Row],[WP Res]]^2</f>
        <v>2.4629166646419622</v>
      </c>
      <c r="BF150">
        <f>Regression!$U$10+(Regression!$U$9*Table83[[#This Row],[Fiber]])</f>
        <v>254.95835205396463</v>
      </c>
      <c r="BG150" s="2">
        <f>Table83[[#This Row],[Weight]]-Table7[[#This Row],[Weight v Fiber]]</f>
        <v>-0.35835205396463721</v>
      </c>
      <c r="BH150" s="2">
        <f>Table7[[#This Row],[Wfib Res]]^2</f>
        <v>0.12841619458067427</v>
      </c>
      <c r="BI150">
        <f>Regression!$V$10+(Regression!$V$9*Table83[[#This Row],[Sugar]])</f>
        <v>254.70442426895661</v>
      </c>
      <c r="BJ150" s="2">
        <f>Table83[[#This Row],[Weight]]-Table7[[#This Row],[Weight v Sugar]]</f>
        <v>-0.10442426895662038</v>
      </c>
      <c r="BK150" s="2">
        <f>Table7[[#This Row],[Wsugar Res]]^2</f>
        <v>1.090442794712459E-2</v>
      </c>
      <c r="BL150">
        <f>Regression!$W$10+(Regression!$W$9*Table83[[#This Row],[Servings]])</f>
        <v>255.13166305453205</v>
      </c>
      <c r="BM150" s="2">
        <f>Table83[[#This Row],[Weight]]-Table7[[#This Row],[Weight v Servings]]</f>
        <v>-0.53166305453206064</v>
      </c>
      <c r="BN150" s="2">
        <f>Table7[[#This Row],[Wserv Res]]^2</f>
        <v>0.28266560355436088</v>
      </c>
      <c r="BO150">
        <f>Regression!$X$10+(Regression!$X$9*Table83[[#This Row],[Water]])</f>
        <v>255.0206340268538</v>
      </c>
      <c r="BP150" s="2">
        <f>Table83[[#This Row],[Weight]]-Table7[[#This Row],[Weight v Water]]</f>
        <v>-0.42063402685380424</v>
      </c>
      <c r="BQ150" s="2">
        <f>Table7[[#This Row],[Wwater Res]]^2</f>
        <v>0.1769329845472469</v>
      </c>
      <c r="BR150">
        <f>Regression!$Y$10+(Regression!$Y$9*Table83[[#This Row],[Fat Calories]])</f>
        <v>255.25683736368686</v>
      </c>
      <c r="BS150" s="2">
        <f>Table83[[#This Row],[Weight]]-Table7[[#This Row],[Weight v Fat Calories]]</f>
        <v>-0.65683736368686141</v>
      </c>
      <c r="BT150" s="2">
        <f>Table7[[#This Row],[WFC Res]]^2</f>
        <v>0.43143532233510623</v>
      </c>
      <c r="BU150">
        <f>Regression!$B$29+(Regression!$B$28*Table83[[#This Row],[Weight]])</f>
        <v>44.383358600750654</v>
      </c>
      <c r="BV150" s="2">
        <f>Table83[[#This Row],[Waist]]-Table7[[#This Row],[Waist v Weight]]</f>
        <v>-0.38335860075065398</v>
      </c>
      <c r="BW150" s="2">
        <f>Table7[[#This Row],[WaistW Res]]^2</f>
        <v>0.14696381676949932</v>
      </c>
      <c r="BX150">
        <f>Regression!$C$29+(Regression!$C$28*Table83[[#This Row],[Neck]])</f>
        <v>44.175585585585594</v>
      </c>
      <c r="BY150" s="2">
        <f>Table83[[#This Row],[Waist]]-Table7[[#This Row],[Waist v Neck]]</f>
        <v>-0.17558558558559412</v>
      </c>
      <c r="BZ150" s="2">
        <f>Table7[[#This Row],[WaistN Res]]^2</f>
        <v>3.0830297865435997E-2</v>
      </c>
      <c r="CA150">
        <f>Regression!$D$29+(Regression!$D$28*Table83[[#This Row],[Morning Body Temp]])</f>
        <v>44.342717051701939</v>
      </c>
      <c r="CB150" s="2">
        <f>Table83[[#This Row],[Waist]]-Table7[[#This Row],[Waist v Morning Temp]]</f>
        <v>-0.34271705170193911</v>
      </c>
      <c r="CC150" s="2">
        <f>Table7[[#This Row],[WaistMT Res]]^2</f>
        <v>0.11745497752726961</v>
      </c>
      <c r="CD150">
        <f>Regression!$E$29+(Regression!$E$28*Table83[[#This Row],[Morning Systolic Pressure]])</f>
        <v>44.587559995545753</v>
      </c>
      <c r="CE150" s="2">
        <f>Table83[[#This Row],[Waist]]-Table7[[#This Row],[Waist v Morning Sys]]</f>
        <v>-0.58755999554575311</v>
      </c>
      <c r="CF150" s="2">
        <f>Table7[[#This Row],[WaistMS Res]]^2</f>
        <v>0.34522674836572542</v>
      </c>
      <c r="CG150">
        <f>Regression!$F$29+(Regression!$F$28*Table83[[#This Row],[Morning Diastolic Pressure]])</f>
        <v>44.464087909481968</v>
      </c>
      <c r="CH150" s="2">
        <f>Table83[[#This Row],[Waist]]-Table7[[#This Row],[Waist v Morning Dia]]</f>
        <v>-0.4640879094819681</v>
      </c>
      <c r="CI150" s="2">
        <f>Table7[[#This Row],[WaistMD Res]]^2</f>
        <v>0.21537758772734342</v>
      </c>
      <c r="CJ150">
        <f>Regression!$G$29+(Regression!$G$28*Table83[[#This Row],[Morning Pulse]])</f>
        <v>44.450378687211739</v>
      </c>
      <c r="CK150" s="2">
        <f>Table83[[#This Row],[Waist]]-Table7[[#This Row],[Waist v Morning Pulse]]</f>
        <v>-0.45037868721173879</v>
      </c>
      <c r="CL150" s="2">
        <f>Table7[[#This Row],[WaistMP Res]]^2</f>
        <v>0.20284096189456924</v>
      </c>
      <c r="CM150">
        <f>Regression!$H$29+(Regression!$H$28*Table83[[#This Row],[Night Body Temp]])</f>
        <v>44.52992319270804</v>
      </c>
      <c r="CN150" s="2">
        <f>Table83[[#This Row],[Waist]]-Table7[[#This Row],[Waist v Night Temp]]</f>
        <v>-0.52992319270803989</v>
      </c>
      <c r="CO150" s="2">
        <f>Table7[[#This Row],[WaistNT Res]]^2</f>
        <v>0.28081859016988236</v>
      </c>
      <c r="CP150">
        <f>Regression!$I$29+(Regression!$I$28*Table83[[#This Row],[Night Systolic Pressure]])</f>
        <v>44.354718515025915</v>
      </c>
      <c r="CQ150" s="2">
        <f>Table83[[#This Row],[Waist]]-Table7[[#This Row],[Waist v  Night Sys]]</f>
        <v>-0.35471851502591534</v>
      </c>
      <c r="CR150" s="2">
        <f>Table7[[#This Row],[WaistNS Res]]^2</f>
        <v>0.12582522490219053</v>
      </c>
      <c r="CS150">
        <f>Regression!$J$29+(Regression!$J$28*Table83[[#This Row],[Night Diastolic Pressure]])</f>
        <v>44.290412559079314</v>
      </c>
      <c r="CT150" s="2">
        <f>Table83[[#This Row],[Waist]]-Table7[[#This Row],[Waist v Night Dia]]</f>
        <v>-0.29041255907931429</v>
      </c>
      <c r="CU150" s="2">
        <f>Table7[[#This Row],[WaistND Res]]^2</f>
        <v>8.4339454470996209E-2</v>
      </c>
      <c r="CV150">
        <f>Regression!$K$29+(Regression!$K$28*Table83[[#This Row],[Night Pulse]])</f>
        <v>44.402573446345968</v>
      </c>
      <c r="CW150" s="2">
        <f>Table83[[#This Row],[Waist]]-Table7[[#This Row],[Waist v Night Pulse]]</f>
        <v>-0.40257344634596848</v>
      </c>
      <c r="CX150" s="2">
        <f>Table7[[#This Row],[WaistNP Res]]^2</f>
        <v>0.16206537970287035</v>
      </c>
      <c r="CY150">
        <f>Regression!$L$29+(Regression!$L$28*Table83[[#This Row],[Sleep]])</f>
        <v>44.336644432868965</v>
      </c>
      <c r="CZ150" s="2">
        <f>Table83[[#This Row],[Waist]]-Table7[[#This Row],[Waist v  Sleep]]</f>
        <v>-0.33664443286896528</v>
      </c>
      <c r="DA150" s="2">
        <f>Table7[[#This Row],[WaistS Res]]^2</f>
        <v>0.11332947418166728</v>
      </c>
      <c r="DB150">
        <f>Regression!$M$29+(Regression!$M$28*Table83[[#This Row],[BMI]])</f>
        <v>44.383358600750874</v>
      </c>
      <c r="DC150" s="2">
        <f>Table83[[#This Row],[Waist]]-Table7[[#This Row],[Waist v BMI]]</f>
        <v>-0.38335860075087425</v>
      </c>
      <c r="DD150" s="2">
        <f>Table7[[#This Row],[WaistBMI Res]]^2</f>
        <v>0.14696381676966819</v>
      </c>
      <c r="DE150">
        <f>Regression!$N$29+(Regression!$N$28*Table83[[#This Row],[CBF]])</f>
        <v>44.105031770433015</v>
      </c>
      <c r="DF150" s="2">
        <f>Table83[[#This Row],[Waist]]-Table7[[#This Row],[Waist v  CBF]]</f>
        <v>-0.10503177043301548</v>
      </c>
      <c r="DG150" s="2">
        <f>Table7[[#This Row],[WaistCBF Res]]^2</f>
        <v>1.1031672800293666E-2</v>
      </c>
      <c r="DH150">
        <f>Regression!$O$29+(Regression!$O$28*Table83[[#This Row],[Gym]])</f>
        <v>44.347222222222221</v>
      </c>
      <c r="DI150" s="2">
        <f>Table83[[#This Row],[Waist]]-Table7[[#This Row],[Waist v  Gym]]</f>
        <v>-0.34722222222222143</v>
      </c>
      <c r="DJ150" s="2">
        <f>Table7[[#This Row],[WaistGYM Res]]^2</f>
        <v>0.12056327160493772</v>
      </c>
      <c r="DK150">
        <f>Regression!$P$29+(Regression!$P$28*Table83[[#This Row],[Cardio]])</f>
        <v>44.291666666666664</v>
      </c>
      <c r="DL150" s="2">
        <f>Table83[[#This Row],[Waist]]-Table7[[#This Row],[Waist v Cardio]]</f>
        <v>-0.2916666666666643</v>
      </c>
      <c r="DM150" s="2">
        <f>Table7[[#This Row],[WaistC Res]]^2</f>
        <v>8.506944444444306E-2</v>
      </c>
      <c r="DN150">
        <f>Regression!$Q$29+(Regression!$Q$28*Table83[[#This Row],[Calories]])</f>
        <v>44.476254348157624</v>
      </c>
      <c r="DO150" s="2">
        <f>Table83[[#This Row],[Waist]]-Table7[[#This Row],[Waist v Calories]]</f>
        <v>-0.47625434815762446</v>
      </c>
      <c r="DP150" s="2">
        <f>Table7[[#This Row],[WaistCal Res]]^2</f>
        <v>0.22681820413904377</v>
      </c>
      <c r="DQ150">
        <f>Regression!$R$29+(Regression!$R$28*Table83[[#This Row],[Carbs]])</f>
        <v>44.425008228458111</v>
      </c>
      <c r="DR150" s="2">
        <f>Table83[[#This Row],[Waist]]-Table7[[#This Row],[Waist v Carbs]]</f>
        <v>-0.42500822845811115</v>
      </c>
      <c r="DS150" s="2">
        <f>Table7[[#This Row],[WaistCarb Res]]^2</f>
        <v>0.180631994257102</v>
      </c>
      <c r="DT150">
        <f>Regression!$S$29+(Regression!$S$28*Table83[[#This Row],[Fat ]])</f>
        <v>44.495662612248559</v>
      </c>
      <c r="DU150" s="2">
        <f>Table83[[#This Row],[Waist]]-Table7[[#This Row],[Waist v Fat]]</f>
        <v>-0.49566261224855879</v>
      </c>
      <c r="DV150" s="2">
        <f>Table7[[#This Row],[WaistF Res]]^2</f>
        <v>0.24568142518106514</v>
      </c>
      <c r="DW150">
        <f>Regression!$T$29+(Regression!$T$28*Table83[[#This Row],[Protein]])</f>
        <v>44.646520277507811</v>
      </c>
      <c r="DX150" s="2">
        <f>Table83[[#This Row],[Waist]]-Table7[[#This Row],[Waist v Protein]]</f>
        <v>-0.64652027750781116</v>
      </c>
      <c r="DY150" s="2">
        <f>Table7[[#This Row],[WaistP Res]]^2</f>
        <v>0.41798846922877714</v>
      </c>
      <c r="DZ150">
        <f>Regression!$U$29+(Regression!$U$28*Table83[[#This Row],[Fiber]])</f>
        <v>44.393078580558992</v>
      </c>
      <c r="EA150" s="2">
        <f>Table83[[#This Row],[Waist]]-Table7[[#This Row],[Waist v Fiber]]</f>
        <v>-0.39307858055899203</v>
      </c>
      <c r="EB150" s="2">
        <f>Table7[[#This Row],[WaistFib Res]]^2</f>
        <v>0.15451077049427198</v>
      </c>
      <c r="EC150">
        <f>Regression!$V$29+(Regression!$V$28*Table83[[#This Row],[Sugar]])</f>
        <v>44.379776523467498</v>
      </c>
      <c r="ED150" s="2">
        <f>Table83[[#This Row],[Waist]]-Table7[[#This Row],[Waist v Sugar]]</f>
        <v>-0.37977652346749835</v>
      </c>
      <c r="EE150" s="2">
        <f>Table7[[#This Row],[WaistSugar Res]]^2</f>
        <v>0.14423020777705933</v>
      </c>
      <c r="EF150">
        <f>Regression!$W$29+(Regression!$W$28*Table83[[#This Row],[Servings]])</f>
        <v>44.456075576048775</v>
      </c>
      <c r="EG150" s="2">
        <f>Table83[[#This Row],[Waist]]-Table7[[#This Row],[Waist v Servings]]</f>
        <v>-0.45607557604877513</v>
      </c>
      <c r="EH150" s="2">
        <f>Table7[[#This Row],[WaistServ Res]]^2</f>
        <v>0.20800493106822207</v>
      </c>
      <c r="EI150">
        <f>Regression!$X$29+(Regression!$X$28*Table83[[#This Row],[Water]])</f>
        <v>44.33031459742935</v>
      </c>
      <c r="EJ150" s="2">
        <f>Table83[[#This Row],[Waist]]-Table7[[#This Row],[Waist v Water]]</f>
        <v>-0.33031459742934999</v>
      </c>
      <c r="EK150" s="2">
        <f>Table7[[#This Row],[WaistWat Res]]^2</f>
        <v>0.10910773327491355</v>
      </c>
      <c r="EL150">
        <f>Regression!$Y$29+(Regression!$Y$28*Table83[[#This Row],[Fat Calories]])</f>
        <v>44.496663188608338</v>
      </c>
      <c r="EM150" s="2">
        <f>Table83[[#This Row],[Waist]]-Table7[[#This Row],[Waist v Fat Calories]]</f>
        <v>-0.49666318860833769</v>
      </c>
      <c r="EN150" s="2">
        <f>Table7[[#This Row],[WaistFatCal Res]]^2</f>
        <v>0.24667432291860122</v>
      </c>
    </row>
    <row r="151" spans="1:144" x14ac:dyDescent="0.25">
      <c r="A151">
        <f>Regression!$B$10+(Regression!$B$9*Table83[[#This Row],[Waist]])</f>
        <v>252.52625917894264</v>
      </c>
      <c r="B151" s="2">
        <f>Table83[[#This Row],[Weight]]-Table7[[#This Row],[Weight v Waist]]</f>
        <v>0.47374082105736193</v>
      </c>
      <c r="C151" s="2">
        <f>Table7[[#This Row],[Weight v Waist Res]]^2</f>
        <v>0.2244303655361034</v>
      </c>
      <c r="D151">
        <f>Regression!$C$10+(Regression!$C$9*Table83[[#This Row],[Neck]])</f>
        <v>253.29286486487842</v>
      </c>
      <c r="E151" s="2">
        <f>Table83[[#This Row],[Weight]]-Table7[[#This Row],[Weight v Neck]]</f>
        <v>-0.29286486487842467</v>
      </c>
      <c r="F151" s="2">
        <f>Table7[[#This Row],[WN Res]]^2</f>
        <v>8.5769829080257945E-2</v>
      </c>
      <c r="G151">
        <f>Regression!$D$10+(Regression!$D$9*Table83[[#This Row],[Morning Body Temp]])</f>
        <v>255.3411606659738</v>
      </c>
      <c r="H151" s="2">
        <f>Table83[[#This Row],[Weight]]-Table7[[#This Row],[Weight v Morning Temp]]</f>
        <v>-2.3411606659738027</v>
      </c>
      <c r="I151" s="2">
        <f>Table7[[#This Row],[WMT Res]]^2</f>
        <v>5.4810332639028996</v>
      </c>
      <c r="J151">
        <f>Regression!$E$10+(Regression!$E$9*Table83[[#This Row],[Morning Systolic Pressure]])</f>
        <v>255.09948662875533</v>
      </c>
      <c r="K151" s="2">
        <f>Table83[[#This Row],[Weight]]-Table7[[#This Row],[Weight v Morning Sys]]</f>
        <v>-2.0994866287553293</v>
      </c>
      <c r="L151" s="2">
        <f>Table7[[#This Row],[WMS Res]]^2</f>
        <v>4.4078441043224181</v>
      </c>
      <c r="M151">
        <f>Regression!$F$10+(Regression!$F$9*Table83[[#This Row],[Morning Diastolic Pressure]])</f>
        <v>255.50741689342618</v>
      </c>
      <c r="N151" s="2">
        <f>Table83[[#This Row],[Weight]]-Table7[[#This Row],[Weight v Morning Dia]]</f>
        <v>-2.507416893426182</v>
      </c>
      <c r="O151" s="2">
        <f>Table7[[#This Row],[WMD Res]]^2</f>
        <v>6.2871394774390055</v>
      </c>
      <c r="P151">
        <f>Regression!$G$10+(Regression!$G$9*Table83[[#This Row],[Morning Pulse]])</f>
        <v>255.12643966469878</v>
      </c>
      <c r="Q151" s="2">
        <f>Table83[[#This Row],[Weight]]-Table7[[#This Row],[Weight v Morning Pulse]]</f>
        <v>-2.1264396646987791</v>
      </c>
      <c r="R151" s="2">
        <f>Table7[[#This Row],[WMP Res]]^2</f>
        <v>4.5217456476042557</v>
      </c>
      <c r="S151">
        <f>Regression!$H$10+(Regression!$H$9*Table83[[#This Row],[Night Body Temp]])</f>
        <v>256.18654209378701</v>
      </c>
      <c r="T151" s="2">
        <f>Table83[[#This Row],[Weight]]-Table7[[#This Row],[Weight v Night Temp]]</f>
        <v>-3.1865420937870113</v>
      </c>
      <c r="U151" s="2">
        <f>Table7[[#This Row],[WNT Res]]^2</f>
        <v>10.154050515476509</v>
      </c>
      <c r="V151">
        <f>Regression!$I$10+(Regression!$I$9*Table83[[#This Row],[Night Systolic Pressure]])</f>
        <v>254.93064689108181</v>
      </c>
      <c r="W151" s="2">
        <f>Table83[[#This Row],[Weight]]-Table7[[#This Row],[Weight v Night Sys]]</f>
        <v>-1.9306468910818069</v>
      </c>
      <c r="X151" s="2">
        <f>Table7[[#This Row],[WNS Res]]^2</f>
        <v>3.7273974180438461</v>
      </c>
      <c r="Y151">
        <f>Regression!$J$10+(Regression!$J$9*Table83[[#This Row],[Night Diastolic Pressure]])</f>
        <v>254.88848703216559</v>
      </c>
      <c r="Z151" s="2">
        <f>Table83[[#This Row],[Weight]]-Table7[[#This Row],[Weight v Night Dia]]</f>
        <v>-1.8884870321655853</v>
      </c>
      <c r="AA151" s="2">
        <f>Table7[[#This Row],[WND Res]]^2</f>
        <v>3.5663832706575804</v>
      </c>
      <c r="AB151">
        <f>Regression!$K$10+(Regression!$K$9*Table83[[#This Row],[Night Pulse]])</f>
        <v>255.60156515852887</v>
      </c>
      <c r="AC151" s="2">
        <f>Table83[[#This Row],[Weight]]-Table7[[#This Row],[Weight v Night Pulse]]</f>
        <v>-2.6015651585288708</v>
      </c>
      <c r="AD151" s="2">
        <f>Table7[[#This Row],[WNP Res ]]^2</f>
        <v>6.7681412740713487</v>
      </c>
      <c r="AE151">
        <f>Regression!$L$10+(Regression!$L$9*Table83[[#This Row],[Sleep]])</f>
        <v>255.29476681906823</v>
      </c>
      <c r="AF151" s="2">
        <f>Table83[[#This Row],[Weight]]-Table7[[#This Row],[Weight v Sleep]]</f>
        <v>-2.2947668190682293</v>
      </c>
      <c r="AG151" s="2">
        <f>Table7[[#This Row],[WS Res]]^2</f>
        <v>5.2659547538965192</v>
      </c>
      <c r="AH151">
        <f>Regression!$M$10+(Regression!$M$9*Table83[[#This Row],[BMI]])</f>
        <v>253.00000000000475</v>
      </c>
      <c r="AI151" s="2">
        <f>Table83[[#This Row],[Weight]]-Table7[[#This Row],[Weight v BMI]]</f>
        <v>-4.7464254748774692E-12</v>
      </c>
      <c r="AJ151" s="2">
        <f>Table7[[#This Row],[WBMI Res]]^2</f>
        <v>2.2528554788565809E-23</v>
      </c>
      <c r="AK151">
        <f>Regression!$N$10+(Regression!$N$9*Table83[[#This Row],[CBF]])</f>
        <v>253.17965033701802</v>
      </c>
      <c r="AL151" s="2">
        <f>Table83[[#This Row],[Weight]]-Table7[[#This Row],[Weight v CBF]]</f>
        <v>-0.17965033701801758</v>
      </c>
      <c r="AM151" s="2">
        <f>Table7[[#This Row],[WCBF Res]]^2</f>
        <v>3.2274243590687299E-2</v>
      </c>
      <c r="AN151">
        <f>Regression!$O$10+(Regression!$O$9*Table83[[#This Row],[Gym]])</f>
        <v>255.46779661016953</v>
      </c>
      <c r="AO151" s="2">
        <f>Table83[[#This Row],[Weight]]-Table7[[#This Row],[Weight v Gym]]</f>
        <v>-2.467796610169529</v>
      </c>
      <c r="AP151" s="2">
        <f>Table7[[#This Row],[WG Res]]^2</f>
        <v>6.0900201091642181</v>
      </c>
      <c r="AQ151">
        <f>Regression!$P$10+(Regression!$P$9*Table83[[#This Row],[Cardio]])</f>
        <v>254.19242424242461</v>
      </c>
      <c r="AR151" s="2">
        <f>Table83[[#This Row],[Weight]]-Table7[[#This Row],[Weight v Cardio]]</f>
        <v>-1.1924242424246074</v>
      </c>
      <c r="AS151" s="2">
        <f>Table7[[#This Row],[WC Res]]^2</f>
        <v>1.4218755739218989</v>
      </c>
      <c r="AT151">
        <f>Regression!$Q$10+(Regression!$Q$9*Table83[[#This Row],[Calories]])</f>
        <v>255.10456285193615</v>
      </c>
      <c r="AU151" s="2">
        <f>Table83[[#This Row],[Weight]]-Table7[[#This Row],[Weight v Calories]]</f>
        <v>-2.1045628519361514</v>
      </c>
      <c r="AV151" s="2">
        <f>Table7[[#This Row],[WCAL Res]]^2</f>
        <v>4.4291847977496275</v>
      </c>
      <c r="AW151">
        <f>Regression!$R$10+(Regression!$R$9*Table83[[#This Row],[Carbs]])</f>
        <v>255.04376160683879</v>
      </c>
      <c r="AX151" s="2">
        <f>Table83[[#This Row],[Weight]]-Table7[[#This Row],[Weight v Carbs]]</f>
        <v>-2.0437616068387854</v>
      </c>
      <c r="AY151" s="2">
        <f>Table7[[#This Row],[Wcarb Res]]^2</f>
        <v>4.1769615055882543</v>
      </c>
      <c r="AZ151">
        <f>Regression!$S$10+(Regression!$S$9*Table83[[#This Row],[Fat ]])</f>
        <v>255.15247784074091</v>
      </c>
      <c r="BA151" s="2">
        <f>Table83[[#This Row],[Weight]]-Table7[[#This Row],[Weight v Fat]]</f>
        <v>-2.1524778407409144</v>
      </c>
      <c r="BB151" s="2">
        <f>Table7[[#This Row],[WF Res]]^2</f>
        <v>4.6331608548806695</v>
      </c>
      <c r="BC151">
        <f>Regression!$T$10+(Regression!$T$9*Table83[[#This Row],[Protein]])</f>
        <v>255.16648554411779</v>
      </c>
      <c r="BD151" s="2">
        <f>Table83[[#This Row],[Weight]]-Table7[[#This Row],[Weight v Protein]]</f>
        <v>-2.1664855441177906</v>
      </c>
      <c r="BE151" s="2">
        <f>Table7[[#This Row],[WP Res]]^2</f>
        <v>4.6936596128713592</v>
      </c>
      <c r="BF151">
        <f>Regression!$U$10+(Regression!$U$9*Table83[[#This Row],[Fiber]])</f>
        <v>254.9142720303422</v>
      </c>
      <c r="BG151" s="2">
        <f>Table83[[#This Row],[Weight]]-Table7[[#This Row],[Weight v Fiber]]</f>
        <v>-1.9142720303422038</v>
      </c>
      <c r="BH151" s="2">
        <f>Table7[[#This Row],[Wfib Res]]^2</f>
        <v>3.6644374061504634</v>
      </c>
      <c r="BI151">
        <f>Regression!$V$10+(Regression!$V$9*Table83[[#This Row],[Sugar]])</f>
        <v>254.71377104513778</v>
      </c>
      <c r="BJ151" s="2">
        <f>Table83[[#This Row],[Weight]]-Table7[[#This Row],[Weight v Sugar]]</f>
        <v>-1.7137710451377757</v>
      </c>
      <c r="BK151" s="2">
        <f>Table7[[#This Row],[Wsugar Res]]^2</f>
        <v>2.9370111951526239</v>
      </c>
      <c r="BL151">
        <f>Regression!$W$10+(Regression!$W$9*Table83[[#This Row],[Servings]])</f>
        <v>254.63473955501385</v>
      </c>
      <c r="BM151" s="2">
        <f>Table83[[#This Row],[Weight]]-Table7[[#This Row],[Weight v Servings]]</f>
        <v>-1.6347395550138515</v>
      </c>
      <c r="BN151" s="2">
        <f>Table7[[#This Row],[Wserv Res]]^2</f>
        <v>2.672373412726885</v>
      </c>
      <c r="BO151">
        <f>Regression!$X$10+(Regression!$X$9*Table83[[#This Row],[Water]])</f>
        <v>255.0206340268538</v>
      </c>
      <c r="BP151" s="2">
        <f>Table83[[#This Row],[Weight]]-Table7[[#This Row],[Weight v Water]]</f>
        <v>-2.0206340268537986</v>
      </c>
      <c r="BQ151" s="2">
        <f>Table7[[#This Row],[Wwater Res]]^2</f>
        <v>4.082961870479398</v>
      </c>
      <c r="BR151">
        <f>Regression!$Y$10+(Regression!$Y$9*Table83[[#This Row],[Fat Calories]])</f>
        <v>255.15002140294848</v>
      </c>
      <c r="BS151" s="2">
        <f>Table83[[#This Row],[Weight]]-Table7[[#This Row],[Weight v Fat Calories]]</f>
        <v>-2.1500214029484823</v>
      </c>
      <c r="BT151" s="2">
        <f>Table7[[#This Row],[WFC Res]]^2</f>
        <v>4.6225920331365602</v>
      </c>
      <c r="BU151">
        <f>Regression!$B$29+(Regression!$B$28*Table83[[#This Row],[Weight]])</f>
        <v>44.165338583838682</v>
      </c>
      <c r="BV151" s="2">
        <f>Table83[[#This Row],[Waist]]-Table7[[#This Row],[Waist v Weight]]</f>
        <v>-0.1653385838386825</v>
      </c>
      <c r="BW151" s="2">
        <f>Table7[[#This Row],[WaistW Res]]^2</f>
        <v>2.733684730578104E-2</v>
      </c>
      <c r="BX151">
        <f>Regression!$C$29+(Regression!$C$28*Table83[[#This Row],[Neck]])</f>
        <v>44.175585585585594</v>
      </c>
      <c r="BY151" s="2">
        <f>Table83[[#This Row],[Waist]]-Table7[[#This Row],[Waist v Neck]]</f>
        <v>-0.17558558558559412</v>
      </c>
      <c r="BZ151" s="2">
        <f>Table7[[#This Row],[WaistN Res]]^2</f>
        <v>3.0830297865435997E-2</v>
      </c>
      <c r="CA151">
        <f>Regression!$D$29+(Regression!$D$28*Table83[[#This Row],[Morning Body Temp]])</f>
        <v>44.515038370284842</v>
      </c>
      <c r="CB151" s="2">
        <f>Table83[[#This Row],[Waist]]-Table7[[#This Row],[Waist v Morning Temp]]</f>
        <v>-0.51503837028484156</v>
      </c>
      <c r="CC151" s="2">
        <f>Table7[[#This Row],[WaistMT Res]]^2</f>
        <v>0.26526452286566554</v>
      </c>
      <c r="CD151">
        <f>Regression!$E$29+(Regression!$E$28*Table83[[#This Row],[Morning Systolic Pressure]])</f>
        <v>44.449884727394206</v>
      </c>
      <c r="CE151" s="2">
        <f>Table83[[#This Row],[Waist]]-Table7[[#This Row],[Waist v Morning Sys]]</f>
        <v>-0.44988472739420615</v>
      </c>
      <c r="CF151" s="2">
        <f>Table7[[#This Row],[WaistMS Res]]^2</f>
        <v>0.20239626794255919</v>
      </c>
      <c r="CG151">
        <f>Regression!$F$29+(Regression!$F$28*Table83[[#This Row],[Morning Diastolic Pressure]])</f>
        <v>44.475359150819678</v>
      </c>
      <c r="CH151" s="2">
        <f>Table83[[#This Row],[Waist]]-Table7[[#This Row],[Waist v Morning Dia]]</f>
        <v>-0.47535915081967772</v>
      </c>
      <c r="CI151" s="2">
        <f>Table7[[#This Row],[WaistMD Res]]^2</f>
        <v>0.22596632226800512</v>
      </c>
      <c r="CJ151">
        <f>Regression!$G$29+(Regression!$G$28*Table83[[#This Row],[Morning Pulse]])</f>
        <v>44.458773712947881</v>
      </c>
      <c r="CK151" s="2">
        <f>Table83[[#This Row],[Waist]]-Table7[[#This Row],[Waist v Morning Pulse]]</f>
        <v>-0.45877371294788105</v>
      </c>
      <c r="CL151" s="2">
        <f>Table7[[#This Row],[WaistMP Res]]^2</f>
        <v>0.21047331969198477</v>
      </c>
      <c r="CM151">
        <f>Regression!$H$29+(Regression!$H$28*Table83[[#This Row],[Night Body Temp]])</f>
        <v>44.538020116512925</v>
      </c>
      <c r="CN151" s="2">
        <f>Table83[[#This Row],[Waist]]-Table7[[#This Row],[Waist v Night Temp]]</f>
        <v>-0.53802011651292503</v>
      </c>
      <c r="CO151" s="2">
        <f>Table7[[#This Row],[WaistNT Res]]^2</f>
        <v>0.28946564577258144</v>
      </c>
      <c r="CP151">
        <f>Regression!$I$29+(Regression!$I$28*Table83[[#This Row],[Night Systolic Pressure]])</f>
        <v>44.427419086653984</v>
      </c>
      <c r="CQ151" s="2">
        <f>Table83[[#This Row],[Waist]]-Table7[[#This Row],[Waist v  Night Sys]]</f>
        <v>-0.42741908665398398</v>
      </c>
      <c r="CR151" s="2">
        <f>Table7[[#This Row],[WaistNS Res]]^2</f>
        <v>0.18268707563612588</v>
      </c>
      <c r="CS151">
        <f>Regression!$J$29+(Regression!$J$28*Table83[[#This Row],[Night Diastolic Pressure]])</f>
        <v>44.358684339909082</v>
      </c>
      <c r="CT151" s="2">
        <f>Table83[[#This Row],[Waist]]-Table7[[#This Row],[Waist v Night Dia]]</f>
        <v>-0.35868433990908244</v>
      </c>
      <c r="CU151" s="2">
        <f>Table7[[#This Row],[WaistND Res]]^2</f>
        <v>0.12865445569601419</v>
      </c>
      <c r="CV151">
        <f>Regression!$K$29+(Regression!$K$28*Table83[[#This Row],[Night Pulse]])</f>
        <v>44.408286938967898</v>
      </c>
      <c r="CW151" s="2">
        <f>Table83[[#This Row],[Waist]]-Table7[[#This Row],[Waist v Night Pulse]]</f>
        <v>-0.40828693896789758</v>
      </c>
      <c r="CX151" s="2">
        <f>Table7[[#This Row],[WaistNP Res]]^2</f>
        <v>0.16669822453177571</v>
      </c>
      <c r="CY151">
        <f>Regression!$L$29+(Regression!$L$28*Table83[[#This Row],[Sleep]])</f>
        <v>44.480941336855928</v>
      </c>
      <c r="CZ151" s="2">
        <f>Table83[[#This Row],[Waist]]-Table7[[#This Row],[Waist v  Sleep]]</f>
        <v>-0.48094133685592766</v>
      </c>
      <c r="DA151" s="2">
        <f>Table7[[#This Row],[WaistS Res]]^2</f>
        <v>0.23130456949676689</v>
      </c>
      <c r="DB151">
        <f>Regression!$M$29+(Regression!$M$28*Table83[[#This Row],[BMI]])</f>
        <v>44.165338583839599</v>
      </c>
      <c r="DC151" s="2">
        <f>Table83[[#This Row],[Waist]]-Table7[[#This Row],[Waist v BMI]]</f>
        <v>-0.1653385838395991</v>
      </c>
      <c r="DD151" s="2">
        <f>Table7[[#This Row],[WaistBMI Res]]^2</f>
        <v>2.7336847306084138E-2</v>
      </c>
      <c r="DE151">
        <f>Regression!$N$29+(Regression!$N$28*Table83[[#This Row],[CBF]])</f>
        <v>44.105031770433015</v>
      </c>
      <c r="DF151" s="2">
        <f>Table83[[#This Row],[Waist]]-Table7[[#This Row],[Waist v  CBF]]</f>
        <v>-0.10503177043301548</v>
      </c>
      <c r="DG151" s="2">
        <f>Table7[[#This Row],[WaistCBF Res]]^2</f>
        <v>1.1031672800293666E-2</v>
      </c>
      <c r="DH151">
        <f>Regression!$O$29+(Regression!$O$28*Table83[[#This Row],[Gym]])</f>
        <v>44.550847457627107</v>
      </c>
      <c r="DI151" s="2">
        <f>Table83[[#This Row],[Waist]]-Table7[[#This Row],[Waist v  Gym]]</f>
        <v>-0.55084745762710696</v>
      </c>
      <c r="DJ151" s="2">
        <f>Table7[[#This Row],[WaistGYM Res]]^2</f>
        <v>0.30343292157424739</v>
      </c>
      <c r="DK151">
        <f>Regression!$P$29+(Regression!$P$28*Table83[[#This Row],[Cardio]])</f>
        <v>44.291666666666664</v>
      </c>
      <c r="DL151" s="2">
        <f>Table83[[#This Row],[Waist]]-Table7[[#This Row],[Waist v Cardio]]</f>
        <v>-0.2916666666666643</v>
      </c>
      <c r="DM151" s="2">
        <f>Table7[[#This Row],[WaistC Res]]^2</f>
        <v>8.506944444444306E-2</v>
      </c>
      <c r="DN151">
        <f>Regression!$Q$29+(Regression!$Q$28*Table83[[#This Row],[Calories]])</f>
        <v>44.451184885834813</v>
      </c>
      <c r="DO151" s="2">
        <f>Table83[[#This Row],[Waist]]-Table7[[#This Row],[Waist v Calories]]</f>
        <v>-0.45118488583481309</v>
      </c>
      <c r="DP151" s="2">
        <f>Table7[[#This Row],[WaistCal Res]]^2</f>
        <v>0.20356780120577331</v>
      </c>
      <c r="DQ151">
        <f>Regression!$R$29+(Regression!$R$28*Table83[[#This Row],[Carbs]])</f>
        <v>44.438699213681026</v>
      </c>
      <c r="DR151" s="2">
        <f>Table83[[#This Row],[Waist]]-Table7[[#This Row],[Waist v Carbs]]</f>
        <v>-0.43869921368102638</v>
      </c>
      <c r="DS151" s="2">
        <f>Table7[[#This Row],[WaistCarb Res]]^2</f>
        <v>0.19245700008435085</v>
      </c>
      <c r="DT151">
        <f>Regression!$S$29+(Regression!$S$28*Table83[[#This Row],[Fat ]])</f>
        <v>44.464982480178335</v>
      </c>
      <c r="DU151" s="2">
        <f>Table83[[#This Row],[Waist]]-Table7[[#This Row],[Waist v Fat]]</f>
        <v>-0.46498248017833532</v>
      </c>
      <c r="DV151" s="2">
        <f>Table7[[#This Row],[WaistF Res]]^2</f>
        <v>0.216208706872796</v>
      </c>
      <c r="DW151">
        <f>Regression!$T$29+(Regression!$T$28*Table83[[#This Row],[Protein]])</f>
        <v>44.46295549109886</v>
      </c>
      <c r="DX151" s="2">
        <f>Table83[[#This Row],[Waist]]-Table7[[#This Row],[Waist v Protein]]</f>
        <v>-0.46295549109886025</v>
      </c>
      <c r="DY151" s="2">
        <f>Table7[[#This Row],[WaistP Res]]^2</f>
        <v>0.21432778673858688</v>
      </c>
      <c r="DZ151">
        <f>Regression!$U$29+(Regression!$U$28*Table83[[#This Row],[Fiber]])</f>
        <v>44.376069864742313</v>
      </c>
      <c r="EA151" s="2">
        <f>Table83[[#This Row],[Waist]]-Table7[[#This Row],[Waist v Fiber]]</f>
        <v>-0.37606986474231263</v>
      </c>
      <c r="EB151" s="2">
        <f>Table7[[#This Row],[WaistFib Res]]^2</f>
        <v>0.14142854316730133</v>
      </c>
      <c r="EC151">
        <f>Regression!$V$29+(Regression!$V$28*Table83[[#This Row],[Sugar]])</f>
        <v>44.381455567563599</v>
      </c>
      <c r="ED151" s="2">
        <f>Table83[[#This Row],[Waist]]-Table7[[#This Row],[Waist v Sugar]]</f>
        <v>-0.38145556756359866</v>
      </c>
      <c r="EE151" s="2">
        <f>Table7[[#This Row],[WaistSugar Res]]^2</f>
        <v>0.14550835002526719</v>
      </c>
      <c r="EF151">
        <f>Regression!$W$29+(Regression!$W$28*Table83[[#This Row],[Servings]])</f>
        <v>44.380253328765491</v>
      </c>
      <c r="EG151" s="2">
        <f>Table83[[#This Row],[Waist]]-Table7[[#This Row],[Waist v Servings]]</f>
        <v>-0.38025332876549101</v>
      </c>
      <c r="EH151" s="2">
        <f>Table7[[#This Row],[WaistServ Res]]^2</f>
        <v>0.14459259403723659</v>
      </c>
      <c r="EI151">
        <f>Regression!$X$29+(Regression!$X$28*Table83[[#This Row],[Water]])</f>
        <v>44.33031459742935</v>
      </c>
      <c r="EJ151" s="2">
        <f>Table83[[#This Row],[Waist]]-Table7[[#This Row],[Waist v Water]]</f>
        <v>-0.33031459742934999</v>
      </c>
      <c r="EK151" s="2">
        <f>Table7[[#This Row],[WaistWat Res]]^2</f>
        <v>0.10910773327491355</v>
      </c>
      <c r="EL151">
        <f>Regression!$Y$29+(Regression!$Y$28*Table83[[#This Row],[Fat Calories]])</f>
        <v>44.464177382103728</v>
      </c>
      <c r="EM151" s="2">
        <f>Table83[[#This Row],[Waist]]-Table7[[#This Row],[Waist v Fat Calories]]</f>
        <v>-0.46417738210372761</v>
      </c>
      <c r="EN151" s="2">
        <f>Table7[[#This Row],[WaistFatCal Res]]^2</f>
        <v>0.21546064205666995</v>
      </c>
    </row>
    <row r="152" spans="1:144" x14ac:dyDescent="0.25">
      <c r="A152">
        <f>Regression!$B$10+(Regression!$B$9*Table83[[#This Row],[Waist]])</f>
        <v>252.52625917894264</v>
      </c>
      <c r="B152" s="2">
        <f>Table83[[#This Row],[Weight]]-Table7[[#This Row],[Weight v Waist]]</f>
        <v>1.4737408210573619</v>
      </c>
      <c r="C152" s="2">
        <f>Table7[[#This Row],[Weight v Waist Res]]^2</f>
        <v>2.1719120076508274</v>
      </c>
      <c r="D152">
        <f>Regression!$C$10+(Regression!$C$9*Table83[[#This Row],[Neck]])</f>
        <v>253.29286486487842</v>
      </c>
      <c r="E152" s="2">
        <f>Table83[[#This Row],[Weight]]-Table7[[#This Row],[Weight v Neck]]</f>
        <v>0.70713513512157533</v>
      </c>
      <c r="F152" s="2">
        <f>Table7[[#This Row],[WN Res]]^2</f>
        <v>0.50004009932340865</v>
      </c>
      <c r="G152">
        <f>Regression!$D$10+(Regression!$D$9*Table83[[#This Row],[Morning Body Temp]])</f>
        <v>255.05956644908434</v>
      </c>
      <c r="H152" s="2">
        <f>Table83[[#This Row],[Weight]]-Table7[[#This Row],[Weight v Morning Temp]]</f>
        <v>-1.0595664490843433</v>
      </c>
      <c r="I152" s="2">
        <f>Table7[[#This Row],[WMT Res]]^2</f>
        <v>1.1226810600252042</v>
      </c>
      <c r="J152">
        <f>Regression!$E$10+(Regression!$E$9*Table83[[#This Row],[Morning Systolic Pressure]])</f>
        <v>254.82902340557504</v>
      </c>
      <c r="K152" s="2">
        <f>Table83[[#This Row],[Weight]]-Table7[[#This Row],[Weight v Morning Sys]]</f>
        <v>-0.82902340557504317</v>
      </c>
      <c r="L152" s="2">
        <f>Table7[[#This Row],[WMS Res]]^2</f>
        <v>0.68727980699124247</v>
      </c>
      <c r="M152">
        <f>Regression!$F$10+(Regression!$F$9*Table83[[#This Row],[Morning Diastolic Pressure]])</f>
        <v>255.40607264438131</v>
      </c>
      <c r="N152" s="2">
        <f>Table83[[#This Row],[Weight]]-Table7[[#This Row],[Weight v Morning Dia]]</f>
        <v>-1.406072644381311</v>
      </c>
      <c r="O152" s="2">
        <f>Table7[[#This Row],[WMD Res]]^2</f>
        <v>1.9770402812774526</v>
      </c>
      <c r="P152">
        <f>Regression!$G$10+(Regression!$G$9*Table83[[#This Row],[Morning Pulse]])</f>
        <v>255.10633391136972</v>
      </c>
      <c r="Q152" s="2">
        <f>Table83[[#This Row],[Weight]]-Table7[[#This Row],[Weight v Morning Pulse]]</f>
        <v>-1.1063339113697168</v>
      </c>
      <c r="R152" s="2">
        <f>Table7[[#This Row],[WMP Res]]^2</f>
        <v>1.2239747234466165</v>
      </c>
      <c r="S152">
        <f>Regression!$H$10+(Regression!$H$9*Table83[[#This Row],[Night Body Temp]])</f>
        <v>256.39193523475035</v>
      </c>
      <c r="T152" s="2">
        <f>Table83[[#This Row],[Weight]]-Table7[[#This Row],[Weight v Night Temp]]</f>
        <v>-2.3919352347503491</v>
      </c>
      <c r="U152" s="2">
        <f>Table7[[#This Row],[WNT Res]]^2</f>
        <v>5.7213541672402073</v>
      </c>
      <c r="V152">
        <f>Regression!$I$10+(Regression!$I$9*Table83[[#This Row],[Night Systolic Pressure]])</f>
        <v>254.93064689108181</v>
      </c>
      <c r="W152" s="2">
        <f>Table83[[#This Row],[Weight]]-Table7[[#This Row],[Weight v Night Sys]]</f>
        <v>-0.93064689108180687</v>
      </c>
      <c r="X152" s="2">
        <f>Table7[[#This Row],[WNS Res]]^2</f>
        <v>0.86610363588023254</v>
      </c>
      <c r="Y152">
        <f>Regression!$J$10+(Regression!$J$9*Table83[[#This Row],[Night Diastolic Pressure]])</f>
        <v>254.97001876899779</v>
      </c>
      <c r="Z152" s="2">
        <f>Table83[[#This Row],[Weight]]-Table7[[#This Row],[Weight v Night Dia]]</f>
        <v>-0.97001876899778949</v>
      </c>
      <c r="AA152" s="2">
        <f>Table7[[#This Row],[WND Res]]^2</f>
        <v>0.94093641220798685</v>
      </c>
      <c r="AB152">
        <f>Regression!$K$10+(Regression!$K$9*Table83[[#This Row],[Night Pulse]])</f>
        <v>255.63227848976558</v>
      </c>
      <c r="AC152" s="2">
        <f>Table83[[#This Row],[Weight]]-Table7[[#This Row],[Weight v Night Pulse]]</f>
        <v>-1.6322784897655822</v>
      </c>
      <c r="AD152" s="2">
        <f>Table7[[#This Row],[WNP Res ]]^2</f>
        <v>2.6643330681514099</v>
      </c>
      <c r="AE152">
        <f>Regression!$L$10+(Regression!$L$9*Table83[[#This Row],[Sleep]])</f>
        <v>255.76797809412898</v>
      </c>
      <c r="AF152" s="2">
        <f>Table83[[#This Row],[Weight]]-Table7[[#This Row],[Weight v Sleep]]</f>
        <v>-1.7679780941289778</v>
      </c>
      <c r="AG152" s="2">
        <f>Table7[[#This Row],[WS Res]]^2</f>
        <v>3.1257465413199328</v>
      </c>
      <c r="AH152">
        <f>Regression!$M$10+(Regression!$M$9*Table83[[#This Row],[BMI]])</f>
        <v>254.0000000000025</v>
      </c>
      <c r="AI152" s="2">
        <f>Table83[[#This Row],[Weight]]-Table7[[#This Row],[Weight v BMI]]</f>
        <v>-2.5011104298755527E-12</v>
      </c>
      <c r="AJ152" s="2">
        <f>Table7[[#This Row],[WBMI Res]]^2</f>
        <v>6.2555533824322718E-24</v>
      </c>
      <c r="AK152">
        <f>Regression!$N$10+(Regression!$N$9*Table83[[#This Row],[CBF]])</f>
        <v>253.17965033701802</v>
      </c>
      <c r="AL152" s="2">
        <f>Table83[[#This Row],[Weight]]-Table7[[#This Row],[Weight v CBF]]</f>
        <v>0.82034966298198242</v>
      </c>
      <c r="AM152" s="2">
        <f>Table7[[#This Row],[WCBF Res]]^2</f>
        <v>0.67297356955465215</v>
      </c>
      <c r="AN152">
        <f>Regression!$O$10+(Regression!$O$9*Table83[[#This Row],[Gym]])</f>
        <v>254.72962962962998</v>
      </c>
      <c r="AO152" s="2">
        <f>Table83[[#This Row],[Weight]]-Table7[[#This Row],[Weight v Gym]]</f>
        <v>-0.7296296296299829</v>
      </c>
      <c r="AP152" s="2">
        <f>Table7[[#This Row],[WG Res]]^2</f>
        <v>0.532359396433986</v>
      </c>
      <c r="AQ152">
        <f>Regression!$P$10+(Regression!$P$9*Table83[[#This Row],[Cardio]])</f>
        <v>254.19242424242461</v>
      </c>
      <c r="AR152" s="2">
        <f>Table83[[#This Row],[Weight]]-Table7[[#This Row],[Weight v Cardio]]</f>
        <v>-0.19242424242460743</v>
      </c>
      <c r="AS152" s="2">
        <f>Table7[[#This Row],[WC Res]]^2</f>
        <v>3.7027089072684087E-2</v>
      </c>
      <c r="AT152">
        <f>Regression!$Q$10+(Regression!$Q$9*Table83[[#This Row],[Calories]])</f>
        <v>255.65551269370928</v>
      </c>
      <c r="AU152" s="2">
        <f>Table83[[#This Row],[Weight]]-Table7[[#This Row],[Weight v Calories]]</f>
        <v>-1.6555126937092837</v>
      </c>
      <c r="AV152" s="2">
        <f>Table7[[#This Row],[WCAL Res]]^2</f>
        <v>2.7407222790325685</v>
      </c>
      <c r="AW152">
        <f>Regression!$R$10+(Regression!$R$9*Table83[[#This Row],[Carbs]])</f>
        <v>255.59659240042333</v>
      </c>
      <c r="AX152" s="2">
        <f>Table83[[#This Row],[Weight]]-Table7[[#This Row],[Weight v Carbs]]</f>
        <v>-1.5965924004233329</v>
      </c>
      <c r="AY152" s="2">
        <f>Table7[[#This Row],[Wcarb Res]]^2</f>
        <v>2.5491072930895404</v>
      </c>
      <c r="AZ152">
        <f>Regression!$S$10+(Regression!$S$9*Table83[[#This Row],[Fat ]])</f>
        <v>255.46620049730569</v>
      </c>
      <c r="BA152" s="2">
        <f>Table83[[#This Row],[Weight]]-Table7[[#This Row],[Weight v Fat]]</f>
        <v>-1.4662004973056924</v>
      </c>
      <c r="BB152" s="2">
        <f>Table7[[#This Row],[WF Res]]^2</f>
        <v>2.1497438982994597</v>
      </c>
      <c r="BC152">
        <f>Regression!$T$10+(Regression!$T$9*Table83[[#This Row],[Protein]])</f>
        <v>256.08200911779994</v>
      </c>
      <c r="BD152" s="2">
        <f>Table83[[#This Row],[Weight]]-Table7[[#This Row],[Weight v Protein]]</f>
        <v>-2.0820091177999416</v>
      </c>
      <c r="BE152" s="2">
        <f>Table7[[#This Row],[WP Res]]^2</f>
        <v>4.3347619666020911</v>
      </c>
      <c r="BF152">
        <f>Regression!$U$10+(Regression!$U$9*Table83[[#This Row],[Fiber]])</f>
        <v>254.85071478697961</v>
      </c>
      <c r="BG152" s="2">
        <f>Table83[[#This Row],[Weight]]-Table7[[#This Row],[Weight v Fiber]]</f>
        <v>-0.85071478697960856</v>
      </c>
      <c r="BH152" s="2">
        <f>Table7[[#This Row],[Wfib Res]]^2</f>
        <v>0.72371564878576078</v>
      </c>
      <c r="BI152">
        <f>Regression!$V$10+(Regression!$V$9*Table83[[#This Row],[Sugar]])</f>
        <v>255.82316147956425</v>
      </c>
      <c r="BJ152" s="2">
        <f>Table83[[#This Row],[Weight]]-Table7[[#This Row],[Weight v Sugar]]</f>
        <v>-1.8231614795642486</v>
      </c>
      <c r="BK152" s="2">
        <f>Table7[[#This Row],[Wsugar Res]]^2</f>
        <v>3.3239177805668998</v>
      </c>
      <c r="BL152">
        <f>Regression!$W$10+(Regression!$W$9*Table83[[#This Row],[Servings]])</f>
        <v>255.13166305453205</v>
      </c>
      <c r="BM152" s="2">
        <f>Table83[[#This Row],[Weight]]-Table7[[#This Row],[Weight v Servings]]</f>
        <v>-1.131663054532055</v>
      </c>
      <c r="BN152" s="2">
        <f>Table7[[#This Row],[Wserv Res]]^2</f>
        <v>1.2806612689928207</v>
      </c>
      <c r="BO152">
        <f>Regression!$X$10+(Regression!$X$9*Table83[[#This Row],[Water]])</f>
        <v>255.0206340268538</v>
      </c>
      <c r="BP152" s="2">
        <f>Table83[[#This Row],[Weight]]-Table7[[#This Row],[Weight v Water]]</f>
        <v>-1.0206340268537986</v>
      </c>
      <c r="BQ152" s="2">
        <f>Table7[[#This Row],[Wwater Res]]^2</f>
        <v>1.0416938167718004</v>
      </c>
      <c r="BR152">
        <f>Regression!$Y$10+(Regression!$Y$9*Table83[[#This Row],[Fat Calories]])</f>
        <v>255.48390123232235</v>
      </c>
      <c r="BS152" s="2">
        <f>Table83[[#This Row],[Weight]]-Table7[[#This Row],[Weight v Fat Calories]]</f>
        <v>-1.4839012323223528</v>
      </c>
      <c r="BT152" s="2">
        <f>Table7[[#This Row],[WFC Res]]^2</f>
        <v>2.2019628672877976</v>
      </c>
      <c r="BU152">
        <f>Regression!$B$29+(Regression!$B$28*Table83[[#This Row],[Weight]])</f>
        <v>44.301601094408667</v>
      </c>
      <c r="BV152" s="2">
        <f>Table83[[#This Row],[Waist]]-Table7[[#This Row],[Waist v Weight]]</f>
        <v>-0.30160109440866734</v>
      </c>
      <c r="BW152" s="2">
        <f>Table7[[#This Row],[WaistW Res]]^2</f>
        <v>9.0963220148505872E-2</v>
      </c>
      <c r="BX152">
        <f>Regression!$C$29+(Regression!$C$28*Table83[[#This Row],[Neck]])</f>
        <v>44.175585585585594</v>
      </c>
      <c r="BY152" s="2">
        <f>Table83[[#This Row],[Waist]]-Table7[[#This Row],[Waist v Neck]]</f>
        <v>-0.17558558558559412</v>
      </c>
      <c r="BZ152" s="2">
        <f>Table7[[#This Row],[WaistN Res]]^2</f>
        <v>3.0830297865435997E-2</v>
      </c>
      <c r="CA152">
        <f>Regression!$D$29+(Regression!$D$28*Table83[[#This Row],[Morning Body Temp]])</f>
        <v>44.438451117581323</v>
      </c>
      <c r="CB152" s="2">
        <f>Table83[[#This Row],[Waist]]-Table7[[#This Row],[Waist v Morning Temp]]</f>
        <v>-0.43845111758132305</v>
      </c>
      <c r="CC152" s="2">
        <f>Table7[[#This Row],[WaistMT Res]]^2</f>
        <v>0.19223938250831116</v>
      </c>
      <c r="CD152">
        <f>Regression!$E$29+(Regression!$E$28*Table83[[#This Row],[Morning Systolic Pressure]])</f>
        <v>44.386342295939642</v>
      </c>
      <c r="CE152" s="2">
        <f>Table83[[#This Row],[Waist]]-Table7[[#This Row],[Waist v Morning Sys]]</f>
        <v>-0.38634229593964164</v>
      </c>
      <c r="CF152" s="2">
        <f>Table7[[#This Row],[WaistMS Res]]^2</f>
        <v>0.14926036963191364</v>
      </c>
      <c r="CG152">
        <f>Regression!$F$29+(Regression!$F$28*Table83[[#This Row],[Morning Diastolic Pressure]])</f>
        <v>44.469723530150823</v>
      </c>
      <c r="CH152" s="2">
        <f>Table83[[#This Row],[Waist]]-Table7[[#This Row],[Waist v Morning Dia]]</f>
        <v>-0.46972353015082291</v>
      </c>
      <c r="CI152" s="2">
        <f>Table7[[#This Row],[WaistMD Res]]^2</f>
        <v>0.22064019477735103</v>
      </c>
      <c r="CJ152">
        <f>Regression!$G$29+(Regression!$G$28*Table83[[#This Row],[Morning Pulse]])</f>
        <v>44.449539184638127</v>
      </c>
      <c r="CK152" s="2">
        <f>Table83[[#This Row],[Waist]]-Table7[[#This Row],[Waist v Morning Pulse]]</f>
        <v>-0.4495391846381267</v>
      </c>
      <c r="CL152" s="2">
        <f>Table7[[#This Row],[WaistMP Res]]^2</f>
        <v>0.20208547852511177</v>
      </c>
      <c r="CM152">
        <f>Regression!$H$29+(Regression!$H$28*Table83[[#This Row],[Night Body Temp]])</f>
        <v>44.554213964122695</v>
      </c>
      <c r="CN152" s="2">
        <f>Table83[[#This Row],[Waist]]-Table7[[#This Row],[Waist v Night Temp]]</f>
        <v>-0.5542139641226953</v>
      </c>
      <c r="CO152" s="2">
        <f>Table7[[#This Row],[WaistNT Res]]^2</f>
        <v>0.30715311802859219</v>
      </c>
      <c r="CP152">
        <f>Regression!$I$29+(Regression!$I$28*Table83[[#This Row],[Night Systolic Pressure]])</f>
        <v>44.427419086653984</v>
      </c>
      <c r="CQ152" s="2">
        <f>Table83[[#This Row],[Waist]]-Table7[[#This Row],[Waist v  Night Sys]]</f>
        <v>-0.42741908665398398</v>
      </c>
      <c r="CR152" s="2">
        <f>Table7[[#This Row],[WaistNS Res]]^2</f>
        <v>0.18268707563612588</v>
      </c>
      <c r="CS152">
        <f>Regression!$J$29+(Regression!$J$28*Table83[[#This Row],[Night Diastolic Pressure]])</f>
        <v>44.392820230323963</v>
      </c>
      <c r="CT152" s="2">
        <f>Table83[[#This Row],[Waist]]-Table7[[#This Row],[Waist v Night Dia]]</f>
        <v>-0.39282023032396296</v>
      </c>
      <c r="CU152" s="2">
        <f>Table7[[#This Row],[WaistND Res]]^2</f>
        <v>0.15430773335177131</v>
      </c>
      <c r="CV152">
        <f>Regression!$K$29+(Regression!$K$28*Table83[[#This Row],[Night Pulse]])</f>
        <v>44.405430192656937</v>
      </c>
      <c r="CW152" s="2">
        <f>Table83[[#This Row],[Waist]]-Table7[[#This Row],[Waist v Night Pulse]]</f>
        <v>-0.40543019265693658</v>
      </c>
      <c r="CX152" s="2">
        <f>Table7[[#This Row],[WaistNP Res]]^2</f>
        <v>0.16437364111784072</v>
      </c>
      <c r="CY152">
        <f>Regression!$L$29+(Regression!$L$28*Table83[[#This Row],[Sleep]])</f>
        <v>44.553089788849412</v>
      </c>
      <c r="CZ152" s="2">
        <f>Table83[[#This Row],[Waist]]-Table7[[#This Row],[Waist v  Sleep]]</f>
        <v>-0.5530897888494124</v>
      </c>
      <c r="DA152" s="2">
        <f>Table7[[#This Row],[WaistS Res]]^2</f>
        <v>0.30590831452948758</v>
      </c>
      <c r="DB152">
        <f>Regression!$M$29+(Regression!$M$28*Table83[[#This Row],[BMI]])</f>
        <v>44.301601094409143</v>
      </c>
      <c r="DC152" s="2">
        <f>Table83[[#This Row],[Waist]]-Table7[[#This Row],[Waist v BMI]]</f>
        <v>-0.3016010944091434</v>
      </c>
      <c r="DD152" s="2">
        <f>Table7[[#This Row],[WaistBMI Res]]^2</f>
        <v>9.0963220148793031E-2</v>
      </c>
      <c r="DE152">
        <f>Regression!$N$29+(Regression!$N$28*Table83[[#This Row],[CBF]])</f>
        <v>44.105031770433015</v>
      </c>
      <c r="DF152" s="2">
        <f>Table83[[#This Row],[Waist]]-Table7[[#This Row],[Waist v  CBF]]</f>
        <v>-0.10503177043301548</v>
      </c>
      <c r="DG152" s="2">
        <f>Table7[[#This Row],[WaistCBF Res]]^2</f>
        <v>1.1031672800293666E-2</v>
      </c>
      <c r="DH152">
        <f>Regression!$O$29+(Regression!$O$28*Table83[[#This Row],[Gym]])</f>
        <v>44.347222222222221</v>
      </c>
      <c r="DI152" s="2">
        <f>Table83[[#This Row],[Waist]]-Table7[[#This Row],[Waist v  Gym]]</f>
        <v>-0.34722222222222143</v>
      </c>
      <c r="DJ152" s="2">
        <f>Table7[[#This Row],[WaistGYM Res]]^2</f>
        <v>0.12056327160493772</v>
      </c>
      <c r="DK152">
        <f>Regression!$P$29+(Regression!$P$28*Table83[[#This Row],[Cardio]])</f>
        <v>44.291666666666664</v>
      </c>
      <c r="DL152" s="2">
        <f>Table83[[#This Row],[Waist]]-Table7[[#This Row],[Waist v Cardio]]</f>
        <v>-0.2916666666666643</v>
      </c>
      <c r="DM152" s="2">
        <f>Table7[[#This Row],[WaistC Res]]^2</f>
        <v>8.506944444444306E-2</v>
      </c>
      <c r="DN152">
        <f>Regression!$Q$29+(Regression!$Q$28*Table83[[#This Row],[Calories]])</f>
        <v>44.574971095399476</v>
      </c>
      <c r="DO152" s="2">
        <f>Table83[[#This Row],[Waist]]-Table7[[#This Row],[Waist v Calories]]</f>
        <v>-0.57497109539947644</v>
      </c>
      <c r="DP152" s="2">
        <f>Table7[[#This Row],[WaistCal Res]]^2</f>
        <v>0.33059176054487383</v>
      </c>
      <c r="DQ152">
        <f>Regression!$R$29+(Regression!$R$28*Table83[[#This Row],[Carbs]])</f>
        <v>44.553795199502403</v>
      </c>
      <c r="DR152" s="2">
        <f>Table83[[#This Row],[Waist]]-Table7[[#This Row],[Waist v Carbs]]</f>
        <v>-0.55379519950240308</v>
      </c>
      <c r="DS152" s="2">
        <f>Table7[[#This Row],[WaistCarb Res]]^2</f>
        <v>0.30668912299190643</v>
      </c>
      <c r="DT152">
        <f>Regression!$S$29+(Regression!$S$28*Table83[[#This Row],[Fat ]])</f>
        <v>44.560880857068511</v>
      </c>
      <c r="DU152" s="2">
        <f>Table83[[#This Row],[Waist]]-Table7[[#This Row],[Waist v Fat]]</f>
        <v>-0.56088085706851132</v>
      </c>
      <c r="DV152" s="2">
        <f>Table7[[#This Row],[WaistF Res]]^2</f>
        <v>0.31458733582590781</v>
      </c>
      <c r="DW152">
        <f>Regression!$T$29+(Regression!$T$28*Table83[[#This Row],[Protein]])</f>
        <v>44.630530313534905</v>
      </c>
      <c r="DX152" s="2">
        <f>Table83[[#This Row],[Waist]]-Table7[[#This Row],[Waist v Protein]]</f>
        <v>-0.63053031353490496</v>
      </c>
      <c r="DY152" s="2">
        <f>Table7[[#This Row],[WaistP Res]]^2</f>
        <v>0.39756847628642555</v>
      </c>
      <c r="DZ152">
        <f>Regression!$U$29+(Regression!$U$28*Table83[[#This Row],[Fiber]])</f>
        <v>44.351545669843837</v>
      </c>
      <c r="EA152" s="2">
        <f>Table83[[#This Row],[Waist]]-Table7[[#This Row],[Waist v Fiber]]</f>
        <v>-0.35154566984383706</v>
      </c>
      <c r="EB152" s="2">
        <f>Table7[[#This Row],[WaistFib Res]]^2</f>
        <v>0.12358435798595209</v>
      </c>
      <c r="EC152">
        <f>Regression!$V$29+(Regression!$V$28*Table83[[#This Row],[Sugar]])</f>
        <v>44.58074518604694</v>
      </c>
      <c r="ED152" s="2">
        <f>Table83[[#This Row],[Waist]]-Table7[[#This Row],[Waist v Sugar]]</f>
        <v>-0.58074518604693992</v>
      </c>
      <c r="EE152" s="2">
        <f>Table7[[#This Row],[WaistSugar Res]]^2</f>
        <v>0.33726497111669484</v>
      </c>
      <c r="EF152">
        <f>Regression!$W$29+(Regression!$W$28*Table83[[#This Row],[Servings]])</f>
        <v>44.456075576048775</v>
      </c>
      <c r="EG152" s="2">
        <f>Table83[[#This Row],[Waist]]-Table7[[#This Row],[Waist v Servings]]</f>
        <v>-0.45607557604877513</v>
      </c>
      <c r="EH152" s="2">
        <f>Table7[[#This Row],[WaistServ Res]]^2</f>
        <v>0.20800493106822207</v>
      </c>
      <c r="EI152">
        <f>Regression!$X$29+(Regression!$X$28*Table83[[#This Row],[Water]])</f>
        <v>44.33031459742935</v>
      </c>
      <c r="EJ152" s="2">
        <f>Table83[[#This Row],[Waist]]-Table7[[#This Row],[Waist v Water]]</f>
        <v>-0.33031459742934999</v>
      </c>
      <c r="EK152" s="2">
        <f>Table7[[#This Row],[WaistWat Res]]^2</f>
        <v>0.10910773327491355</v>
      </c>
      <c r="EL152">
        <f>Regression!$Y$29+(Regression!$Y$28*Table83[[#This Row],[Fat Calories]])</f>
        <v>44.565719843154056</v>
      </c>
      <c r="EM152" s="2">
        <f>Table83[[#This Row],[Waist]]-Table7[[#This Row],[Waist v Fat Calories]]</f>
        <v>-0.56571984315405643</v>
      </c>
      <c r="EN152" s="2">
        <f>Table7[[#This Row],[WaistFatCal Res]]^2</f>
        <v>0.32003894093825019</v>
      </c>
    </row>
    <row r="153" spans="1:144" x14ac:dyDescent="0.25">
      <c r="A153">
        <f>Regression!$B$10+(Regression!$B$9*Table83[[#This Row],[Waist]])</f>
        <v>252.52625917894264</v>
      </c>
      <c r="B153" s="2">
        <f>Table83[[#This Row],[Weight]]-Table7[[#This Row],[Weight v Waist]]</f>
        <v>0.47374082105736193</v>
      </c>
      <c r="C153" s="2">
        <f>Table7[[#This Row],[Weight v Waist Res]]^2</f>
        <v>0.2244303655361034</v>
      </c>
      <c r="D153">
        <f>Regression!$C$10+(Regression!$C$9*Table83[[#This Row],[Neck]])</f>
        <v>253.29286486487842</v>
      </c>
      <c r="E153" s="2">
        <f>Table83[[#This Row],[Weight]]-Table7[[#This Row],[Weight v Neck]]</f>
        <v>-0.29286486487842467</v>
      </c>
      <c r="F153" s="2">
        <f>Table7[[#This Row],[WN Res]]^2</f>
        <v>8.5769829080257945E-2</v>
      </c>
      <c r="G153">
        <f>Regression!$D$10+(Regression!$D$9*Table83[[#This Row],[Morning Body Temp]])</f>
        <v>253.44039970196991</v>
      </c>
      <c r="H153" s="2">
        <f>Table83[[#This Row],[Weight]]-Table7[[#This Row],[Weight v Morning Temp]]</f>
        <v>-0.44039970196990907</v>
      </c>
      <c r="I153" s="2">
        <f>Table7[[#This Row],[WMT Res]]^2</f>
        <v>0.19395189749518474</v>
      </c>
      <c r="J153">
        <f>Regression!$E$10+(Regression!$E$9*Table83[[#This Row],[Morning Systolic Pressure]])</f>
        <v>255.46010425966242</v>
      </c>
      <c r="K153" s="2">
        <f>Table83[[#This Row],[Weight]]-Table7[[#This Row],[Weight v Morning Sys]]</f>
        <v>-2.4601042596624154</v>
      </c>
      <c r="L153" s="2">
        <f>Table7[[#This Row],[WMS Res]]^2</f>
        <v>6.052112968409161</v>
      </c>
      <c r="M153">
        <f>Regression!$F$10+(Regression!$F$9*Table83[[#This Row],[Morning Diastolic Pressure]])</f>
        <v>254.8993513991569</v>
      </c>
      <c r="N153" s="2">
        <f>Table83[[#This Row],[Weight]]-Table7[[#This Row],[Weight v Morning Dia]]</f>
        <v>-1.8993513991568989</v>
      </c>
      <c r="O153" s="2">
        <f>Table7[[#This Row],[WMD Res]]^2</f>
        <v>3.6075357374792696</v>
      </c>
      <c r="P153">
        <f>Regression!$G$10+(Regression!$G$9*Table83[[#This Row],[Morning Pulse]])</f>
        <v>255.09536713682655</v>
      </c>
      <c r="Q153" s="2">
        <f>Table83[[#This Row],[Weight]]-Table7[[#This Row],[Weight v Morning Pulse]]</f>
        <v>-2.0953671368265532</v>
      </c>
      <c r="R153" s="2">
        <f>Table7[[#This Row],[WMP Res]]^2</f>
        <v>4.3905634380927072</v>
      </c>
      <c r="S153">
        <f>Regression!$H$10+(Regression!$H$9*Table83[[#This Row],[Night Body Temp]])</f>
        <v>255.98114895282362</v>
      </c>
      <c r="T153" s="2">
        <f>Table83[[#This Row],[Weight]]-Table7[[#This Row],[Weight v Night Temp]]</f>
        <v>-2.9811489528236166</v>
      </c>
      <c r="U153" s="2">
        <f>Table7[[#This Row],[WNT Res]]^2</f>
        <v>8.8872490789213465</v>
      </c>
      <c r="V153">
        <f>Regression!$I$10+(Regression!$I$9*Table83[[#This Row],[Night Systolic Pressure]])</f>
        <v>255.44387106122414</v>
      </c>
      <c r="W153" s="2">
        <f>Table83[[#This Row],[Weight]]-Table7[[#This Row],[Weight v Night Sys]]</f>
        <v>-2.4438710612241437</v>
      </c>
      <c r="X153" s="2">
        <f>Table7[[#This Row],[WNS Res]]^2</f>
        <v>5.9725057638888224</v>
      </c>
      <c r="Y153">
        <f>Regression!$J$10+(Regression!$J$9*Table83[[#This Row],[Night Diastolic Pressure]])</f>
        <v>255.09231637424611</v>
      </c>
      <c r="Z153" s="2">
        <f>Table83[[#This Row],[Weight]]-Table7[[#This Row],[Weight v Night Dia]]</f>
        <v>-2.0923163742461099</v>
      </c>
      <c r="AA153" s="2">
        <f>Table7[[#This Row],[WND Res]]^2</f>
        <v>4.377787809938388</v>
      </c>
      <c r="AB153">
        <f>Regression!$K$10+(Regression!$K$9*Table83[[#This Row],[Night Pulse]])</f>
        <v>255.54013849605542</v>
      </c>
      <c r="AC153" s="2">
        <f>Table83[[#This Row],[Weight]]-Table7[[#This Row],[Weight v Night Pulse]]</f>
        <v>-2.5401384960554196</v>
      </c>
      <c r="AD153" s="2">
        <f>Table7[[#This Row],[WNP Res ]]^2</f>
        <v>6.452303579142689</v>
      </c>
      <c r="AE153">
        <f>Regression!$L$10+(Regression!$L$9*Table83[[#This Row],[Sleep]])</f>
        <v>255.13702972738133</v>
      </c>
      <c r="AF153" s="2">
        <f>Table83[[#This Row],[Weight]]-Table7[[#This Row],[Weight v Sleep]]</f>
        <v>-2.1370297273813321</v>
      </c>
      <c r="AG153" s="2">
        <f>Table7[[#This Row],[WS Res]]^2</f>
        <v>4.5668960557115303</v>
      </c>
      <c r="AH153">
        <f>Regression!$M$10+(Regression!$M$9*Table83[[#This Row],[BMI]])</f>
        <v>253.00000000000475</v>
      </c>
      <c r="AI153" s="2">
        <f>Table83[[#This Row],[Weight]]-Table7[[#This Row],[Weight v BMI]]</f>
        <v>-4.7464254748774692E-12</v>
      </c>
      <c r="AJ153" s="2">
        <f>Table7[[#This Row],[WBMI Res]]^2</f>
        <v>2.2528554788565809E-23</v>
      </c>
      <c r="AK153">
        <f>Regression!$N$10+(Regression!$N$9*Table83[[#This Row],[CBF]])</f>
        <v>253.17965033701802</v>
      </c>
      <c r="AL153" s="2">
        <f>Table83[[#This Row],[Weight]]-Table7[[#This Row],[Weight v CBF]]</f>
        <v>-0.17965033701801758</v>
      </c>
      <c r="AM153" s="2">
        <f>Table7[[#This Row],[WCBF Res]]^2</f>
        <v>3.2274243590687299E-2</v>
      </c>
      <c r="AN153">
        <f>Regression!$O$10+(Regression!$O$9*Table83[[#This Row],[Gym]])</f>
        <v>254.72962962962998</v>
      </c>
      <c r="AO153" s="2">
        <f>Table83[[#This Row],[Weight]]-Table7[[#This Row],[Weight v Gym]]</f>
        <v>-1.7296296296299829</v>
      </c>
      <c r="AP153" s="2">
        <f>Table7[[#This Row],[WG Res]]^2</f>
        <v>2.9916186556939519</v>
      </c>
      <c r="AQ153">
        <f>Regression!$P$10+(Regression!$P$9*Table83[[#This Row],[Cardio]])</f>
        <v>254.19242424242461</v>
      </c>
      <c r="AR153" s="2">
        <f>Table83[[#This Row],[Weight]]-Table7[[#This Row],[Weight v Cardio]]</f>
        <v>-1.1924242424246074</v>
      </c>
      <c r="AS153" s="2">
        <f>Table7[[#This Row],[WC Res]]^2</f>
        <v>1.4218755739218989</v>
      </c>
      <c r="AT153">
        <f>Regression!$Q$10+(Regression!$Q$9*Table83[[#This Row],[Calories]])</f>
        <v>253.93449538696547</v>
      </c>
      <c r="AU153" s="2">
        <f>Table83[[#This Row],[Weight]]-Table7[[#This Row],[Weight v Calories]]</f>
        <v>-0.93449538696546597</v>
      </c>
      <c r="AV153" s="2">
        <f>Table7[[#This Row],[WCAL Res]]^2</f>
        <v>0.87328162825973599</v>
      </c>
      <c r="AW153">
        <f>Regression!$R$10+(Regression!$R$9*Table83[[#This Row],[Carbs]])</f>
        <v>253.74451106110527</v>
      </c>
      <c r="AX153" s="2">
        <f>Table83[[#This Row],[Weight]]-Table7[[#This Row],[Weight v Carbs]]</f>
        <v>-0.74451106110527121</v>
      </c>
      <c r="AY153" s="2">
        <f>Table7[[#This Row],[Wcarb Res]]^2</f>
        <v>0.55429672010809683</v>
      </c>
      <c r="AZ153">
        <f>Regression!$S$10+(Regression!$S$9*Table83[[#This Row],[Fat ]])</f>
        <v>254.4458823314088</v>
      </c>
      <c r="BA153" s="2">
        <f>Table83[[#This Row],[Weight]]-Table7[[#This Row],[Weight v Fat]]</f>
        <v>-1.4458823314087965</v>
      </c>
      <c r="BB153" s="2">
        <f>Table7[[#This Row],[WF Res]]^2</f>
        <v>2.0905757162801368</v>
      </c>
      <c r="BC153">
        <f>Regression!$T$10+(Regression!$T$9*Table83[[#This Row],[Protein]])</f>
        <v>254.37297515860828</v>
      </c>
      <c r="BD153" s="2">
        <f>Table83[[#This Row],[Weight]]-Table7[[#This Row],[Weight v Protein]]</f>
        <v>-1.3729751586082841</v>
      </c>
      <c r="BE153" s="2">
        <f>Table7[[#This Row],[WP Res]]^2</f>
        <v>1.8850607861554429</v>
      </c>
      <c r="BF153">
        <f>Regression!$U$10+(Regression!$U$9*Table83[[#This Row],[Fiber]])</f>
        <v>254.94237257081036</v>
      </c>
      <c r="BG153" s="2">
        <f>Table83[[#This Row],[Weight]]-Table7[[#This Row],[Weight v Fiber]]</f>
        <v>-1.9423725708103632</v>
      </c>
      <c r="BH153" s="2">
        <f>Table7[[#This Row],[Wfib Res]]^2</f>
        <v>3.7728112038364592</v>
      </c>
      <c r="BI153">
        <f>Regression!$V$10+(Regression!$V$9*Table83[[#This Row],[Sugar]])</f>
        <v>253.05772302186153</v>
      </c>
      <c r="BJ153" s="2">
        <f>Table83[[#This Row],[Weight]]-Table7[[#This Row],[Weight v Sugar]]</f>
        <v>-5.7723021861534107E-2</v>
      </c>
      <c r="BK153" s="2">
        <f>Table7[[#This Row],[Wsugar Res]]^2</f>
        <v>3.3319472528271447E-3</v>
      </c>
      <c r="BL153">
        <f>Regression!$W$10+(Regression!$W$9*Table83[[#This Row],[Servings]])</f>
        <v>252.33474824993618</v>
      </c>
      <c r="BM153" s="2">
        <f>Table83[[#This Row],[Weight]]-Table7[[#This Row],[Weight v Servings]]</f>
        <v>0.66525175006381687</v>
      </c>
      <c r="BN153" s="2">
        <f>Table7[[#This Row],[Wserv Res]]^2</f>
        <v>0.44255989096297105</v>
      </c>
      <c r="BO153">
        <f>Regression!$X$10+(Regression!$X$9*Table83[[#This Row],[Water]])</f>
        <v>255.0206340268538</v>
      </c>
      <c r="BP153" s="2">
        <f>Table83[[#This Row],[Weight]]-Table7[[#This Row],[Weight v Water]]</f>
        <v>-2.0206340268537986</v>
      </c>
      <c r="BQ153" s="2">
        <f>Table7[[#This Row],[Wwater Res]]^2</f>
        <v>4.082961870479398</v>
      </c>
      <c r="BR153">
        <f>Regression!$Y$10+(Regression!$Y$9*Table83[[#This Row],[Fat Calories]])</f>
        <v>254.3980260237322</v>
      </c>
      <c r="BS153" s="2">
        <f>Table83[[#This Row],[Weight]]-Table7[[#This Row],[Weight v Fat Calories]]</f>
        <v>-1.3980260237322</v>
      </c>
      <c r="BT153" s="2">
        <f>Table7[[#This Row],[WFC Res]]^2</f>
        <v>1.9544767630324658</v>
      </c>
      <c r="BU153">
        <f>Regression!$B$29+(Regression!$B$28*Table83[[#This Row],[Weight]])</f>
        <v>44.165338583838682</v>
      </c>
      <c r="BV153" s="2">
        <f>Table83[[#This Row],[Waist]]-Table7[[#This Row],[Waist v Weight]]</f>
        <v>-0.1653385838386825</v>
      </c>
      <c r="BW153" s="2">
        <f>Table7[[#This Row],[WaistW Res]]^2</f>
        <v>2.733684730578104E-2</v>
      </c>
      <c r="BX153">
        <f>Regression!$C$29+(Regression!$C$28*Table83[[#This Row],[Neck]])</f>
        <v>44.175585585585594</v>
      </c>
      <c r="BY153" s="2">
        <f>Table83[[#This Row],[Waist]]-Table7[[#This Row],[Waist v Neck]]</f>
        <v>-0.17558558558559412</v>
      </c>
      <c r="BZ153" s="2">
        <f>Table7[[#This Row],[WaistN Res]]^2</f>
        <v>3.0830297865435997E-2</v>
      </c>
      <c r="CA153">
        <f>Regression!$D$29+(Regression!$D$28*Table83[[#This Row],[Morning Body Temp]])</f>
        <v>43.998074414536134</v>
      </c>
      <c r="CB153" s="2">
        <f>Table83[[#This Row],[Waist]]-Table7[[#This Row],[Waist v Morning Temp]]</f>
        <v>1.9255854638657866E-3</v>
      </c>
      <c r="CC153" s="2">
        <f>Table7[[#This Row],[WaistMT Res]]^2</f>
        <v>3.7078793786512163E-6</v>
      </c>
      <c r="CD153">
        <f>Regression!$E$29+(Regression!$E$28*Table83[[#This Row],[Morning Systolic Pressure]])</f>
        <v>44.534607969333621</v>
      </c>
      <c r="CE153" s="2">
        <f>Table83[[#This Row],[Waist]]-Table7[[#This Row],[Waist v Morning Sys]]</f>
        <v>-0.53460796933362076</v>
      </c>
      <c r="CF153" s="2">
        <f>Table7[[#This Row],[WaistMS Res]]^2</f>
        <v>0.28580568087501762</v>
      </c>
      <c r="CG153">
        <f>Regression!$F$29+(Regression!$F$28*Table83[[#This Row],[Morning Diastolic Pressure]])</f>
        <v>44.441545426806556</v>
      </c>
      <c r="CH153" s="2">
        <f>Table83[[#This Row],[Waist]]-Table7[[#This Row],[Waist v Morning Dia]]</f>
        <v>-0.44154542680655595</v>
      </c>
      <c r="CI153" s="2">
        <f>Table7[[#This Row],[WaistMD Res]]^2</f>
        <v>0.19496236393378366</v>
      </c>
      <c r="CJ153">
        <f>Regression!$G$29+(Regression!$G$28*Table83[[#This Row],[Morning Pulse]])</f>
        <v>44.444502169196447</v>
      </c>
      <c r="CK153" s="2">
        <f>Table83[[#This Row],[Waist]]-Table7[[#This Row],[Waist v Morning Pulse]]</f>
        <v>-0.44450216919644703</v>
      </c>
      <c r="CL153" s="2">
        <f>Table7[[#This Row],[WaistMP Res]]^2</f>
        <v>0.19758217842034681</v>
      </c>
      <c r="CM153">
        <f>Regression!$H$29+(Regression!$H$28*Table83[[#This Row],[Night Body Temp]])</f>
        <v>44.521826268903155</v>
      </c>
      <c r="CN153" s="2">
        <f>Table83[[#This Row],[Waist]]-Table7[[#This Row],[Waist v Night Temp]]</f>
        <v>-0.52182626890315476</v>
      </c>
      <c r="CO153" s="2">
        <f>Table7[[#This Row],[WaistNT Res]]^2</f>
        <v>0.27230265491738759</v>
      </c>
      <c r="CP153">
        <f>Regression!$I$29+(Regression!$I$28*Table83[[#This Row],[Night Systolic Pressure]])</f>
        <v>44.500119658282053</v>
      </c>
      <c r="CQ153" s="2">
        <f>Table83[[#This Row],[Waist]]-Table7[[#This Row],[Waist v  Night Sys]]</f>
        <v>-0.50011965828205263</v>
      </c>
      <c r="CR153" s="2">
        <f>Table7[[#This Row],[WaistNS Res]]^2</f>
        <v>0.25011967260015711</v>
      </c>
      <c r="CS153">
        <f>Regression!$J$29+(Regression!$J$28*Table83[[#This Row],[Night Diastolic Pressure]])</f>
        <v>44.444024065946287</v>
      </c>
      <c r="CT153" s="2">
        <f>Table83[[#This Row],[Waist]]-Table7[[#This Row],[Waist v Night Dia]]</f>
        <v>-0.44402406594628729</v>
      </c>
      <c r="CU153" s="2">
        <f>Table7[[#This Row],[WaistND Res]]^2</f>
        <v>0.19715737113947288</v>
      </c>
      <c r="CV153">
        <f>Regression!$K$29+(Regression!$K$28*Table83[[#This Row],[Night Pulse]])</f>
        <v>44.414000431589827</v>
      </c>
      <c r="CW153" s="2">
        <f>Table83[[#This Row],[Waist]]-Table7[[#This Row],[Waist v Night Pulse]]</f>
        <v>-0.41400043158982669</v>
      </c>
      <c r="CX153" s="2">
        <f>Table7[[#This Row],[WaistNP Res]]^2</f>
        <v>0.17139635735656278</v>
      </c>
      <c r="CY153">
        <f>Regression!$L$29+(Regression!$L$28*Table83[[#This Row],[Sleep]])</f>
        <v>44.456891852858099</v>
      </c>
      <c r="CZ153" s="2">
        <f>Table83[[#This Row],[Waist]]-Table7[[#This Row],[Waist v  Sleep]]</f>
        <v>-0.45689185285809941</v>
      </c>
      <c r="DA153" s="2">
        <f>Table7[[#This Row],[WaistS Res]]^2</f>
        <v>0.20875016520810716</v>
      </c>
      <c r="DB153">
        <f>Regression!$M$29+(Regression!$M$28*Table83[[#This Row],[BMI]])</f>
        <v>44.165338583839599</v>
      </c>
      <c r="DC153" s="2">
        <f>Table83[[#This Row],[Waist]]-Table7[[#This Row],[Waist v BMI]]</f>
        <v>-0.1653385838395991</v>
      </c>
      <c r="DD153" s="2">
        <f>Table7[[#This Row],[WaistBMI Res]]^2</f>
        <v>2.7336847306084138E-2</v>
      </c>
      <c r="DE153">
        <f>Regression!$N$29+(Regression!$N$28*Table83[[#This Row],[CBF]])</f>
        <v>44.105031770433015</v>
      </c>
      <c r="DF153" s="2">
        <f>Table83[[#This Row],[Waist]]-Table7[[#This Row],[Waist v  CBF]]</f>
        <v>-0.10503177043301548</v>
      </c>
      <c r="DG153" s="2">
        <f>Table7[[#This Row],[WaistCBF Res]]^2</f>
        <v>1.1031672800293666E-2</v>
      </c>
      <c r="DH153">
        <f>Regression!$O$29+(Regression!$O$28*Table83[[#This Row],[Gym]])</f>
        <v>44.347222222222221</v>
      </c>
      <c r="DI153" s="2">
        <f>Table83[[#This Row],[Waist]]-Table7[[#This Row],[Waist v  Gym]]</f>
        <v>-0.34722222222222143</v>
      </c>
      <c r="DJ153" s="2">
        <f>Table7[[#This Row],[WaistGYM Res]]^2</f>
        <v>0.12056327160493772</v>
      </c>
      <c r="DK153">
        <f>Regression!$P$29+(Regression!$P$28*Table83[[#This Row],[Cardio]])</f>
        <v>44.291666666666664</v>
      </c>
      <c r="DL153" s="2">
        <f>Table83[[#This Row],[Waist]]-Table7[[#This Row],[Waist v Cardio]]</f>
        <v>-0.2916666666666643</v>
      </c>
      <c r="DM153" s="2">
        <f>Table7[[#This Row],[WaistC Res]]^2</f>
        <v>8.506944444444306E-2</v>
      </c>
      <c r="DN153">
        <f>Regression!$Q$29+(Regression!$Q$28*Table83[[#This Row],[Calories]])</f>
        <v>44.188296678157826</v>
      </c>
      <c r="DO153" s="2">
        <f>Table83[[#This Row],[Waist]]-Table7[[#This Row],[Waist v Calories]]</f>
        <v>-0.18829667815782614</v>
      </c>
      <c r="DP153" s="2">
        <f>Table7[[#This Row],[WaistCal Res]]^2</f>
        <v>3.5455639005271961E-2</v>
      </c>
      <c r="DQ153">
        <f>Regression!$R$29+(Regression!$R$28*Table83[[#This Row],[Carbs]])</f>
        <v>44.168203206357425</v>
      </c>
      <c r="DR153" s="2">
        <f>Table83[[#This Row],[Waist]]-Table7[[#This Row],[Waist v Carbs]]</f>
        <v>-0.16820320635742547</v>
      </c>
      <c r="DS153" s="2">
        <f>Table7[[#This Row],[WaistCarb Res]]^2</f>
        <v>2.8292318628918657E-2</v>
      </c>
      <c r="DT153">
        <f>Regression!$S$29+(Regression!$S$28*Table83[[#This Row],[Fat ]])</f>
        <v>44.248991186451512</v>
      </c>
      <c r="DU153" s="2">
        <f>Table83[[#This Row],[Waist]]-Table7[[#This Row],[Waist v Fat]]</f>
        <v>-0.24899118645151219</v>
      </c>
      <c r="DV153" s="2">
        <f>Table7[[#This Row],[WaistF Res]]^2</f>
        <v>6.1996610930531708E-2</v>
      </c>
      <c r="DW153">
        <f>Regression!$T$29+(Regression!$T$28*Table83[[#This Row],[Protein]])</f>
        <v>44.317713614455421</v>
      </c>
      <c r="DX153" s="2">
        <f>Table83[[#This Row],[Waist]]-Table7[[#This Row],[Waist v Protein]]</f>
        <v>-0.31771361445542112</v>
      </c>
      <c r="DY153" s="2">
        <f>Table7[[#This Row],[WaistP Res]]^2</f>
        <v>0.10094194081032798</v>
      </c>
      <c r="DZ153">
        <f>Regression!$U$29+(Regression!$U$28*Table83[[#This Row],[Fiber]])</f>
        <v>44.386912737949736</v>
      </c>
      <c r="EA153" s="2">
        <f>Table83[[#This Row],[Waist]]-Table7[[#This Row],[Waist v Fiber]]</f>
        <v>-0.38691273794973569</v>
      </c>
      <c r="EB153" s="2">
        <f>Table7[[#This Row],[WaistFib Res]]^2</f>
        <v>0.14970146678776083</v>
      </c>
      <c r="EC153">
        <f>Regression!$V$29+(Regression!$V$28*Table83[[#This Row],[Sugar]])</f>
        <v>44.083965010130207</v>
      </c>
      <c r="ED153" s="2">
        <f>Table83[[#This Row],[Waist]]-Table7[[#This Row],[Waist v Sugar]]</f>
        <v>-8.3965010130206963E-2</v>
      </c>
      <c r="EE153" s="2">
        <f>Table7[[#This Row],[WaistSugar Res]]^2</f>
        <v>7.0501229261657576E-3</v>
      </c>
      <c r="EF153">
        <f>Regression!$W$29+(Regression!$W$28*Table83[[#This Row],[Servings]])</f>
        <v>44.029312973455113</v>
      </c>
      <c r="EG153" s="2">
        <f>Table83[[#This Row],[Waist]]-Table7[[#This Row],[Waist v Servings]]</f>
        <v>-2.9312973455112967E-2</v>
      </c>
      <c r="EH153" s="2">
        <f>Table7[[#This Row],[WaistServ Res]]^2</f>
        <v>8.5925041278015748E-4</v>
      </c>
      <c r="EI153">
        <f>Regression!$X$29+(Regression!$X$28*Table83[[#This Row],[Water]])</f>
        <v>44.33031459742935</v>
      </c>
      <c r="EJ153" s="2">
        <f>Table83[[#This Row],[Waist]]-Table7[[#This Row],[Waist v Water]]</f>
        <v>-0.33031459742934999</v>
      </c>
      <c r="EK153" s="2">
        <f>Table7[[#This Row],[WaistWat Res]]^2</f>
        <v>0.10910773327491355</v>
      </c>
      <c r="EL153">
        <f>Regression!$Y$29+(Regression!$Y$28*Table83[[#This Row],[Fat Calories]])</f>
        <v>44.235473954144965</v>
      </c>
      <c r="EM153" s="2">
        <f>Table83[[#This Row],[Waist]]-Table7[[#This Row],[Waist v Fat Calories]]</f>
        <v>-0.23547395414496464</v>
      </c>
      <c r="EN153" s="2">
        <f>Table7[[#This Row],[WaistFatCal Res]]^2</f>
        <v>5.5447983080664912E-2</v>
      </c>
    </row>
    <row r="154" spans="1:144" x14ac:dyDescent="0.25">
      <c r="A154">
        <f>Regression!$B$10+(Regression!$B$9*Table83[[#This Row],[Waist]])</f>
        <v>252.52625917894264</v>
      </c>
      <c r="B154" s="2">
        <f>Table83[[#This Row],[Weight]]-Table7[[#This Row],[Weight v Waist]]</f>
        <v>-0.7262591789426267</v>
      </c>
      <c r="C154" s="2">
        <f>Table7[[#This Row],[Weight v Waist Res]]^2</f>
        <v>0.52745239499841823</v>
      </c>
      <c r="D154">
        <f>Regression!$C$10+(Regression!$C$9*Table83[[#This Row],[Neck]])</f>
        <v>253.29286486487842</v>
      </c>
      <c r="E154" s="2">
        <f>Table83[[#This Row],[Weight]]-Table7[[#This Row],[Weight v Neck]]</f>
        <v>-1.4928648648784133</v>
      </c>
      <c r="F154" s="2">
        <f>Table7[[#This Row],[WN Res]]^2</f>
        <v>2.2286455047884433</v>
      </c>
      <c r="G154">
        <f>Regression!$D$10+(Regression!$D$9*Table83[[#This Row],[Morning Body Temp]])</f>
        <v>255.20036355752904</v>
      </c>
      <c r="H154" s="2">
        <f>Table83[[#This Row],[Weight]]-Table7[[#This Row],[Weight v Morning Temp]]</f>
        <v>-3.4003635575290332</v>
      </c>
      <c r="I154" s="2">
        <f>Table7[[#This Row],[WMT Res]]^2</f>
        <v>11.562472323371503</v>
      </c>
      <c r="J154">
        <f>Regression!$E$10+(Regression!$E$9*Table83[[#This Row],[Morning Systolic Pressure]])</f>
        <v>255.46010425966242</v>
      </c>
      <c r="K154" s="2">
        <f>Table83[[#This Row],[Weight]]-Table7[[#This Row],[Weight v Morning Sys]]</f>
        <v>-3.660104259662404</v>
      </c>
      <c r="L154" s="2">
        <f>Table7[[#This Row],[WMS Res]]^2</f>
        <v>13.396363191598875</v>
      </c>
      <c r="M154">
        <f>Regression!$F$10+(Regression!$F$9*Table83[[#This Row],[Morning Diastolic Pressure]])</f>
        <v>254.79800715011203</v>
      </c>
      <c r="N154" s="2">
        <f>Table83[[#This Row],[Weight]]-Table7[[#This Row],[Weight v Morning Dia]]</f>
        <v>-2.9980071501120165</v>
      </c>
      <c r="O154" s="2">
        <f>Table7[[#This Row],[WMD Res]]^2</f>
        <v>8.9880468721227746</v>
      </c>
      <c r="P154">
        <f>Regression!$G$10+(Regression!$G$9*Table83[[#This Row],[Morning Pulse]])</f>
        <v>255.1081617071269</v>
      </c>
      <c r="Q154" s="2">
        <f>Table83[[#This Row],[Weight]]-Table7[[#This Row],[Weight v Morning Pulse]]</f>
        <v>-3.3081617071268852</v>
      </c>
      <c r="R154" s="2">
        <f>Table7[[#This Row],[WMP Res]]^2</f>
        <v>10.943933880500667</v>
      </c>
      <c r="S154">
        <f>Regression!$H$10+(Regression!$H$9*Table83[[#This Row],[Night Body Temp]])</f>
        <v>255.87845238234192</v>
      </c>
      <c r="T154" s="2">
        <f>Table83[[#This Row],[Weight]]-Table7[[#This Row],[Weight v Night Temp]]</f>
        <v>-4.0784523823419079</v>
      </c>
      <c r="U154" s="2">
        <f>Table7[[#This Row],[WNT Res]]^2</f>
        <v>16.633773835030382</v>
      </c>
      <c r="V154">
        <f>Regression!$I$10+(Regression!$I$9*Table83[[#This Row],[Night Systolic Pressure]])</f>
        <v>255.03329172511027</v>
      </c>
      <c r="W154" s="2">
        <f>Table83[[#This Row],[Weight]]-Table7[[#This Row],[Weight v Night Sys]]</f>
        <v>-3.2332917251102629</v>
      </c>
      <c r="X154" s="2">
        <f>Table7[[#This Row],[WNS Res]]^2</f>
        <v>10.4541753796665</v>
      </c>
      <c r="Y154">
        <f>Regression!$J$10+(Regression!$J$9*Table83[[#This Row],[Night Diastolic Pressure]])</f>
        <v>255.01078463741391</v>
      </c>
      <c r="Z154" s="2">
        <f>Table83[[#This Row],[Weight]]-Table7[[#This Row],[Weight v Night Dia]]</f>
        <v>-3.2107846374138944</v>
      </c>
      <c r="AA154" s="2">
        <f>Table7[[#This Row],[WND Res]]^2</f>
        <v>10.309137987853074</v>
      </c>
      <c r="AB154">
        <f>Regression!$K$10+(Regression!$K$9*Table83[[#This Row],[Night Pulse]])</f>
        <v>255.63227848976558</v>
      </c>
      <c r="AC154" s="2">
        <f>Table83[[#This Row],[Weight]]-Table7[[#This Row],[Weight v Night Pulse]]</f>
        <v>-3.8322784897655708</v>
      </c>
      <c r="AD154" s="2">
        <f>Table7[[#This Row],[WNP Res ]]^2</f>
        <v>14.686358423119884</v>
      </c>
      <c r="AE154">
        <f>Regression!$L$10+(Regression!$L$9*Table83[[#This Row],[Sleep]])</f>
        <v>254.82155554400751</v>
      </c>
      <c r="AF154" s="2">
        <f>Table83[[#This Row],[Weight]]-Table7[[#This Row],[Weight v Sleep]]</f>
        <v>-3.0215555440074979</v>
      </c>
      <c r="AG154" s="2">
        <f>Table7[[#This Row],[WS Res]]^2</f>
        <v>9.1297979055224463</v>
      </c>
      <c r="AH154">
        <f>Regression!$M$10+(Regression!$M$9*Table83[[#This Row],[BMI]])</f>
        <v>251.80000000000746</v>
      </c>
      <c r="AI154" s="2">
        <f>Table83[[#This Row],[Weight]]-Table7[[#This Row],[Weight v BMI]]</f>
        <v>-7.4464878707658499E-12</v>
      </c>
      <c r="AJ154" s="2">
        <f>Table7[[#This Row],[WBMI Res]]^2</f>
        <v>5.5450181609462922E-23</v>
      </c>
      <c r="AK154">
        <f>Regression!$N$10+(Regression!$N$9*Table83[[#This Row],[CBF]])</f>
        <v>253.17965033701802</v>
      </c>
      <c r="AL154" s="2">
        <f>Table83[[#This Row],[Weight]]-Table7[[#This Row],[Weight v CBF]]</f>
        <v>-1.3796503370180062</v>
      </c>
      <c r="AM154" s="2">
        <f>Table7[[#This Row],[WCBF Res]]^2</f>
        <v>1.9034350524338981</v>
      </c>
      <c r="AN154">
        <f>Regression!$O$10+(Regression!$O$9*Table83[[#This Row],[Gym]])</f>
        <v>254.72962962962998</v>
      </c>
      <c r="AO154" s="2">
        <f>Table83[[#This Row],[Weight]]-Table7[[#This Row],[Weight v Gym]]</f>
        <v>-2.9296296296299715</v>
      </c>
      <c r="AP154" s="2">
        <f>Table7[[#This Row],[WG Res]]^2</f>
        <v>8.5827297668058442</v>
      </c>
      <c r="AQ154">
        <f>Regression!$P$10+(Regression!$P$9*Table83[[#This Row],[Cardio]])</f>
        <v>254.19242424242461</v>
      </c>
      <c r="AR154" s="2">
        <f>Table83[[#This Row],[Weight]]-Table7[[#This Row],[Weight v Cardio]]</f>
        <v>-2.3924242424245961</v>
      </c>
      <c r="AS154" s="2">
        <f>Table7[[#This Row],[WC Res]]^2</f>
        <v>5.7236937557409027</v>
      </c>
      <c r="AT154">
        <f>Regression!$Q$10+(Regression!$Q$9*Table83[[#This Row],[Calories]])</f>
        <v>255.76791994907549</v>
      </c>
      <c r="AU154" s="2">
        <f>Table83[[#This Row],[Weight]]-Table7[[#This Row],[Weight v Calories]]</f>
        <v>-3.9679199490754797</v>
      </c>
      <c r="AV154" s="2">
        <f>Table7[[#This Row],[WCAL Res]]^2</f>
        <v>15.744388722271157</v>
      </c>
      <c r="AW154">
        <f>Regression!$R$10+(Regression!$R$9*Table83[[#This Row],[Carbs]])</f>
        <v>255.77992015334425</v>
      </c>
      <c r="AX154" s="2">
        <f>Table83[[#This Row],[Weight]]-Table7[[#This Row],[Weight v Carbs]]</f>
        <v>-3.9799201533442385</v>
      </c>
      <c r="AY154" s="2">
        <f>Table7[[#This Row],[Wcarb Res]]^2</f>
        <v>15.839764426995627</v>
      </c>
      <c r="AZ154">
        <f>Regression!$S$10+(Regression!$S$9*Table83[[#This Row],[Fat ]])</f>
        <v>255.41045763064594</v>
      </c>
      <c r="BA154" s="2">
        <f>Table83[[#This Row],[Weight]]-Table7[[#This Row],[Weight v Fat]]</f>
        <v>-3.6104576306459251</v>
      </c>
      <c r="BB154" s="2">
        <f>Table7[[#This Row],[WF Res]]^2</f>
        <v>13.035404302689386</v>
      </c>
      <c r="BC154">
        <f>Regression!$T$10+(Regression!$T$9*Table83[[#This Row],[Protein]])</f>
        <v>256.4074218384074</v>
      </c>
      <c r="BD154" s="2">
        <f>Table83[[#This Row],[Weight]]-Table7[[#This Row],[Weight v Protein]]</f>
        <v>-4.6074218384073902</v>
      </c>
      <c r="BE154" s="2">
        <f>Table7[[#This Row],[WP Res]]^2</f>
        <v>21.228335997033334</v>
      </c>
      <c r="BF154">
        <f>Regression!$U$10+(Regression!$U$9*Table83[[#This Row],[Fiber]])</f>
        <v>255.10704524992821</v>
      </c>
      <c r="BG154" s="2">
        <f>Table83[[#This Row],[Weight]]-Table7[[#This Row],[Weight v Fiber]]</f>
        <v>-3.3070452499281942</v>
      </c>
      <c r="BH154" s="2">
        <f>Table7[[#This Row],[Wfib Res]]^2</f>
        <v>10.936548285072632</v>
      </c>
      <c r="BI154">
        <f>Regression!$V$10+(Regression!$V$9*Table83[[#This Row],[Sugar]])</f>
        <v>256.24588740692724</v>
      </c>
      <c r="BJ154" s="2">
        <f>Table83[[#This Row],[Weight]]-Table7[[#This Row],[Weight v Sugar]]</f>
        <v>-4.4458874069272269</v>
      </c>
      <c r="BK154" s="2">
        <f>Table7[[#This Row],[Wsugar Res]]^2</f>
        <v>19.765914835074103</v>
      </c>
      <c r="BL154">
        <f>Regression!$W$10+(Regression!$W$9*Table83[[#This Row],[Servings]])</f>
        <v>256.68626911033243</v>
      </c>
      <c r="BM154" s="2">
        <f>Table83[[#This Row],[Weight]]-Table7[[#This Row],[Weight v Servings]]</f>
        <v>-4.886269110332421</v>
      </c>
      <c r="BN154" s="2">
        <f>Table7[[#This Row],[Wserv Res]]^2</f>
        <v>23.875625818588787</v>
      </c>
      <c r="BO154">
        <f>Regression!$X$10+(Regression!$X$9*Table83[[#This Row],[Water]])</f>
        <v>255.0206340268538</v>
      </c>
      <c r="BP154" s="2">
        <f>Table83[[#This Row],[Weight]]-Table7[[#This Row],[Weight v Water]]</f>
        <v>-3.2206340268537872</v>
      </c>
      <c r="BQ154" s="2">
        <f>Table7[[#This Row],[Wwater Res]]^2</f>
        <v>10.37248353492844</v>
      </c>
      <c r="BR154">
        <f>Regression!$Y$10+(Regression!$Y$9*Table83[[#This Row],[Fat Calories]])</f>
        <v>255.42457679903799</v>
      </c>
      <c r="BS154" s="2">
        <f>Table83[[#This Row],[Weight]]-Table7[[#This Row],[Weight v Fat Calories]]</f>
        <v>-3.6245767990379818</v>
      </c>
      <c r="BT154" s="2">
        <f>Table7[[#This Row],[WFC Res]]^2</f>
        <v>13.137556972124422</v>
      </c>
      <c r="BU154">
        <f>Regression!$B$29+(Regression!$B$28*Table83[[#This Row],[Weight]])</f>
        <v>44.001823571154709</v>
      </c>
      <c r="BV154" s="2">
        <f>Table83[[#This Row],[Waist]]-Table7[[#This Row],[Waist v Weight]]</f>
        <v>-1.8235711547092137E-3</v>
      </c>
      <c r="BW154" s="2">
        <f>Table7[[#This Row],[WaistW Res]]^2</f>
        <v>3.3254117562874951E-6</v>
      </c>
      <c r="BX154">
        <f>Regression!$C$29+(Regression!$C$28*Table83[[#This Row],[Neck]])</f>
        <v>44.175585585585594</v>
      </c>
      <c r="BY154" s="2">
        <f>Table83[[#This Row],[Waist]]-Table7[[#This Row],[Waist v Neck]]</f>
        <v>-0.17558558558559412</v>
      </c>
      <c r="BZ154" s="2">
        <f>Table7[[#This Row],[WaistN Res]]^2</f>
        <v>3.0830297865435997E-2</v>
      </c>
      <c r="CA154">
        <f>Regression!$D$29+(Regression!$D$28*Table83[[#This Row],[Morning Body Temp]])</f>
        <v>44.476744743933082</v>
      </c>
      <c r="CB154" s="2">
        <f>Table83[[#This Row],[Waist]]-Table7[[#This Row],[Waist v Morning Temp]]</f>
        <v>-0.4767447439330823</v>
      </c>
      <c r="CC154" s="2">
        <f>Table7[[#This Row],[WaistMT Res]]^2</f>
        <v>0.22728555086782021</v>
      </c>
      <c r="CD154">
        <f>Regression!$E$29+(Regression!$E$28*Table83[[#This Row],[Morning Systolic Pressure]])</f>
        <v>44.534607969333621</v>
      </c>
      <c r="CE154" s="2">
        <f>Table83[[#This Row],[Waist]]-Table7[[#This Row],[Waist v Morning Sys]]</f>
        <v>-0.53460796933362076</v>
      </c>
      <c r="CF154" s="2">
        <f>Table7[[#This Row],[WaistMS Res]]^2</f>
        <v>0.28580568087501762</v>
      </c>
      <c r="CG154">
        <f>Regression!$F$29+(Regression!$F$28*Table83[[#This Row],[Morning Diastolic Pressure]])</f>
        <v>44.435909806137701</v>
      </c>
      <c r="CH154" s="2">
        <f>Table83[[#This Row],[Waist]]-Table7[[#This Row],[Waist v Morning Dia]]</f>
        <v>-0.43590980613770114</v>
      </c>
      <c r="CI154" s="2">
        <f>Table7[[#This Row],[WaistMD Res]]^2</f>
        <v>0.1900173590870082</v>
      </c>
      <c r="CJ154">
        <f>Regression!$G$29+(Regression!$G$28*Table83[[#This Row],[Morning Pulse]])</f>
        <v>44.450378687211739</v>
      </c>
      <c r="CK154" s="2">
        <f>Table83[[#This Row],[Waist]]-Table7[[#This Row],[Waist v Morning Pulse]]</f>
        <v>-0.45037868721173879</v>
      </c>
      <c r="CL154" s="2">
        <f>Table7[[#This Row],[WaistMP Res]]^2</f>
        <v>0.20284096189456924</v>
      </c>
      <c r="CM154">
        <f>Regression!$H$29+(Regression!$H$28*Table83[[#This Row],[Night Body Temp]])</f>
        <v>44.513729345098263</v>
      </c>
      <c r="CN154" s="2">
        <f>Table83[[#This Row],[Waist]]-Table7[[#This Row],[Waist v Night Temp]]</f>
        <v>-0.51372934509826251</v>
      </c>
      <c r="CO154" s="2">
        <f>Table7[[#This Row],[WaistNT Res]]^2</f>
        <v>0.26391784001508972</v>
      </c>
      <c r="CP154">
        <f>Regression!$I$29+(Regression!$I$28*Table83[[#This Row],[Night Systolic Pressure]])</f>
        <v>44.441959200979596</v>
      </c>
      <c r="CQ154" s="2">
        <f>Table83[[#This Row],[Waist]]-Table7[[#This Row],[Waist v  Night Sys]]</f>
        <v>-0.44195920097959629</v>
      </c>
      <c r="CR154" s="2">
        <f>Table7[[#This Row],[WaistNS Res]]^2</f>
        <v>0.19532793533052317</v>
      </c>
      <c r="CS154">
        <f>Regression!$J$29+(Regression!$J$28*Table83[[#This Row],[Night Diastolic Pressure]])</f>
        <v>44.409888175531407</v>
      </c>
      <c r="CT154" s="2">
        <f>Table83[[#This Row],[Waist]]-Table7[[#This Row],[Waist v Night Dia]]</f>
        <v>-0.40988817553140677</v>
      </c>
      <c r="CU154" s="2">
        <f>Table7[[#This Row],[WaistND Res]]^2</f>
        <v>0.16800831644046532</v>
      </c>
      <c r="CV154">
        <f>Regression!$K$29+(Regression!$K$28*Table83[[#This Row],[Night Pulse]])</f>
        <v>44.405430192656937</v>
      </c>
      <c r="CW154" s="2">
        <f>Table83[[#This Row],[Waist]]-Table7[[#This Row],[Waist v Night Pulse]]</f>
        <v>-0.40543019265693658</v>
      </c>
      <c r="CX154" s="2">
        <f>Table7[[#This Row],[WaistNP Res]]^2</f>
        <v>0.16437364111784072</v>
      </c>
      <c r="CY154">
        <f>Regression!$L$29+(Regression!$L$28*Table83[[#This Row],[Sleep]])</f>
        <v>44.408792884862443</v>
      </c>
      <c r="CZ154" s="2">
        <f>Table83[[#This Row],[Waist]]-Table7[[#This Row],[Waist v  Sleep]]</f>
        <v>-0.40879288486244292</v>
      </c>
      <c r="DA154" s="2">
        <f>Table7[[#This Row],[WaistS Res]]^2</f>
        <v>0.16711162271415853</v>
      </c>
      <c r="DB154">
        <f>Regression!$M$29+(Regression!$M$28*Table83[[#This Row],[BMI]])</f>
        <v>44.001823571156145</v>
      </c>
      <c r="DC154" s="2">
        <f>Table83[[#This Row],[Waist]]-Table7[[#This Row],[Waist v BMI]]</f>
        <v>-1.82357115614451E-3</v>
      </c>
      <c r="DD154" s="2">
        <f>Table7[[#This Row],[WaistBMI Res]]^2</f>
        <v>3.3254117615222252E-6</v>
      </c>
      <c r="DE154">
        <f>Regression!$N$29+(Regression!$N$28*Table83[[#This Row],[CBF]])</f>
        <v>44.105031770433015</v>
      </c>
      <c r="DF154" s="2">
        <f>Table83[[#This Row],[Waist]]-Table7[[#This Row],[Waist v  CBF]]</f>
        <v>-0.10503177043301548</v>
      </c>
      <c r="DG154" s="2">
        <f>Table7[[#This Row],[WaistCBF Res]]^2</f>
        <v>1.1031672800293666E-2</v>
      </c>
      <c r="DH154">
        <f>Regression!$O$29+(Regression!$O$28*Table83[[#This Row],[Gym]])</f>
        <v>44.347222222222221</v>
      </c>
      <c r="DI154" s="2">
        <f>Table83[[#This Row],[Waist]]-Table7[[#This Row],[Waist v  Gym]]</f>
        <v>-0.34722222222222143</v>
      </c>
      <c r="DJ154" s="2">
        <f>Table7[[#This Row],[WaistGYM Res]]^2</f>
        <v>0.12056327160493772</v>
      </c>
      <c r="DK154">
        <f>Regression!$P$29+(Regression!$P$28*Table83[[#This Row],[Cardio]])</f>
        <v>44.291666666666664</v>
      </c>
      <c r="DL154" s="2">
        <f>Table83[[#This Row],[Waist]]-Table7[[#This Row],[Waist v Cardio]]</f>
        <v>-0.2916666666666643</v>
      </c>
      <c r="DM154" s="2">
        <f>Table7[[#This Row],[WaistC Res]]^2</f>
        <v>8.506944444444306E-2</v>
      </c>
      <c r="DN154">
        <f>Regression!$Q$29+(Regression!$Q$28*Table83[[#This Row],[Calories]])</f>
        <v>44.600226512525239</v>
      </c>
      <c r="DO154" s="2">
        <f>Table83[[#This Row],[Waist]]-Table7[[#This Row],[Waist v Calories]]</f>
        <v>-0.60022651252523929</v>
      </c>
      <c r="DP154" s="2">
        <f>Table7[[#This Row],[WaistCal Res]]^2</f>
        <v>0.36027186633821123</v>
      </c>
      <c r="DQ154">
        <f>Regression!$R$29+(Regression!$R$28*Table83[[#This Row],[Carbs]])</f>
        <v>44.591962915005432</v>
      </c>
      <c r="DR154" s="2">
        <f>Table83[[#This Row],[Waist]]-Table7[[#This Row],[Waist v Carbs]]</f>
        <v>-0.59196291500543197</v>
      </c>
      <c r="DS154" s="2">
        <f>Table7[[#This Row],[WaistCarb Res]]^2</f>
        <v>0.35042009274172825</v>
      </c>
      <c r="DT154">
        <f>Regression!$S$29+(Regression!$S$28*Table83[[#This Row],[Fat ]])</f>
        <v>44.543841442400762</v>
      </c>
      <c r="DU154" s="2">
        <f>Table83[[#This Row],[Waist]]-Table7[[#This Row],[Waist v Fat]]</f>
        <v>-0.54384144240076182</v>
      </c>
      <c r="DV154" s="2">
        <f>Table7[[#This Row],[WaistF Res]]^2</f>
        <v>0.29576351447254112</v>
      </c>
      <c r="DW154">
        <f>Regression!$T$29+(Regression!$T$28*Table83[[#This Row],[Protein]])</f>
        <v>44.690092929333979</v>
      </c>
      <c r="DX154" s="2">
        <f>Table83[[#This Row],[Waist]]-Table7[[#This Row],[Waist v Protein]]</f>
        <v>-0.69009292933397859</v>
      </c>
      <c r="DY154" s="2">
        <f>Table7[[#This Row],[WaistP Res]]^2</f>
        <v>0.47622825111675154</v>
      </c>
      <c r="DZ154">
        <f>Regression!$U$29+(Regression!$U$28*Table83[[#This Row],[Fiber]])</f>
        <v>44.450453330075511</v>
      </c>
      <c r="EA154" s="2">
        <f>Table83[[#This Row],[Waist]]-Table7[[#This Row],[Waist v Fiber]]</f>
        <v>-0.45045333007551136</v>
      </c>
      <c r="EB154" s="2">
        <f>Table7[[#This Row],[WaistFib Res]]^2</f>
        <v>0.20290820257611758</v>
      </c>
      <c r="EC154">
        <f>Regression!$V$29+(Regression!$V$28*Table83[[#This Row],[Sugar]])</f>
        <v>44.65668318422405</v>
      </c>
      <c r="ED154" s="2">
        <f>Table83[[#This Row],[Waist]]-Table7[[#This Row],[Waist v Sugar]]</f>
        <v>-0.65668318422405036</v>
      </c>
      <c r="EE154" s="2">
        <f>Table7[[#This Row],[WaistSugar Res]]^2</f>
        <v>0.43123280444263806</v>
      </c>
      <c r="EF154">
        <f>Regression!$W$29+(Regression!$W$28*Table83[[#This Row],[Servings]])</f>
        <v>44.693282560434234</v>
      </c>
      <c r="EG154" s="2">
        <f>Table83[[#This Row],[Waist]]-Table7[[#This Row],[Waist v Servings]]</f>
        <v>-0.69328256043423409</v>
      </c>
      <c r="EH154" s="2">
        <f>Table7[[#This Row],[WaistServ Res]]^2</f>
        <v>0.48064070860224745</v>
      </c>
      <c r="EI154">
        <f>Regression!$X$29+(Regression!$X$28*Table83[[#This Row],[Water]])</f>
        <v>44.33031459742935</v>
      </c>
      <c r="EJ154" s="2">
        <f>Table83[[#This Row],[Waist]]-Table7[[#This Row],[Waist v Water]]</f>
        <v>-0.33031459742934999</v>
      </c>
      <c r="EK154" s="2">
        <f>Table7[[#This Row],[WaistWat Res]]^2</f>
        <v>0.10910773327491355</v>
      </c>
      <c r="EL154">
        <f>Regression!$Y$29+(Regression!$Y$28*Table83[[#This Row],[Fat Calories]])</f>
        <v>44.547677576367811</v>
      </c>
      <c r="EM154" s="2">
        <f>Table83[[#This Row],[Waist]]-Table7[[#This Row],[Waist v Fat Calories]]</f>
        <v>-0.54767757636781056</v>
      </c>
      <c r="EN154" s="2">
        <f>Table7[[#This Row],[WaistFatCal Res]]^2</f>
        <v>0.29995072765611897</v>
      </c>
    </row>
    <row r="155" spans="1:144" x14ac:dyDescent="0.25">
      <c r="A155">
        <f>Regression!$B$10+(Regression!$B$9*Table83[[#This Row],[Waist]])</f>
        <v>252.52625917894264</v>
      </c>
      <c r="B155" s="2">
        <f>Table83[[#This Row],[Weight]]-Table7[[#This Row],[Weight v Waist]]</f>
        <v>-1.1262591789426324</v>
      </c>
      <c r="C155" s="2">
        <f>Table7[[#This Row],[Weight v Waist Res]]^2</f>
        <v>1.2684597381525324</v>
      </c>
      <c r="D155">
        <f>Regression!$C$10+(Regression!$C$9*Table83[[#This Row],[Neck]])</f>
        <v>253.29286486487842</v>
      </c>
      <c r="E155" s="2">
        <f>Table83[[#This Row],[Weight]]-Table7[[#This Row],[Weight v Neck]]</f>
        <v>-1.892864864878419</v>
      </c>
      <c r="F155" s="2">
        <f>Table7[[#This Row],[WN Res]]^2</f>
        <v>3.5829373966911953</v>
      </c>
      <c r="G155">
        <f>Regression!$D$10+(Regression!$D$9*Table83[[#This Row],[Morning Body Temp]])</f>
        <v>254.21478379841594</v>
      </c>
      <c r="H155" s="2">
        <f>Table83[[#This Row],[Weight]]-Table7[[#This Row],[Weight v Morning Temp]]</f>
        <v>-2.814783798415931</v>
      </c>
      <c r="I155" s="2">
        <f>Table7[[#This Row],[WMT Res]]^2</f>
        <v>7.9230078318248163</v>
      </c>
      <c r="J155">
        <f>Regression!$E$10+(Regression!$E$9*Table83[[#This Row],[Morning Systolic Pressure]])</f>
        <v>255.55025866738916</v>
      </c>
      <c r="K155" s="2">
        <f>Table83[[#This Row],[Weight]]-Table7[[#This Row],[Weight v Morning Sys]]</f>
        <v>-4.1502586673891528</v>
      </c>
      <c r="L155" s="2">
        <f>Table7[[#This Row],[WMS Res]]^2</f>
        <v>17.224647006238786</v>
      </c>
      <c r="M155">
        <f>Regression!$F$10+(Regression!$F$9*Table83[[#This Row],[Morning Diastolic Pressure]])</f>
        <v>254.59531865202226</v>
      </c>
      <c r="N155" s="2">
        <f>Table83[[#This Row],[Weight]]-Table7[[#This Row],[Weight v Morning Dia]]</f>
        <v>-3.1953186520222516</v>
      </c>
      <c r="O155" s="2">
        <f>Table7[[#This Row],[WMD Res]]^2</f>
        <v>10.210061287961299</v>
      </c>
      <c r="P155">
        <f>Regression!$G$10+(Regression!$G$9*Table83[[#This Row],[Morning Pulse]])</f>
        <v>255.1246118689416</v>
      </c>
      <c r="Q155" s="2">
        <f>Table83[[#This Row],[Weight]]-Table7[[#This Row],[Weight v Morning Pulse]]</f>
        <v>-3.7246118689415937</v>
      </c>
      <c r="R155" s="2">
        <f>Table7[[#This Row],[WMP Res]]^2</f>
        <v>13.872733574260591</v>
      </c>
      <c r="S155">
        <f>Regression!$H$10+(Regression!$H$9*Table83[[#This Row],[Night Body Temp]])</f>
        <v>255.46766610041516</v>
      </c>
      <c r="T155" s="2">
        <f>Table83[[#This Row],[Weight]]-Table7[[#This Row],[Weight v Night Temp]]</f>
        <v>-4.0676661004151526</v>
      </c>
      <c r="U155" s="2">
        <f>Table7[[#This Row],[WNT Res]]^2</f>
        <v>16.545907504466616</v>
      </c>
      <c r="V155">
        <f>Regression!$I$10+(Regression!$I$9*Table83[[#This Row],[Night Systolic Pressure]])</f>
        <v>255.23858139316721</v>
      </c>
      <c r="W155" s="2">
        <f>Table83[[#This Row],[Weight]]-Table7[[#This Row],[Weight v Night Sys]]</f>
        <v>-3.8385813931672033</v>
      </c>
      <c r="X155" s="2">
        <f>Table7[[#This Row],[WNS Res]]^2</f>
        <v>14.734707111969467</v>
      </c>
      <c r="Y155">
        <f>Regression!$J$10+(Regression!$J$9*Table83[[#This Row],[Night Diastolic Pressure]])</f>
        <v>255.09231637424611</v>
      </c>
      <c r="Z155" s="2">
        <f>Table83[[#This Row],[Weight]]-Table7[[#This Row],[Weight v Night Dia]]</f>
        <v>-3.6923163742461043</v>
      </c>
      <c r="AA155" s="2">
        <f>Table7[[#This Row],[WND Res]]^2</f>
        <v>13.633200207525897</v>
      </c>
      <c r="AB155">
        <f>Regression!$K$10+(Regression!$K$9*Table83[[#This Row],[Night Pulse]])</f>
        <v>255.50942516481868</v>
      </c>
      <c r="AC155" s="2">
        <f>Table83[[#This Row],[Weight]]-Table7[[#This Row],[Weight v Night Pulse]]</f>
        <v>-4.1094251648186741</v>
      </c>
      <c r="AD155" s="2">
        <f>Table7[[#This Row],[WNP Res ]]^2</f>
        <v>16.887375185244988</v>
      </c>
      <c r="AE155">
        <f>Regression!$L$10+(Regression!$L$9*Table83[[#This Row],[Sleep]])</f>
        <v>255.76797809412898</v>
      </c>
      <c r="AF155" s="2">
        <f>Table83[[#This Row],[Weight]]-Table7[[#This Row],[Weight v Sleep]]</f>
        <v>-4.3679780941289721</v>
      </c>
      <c r="AG155" s="2">
        <f>Table7[[#This Row],[WS Res]]^2</f>
        <v>19.079232630790568</v>
      </c>
      <c r="AH155">
        <f>Regression!$M$10+(Regression!$M$9*Table83[[#This Row],[BMI]])</f>
        <v>251.4000000000083</v>
      </c>
      <c r="AI155" s="2">
        <f>Table83[[#This Row],[Weight]]-Table7[[#This Row],[Weight v BMI]]</f>
        <v>-8.2991391536779702E-12</v>
      </c>
      <c r="AJ155" s="2">
        <f>Table7[[#This Row],[WBMI Res]]^2</f>
        <v>6.8875710692110695E-23</v>
      </c>
      <c r="AK155">
        <f>Regression!$N$10+(Regression!$N$9*Table83[[#This Row],[CBF]])</f>
        <v>253.17965033701802</v>
      </c>
      <c r="AL155" s="2">
        <f>Table83[[#This Row],[Weight]]-Table7[[#This Row],[Weight v CBF]]</f>
        <v>-1.7796503370180119</v>
      </c>
      <c r="AM155" s="2">
        <f>Table7[[#This Row],[WCBF Res]]^2</f>
        <v>3.1671553220483233</v>
      </c>
      <c r="AN155">
        <f>Regression!$O$10+(Regression!$O$9*Table83[[#This Row],[Gym]])</f>
        <v>254.72962962962998</v>
      </c>
      <c r="AO155" s="2">
        <f>Table83[[#This Row],[Weight]]-Table7[[#This Row],[Weight v Gym]]</f>
        <v>-3.3296296296299772</v>
      </c>
      <c r="AP155" s="2">
        <f>Table7[[#This Row],[WG Res]]^2</f>
        <v>11.08643347050986</v>
      </c>
      <c r="AQ155">
        <f>Regression!$P$10+(Regression!$P$9*Table83[[#This Row],[Cardio]])</f>
        <v>254.19242424242461</v>
      </c>
      <c r="AR155" s="2">
        <f>Table83[[#This Row],[Weight]]-Table7[[#This Row],[Weight v Cardio]]</f>
        <v>-2.7924242424246017</v>
      </c>
      <c r="AS155" s="2">
        <f>Table7[[#This Row],[WC Res]]^2</f>
        <v>7.7976331496806113</v>
      </c>
      <c r="AT155">
        <f>Regression!$Q$10+(Regression!$Q$9*Table83[[#This Row],[Calories]])</f>
        <v>255.80781272304156</v>
      </c>
      <c r="AU155" s="2">
        <f>Table83[[#This Row],[Weight]]-Table7[[#This Row],[Weight v Calories]]</f>
        <v>-4.4078127230415589</v>
      </c>
      <c r="AV155" s="2">
        <f>Table7[[#This Row],[WCAL Res]]^2</f>
        <v>19.428813001407043</v>
      </c>
      <c r="AW155">
        <f>Regression!$R$10+(Regression!$R$9*Table83[[#This Row],[Carbs]])</f>
        <v>255.96437305251868</v>
      </c>
      <c r="AX155" s="2">
        <f>Table83[[#This Row],[Weight]]-Table7[[#This Row],[Weight v Carbs]]</f>
        <v>-4.5643730525186754</v>
      </c>
      <c r="AY155" s="2">
        <f>Table7[[#This Row],[Wcarb Res]]^2</f>
        <v>20.83350136255865</v>
      </c>
      <c r="AZ155">
        <f>Regression!$S$10+(Regression!$S$9*Table83[[#This Row],[Fat ]])</f>
        <v>255.42142924249643</v>
      </c>
      <c r="BA155" s="2">
        <f>Table83[[#This Row],[Weight]]-Table7[[#This Row],[Weight v Fat]]</f>
        <v>-4.0214292424964242</v>
      </c>
      <c r="BB155" s="2">
        <f>Table7[[#This Row],[WF Res]]^2</f>
        <v>16.171893152405364</v>
      </c>
      <c r="BC155">
        <f>Regression!$T$10+(Regression!$T$9*Table83[[#This Row],[Protein]])</f>
        <v>255.83717386071731</v>
      </c>
      <c r="BD155" s="2">
        <f>Table83[[#This Row],[Weight]]-Table7[[#This Row],[Weight v Protein]]</f>
        <v>-4.4371738607173086</v>
      </c>
      <c r="BE155" s="2">
        <f>Table7[[#This Row],[WP Res]]^2</f>
        <v>19.688511870232944</v>
      </c>
      <c r="BF155">
        <f>Regression!$U$10+(Regression!$U$9*Table83[[#This Row],[Fiber]])</f>
        <v>254.89666469963169</v>
      </c>
      <c r="BG155" s="2">
        <f>Table83[[#This Row],[Weight]]-Table7[[#This Row],[Weight v Fiber]]</f>
        <v>-3.4966646996316797</v>
      </c>
      <c r="BH155" s="2">
        <f>Table7[[#This Row],[Wfib Res]]^2</f>
        <v>12.226664021650304</v>
      </c>
      <c r="BI155">
        <f>Regression!$V$10+(Regression!$V$9*Table83[[#This Row],[Sugar]])</f>
        <v>256.34885173299989</v>
      </c>
      <c r="BJ155" s="2">
        <f>Table83[[#This Row],[Weight]]-Table7[[#This Row],[Weight v Sugar]]</f>
        <v>-4.9488517329998842</v>
      </c>
      <c r="BK155" s="2">
        <f>Table7[[#This Row],[Wsugar Res]]^2</f>
        <v>24.491133475215957</v>
      </c>
      <c r="BL155">
        <f>Regression!$W$10+(Regression!$W$9*Table83[[#This Row],[Servings]])</f>
        <v>257.0811321680265</v>
      </c>
      <c r="BM155" s="2">
        <f>Table83[[#This Row],[Weight]]-Table7[[#This Row],[Weight v Servings]]</f>
        <v>-5.6811321680264939</v>
      </c>
      <c r="BN155" s="2">
        <f>Table7[[#This Row],[Wserv Res]]^2</f>
        <v>32.275262710585409</v>
      </c>
      <c r="BO155">
        <f>Regression!$X$10+(Regression!$X$9*Table83[[#This Row],[Water]])</f>
        <v>255.06345001025522</v>
      </c>
      <c r="BP155" s="2">
        <f>Table83[[#This Row],[Weight]]-Table7[[#This Row],[Weight v Water]]</f>
        <v>-3.6634500102552181</v>
      </c>
      <c r="BQ155" s="2">
        <f>Table7[[#This Row],[Wwater Res]]^2</f>
        <v>13.420865977638957</v>
      </c>
      <c r="BR155">
        <f>Regression!$Y$10+(Regression!$Y$9*Table83[[#This Row],[Fat Calories]])</f>
        <v>255.43625335416064</v>
      </c>
      <c r="BS155" s="2">
        <f>Table83[[#This Row],[Weight]]-Table7[[#This Row],[Weight v Fat Calories]]</f>
        <v>-4.0362533541606354</v>
      </c>
      <c r="BT155" s="2">
        <f>Table7[[#This Row],[WFC Res]]^2</f>
        <v>16.291341138972978</v>
      </c>
      <c r="BU155">
        <f>Regression!$B$29+(Regression!$B$28*Table83[[#This Row],[Weight]])</f>
        <v>43.947318566926711</v>
      </c>
      <c r="BV155" s="2">
        <f>Table83[[#This Row],[Waist]]-Table7[[#This Row],[Waist v Weight]]</f>
        <v>5.2681433073288986E-2</v>
      </c>
      <c r="BW155" s="2">
        <f>Table7[[#This Row],[WaistW Res]]^2</f>
        <v>2.7753333906554265E-3</v>
      </c>
      <c r="BX155">
        <f>Regression!$C$29+(Regression!$C$28*Table83[[#This Row],[Neck]])</f>
        <v>44.175585585585594</v>
      </c>
      <c r="BY155" s="2">
        <f>Table83[[#This Row],[Waist]]-Table7[[#This Row],[Waist v Neck]]</f>
        <v>-0.17558558558559412</v>
      </c>
      <c r="BZ155" s="2">
        <f>Table7[[#This Row],[WaistN Res]]^2</f>
        <v>3.0830297865435997E-2</v>
      </c>
      <c r="CA155">
        <f>Regression!$D$29+(Regression!$D$28*Table83[[#This Row],[Morning Body Temp]])</f>
        <v>44.208689359470796</v>
      </c>
      <c r="CB155" s="2">
        <f>Table83[[#This Row],[Waist]]-Table7[[#This Row],[Waist v Morning Temp]]</f>
        <v>-0.20868935947079592</v>
      </c>
      <c r="CC155" s="2">
        <f>Table7[[#This Row],[WaistMT Res]]^2</f>
        <v>4.3551248756331082E-2</v>
      </c>
      <c r="CD155">
        <f>Regression!$E$29+(Regression!$E$28*Table83[[#This Row],[Morning Systolic Pressure]])</f>
        <v>44.555788779818471</v>
      </c>
      <c r="CE155" s="2">
        <f>Table83[[#This Row],[Waist]]-Table7[[#This Row],[Waist v Morning Sys]]</f>
        <v>-0.55578877981847086</v>
      </c>
      <c r="CF155" s="2">
        <f>Table7[[#This Row],[WaistMS Res]]^2</f>
        <v>0.30890116777210469</v>
      </c>
      <c r="CG155">
        <f>Regression!$F$29+(Regression!$F$28*Table83[[#This Row],[Morning Diastolic Pressure]])</f>
        <v>44.424638564799992</v>
      </c>
      <c r="CH155" s="2">
        <f>Table83[[#This Row],[Waist]]-Table7[[#This Row],[Waist v Morning Dia]]</f>
        <v>-0.42463856479999151</v>
      </c>
      <c r="CI155" s="2">
        <f>Table7[[#This Row],[WaistMD Res]]^2</f>
        <v>0.1803179107153966</v>
      </c>
      <c r="CJ155">
        <f>Regression!$G$29+(Regression!$G$28*Table83[[#This Row],[Morning Pulse]])</f>
        <v>44.457934210374262</v>
      </c>
      <c r="CK155" s="2">
        <f>Table83[[#This Row],[Waist]]-Table7[[#This Row],[Waist v Morning Pulse]]</f>
        <v>-0.45793421037426185</v>
      </c>
      <c r="CL155" s="2">
        <f>Table7[[#This Row],[WaistMP Res]]^2</f>
        <v>0.20970374103109871</v>
      </c>
      <c r="CM155">
        <f>Regression!$H$29+(Regression!$H$28*Table83[[#This Row],[Night Body Temp]])</f>
        <v>44.481341649878722</v>
      </c>
      <c r="CN155" s="2">
        <f>Table83[[#This Row],[Waist]]-Table7[[#This Row],[Waist v Night Temp]]</f>
        <v>-0.48134164987872197</v>
      </c>
      <c r="CO155" s="2">
        <f>Table7[[#This Row],[WaistNT Res]]^2</f>
        <v>0.23168978390797015</v>
      </c>
      <c r="CP155">
        <f>Regression!$I$29+(Regression!$I$28*Table83[[#This Row],[Night Systolic Pressure]])</f>
        <v>44.471039429630828</v>
      </c>
      <c r="CQ155" s="2">
        <f>Table83[[#This Row],[Waist]]-Table7[[#This Row],[Waist v  Night Sys]]</f>
        <v>-0.47103942963082801</v>
      </c>
      <c r="CR155" s="2">
        <f>Table7[[#This Row],[WaistNS Res]]^2</f>
        <v>0.22187814426693578</v>
      </c>
      <c r="CS155">
        <f>Regression!$J$29+(Regression!$J$28*Table83[[#This Row],[Night Diastolic Pressure]])</f>
        <v>44.444024065946287</v>
      </c>
      <c r="CT155" s="2">
        <f>Table83[[#This Row],[Waist]]-Table7[[#This Row],[Waist v Night Dia]]</f>
        <v>-0.44402406594628729</v>
      </c>
      <c r="CU155" s="2">
        <f>Table7[[#This Row],[WaistND Res]]^2</f>
        <v>0.19715737113947288</v>
      </c>
      <c r="CV155">
        <f>Regression!$K$29+(Regression!$K$28*Table83[[#This Row],[Night Pulse]])</f>
        <v>44.416857177900795</v>
      </c>
      <c r="CW155" s="2">
        <f>Table83[[#This Row],[Waist]]-Table7[[#This Row],[Waist v Night Pulse]]</f>
        <v>-0.4168571779007948</v>
      </c>
      <c r="CX155" s="2">
        <f>Table7[[#This Row],[WaistNP Res]]^2</f>
        <v>0.17376990676741488</v>
      </c>
      <c r="CY155">
        <f>Regression!$L$29+(Regression!$L$28*Table83[[#This Row],[Sleep]])</f>
        <v>44.553089788849412</v>
      </c>
      <c r="CZ155" s="2">
        <f>Table83[[#This Row],[Waist]]-Table7[[#This Row],[Waist v  Sleep]]</f>
        <v>-0.5530897888494124</v>
      </c>
      <c r="DA155" s="2">
        <f>Table7[[#This Row],[WaistS Res]]^2</f>
        <v>0.30590831452948758</v>
      </c>
      <c r="DB155">
        <f>Regression!$M$29+(Regression!$M$28*Table83[[#This Row],[BMI]])</f>
        <v>43.947318566928317</v>
      </c>
      <c r="DC155" s="2">
        <f>Table83[[#This Row],[Waist]]-Table7[[#This Row],[Waist v BMI]]</f>
        <v>5.2681433071683159E-2</v>
      </c>
      <c r="DD155" s="2">
        <f>Table7[[#This Row],[WaistBMI Res]]^2</f>
        <v>2.7753333904862319E-3</v>
      </c>
      <c r="DE155">
        <f>Regression!$N$29+(Regression!$N$28*Table83[[#This Row],[CBF]])</f>
        <v>44.105031770433015</v>
      </c>
      <c r="DF155" s="2">
        <f>Table83[[#This Row],[Waist]]-Table7[[#This Row],[Waist v  CBF]]</f>
        <v>-0.10503177043301548</v>
      </c>
      <c r="DG155" s="2">
        <f>Table7[[#This Row],[WaistCBF Res]]^2</f>
        <v>1.1031672800293666E-2</v>
      </c>
      <c r="DH155">
        <f>Regression!$O$29+(Regression!$O$28*Table83[[#This Row],[Gym]])</f>
        <v>44.347222222222221</v>
      </c>
      <c r="DI155" s="2">
        <f>Table83[[#This Row],[Waist]]-Table7[[#This Row],[Waist v  Gym]]</f>
        <v>-0.34722222222222143</v>
      </c>
      <c r="DJ155" s="2">
        <f>Table7[[#This Row],[WaistGYM Res]]^2</f>
        <v>0.12056327160493772</v>
      </c>
      <c r="DK155">
        <f>Regression!$P$29+(Regression!$P$28*Table83[[#This Row],[Cardio]])</f>
        <v>44.291666666666664</v>
      </c>
      <c r="DL155" s="2">
        <f>Table83[[#This Row],[Waist]]-Table7[[#This Row],[Waist v Cardio]]</f>
        <v>-0.2916666666666643</v>
      </c>
      <c r="DM155" s="2">
        <f>Table7[[#This Row],[WaistC Res]]^2</f>
        <v>8.506944444444306E-2</v>
      </c>
      <c r="DN155">
        <f>Regression!$Q$29+(Regression!$Q$28*Table83[[#This Row],[Calories]])</f>
        <v>44.609189534027138</v>
      </c>
      <c r="DO155" s="2">
        <f>Table83[[#This Row],[Waist]]-Table7[[#This Row],[Waist v Calories]]</f>
        <v>-0.60918953402713782</v>
      </c>
      <c r="DP155" s="2">
        <f>Table7[[#This Row],[WaistCal Res]]^2</f>
        <v>0.3711118883682013</v>
      </c>
      <c r="DQ155">
        <f>Regression!$R$29+(Regression!$R$28*Table83[[#This Row],[Carbs]])</f>
        <v>44.630364879068324</v>
      </c>
      <c r="DR155" s="2">
        <f>Table83[[#This Row],[Waist]]-Table7[[#This Row],[Waist v Carbs]]</f>
        <v>-0.63036487906832406</v>
      </c>
      <c r="DS155" s="2">
        <f>Table7[[#This Row],[WaistCarb Res]]^2</f>
        <v>0.3973598807628228</v>
      </c>
      <c r="DT155">
        <f>Regression!$S$29+(Regression!$S$28*Table83[[#This Row],[Fat ]])</f>
        <v>44.547195231954412</v>
      </c>
      <c r="DU155" s="2">
        <f>Table83[[#This Row],[Waist]]-Table7[[#This Row],[Waist v Fat]]</f>
        <v>-0.54719523195441155</v>
      </c>
      <c r="DV155" s="2">
        <f>Table7[[#This Row],[WaistF Res]]^2</f>
        <v>0.29942262187364227</v>
      </c>
      <c r="DW155">
        <f>Regression!$T$29+(Regression!$T$28*Table83[[#This Row],[Protein]])</f>
        <v>44.585716366727731</v>
      </c>
      <c r="DX155" s="2">
        <f>Table83[[#This Row],[Waist]]-Table7[[#This Row],[Waist v Protein]]</f>
        <v>-0.58571636672773053</v>
      </c>
      <c r="DY155" s="2">
        <f>Table7[[#This Row],[WaistP Res]]^2</f>
        <v>0.34306366225273333</v>
      </c>
      <c r="DZ155">
        <f>Regression!$U$29+(Regression!$U$28*Table83[[#This Row],[Fiber]])</f>
        <v>44.369275900952488</v>
      </c>
      <c r="EA155" s="2">
        <f>Table83[[#This Row],[Waist]]-Table7[[#This Row],[Waist v Fiber]]</f>
        <v>-0.36927590095248775</v>
      </c>
      <c r="EB155" s="2">
        <f>Table7[[#This Row],[WaistFib Res]]^2</f>
        <v>0.13636469102427154</v>
      </c>
      <c r="EC155">
        <f>Regression!$V$29+(Regression!$V$28*Table83[[#This Row],[Sugar]])</f>
        <v>44.675179577039103</v>
      </c>
      <c r="ED155" s="2">
        <f>Table83[[#This Row],[Waist]]-Table7[[#This Row],[Waist v Sugar]]</f>
        <v>-0.6751795770391027</v>
      </c>
      <c r="EE155" s="2">
        <f>Table7[[#This Row],[WaistSugar Res]]^2</f>
        <v>0.4558674612507016</v>
      </c>
      <c r="EF155">
        <f>Regression!$W$29+(Regression!$W$28*Table83[[#This Row],[Servings]])</f>
        <v>44.753532084621639</v>
      </c>
      <c r="EG155" s="2">
        <f>Table83[[#This Row],[Waist]]-Table7[[#This Row],[Waist v Servings]]</f>
        <v>-0.75353208462163934</v>
      </c>
      <c r="EH155" s="2">
        <f>Table7[[#This Row],[WaistServ Res]]^2</f>
        <v>0.56781060255423343</v>
      </c>
      <c r="EI155">
        <f>Regression!$X$29+(Regression!$X$28*Table83[[#This Row],[Water]])</f>
        <v>44.386198474840633</v>
      </c>
      <c r="EJ155" s="2">
        <f>Table83[[#This Row],[Waist]]-Table7[[#This Row],[Waist v Water]]</f>
        <v>-0.38619847484063285</v>
      </c>
      <c r="EK155" s="2">
        <f>Table7[[#This Row],[WaistWat Res]]^2</f>
        <v>0.14914926196923092</v>
      </c>
      <c r="EL155">
        <f>Regression!$Y$29+(Regression!$Y$28*Table83[[#This Row],[Fat Calories]])</f>
        <v>44.551228752687642</v>
      </c>
      <c r="EM155" s="2">
        <f>Table83[[#This Row],[Waist]]-Table7[[#This Row],[Waist v Fat Calories]]</f>
        <v>-0.55122875268764204</v>
      </c>
      <c r="EN155" s="2">
        <f>Table7[[#This Row],[WaistFatCal Res]]^2</f>
        <v>0.30385313778957362</v>
      </c>
    </row>
    <row r="156" spans="1:144" x14ac:dyDescent="0.25">
      <c r="A156">
        <f>Regression!$B$10+(Regression!$B$9*Table83[[#This Row],[Waist]])</f>
        <v>252.52625917894264</v>
      </c>
      <c r="B156" s="2">
        <f>Table83[[#This Row],[Weight]]-Table7[[#This Row],[Weight v Waist]]</f>
        <v>-3.3262591789426494</v>
      </c>
      <c r="C156" s="2">
        <f>Table7[[#This Row],[Weight v Waist Res]]^2</f>
        <v>11.064000125500229</v>
      </c>
      <c r="D156">
        <f>Regression!$C$10+(Regression!$C$9*Table83[[#This Row],[Neck]])</f>
        <v>253.29286486487842</v>
      </c>
      <c r="E156" s="2">
        <f>Table83[[#This Row],[Weight]]-Table7[[#This Row],[Weight v Neck]]</f>
        <v>-4.092864864878436</v>
      </c>
      <c r="F156" s="2">
        <f>Table7[[#This Row],[WN Res]]^2</f>
        <v>16.751542802156379</v>
      </c>
      <c r="G156">
        <f>Regression!$D$10+(Regression!$D$9*Table83[[#This Row],[Morning Body Temp]])</f>
        <v>254.56677656952775</v>
      </c>
      <c r="H156" s="2">
        <f>Table83[[#This Row],[Weight]]-Table7[[#This Row],[Weight v Morning Temp]]</f>
        <v>-5.3667765695277581</v>
      </c>
      <c r="I156" s="2">
        <f>Table7[[#This Row],[WMT Res]]^2</f>
        <v>28.802290747232131</v>
      </c>
      <c r="J156">
        <f>Regression!$E$10+(Regression!$E$9*Table83[[#This Row],[Morning Systolic Pressure]])</f>
        <v>255.50518146352579</v>
      </c>
      <c r="K156" s="2">
        <f>Table83[[#This Row],[Weight]]-Table7[[#This Row],[Weight v Morning Sys]]</f>
        <v>-6.3051814635257983</v>
      </c>
      <c r="L156" s="2">
        <f>Table7[[#This Row],[WMS Res]]^2</f>
        <v>39.755313287989331</v>
      </c>
      <c r="M156">
        <f>Regression!$F$10+(Regression!$F$9*Table83[[#This Row],[Morning Diastolic Pressure]])</f>
        <v>255.10203989724667</v>
      </c>
      <c r="N156" s="2">
        <f>Table83[[#This Row],[Weight]]-Table7[[#This Row],[Weight v Morning Dia]]</f>
        <v>-5.9020398972466808</v>
      </c>
      <c r="O156" s="2">
        <f>Table7[[#This Row],[WMD Res]]^2</f>
        <v>34.834074948691608</v>
      </c>
      <c r="P156">
        <f>Regression!$G$10+(Regression!$G$9*Table83[[#This Row],[Morning Pulse]])</f>
        <v>255.08988374955499</v>
      </c>
      <c r="Q156" s="2">
        <f>Table83[[#This Row],[Weight]]-Table7[[#This Row],[Weight v Morning Pulse]]</f>
        <v>-5.8898837495549969</v>
      </c>
      <c r="R156" s="2">
        <f>Table7[[#This Row],[WMP Res]]^2</f>
        <v>34.690730583272028</v>
      </c>
      <c r="S156">
        <f>Regression!$H$10+(Regression!$H$9*Table83[[#This Row],[Night Body Temp]])</f>
        <v>254.95418324800676</v>
      </c>
      <c r="T156" s="2">
        <f>Table83[[#This Row],[Weight]]-Table7[[#This Row],[Weight v Night Temp]]</f>
        <v>-5.7541832480067683</v>
      </c>
      <c r="U156" s="2">
        <f>Table7[[#This Row],[WNT Res]]^2</f>
        <v>33.110624851641724</v>
      </c>
      <c r="V156">
        <f>Regression!$I$10+(Regression!$I$9*Table83[[#This Row],[Night Systolic Pressure]])</f>
        <v>256.88089873762272</v>
      </c>
      <c r="W156" s="2">
        <f>Table83[[#This Row],[Weight]]-Table7[[#This Row],[Weight v Night Sys]]</f>
        <v>-7.6808987376227265</v>
      </c>
      <c r="X156" s="2">
        <f>Table7[[#This Row],[WNS Res]]^2</f>
        <v>58.996205417614391</v>
      </c>
      <c r="Y156">
        <f>Regression!$J$10+(Regression!$J$9*Table83[[#This Row],[Night Diastolic Pressure]])</f>
        <v>255.45920918999101</v>
      </c>
      <c r="Z156" s="2">
        <f>Table83[[#This Row],[Weight]]-Table7[[#This Row],[Weight v Night Dia]]</f>
        <v>-6.2592091899910258</v>
      </c>
      <c r="AA156" s="2">
        <f>Table7[[#This Row],[WND Res]]^2</f>
        <v>39.177699684068116</v>
      </c>
      <c r="AB156">
        <f>Regression!$K$10+(Regression!$K$9*Table83[[#This Row],[Night Pulse]])</f>
        <v>254.89515854008414</v>
      </c>
      <c r="AC156" s="2">
        <f>Table83[[#This Row],[Weight]]-Table7[[#This Row],[Weight v Night Pulse]]</f>
        <v>-5.6951585400841509</v>
      </c>
      <c r="AD156" s="2">
        <f>Table7[[#This Row],[WNP Res ]]^2</f>
        <v>32.43483079669344</v>
      </c>
      <c r="AE156">
        <f>Regression!$L$10+(Regression!$L$9*Table83[[#This Row],[Sleep]])</f>
        <v>256.08345227750277</v>
      </c>
      <c r="AF156" s="2">
        <f>Table83[[#This Row],[Weight]]-Table7[[#This Row],[Weight v Sleep]]</f>
        <v>-6.8834522775027835</v>
      </c>
      <c r="AG156" s="2">
        <f>Table7[[#This Row],[WS Res]]^2</f>
        <v>47.38191525665826</v>
      </c>
      <c r="AH156">
        <f>Regression!$M$10+(Regression!$M$9*Table83[[#This Row],[BMI]])</f>
        <v>249.20000000001323</v>
      </c>
      <c r="AI156" s="2">
        <f>Table83[[#This Row],[Weight]]-Table7[[#This Row],[Weight v BMI]]</f>
        <v>-1.3244516594568267E-11</v>
      </c>
      <c r="AJ156" s="2">
        <f>Table7[[#This Row],[WBMI Res]]^2</f>
        <v>1.7541721982379422E-22</v>
      </c>
      <c r="AK156">
        <f>Regression!$N$10+(Regression!$N$9*Table83[[#This Row],[CBF]])</f>
        <v>253.17965033701802</v>
      </c>
      <c r="AL156" s="2">
        <f>Table83[[#This Row],[Weight]]-Table7[[#This Row],[Weight v CBF]]</f>
        <v>-3.9796503370180289</v>
      </c>
      <c r="AM156" s="2">
        <f>Table7[[#This Row],[WCBF Res]]^2</f>
        <v>15.837616804927711</v>
      </c>
      <c r="AN156">
        <f>Regression!$O$10+(Regression!$O$9*Table83[[#This Row],[Gym]])</f>
        <v>254.72962962962998</v>
      </c>
      <c r="AO156" s="2">
        <f>Table83[[#This Row],[Weight]]-Table7[[#This Row],[Weight v Gym]]</f>
        <v>-5.5296296296299943</v>
      </c>
      <c r="AP156" s="2">
        <f>Table7[[#This Row],[WG Res]]^2</f>
        <v>30.576803840881947</v>
      </c>
      <c r="AQ156">
        <f>Regression!$P$10+(Regression!$P$9*Table83[[#This Row],[Cardio]])</f>
        <v>254.19242424242461</v>
      </c>
      <c r="AR156" s="2">
        <f>Table83[[#This Row],[Weight]]-Table7[[#This Row],[Weight v Cardio]]</f>
        <v>-4.9924242424246188</v>
      </c>
      <c r="AS156" s="2">
        <f>Table7[[#This Row],[WC Res]]^2</f>
        <v>24.924299816349031</v>
      </c>
      <c r="AT156">
        <f>Regression!$Q$10+(Regression!$Q$9*Table83[[#This Row],[Calories]])</f>
        <v>255.37837974622173</v>
      </c>
      <c r="AU156" s="2">
        <f>Table83[[#This Row],[Weight]]-Table7[[#This Row],[Weight v Calories]]</f>
        <v>-6.1783797462217365</v>
      </c>
      <c r="AV156" s="2">
        <f>Table7[[#This Row],[WCAL Res]]^2</f>
        <v>38.172376288522969</v>
      </c>
      <c r="AW156">
        <f>Regression!$R$10+(Regression!$R$9*Table83[[#This Row],[Carbs]])</f>
        <v>255.32888299028684</v>
      </c>
      <c r="AX156" s="2">
        <f>Table83[[#This Row],[Weight]]-Table7[[#This Row],[Weight v Carbs]]</f>
        <v>-6.1288829902868542</v>
      </c>
      <c r="AY156" s="2">
        <f>Table7[[#This Row],[Wcarb Res]]^2</f>
        <v>37.563206708627533</v>
      </c>
      <c r="AZ156">
        <f>Regression!$S$10+(Regression!$S$9*Table83[[#This Row],[Fat ]])</f>
        <v>255.40130772038572</v>
      </c>
      <c r="BA156" s="2">
        <f>Table83[[#This Row],[Weight]]-Table7[[#This Row],[Weight v Fat]]</f>
        <v>-6.2013077203857279</v>
      </c>
      <c r="BB156" s="2">
        <f>Table7[[#This Row],[WF Res]]^2</f>
        <v>38.45621744291563</v>
      </c>
      <c r="BC156">
        <f>Regression!$T$10+(Regression!$T$9*Table83[[#This Row],[Protein]])</f>
        <v>254.98172424163138</v>
      </c>
      <c r="BD156" s="2">
        <f>Table83[[#This Row],[Weight]]-Table7[[#This Row],[Weight v Protein]]</f>
        <v>-5.7817242416313945</v>
      </c>
      <c r="BE156" s="2">
        <f>Table7[[#This Row],[WP Res]]^2</f>
        <v>33.428335206268123</v>
      </c>
      <c r="BF156">
        <f>Regression!$U$10+(Regression!$U$9*Table83[[#This Row],[Fiber]])</f>
        <v>255.29087337600396</v>
      </c>
      <c r="BG156" s="2">
        <f>Table83[[#This Row],[Weight]]-Table7[[#This Row],[Weight v Fiber]]</f>
        <v>-6.0908733760039695</v>
      </c>
      <c r="BH156" s="2">
        <f>Table7[[#This Row],[Wfib Res]]^2</f>
        <v>37.098738482513994</v>
      </c>
      <c r="BI156">
        <f>Regression!$V$10+(Regression!$V$9*Table83[[#This Row],[Sugar]])</f>
        <v>255.34044722368776</v>
      </c>
      <c r="BJ156" s="2">
        <f>Table83[[#This Row],[Weight]]-Table7[[#This Row],[Weight v Sugar]]</f>
        <v>-6.1404472236877723</v>
      </c>
      <c r="BK156" s="2">
        <f>Table7[[#This Row],[Wsugar Res]]^2</f>
        <v>37.705092106894874</v>
      </c>
      <c r="BL156">
        <f>Regression!$W$10+(Regression!$W$9*Table83[[#This Row],[Servings]])</f>
        <v>254.46578556517767</v>
      </c>
      <c r="BM156" s="2">
        <f>Table83[[#This Row],[Weight]]-Table7[[#This Row],[Weight v Servings]]</f>
        <v>-5.2657855651776799</v>
      </c>
      <c r="BN156" s="2">
        <f>Table7[[#This Row],[Wserv Res]]^2</f>
        <v>27.728497618433618</v>
      </c>
      <c r="BO156">
        <f>Regression!$X$10+(Regression!$X$9*Table83[[#This Row],[Water]])</f>
        <v>255.06345001025522</v>
      </c>
      <c r="BP156" s="2">
        <f>Table83[[#This Row],[Weight]]-Table7[[#This Row],[Weight v Water]]</f>
        <v>-5.8634500102552352</v>
      </c>
      <c r="BQ156" s="2">
        <f>Table7[[#This Row],[Wwater Res]]^2</f>
        <v>34.380046022762116</v>
      </c>
      <c r="BR156">
        <f>Regression!$Y$10+(Regression!$Y$9*Table83[[#This Row],[Fat Calories]])</f>
        <v>255.41483899269045</v>
      </c>
      <c r="BS156" s="2">
        <f>Table83[[#This Row],[Weight]]-Table7[[#This Row],[Weight v Fat Calories]]</f>
        <v>-6.2148389926904599</v>
      </c>
      <c r="BT156" s="2">
        <f>Table7[[#This Row],[WFC Res]]^2</f>
        <v>38.624223705065774</v>
      </c>
      <c r="BU156">
        <f>Regression!$B$29+(Regression!$B$28*Table83[[#This Row],[Weight]])</f>
        <v>43.647541043672753</v>
      </c>
      <c r="BV156" s="2">
        <f>Table83[[#This Row],[Waist]]-Table7[[#This Row],[Waist v Weight]]</f>
        <v>0.35245895632724711</v>
      </c>
      <c r="BW156" s="2">
        <f>Table7[[#This Row],[WaistW Res]]^2</f>
        <v>0.12422731589529229</v>
      </c>
      <c r="BX156">
        <f>Regression!$C$29+(Regression!$C$28*Table83[[#This Row],[Neck]])</f>
        <v>44.175585585585594</v>
      </c>
      <c r="BY156" s="2">
        <f>Table83[[#This Row],[Waist]]-Table7[[#This Row],[Waist v Neck]]</f>
        <v>-0.17558558558559412</v>
      </c>
      <c r="BZ156" s="2">
        <f>Table7[[#This Row],[WaistN Res]]^2</f>
        <v>3.0830297865435997E-2</v>
      </c>
      <c r="CA156">
        <f>Regression!$D$29+(Regression!$D$28*Table83[[#This Row],[Morning Body Temp]])</f>
        <v>44.30442342535018</v>
      </c>
      <c r="CB156" s="2">
        <f>Table83[[#This Row],[Waist]]-Table7[[#This Row],[Waist v Morning Temp]]</f>
        <v>-0.30442342535017985</v>
      </c>
      <c r="CC156" s="2">
        <f>Table7[[#This Row],[WaistMT Res]]^2</f>
        <v>9.2673621901936523E-2</v>
      </c>
      <c r="CD156">
        <f>Regression!$E$29+(Regression!$E$28*Table83[[#This Row],[Morning Systolic Pressure]])</f>
        <v>44.545198374576046</v>
      </c>
      <c r="CE156" s="2">
        <f>Table83[[#This Row],[Waist]]-Table7[[#This Row],[Waist v Morning Sys]]</f>
        <v>-0.54519837457604581</v>
      </c>
      <c r="CF156" s="2">
        <f>Table7[[#This Row],[WaistMS Res]]^2</f>
        <v>0.29724126764036235</v>
      </c>
      <c r="CG156">
        <f>Regression!$F$29+(Regression!$F$28*Table83[[#This Row],[Morning Diastolic Pressure]])</f>
        <v>44.452816668144258</v>
      </c>
      <c r="CH156" s="2">
        <f>Table83[[#This Row],[Waist]]-Table7[[#This Row],[Waist v Morning Dia]]</f>
        <v>-0.45281666814425847</v>
      </c>
      <c r="CI156" s="2">
        <f>Table7[[#This Row],[WaistMD Res]]^2</f>
        <v>0.20504293494926751</v>
      </c>
      <c r="CJ156">
        <f>Regression!$G$29+(Regression!$G$28*Table83[[#This Row],[Morning Pulse]])</f>
        <v>44.441983661475604</v>
      </c>
      <c r="CK156" s="2">
        <f>Table83[[#This Row],[Waist]]-Table7[[#This Row],[Waist v Morning Pulse]]</f>
        <v>-0.44198366147560364</v>
      </c>
      <c r="CL156" s="2">
        <f>Table7[[#This Row],[WaistMP Res]]^2</f>
        <v>0.19534955701138099</v>
      </c>
      <c r="CM156">
        <f>Regression!$H$29+(Regression!$H$28*Table83[[#This Row],[Night Body Temp]])</f>
        <v>44.440857030854289</v>
      </c>
      <c r="CN156" s="2">
        <f>Table83[[#This Row],[Waist]]-Table7[[#This Row],[Waist v Night Temp]]</f>
        <v>-0.44085703085428918</v>
      </c>
      <c r="CO156" s="2">
        <f>Table7[[#This Row],[WaistNT Res]]^2</f>
        <v>0.19435492165365967</v>
      </c>
      <c r="CP156">
        <f>Regression!$I$29+(Regression!$I$28*Table83[[#This Row],[Night Systolic Pressure]])</f>
        <v>44.703681258840639</v>
      </c>
      <c r="CQ156" s="2">
        <f>Table83[[#This Row],[Waist]]-Table7[[#This Row],[Waist v  Night Sys]]</f>
        <v>-0.70368125884063915</v>
      </c>
      <c r="CR156" s="2">
        <f>Table7[[#This Row],[WaistNS Res]]^2</f>
        <v>0.49516731404354658</v>
      </c>
      <c r="CS156">
        <f>Regression!$J$29+(Regression!$J$28*Table83[[#This Row],[Night Diastolic Pressure]])</f>
        <v>44.597635572813267</v>
      </c>
      <c r="CT156" s="2">
        <f>Table83[[#This Row],[Waist]]-Table7[[#This Row],[Waist v Night Dia]]</f>
        <v>-0.5976355728132674</v>
      </c>
      <c r="CU156" s="2">
        <f>Table7[[#This Row],[WaistND Res]]^2</f>
        <v>0.35716827789184225</v>
      </c>
      <c r="CV156">
        <f>Regression!$K$29+(Regression!$K$28*Table83[[#This Row],[Night Pulse]])</f>
        <v>44.473992104120093</v>
      </c>
      <c r="CW156" s="2">
        <f>Table83[[#This Row],[Waist]]-Table7[[#This Row],[Waist v Night Pulse]]</f>
        <v>-0.47399210412009296</v>
      </c>
      <c r="CX156" s="2">
        <f>Table7[[#This Row],[WaistNP Res]]^2</f>
        <v>0.22466851476819305</v>
      </c>
      <c r="CY156">
        <f>Regression!$L$29+(Regression!$L$28*Table83[[#This Row],[Sleep]])</f>
        <v>44.601188756845069</v>
      </c>
      <c r="CZ156" s="2">
        <f>Table83[[#This Row],[Waist]]-Table7[[#This Row],[Waist v  Sleep]]</f>
        <v>-0.60118875684506889</v>
      </c>
      <c r="DA156" s="2">
        <f>Table7[[#This Row],[WaistS Res]]^2</f>
        <v>0.36142792135691937</v>
      </c>
      <c r="DB156">
        <f>Regression!$M$29+(Regression!$M$28*Table83[[#This Row],[BMI]])</f>
        <v>43.647541043675311</v>
      </c>
      <c r="DC156" s="2">
        <f>Table83[[#This Row],[Waist]]-Table7[[#This Row],[Waist v BMI]]</f>
        <v>0.35245895632468915</v>
      </c>
      <c r="DD156" s="2">
        <f>Table7[[#This Row],[WaistBMI Res]]^2</f>
        <v>0.12422731589348913</v>
      </c>
      <c r="DE156">
        <f>Regression!$N$29+(Regression!$N$28*Table83[[#This Row],[CBF]])</f>
        <v>44.105031770433015</v>
      </c>
      <c r="DF156" s="2">
        <f>Table83[[#This Row],[Waist]]-Table7[[#This Row],[Waist v  CBF]]</f>
        <v>-0.10503177043301548</v>
      </c>
      <c r="DG156" s="2">
        <f>Table7[[#This Row],[WaistCBF Res]]^2</f>
        <v>1.1031672800293666E-2</v>
      </c>
      <c r="DH156">
        <f>Regression!$O$29+(Regression!$O$28*Table83[[#This Row],[Gym]])</f>
        <v>44.347222222222221</v>
      </c>
      <c r="DI156" s="2">
        <f>Table83[[#This Row],[Waist]]-Table7[[#This Row],[Waist v  Gym]]</f>
        <v>-0.34722222222222143</v>
      </c>
      <c r="DJ156" s="2">
        <f>Table7[[#This Row],[WaistGYM Res]]^2</f>
        <v>0.12056327160493772</v>
      </c>
      <c r="DK156">
        <f>Regression!$P$29+(Regression!$P$28*Table83[[#This Row],[Cardio]])</f>
        <v>44.291666666666664</v>
      </c>
      <c r="DL156" s="2">
        <f>Table83[[#This Row],[Waist]]-Table7[[#This Row],[Waist v Cardio]]</f>
        <v>-0.2916666666666643</v>
      </c>
      <c r="DM156" s="2">
        <f>Table7[[#This Row],[WaistC Res]]^2</f>
        <v>8.506944444444306E-2</v>
      </c>
      <c r="DN156">
        <f>Regression!$Q$29+(Regression!$Q$28*Table83[[#This Row],[Calories]])</f>
        <v>44.512705468814374</v>
      </c>
      <c r="DO156" s="2">
        <f>Table83[[#This Row],[Waist]]-Table7[[#This Row],[Waist v Calories]]</f>
        <v>-0.5127054688143744</v>
      </c>
      <c r="DP156" s="2">
        <f>Table7[[#This Row],[WaistCal Res]]^2</f>
        <v>0.26286689775216743</v>
      </c>
      <c r="DQ156">
        <f>Regression!$R$29+(Regression!$R$28*Table83[[#This Row],[Carbs]])</f>
        <v>44.498059739700075</v>
      </c>
      <c r="DR156" s="2">
        <f>Table83[[#This Row],[Waist]]-Table7[[#This Row],[Waist v Carbs]]</f>
        <v>-0.498059739700075</v>
      </c>
      <c r="DS156" s="2">
        <f>Table7[[#This Row],[WaistCarb Res]]^2</f>
        <v>0.24806350431010646</v>
      </c>
      <c r="DT156">
        <f>Regression!$S$29+(Regression!$S$28*Table83[[#This Row],[Fat ]])</f>
        <v>44.54104450847111</v>
      </c>
      <c r="DU156" s="2">
        <f>Table83[[#This Row],[Waist]]-Table7[[#This Row],[Waist v Fat]]</f>
        <v>-0.54104450847110996</v>
      </c>
      <c r="DV156" s="2">
        <f>Table7[[#This Row],[WaistF Res]]^2</f>
        <v>0.29272916014674499</v>
      </c>
      <c r="DW156">
        <f>Regression!$T$29+(Regression!$T$28*Table83[[#This Row],[Protein]])</f>
        <v>44.429137309517053</v>
      </c>
      <c r="DX156" s="2">
        <f>Table83[[#This Row],[Waist]]-Table7[[#This Row],[Waist v Protein]]</f>
        <v>-0.42913730951705276</v>
      </c>
      <c r="DY156" s="2">
        <f>Table7[[#This Row],[WaistP Res]]^2</f>
        <v>0.18415883041953474</v>
      </c>
      <c r="DZ156">
        <f>Regression!$U$29+(Regression!$U$28*Table83[[#This Row],[Fiber]])</f>
        <v>44.521385242052624</v>
      </c>
      <c r="EA156" s="2">
        <f>Table83[[#This Row],[Waist]]-Table7[[#This Row],[Waist v Fiber]]</f>
        <v>-0.52138524205262371</v>
      </c>
      <c r="EB156" s="2">
        <f>Table7[[#This Row],[WaistFib Res]]^2</f>
        <v>0.27184257063027301</v>
      </c>
      <c r="EC156">
        <f>Regression!$V$29+(Regression!$V$28*Table83[[#This Row],[Sugar]])</f>
        <v>44.49403095370382</v>
      </c>
      <c r="ED156" s="2">
        <f>Table83[[#This Row],[Waist]]-Table7[[#This Row],[Waist v Sugar]]</f>
        <v>-0.49403095370382033</v>
      </c>
      <c r="EE156" s="2">
        <f>Table7[[#This Row],[WaistSugar Res]]^2</f>
        <v>0.24406658321750627</v>
      </c>
      <c r="EF156">
        <f>Regression!$W$29+(Regression!$W$28*Table83[[#This Row],[Servings]])</f>
        <v>44.354473764689175</v>
      </c>
      <c r="EG156" s="2">
        <f>Table83[[#This Row],[Waist]]-Table7[[#This Row],[Waist v Servings]]</f>
        <v>-0.35447376468917469</v>
      </c>
      <c r="EH156" s="2">
        <f>Table7[[#This Row],[WaistServ Res]]^2</f>
        <v>0.12565164985291638</v>
      </c>
      <c r="EI156">
        <f>Regression!$X$29+(Regression!$X$28*Table83[[#This Row],[Water]])</f>
        <v>44.386198474840633</v>
      </c>
      <c r="EJ156" s="2">
        <f>Table83[[#This Row],[Waist]]-Table7[[#This Row],[Waist v Water]]</f>
        <v>-0.38619847484063285</v>
      </c>
      <c r="EK156" s="2">
        <f>Table7[[#This Row],[WaistWat Res]]^2</f>
        <v>0.14914926196923092</v>
      </c>
      <c r="EL156">
        <f>Regression!$Y$29+(Regression!$Y$28*Table83[[#This Row],[Fat Calories]])</f>
        <v>44.54471602932373</v>
      </c>
      <c r="EM156" s="2">
        <f>Table83[[#This Row],[Waist]]-Table7[[#This Row],[Waist v Fat Calories]]</f>
        <v>-0.54471602932373031</v>
      </c>
      <c r="EN156" s="2">
        <f>Table7[[#This Row],[WaistFatCal Res]]^2</f>
        <v>0.296715552602211</v>
      </c>
    </row>
    <row r="157" spans="1:144" x14ac:dyDescent="0.25">
      <c r="A157">
        <f>Regression!$B$10+(Regression!$B$9*Table83[[#This Row],[Waist]])</f>
        <v>252.52625917894264</v>
      </c>
      <c r="B157" s="2">
        <f>Table83[[#This Row],[Weight]]-Table7[[#This Row],[Weight v Waist]]</f>
        <v>0.2737408210573733</v>
      </c>
      <c r="C157" s="2">
        <f>Table7[[#This Row],[Weight v Waist Res]]^2</f>
        <v>7.4934037113164861E-2</v>
      </c>
      <c r="D157">
        <f>Regression!$C$10+(Regression!$C$9*Table83[[#This Row],[Neck]])</f>
        <v>253.29286486487842</v>
      </c>
      <c r="E157" s="2">
        <f>Table83[[#This Row],[Weight]]-Table7[[#This Row],[Weight v Neck]]</f>
        <v>-0.4928648648784133</v>
      </c>
      <c r="F157" s="2">
        <f>Table7[[#This Row],[WN Res]]^2</f>
        <v>0.2429157750316166</v>
      </c>
      <c r="G157">
        <f>Regression!$D$10+(Regression!$D$9*Table83[[#This Row],[Morning Body Temp]])</f>
        <v>255.3411606659738</v>
      </c>
      <c r="H157" s="2">
        <f>Table83[[#This Row],[Weight]]-Table7[[#This Row],[Weight v Morning Temp]]</f>
        <v>-2.5411606659737913</v>
      </c>
      <c r="I157" s="2">
        <f>Table7[[#This Row],[WMT Res]]^2</f>
        <v>6.457497530292363</v>
      </c>
      <c r="J157">
        <f>Regression!$E$10+(Regression!$E$9*Table83[[#This Row],[Morning Systolic Pressure]])</f>
        <v>255.46010425966242</v>
      </c>
      <c r="K157" s="2">
        <f>Table83[[#This Row],[Weight]]-Table7[[#This Row],[Weight v Morning Sys]]</f>
        <v>-2.660104259662404</v>
      </c>
      <c r="L157" s="2">
        <f>Table7[[#This Row],[WMS Res]]^2</f>
        <v>7.0761546722740665</v>
      </c>
      <c r="M157">
        <f>Regression!$F$10+(Regression!$F$9*Table83[[#This Row],[Morning Diastolic Pressure]])</f>
        <v>255.20338414629154</v>
      </c>
      <c r="N157" s="2">
        <f>Table83[[#This Row],[Weight]]-Table7[[#This Row],[Weight v Morning Dia]]</f>
        <v>-2.4033841462915291</v>
      </c>
      <c r="O157" s="2">
        <f>Table7[[#This Row],[WMD Res]]^2</f>
        <v>5.7762553546454622</v>
      </c>
      <c r="P157">
        <f>Regression!$G$10+(Regression!$G$9*Table83[[#This Row],[Morning Pulse]])</f>
        <v>255.10450611561251</v>
      </c>
      <c r="Q157" s="2">
        <f>Table83[[#This Row],[Weight]]-Table7[[#This Row],[Weight v Morning Pulse]]</f>
        <v>-2.3045061156124973</v>
      </c>
      <c r="R157" s="2">
        <f>Table7[[#This Row],[WMP Res]]^2</f>
        <v>5.310748436895401</v>
      </c>
      <c r="S157">
        <f>Regression!$H$10+(Regression!$H$9*Table83[[#This Row],[Night Body Temp]])</f>
        <v>254.74879010704339</v>
      </c>
      <c r="T157" s="2">
        <f>Table83[[#This Row],[Weight]]-Table7[[#This Row],[Weight v Night Temp]]</f>
        <v>-1.9487901070433793</v>
      </c>
      <c r="U157" s="2">
        <f>Table7[[#This Row],[WNT Res]]^2</f>
        <v>3.7977828813101455</v>
      </c>
      <c r="V157">
        <f>Regression!$I$10+(Regression!$I$9*Table83[[#This Row],[Night Systolic Pressure]])</f>
        <v>256.98354357165118</v>
      </c>
      <c r="W157" s="2">
        <f>Table83[[#This Row],[Weight]]-Table7[[#This Row],[Weight v Night Sys]]</f>
        <v>-4.1835435716511711</v>
      </c>
      <c r="X157" s="2">
        <f>Table7[[#This Row],[WNS Res]]^2</f>
        <v>17.502036815903836</v>
      </c>
      <c r="Y157">
        <f>Regression!$J$10+(Regression!$J$9*Table83[[#This Row],[Night Diastolic Pressure]])</f>
        <v>255.45920918999101</v>
      </c>
      <c r="Z157" s="2">
        <f>Table83[[#This Row],[Weight]]-Table7[[#This Row],[Weight v Night Dia]]</f>
        <v>-2.6592091899910031</v>
      </c>
      <c r="AA157" s="2">
        <f>Table7[[#This Row],[WND Res]]^2</f>
        <v>7.0713935161326065</v>
      </c>
      <c r="AB157">
        <f>Regression!$K$10+(Regression!$K$9*Table83[[#This Row],[Night Pulse]])</f>
        <v>254.89515854008414</v>
      </c>
      <c r="AC157" s="2">
        <f>Table83[[#This Row],[Weight]]-Table7[[#This Row],[Weight v Night Pulse]]</f>
        <v>-2.0951585400841282</v>
      </c>
      <c r="AD157" s="2">
        <f>Table7[[#This Row],[WNP Res ]]^2</f>
        <v>4.3896893080874548</v>
      </c>
      <c r="AE157">
        <f>Regression!$L$10+(Regression!$L$9*Table83[[#This Row],[Sleep]])</f>
        <v>255.13702972738133</v>
      </c>
      <c r="AF157" s="2">
        <f>Table83[[#This Row],[Weight]]-Table7[[#This Row],[Weight v Sleep]]</f>
        <v>-2.3370297273813208</v>
      </c>
      <c r="AG157" s="2">
        <f>Table7[[#This Row],[WS Res]]^2</f>
        <v>5.4617079466640108</v>
      </c>
      <c r="AH157">
        <f>Regression!$M$10+(Regression!$M$9*Table83[[#This Row],[BMI]])</f>
        <v>252.80000000000521</v>
      </c>
      <c r="AI157" s="2">
        <f>Table83[[#This Row],[Weight]]-Table7[[#This Row],[Weight v BMI]]</f>
        <v>-5.2011728257639334E-12</v>
      </c>
      <c r="AJ157" s="2">
        <f>Table7[[#This Row],[WBMI Res]]^2</f>
        <v>2.7052198763465179E-23</v>
      </c>
      <c r="AK157">
        <f>Regression!$N$10+(Regression!$N$9*Table83[[#This Row],[CBF]])</f>
        <v>253.17965033701802</v>
      </c>
      <c r="AL157" s="2">
        <f>Table83[[#This Row],[Weight]]-Table7[[#This Row],[Weight v CBF]]</f>
        <v>-0.37965033701800621</v>
      </c>
      <c r="AM157" s="2">
        <f>Table7[[#This Row],[WCBF Res]]^2</f>
        <v>0.1441343783978857</v>
      </c>
      <c r="AN157">
        <f>Regression!$O$10+(Regression!$O$9*Table83[[#This Row],[Gym]])</f>
        <v>254.72962962962998</v>
      </c>
      <c r="AO157" s="2">
        <f>Table83[[#This Row],[Weight]]-Table7[[#This Row],[Weight v Gym]]</f>
        <v>-1.9296296296299715</v>
      </c>
      <c r="AP157" s="2">
        <f>Table7[[#This Row],[WG Res]]^2</f>
        <v>3.7234705075459011</v>
      </c>
      <c r="AQ157">
        <f>Regression!$P$10+(Regression!$P$9*Table83[[#This Row],[Cardio]])</f>
        <v>254.19242424242461</v>
      </c>
      <c r="AR157" s="2">
        <f>Table83[[#This Row],[Weight]]-Table7[[#This Row],[Weight v Cardio]]</f>
        <v>-1.3924242424245961</v>
      </c>
      <c r="AS157" s="2">
        <f>Table7[[#This Row],[WC Res]]^2</f>
        <v>1.9388452708917103</v>
      </c>
      <c r="AT157">
        <f>Regression!$Q$10+(Regression!$Q$9*Table83[[#This Row],[Calories]])</f>
        <v>255.15666807491718</v>
      </c>
      <c r="AU157" s="2">
        <f>Table83[[#This Row],[Weight]]-Table7[[#This Row],[Weight v Calories]]</f>
        <v>-2.3566680749171667</v>
      </c>
      <c r="AV157" s="2">
        <f>Table7[[#This Row],[WCAL Res]]^2</f>
        <v>5.5538844153337843</v>
      </c>
      <c r="AW157">
        <f>Regression!$R$10+(Regression!$R$9*Table83[[#This Row],[Carbs]])</f>
        <v>254.97658553929776</v>
      </c>
      <c r="AX157" s="2">
        <f>Table83[[#This Row],[Weight]]-Table7[[#This Row],[Weight v Carbs]]</f>
        <v>-2.1765855392977471</v>
      </c>
      <c r="AY157" s="2">
        <f>Table7[[#This Row],[Wcarb Res]]^2</f>
        <v>4.7375246098800643</v>
      </c>
      <c r="AZ157">
        <f>Regression!$S$10+(Regression!$S$9*Table83[[#This Row],[Fat ]])</f>
        <v>255.30363633486607</v>
      </c>
      <c r="BA157" s="2">
        <f>Table83[[#This Row],[Weight]]-Table7[[#This Row],[Weight v Fat]]</f>
        <v>-2.5036363348660586</v>
      </c>
      <c r="BB157" s="2">
        <f>Table7[[#This Row],[WF Res]]^2</f>
        <v>6.2681948972615515</v>
      </c>
      <c r="BC157">
        <f>Regression!$T$10+(Regression!$T$9*Table83[[#This Row],[Protein]])</f>
        <v>254.97602001467209</v>
      </c>
      <c r="BD157" s="2">
        <f>Table83[[#This Row],[Weight]]-Table7[[#This Row],[Weight v Protein]]</f>
        <v>-2.1760200146720763</v>
      </c>
      <c r="BE157" s="2">
        <f>Table7[[#This Row],[WP Res]]^2</f>
        <v>4.735063104253463</v>
      </c>
      <c r="BF157">
        <f>Regression!$U$10+(Regression!$U$9*Table83[[#This Row],[Fiber]])</f>
        <v>254.98336300621381</v>
      </c>
      <c r="BG157" s="2">
        <f>Table83[[#This Row],[Weight]]-Table7[[#This Row],[Weight v Fiber]]</f>
        <v>-2.1833630062137956</v>
      </c>
      <c r="BH157" s="2">
        <f>Table7[[#This Row],[Wfib Res]]^2</f>
        <v>4.7670740169029431</v>
      </c>
      <c r="BI157">
        <f>Regression!$V$10+(Regression!$V$9*Table83[[#This Row],[Sugar]])</f>
        <v>254.35324911156513</v>
      </c>
      <c r="BJ157" s="2">
        <f>Table83[[#This Row],[Weight]]-Table7[[#This Row],[Weight v Sugar]]</f>
        <v>-1.5532491115651226</v>
      </c>
      <c r="BK157" s="2">
        <f>Table7[[#This Row],[Wsugar Res]]^2</f>
        <v>2.4125828025778424</v>
      </c>
      <c r="BL157">
        <f>Regression!$W$10+(Regression!$W$9*Table83[[#This Row],[Servings]])</f>
        <v>253.22041882561592</v>
      </c>
      <c r="BM157" s="2">
        <f>Table83[[#This Row],[Weight]]-Table7[[#This Row],[Weight v Servings]]</f>
        <v>-0.42041882561591137</v>
      </c>
      <c r="BN157" s="2">
        <f>Table7[[#This Row],[Wserv Res]]^2</f>
        <v>0.1767519889322621</v>
      </c>
      <c r="BO157">
        <f>Regression!$X$10+(Regression!$X$9*Table83[[#This Row],[Water]])</f>
        <v>255.0206340268538</v>
      </c>
      <c r="BP157" s="2">
        <f>Table83[[#This Row],[Weight]]-Table7[[#This Row],[Weight v Water]]</f>
        <v>-2.2206340268537872</v>
      </c>
      <c r="BQ157" s="2">
        <f>Table7[[#This Row],[Wwater Res]]^2</f>
        <v>4.9312154812208666</v>
      </c>
      <c r="BR157">
        <f>Regression!$Y$10+(Regression!$Y$9*Table83[[#This Row],[Fat Calories]])</f>
        <v>255.31089206743778</v>
      </c>
      <c r="BS157" s="2">
        <f>Table83[[#This Row],[Weight]]-Table7[[#This Row],[Weight v Fat Calories]]</f>
        <v>-2.5108920674377657</v>
      </c>
      <c r="BT157" s="2">
        <f>Table7[[#This Row],[WFC Res]]^2</f>
        <v>6.3045789743218972</v>
      </c>
      <c r="BU157">
        <f>Regression!$B$29+(Regression!$B$28*Table83[[#This Row],[Weight]])</f>
        <v>44.138086081724687</v>
      </c>
      <c r="BV157" s="2">
        <f>Table83[[#This Row],[Waist]]-Table7[[#This Row],[Waist v Weight]]</f>
        <v>-0.13808608172468695</v>
      </c>
      <c r="BW157" s="2">
        <f>Table7[[#This Row],[WaistW Res]]^2</f>
        <v>1.9067765966076924E-2</v>
      </c>
      <c r="BX157">
        <f>Regression!$C$29+(Regression!$C$28*Table83[[#This Row],[Neck]])</f>
        <v>44.175585585585594</v>
      </c>
      <c r="BY157" s="2">
        <f>Table83[[#This Row],[Waist]]-Table7[[#This Row],[Waist v Neck]]</f>
        <v>-0.17558558558559412</v>
      </c>
      <c r="BZ157" s="2">
        <f>Table7[[#This Row],[WaistN Res]]^2</f>
        <v>3.0830297865435997E-2</v>
      </c>
      <c r="CA157">
        <f>Regression!$D$29+(Regression!$D$28*Table83[[#This Row],[Morning Body Temp]])</f>
        <v>44.515038370284842</v>
      </c>
      <c r="CB157" s="2">
        <f>Table83[[#This Row],[Waist]]-Table7[[#This Row],[Waist v Morning Temp]]</f>
        <v>-0.51503837028484156</v>
      </c>
      <c r="CC157" s="2">
        <f>Table7[[#This Row],[WaistMT Res]]^2</f>
        <v>0.26526452286566554</v>
      </c>
      <c r="CD157">
        <f>Regression!$E$29+(Regression!$E$28*Table83[[#This Row],[Morning Systolic Pressure]])</f>
        <v>44.534607969333621</v>
      </c>
      <c r="CE157" s="2">
        <f>Table83[[#This Row],[Waist]]-Table7[[#This Row],[Waist v Morning Sys]]</f>
        <v>-0.53460796933362076</v>
      </c>
      <c r="CF157" s="2">
        <f>Table7[[#This Row],[WaistMS Res]]^2</f>
        <v>0.28580568087501762</v>
      </c>
      <c r="CG157">
        <f>Regression!$F$29+(Regression!$F$28*Table83[[#This Row],[Morning Diastolic Pressure]])</f>
        <v>44.458452288813113</v>
      </c>
      <c r="CH157" s="2">
        <f>Table83[[#This Row],[Waist]]-Table7[[#This Row],[Waist v Morning Dia]]</f>
        <v>-0.45845228881311328</v>
      </c>
      <c r="CI157" s="2">
        <f>Table7[[#This Row],[WaistMD Res]]^2</f>
        <v>0.21017850111798222</v>
      </c>
      <c r="CJ157">
        <f>Regression!$G$29+(Regression!$G$28*Table83[[#This Row],[Morning Pulse]])</f>
        <v>44.448699682064515</v>
      </c>
      <c r="CK157" s="2">
        <f>Table83[[#This Row],[Waist]]-Table7[[#This Row],[Waist v Morning Pulse]]</f>
        <v>-0.4486996820645146</v>
      </c>
      <c r="CL157" s="2">
        <f>Table7[[#This Row],[WaistMP Res]]^2</f>
        <v>0.20133140468479649</v>
      </c>
      <c r="CM157">
        <f>Regression!$H$29+(Regression!$H$28*Table83[[#This Row],[Night Body Temp]])</f>
        <v>44.424663183244519</v>
      </c>
      <c r="CN157" s="2">
        <f>Table83[[#This Row],[Waist]]-Table7[[#This Row],[Waist v Night Temp]]</f>
        <v>-0.4246631832445189</v>
      </c>
      <c r="CO157" s="2">
        <f>Table7[[#This Row],[WaistNT Res]]^2</f>
        <v>0.18033881920336783</v>
      </c>
      <c r="CP157">
        <f>Regression!$I$29+(Regression!$I$28*Table83[[#This Row],[Night Systolic Pressure]])</f>
        <v>44.718221373166251</v>
      </c>
      <c r="CQ157" s="2">
        <f>Table83[[#This Row],[Waist]]-Table7[[#This Row],[Waist v  Night Sys]]</f>
        <v>-0.71822137316625145</v>
      </c>
      <c r="CR157" s="2">
        <f>Table7[[#This Row],[WaistNS Res]]^2</f>
        <v>0.51584194087281587</v>
      </c>
      <c r="CS157">
        <f>Regression!$J$29+(Regression!$J$28*Table83[[#This Row],[Night Diastolic Pressure]])</f>
        <v>44.597635572813267</v>
      </c>
      <c r="CT157" s="2">
        <f>Table83[[#This Row],[Waist]]-Table7[[#This Row],[Waist v Night Dia]]</f>
        <v>-0.5976355728132674</v>
      </c>
      <c r="CU157" s="2">
        <f>Table7[[#This Row],[WaistND Res]]^2</f>
        <v>0.35716827789184225</v>
      </c>
      <c r="CV157">
        <f>Regression!$K$29+(Regression!$K$28*Table83[[#This Row],[Night Pulse]])</f>
        <v>44.473992104120093</v>
      </c>
      <c r="CW157" s="2">
        <f>Table83[[#This Row],[Waist]]-Table7[[#This Row],[Waist v Night Pulse]]</f>
        <v>-0.47399210412009296</v>
      </c>
      <c r="CX157" s="2">
        <f>Table7[[#This Row],[WaistNP Res]]^2</f>
        <v>0.22466851476819305</v>
      </c>
      <c r="CY157">
        <f>Regression!$L$29+(Regression!$L$28*Table83[[#This Row],[Sleep]])</f>
        <v>44.456891852858099</v>
      </c>
      <c r="CZ157" s="2">
        <f>Table83[[#This Row],[Waist]]-Table7[[#This Row],[Waist v  Sleep]]</f>
        <v>-0.45689185285809941</v>
      </c>
      <c r="DA157" s="2">
        <f>Table7[[#This Row],[WaistS Res]]^2</f>
        <v>0.20875016520810716</v>
      </c>
      <c r="DB157">
        <f>Regression!$M$29+(Regression!$M$28*Table83[[#This Row],[BMI]])</f>
        <v>44.138086081725689</v>
      </c>
      <c r="DC157" s="2">
        <f>Table83[[#This Row],[Waist]]-Table7[[#This Row],[Waist v BMI]]</f>
        <v>-0.13808608172568881</v>
      </c>
      <c r="DD157" s="2">
        <f>Table7[[#This Row],[WaistBMI Res]]^2</f>
        <v>1.9067765966353609E-2</v>
      </c>
      <c r="DE157">
        <f>Regression!$N$29+(Regression!$N$28*Table83[[#This Row],[CBF]])</f>
        <v>44.105031770433015</v>
      </c>
      <c r="DF157" s="2">
        <f>Table83[[#This Row],[Waist]]-Table7[[#This Row],[Waist v  CBF]]</f>
        <v>-0.10503177043301548</v>
      </c>
      <c r="DG157" s="2">
        <f>Table7[[#This Row],[WaistCBF Res]]^2</f>
        <v>1.1031672800293666E-2</v>
      </c>
      <c r="DH157">
        <f>Regression!$O$29+(Regression!$O$28*Table83[[#This Row],[Gym]])</f>
        <v>44.347222222222221</v>
      </c>
      <c r="DI157" s="2">
        <f>Table83[[#This Row],[Waist]]-Table7[[#This Row],[Waist v  Gym]]</f>
        <v>-0.34722222222222143</v>
      </c>
      <c r="DJ157" s="2">
        <f>Table7[[#This Row],[WaistGYM Res]]^2</f>
        <v>0.12056327160493772</v>
      </c>
      <c r="DK157">
        <f>Regression!$P$29+(Regression!$P$28*Table83[[#This Row],[Cardio]])</f>
        <v>44.291666666666664</v>
      </c>
      <c r="DL157" s="2">
        <f>Table83[[#This Row],[Waist]]-Table7[[#This Row],[Waist v Cardio]]</f>
        <v>-0.2916666666666643</v>
      </c>
      <c r="DM157" s="2">
        <f>Table7[[#This Row],[WaistC Res]]^2</f>
        <v>8.506944444444306E-2</v>
      </c>
      <c r="DN157">
        <f>Regression!$Q$29+(Regression!$Q$28*Table83[[#This Row],[Calories]])</f>
        <v>44.462891773762372</v>
      </c>
      <c r="DO157" s="2">
        <f>Table83[[#This Row],[Waist]]-Table7[[#This Row],[Waist v Calories]]</f>
        <v>-0.46289177376237234</v>
      </c>
      <c r="DP157" s="2">
        <f>Table7[[#This Row],[WaistCal Res]]^2</f>
        <v>0.21426879421687531</v>
      </c>
      <c r="DQ157">
        <f>Regression!$R$29+(Regression!$R$28*Table83[[#This Row],[Carbs]])</f>
        <v>44.424713567789084</v>
      </c>
      <c r="DR157" s="2">
        <f>Table83[[#This Row],[Waist]]-Table7[[#This Row],[Waist v Carbs]]</f>
        <v>-0.42471356778908387</v>
      </c>
      <c r="DS157" s="2">
        <f>Table7[[#This Row],[WaistCarb Res]]^2</f>
        <v>0.18038161466413274</v>
      </c>
      <c r="DT157">
        <f>Regression!$S$29+(Regression!$S$28*Table83[[#This Row],[Fat ]])</f>
        <v>44.511188432908988</v>
      </c>
      <c r="DU157" s="2">
        <f>Table83[[#This Row],[Waist]]-Table7[[#This Row],[Waist v Fat]]</f>
        <v>-0.51118843290898752</v>
      </c>
      <c r="DV157" s="2">
        <f>Table7[[#This Row],[WaistF Res]]^2</f>
        <v>0.26131361393994645</v>
      </c>
      <c r="DW157">
        <f>Regression!$T$29+(Regression!$T$28*Table83[[#This Row],[Protein]])</f>
        <v>44.428093224091711</v>
      </c>
      <c r="DX157" s="2">
        <f>Table83[[#This Row],[Waist]]-Table7[[#This Row],[Waist v Protein]]</f>
        <v>-0.42809322409171102</v>
      </c>
      <c r="DY157" s="2">
        <f>Table7[[#This Row],[WaistP Res]]^2</f>
        <v>0.1832638085132359</v>
      </c>
      <c r="DZ157">
        <f>Regression!$U$29+(Regression!$U$28*Table83[[#This Row],[Fiber]])</f>
        <v>44.402729305403305</v>
      </c>
      <c r="EA157" s="2">
        <f>Table83[[#This Row],[Waist]]-Table7[[#This Row],[Waist v Fiber]]</f>
        <v>-0.4027293054033052</v>
      </c>
      <c r="EB157" s="2">
        <f>Table7[[#This Row],[WaistFib Res]]^2</f>
        <v>0.16219089343062867</v>
      </c>
      <c r="EC157">
        <f>Regression!$V$29+(Regression!$V$28*Table83[[#This Row],[Sugar]])</f>
        <v>44.316691823108101</v>
      </c>
      <c r="ED157" s="2">
        <f>Table83[[#This Row],[Waist]]-Table7[[#This Row],[Waist v Sugar]]</f>
        <v>-0.31669182310810129</v>
      </c>
      <c r="EE157" s="2">
        <f>Table7[[#This Row],[WaistSugar Res]]^2</f>
        <v>0.10029371082353292</v>
      </c>
      <c r="EF157">
        <f>Regression!$W$29+(Regression!$W$28*Table83[[#This Row],[Servings]])</f>
        <v>44.164451548036162</v>
      </c>
      <c r="EG157" s="2">
        <f>Table83[[#This Row],[Waist]]-Table7[[#This Row],[Waist v Servings]]</f>
        <v>-0.16445154803616191</v>
      </c>
      <c r="EH157" s="2">
        <f>Table7[[#This Row],[WaistServ Res]]^2</f>
        <v>2.7044311651490068E-2</v>
      </c>
      <c r="EI157">
        <f>Regression!$X$29+(Regression!$X$28*Table83[[#This Row],[Water]])</f>
        <v>44.33031459742935</v>
      </c>
      <c r="EJ157" s="2">
        <f>Table83[[#This Row],[Waist]]-Table7[[#This Row],[Waist v Water]]</f>
        <v>-0.33031459742934999</v>
      </c>
      <c r="EK157" s="2">
        <f>Table7[[#This Row],[WaistWat Res]]^2</f>
        <v>0.10910773327491355</v>
      </c>
      <c r="EL157">
        <f>Regression!$Y$29+(Regression!$Y$28*Table83[[#This Row],[Fat Calories]])</f>
        <v>44.513102779045731</v>
      </c>
      <c r="EM157" s="2">
        <f>Table83[[#This Row],[Waist]]-Table7[[#This Row],[Waist v Fat Calories]]</f>
        <v>-0.51310277904573098</v>
      </c>
      <c r="EN157" s="2">
        <f>Table7[[#This Row],[WaistFatCal Res]]^2</f>
        <v>0.26327446186445225</v>
      </c>
    </row>
    <row r="158" spans="1:144" x14ac:dyDescent="0.25">
      <c r="A158">
        <f>Regression!$B$10+(Regression!$B$9*Table83[[#This Row],[Waist]])</f>
        <v>252.52625917894264</v>
      </c>
      <c r="B158" s="2">
        <f>Table83[[#This Row],[Weight]]-Table7[[#This Row],[Weight v Waist]]</f>
        <v>0.47374082105736193</v>
      </c>
      <c r="C158" s="2">
        <f>Table7[[#This Row],[Weight v Waist Res]]^2</f>
        <v>0.2244303655361034</v>
      </c>
      <c r="D158">
        <f>Regression!$C$10+(Regression!$C$9*Table83[[#This Row],[Neck]])</f>
        <v>253.29286486487842</v>
      </c>
      <c r="E158" s="2">
        <f>Table83[[#This Row],[Weight]]-Table7[[#This Row],[Weight v Neck]]</f>
        <v>-0.29286486487842467</v>
      </c>
      <c r="F158" s="2">
        <f>Table7[[#This Row],[WN Res]]^2</f>
        <v>8.5769829080257945E-2</v>
      </c>
      <c r="G158">
        <f>Regression!$D$10+(Regression!$D$9*Table83[[#This Row],[Morning Body Temp]])</f>
        <v>255.41155922019615</v>
      </c>
      <c r="H158" s="2">
        <f>Table83[[#This Row],[Weight]]-Table7[[#This Row],[Weight v Morning Temp]]</f>
        <v>-2.4115592201961533</v>
      </c>
      <c r="I158" s="2">
        <f>Table7[[#This Row],[WMT Res]]^2</f>
        <v>5.8156178725130792</v>
      </c>
      <c r="J158">
        <f>Regression!$E$10+(Regression!$E$9*Table83[[#This Row],[Morning Systolic Pressure]])</f>
        <v>254.73886899784827</v>
      </c>
      <c r="K158" s="2">
        <f>Table83[[#This Row],[Weight]]-Table7[[#This Row],[Weight v Morning Sys]]</f>
        <v>-1.7388689978482716</v>
      </c>
      <c r="L158" s="2">
        <f>Table7[[#This Row],[WMS Res]]^2</f>
        <v>3.0236653916778526</v>
      </c>
      <c r="M158">
        <f>Regression!$F$10+(Regression!$F$9*Table83[[#This Row],[Morning Diastolic Pressure]])</f>
        <v>256.11548238769547</v>
      </c>
      <c r="N158" s="2">
        <f>Table83[[#This Row],[Weight]]-Table7[[#This Row],[Weight v Morning Dia]]</f>
        <v>-3.1154823876954651</v>
      </c>
      <c r="O158" s="2">
        <f>Table7[[#This Row],[WMD Res]]^2</f>
        <v>9.7062305080406368</v>
      </c>
      <c r="P158">
        <f>Regression!$G$10+(Regression!$G$9*Table83[[#This Row],[Morning Pulse]])</f>
        <v>255.10267831985533</v>
      </c>
      <c r="Q158" s="2">
        <f>Table83[[#This Row],[Weight]]-Table7[[#This Row],[Weight v Morning Pulse]]</f>
        <v>-2.1026783198553289</v>
      </c>
      <c r="R158" s="2">
        <f>Table7[[#This Row],[WMP Res]]^2</f>
        <v>4.4212561167896292</v>
      </c>
      <c r="S158">
        <f>Regression!$H$10+(Regression!$H$9*Table83[[#This Row],[Night Body Temp]])</f>
        <v>254.95418324800676</v>
      </c>
      <c r="T158" s="2">
        <f>Table83[[#This Row],[Weight]]-Table7[[#This Row],[Weight v Night Temp]]</f>
        <v>-1.9541832480067569</v>
      </c>
      <c r="U158" s="2">
        <f>Table7[[#This Row],[WNT Res]]^2</f>
        <v>3.8188321667902381</v>
      </c>
      <c r="V158">
        <f>Regression!$I$10+(Regression!$I$9*Table83[[#This Row],[Night Systolic Pressure]])</f>
        <v>256.77825390359425</v>
      </c>
      <c r="W158" s="2">
        <f>Table83[[#This Row],[Weight]]-Table7[[#This Row],[Weight v Night Sys]]</f>
        <v>-3.7782539035942477</v>
      </c>
      <c r="X158" s="2">
        <f>Table7[[#This Row],[WNS Res]]^2</f>
        <v>14.275202560025171</v>
      </c>
      <c r="Y158">
        <f>Regression!$J$10+(Regression!$J$9*Table83[[#This Row],[Night Diastolic Pressure]])</f>
        <v>255.49997505840713</v>
      </c>
      <c r="Z158" s="2">
        <f>Table83[[#This Row],[Weight]]-Table7[[#This Row],[Weight v Night Dia]]</f>
        <v>-2.4999750584071307</v>
      </c>
      <c r="AA158" s="2">
        <f>Table7[[#This Row],[WND Res]]^2</f>
        <v>6.2498752926577366</v>
      </c>
      <c r="AB158">
        <f>Regression!$K$10+(Regression!$K$9*Table83[[#This Row],[Night Pulse]])</f>
        <v>254.92587187132088</v>
      </c>
      <c r="AC158" s="2">
        <f>Table83[[#This Row],[Weight]]-Table7[[#This Row],[Weight v Night Pulse]]</f>
        <v>-1.9258718713208793</v>
      </c>
      <c r="AD158" s="2">
        <f>Table7[[#This Row],[WNP Res ]]^2</f>
        <v>3.7089824647449858</v>
      </c>
      <c r="AE158">
        <f>Regression!$L$10+(Regression!$L$9*Table83[[#This Row],[Sleep]])</f>
        <v>254.82155554400751</v>
      </c>
      <c r="AF158" s="2">
        <f>Table83[[#This Row],[Weight]]-Table7[[#This Row],[Weight v Sleep]]</f>
        <v>-1.8215555440075093</v>
      </c>
      <c r="AG158" s="2">
        <f>Table7[[#This Row],[WS Res]]^2</f>
        <v>3.3180645999044933</v>
      </c>
      <c r="AH158">
        <f>Regression!$M$10+(Regression!$M$9*Table83[[#This Row],[BMI]])</f>
        <v>253.00000000000475</v>
      </c>
      <c r="AI158" s="2">
        <f>Table83[[#This Row],[Weight]]-Table7[[#This Row],[Weight v BMI]]</f>
        <v>-4.7464254748774692E-12</v>
      </c>
      <c r="AJ158" s="2">
        <f>Table7[[#This Row],[WBMI Res]]^2</f>
        <v>2.2528554788565809E-23</v>
      </c>
      <c r="AK158">
        <f>Regression!$N$10+(Regression!$N$9*Table83[[#This Row],[CBF]])</f>
        <v>253.17965033701802</v>
      </c>
      <c r="AL158" s="2">
        <f>Table83[[#This Row],[Weight]]-Table7[[#This Row],[Weight v CBF]]</f>
        <v>-0.17965033701801758</v>
      </c>
      <c r="AM158" s="2">
        <f>Table7[[#This Row],[WCBF Res]]^2</f>
        <v>3.2274243590687299E-2</v>
      </c>
      <c r="AN158">
        <f>Regression!$O$10+(Regression!$O$9*Table83[[#This Row],[Gym]])</f>
        <v>254.72962962962998</v>
      </c>
      <c r="AO158" s="2">
        <f>Table83[[#This Row],[Weight]]-Table7[[#This Row],[Weight v Gym]]</f>
        <v>-1.7296296296299829</v>
      </c>
      <c r="AP158" s="2">
        <f>Table7[[#This Row],[WG Res]]^2</f>
        <v>2.9916186556939519</v>
      </c>
      <c r="AQ158">
        <f>Regression!$P$10+(Regression!$P$9*Table83[[#This Row],[Cardio]])</f>
        <v>254.19242424242461</v>
      </c>
      <c r="AR158" s="2">
        <f>Table83[[#This Row],[Weight]]-Table7[[#This Row],[Weight v Cardio]]</f>
        <v>-1.1924242424246074</v>
      </c>
      <c r="AS158" s="2">
        <f>Table7[[#This Row],[WC Res]]^2</f>
        <v>1.4218755739218989</v>
      </c>
      <c r="AT158">
        <f>Regression!$Q$10+(Regression!$Q$9*Table83[[#This Row],[Calories]])</f>
        <v>253.40251612153202</v>
      </c>
      <c r="AU158" s="2">
        <f>Table83[[#This Row],[Weight]]-Table7[[#This Row],[Weight v Calories]]</f>
        <v>-0.40251612153201677</v>
      </c>
      <c r="AV158" s="2">
        <f>Table7[[#This Row],[WCAL Res]]^2</f>
        <v>0.16201922809317729</v>
      </c>
      <c r="AW158">
        <f>Regression!$R$10+(Regression!$R$9*Table83[[#This Row],[Carbs]])</f>
        <v>253.79647085115406</v>
      </c>
      <c r="AX158" s="2">
        <f>Table83[[#This Row],[Weight]]-Table7[[#This Row],[Weight v Carbs]]</f>
        <v>-0.79647085115405503</v>
      </c>
      <c r="AY158" s="2">
        <f>Table7[[#This Row],[Wcarb Res]]^2</f>
        <v>0.63436581673806491</v>
      </c>
      <c r="AZ158">
        <f>Regression!$S$10+(Regression!$S$9*Table83[[#This Row],[Fat ]])</f>
        <v>254.08119643763163</v>
      </c>
      <c r="BA158" s="2">
        <f>Table83[[#This Row],[Weight]]-Table7[[#This Row],[Weight v Fat]]</f>
        <v>-1.0811964376316325</v>
      </c>
      <c r="BB158" s="2">
        <f>Table7[[#This Row],[WF Res]]^2</f>
        <v>1.1689857367473326</v>
      </c>
      <c r="BC158">
        <f>Regression!$T$10+(Regression!$T$9*Table83[[#This Row],[Protein]])</f>
        <v>253.02421020875488</v>
      </c>
      <c r="BD158" s="2">
        <f>Table83[[#This Row],[Weight]]-Table7[[#This Row],[Weight v Protein]]</f>
        <v>-2.4210208754880114E-2</v>
      </c>
      <c r="BE158" s="2">
        <f>Table7[[#This Row],[WP Res]]^2</f>
        <v>5.8613420795487368E-4</v>
      </c>
      <c r="BF158">
        <f>Regression!$U$10+(Regression!$U$9*Table83[[#This Row],[Fiber]])</f>
        <v>255.36309285656674</v>
      </c>
      <c r="BG158" s="2">
        <f>Table83[[#This Row],[Weight]]-Table7[[#This Row],[Weight v Fiber]]</f>
        <v>-2.3630928565667375</v>
      </c>
      <c r="BH158" s="2">
        <f>Table7[[#This Row],[Wfib Res]]^2</f>
        <v>5.5842078487567433</v>
      </c>
      <c r="BI158">
        <f>Regression!$V$10+(Regression!$V$9*Table83[[#This Row],[Sugar]])</f>
        <v>254.73114047087444</v>
      </c>
      <c r="BJ158" s="2">
        <f>Table83[[#This Row],[Weight]]-Table7[[#This Row],[Weight v Sugar]]</f>
        <v>-1.7311404708744362</v>
      </c>
      <c r="BK158" s="2">
        <f>Table7[[#This Row],[Wsugar Res]]^2</f>
        <v>2.996847329899365</v>
      </c>
      <c r="BL158">
        <f>Regression!$W$10+(Regression!$W$9*Table83[[#This Row],[Servings]])</f>
        <v>253.41154324850754</v>
      </c>
      <c r="BM158" s="2">
        <f>Table83[[#This Row],[Weight]]-Table7[[#This Row],[Weight v Servings]]</f>
        <v>-0.41154324850754165</v>
      </c>
      <c r="BN158" s="2">
        <f>Table7[[#This Row],[Wserv Res]]^2</f>
        <v>0.16936784539214017</v>
      </c>
      <c r="BO158">
        <f>Regression!$X$10+(Regression!$X$9*Table83[[#This Row],[Water]])</f>
        <v>255.0206340268538</v>
      </c>
      <c r="BP158" s="2">
        <f>Table83[[#This Row],[Weight]]-Table7[[#This Row],[Weight v Water]]</f>
        <v>-2.0206340268537986</v>
      </c>
      <c r="BQ158" s="2">
        <f>Table7[[#This Row],[Wwater Res]]^2</f>
        <v>4.082961870479398</v>
      </c>
      <c r="BR158">
        <f>Regression!$Y$10+(Regression!$Y$9*Table83[[#This Row],[Fat Calories]])</f>
        <v>254.00990848921094</v>
      </c>
      <c r="BS158" s="2">
        <f>Table83[[#This Row],[Weight]]-Table7[[#This Row],[Weight v Fat Calories]]</f>
        <v>-1.0099084892109431</v>
      </c>
      <c r="BT158" s="2">
        <f>Table7[[#This Row],[WFC Res]]^2</f>
        <v>1.0199151565803297</v>
      </c>
      <c r="BU158">
        <f>Regression!$B$29+(Regression!$B$28*Table83[[#This Row],[Weight]])</f>
        <v>44.165338583838682</v>
      </c>
      <c r="BV158" s="2">
        <f>Table83[[#This Row],[Waist]]-Table7[[#This Row],[Waist v Weight]]</f>
        <v>-0.1653385838386825</v>
      </c>
      <c r="BW158" s="2">
        <f>Table7[[#This Row],[WaistW Res]]^2</f>
        <v>2.733684730578104E-2</v>
      </c>
      <c r="BX158">
        <f>Regression!$C$29+(Regression!$C$28*Table83[[#This Row],[Neck]])</f>
        <v>44.175585585585594</v>
      </c>
      <c r="BY158" s="2">
        <f>Table83[[#This Row],[Waist]]-Table7[[#This Row],[Waist v Neck]]</f>
        <v>-0.17558558558559412</v>
      </c>
      <c r="BZ158" s="2">
        <f>Table7[[#This Row],[WaistN Res]]^2</f>
        <v>3.0830297865435997E-2</v>
      </c>
      <c r="CA158">
        <f>Regression!$D$29+(Regression!$D$28*Table83[[#This Row],[Morning Body Temp]])</f>
        <v>44.534185183460714</v>
      </c>
      <c r="CB158" s="2">
        <f>Table83[[#This Row],[Waist]]-Table7[[#This Row],[Waist v Morning Temp]]</f>
        <v>-0.53418518346071409</v>
      </c>
      <c r="CC158" s="2">
        <f>Table7[[#This Row],[WaistMT Res]]^2</f>
        <v>0.28535381022895678</v>
      </c>
      <c r="CD158">
        <f>Regression!$E$29+(Regression!$E$28*Table83[[#This Row],[Morning Systolic Pressure]])</f>
        <v>44.365161485454784</v>
      </c>
      <c r="CE158" s="2">
        <f>Table83[[#This Row],[Waist]]-Table7[[#This Row],[Waist v Morning Sys]]</f>
        <v>-0.36516148545478444</v>
      </c>
      <c r="CF158" s="2">
        <f>Table7[[#This Row],[WaistMS Res]]^2</f>
        <v>0.13334291045954474</v>
      </c>
      <c r="CG158">
        <f>Regression!$F$29+(Regression!$F$28*Table83[[#This Row],[Morning Diastolic Pressure]])</f>
        <v>44.509172874832799</v>
      </c>
      <c r="CH158" s="2">
        <f>Table83[[#This Row],[Waist]]-Table7[[#This Row],[Waist v Morning Dia]]</f>
        <v>-0.50917287483279949</v>
      </c>
      <c r="CI158" s="2">
        <f>Table7[[#This Row],[WaistMD Res]]^2</f>
        <v>0.2592570164654977</v>
      </c>
      <c r="CJ158">
        <f>Regression!$G$29+(Regression!$G$28*Table83[[#This Row],[Morning Pulse]])</f>
        <v>44.447860179490903</v>
      </c>
      <c r="CK158" s="2">
        <f>Table83[[#This Row],[Waist]]-Table7[[#This Row],[Waist v Morning Pulse]]</f>
        <v>-0.44786017949090251</v>
      </c>
      <c r="CL158" s="2">
        <f>Table7[[#This Row],[WaistMP Res]]^2</f>
        <v>0.20057874037362342</v>
      </c>
      <c r="CM158">
        <f>Regression!$H$29+(Regression!$H$28*Table83[[#This Row],[Night Body Temp]])</f>
        <v>44.440857030854289</v>
      </c>
      <c r="CN158" s="2">
        <f>Table83[[#This Row],[Waist]]-Table7[[#This Row],[Waist v Night Temp]]</f>
        <v>-0.44085703085428918</v>
      </c>
      <c r="CO158" s="2">
        <f>Table7[[#This Row],[WaistNT Res]]^2</f>
        <v>0.19435492165365967</v>
      </c>
      <c r="CP158">
        <f>Regression!$I$29+(Regression!$I$28*Table83[[#This Row],[Night Systolic Pressure]])</f>
        <v>44.689141144515027</v>
      </c>
      <c r="CQ158" s="2">
        <f>Table83[[#This Row],[Waist]]-Table7[[#This Row],[Waist v  Night Sys]]</f>
        <v>-0.68914114451502684</v>
      </c>
      <c r="CR158" s="2">
        <f>Table7[[#This Row],[WaistNS Res]]^2</f>
        <v>0.47491551706348112</v>
      </c>
      <c r="CS158">
        <f>Regression!$J$29+(Regression!$J$28*Table83[[#This Row],[Night Diastolic Pressure]])</f>
        <v>44.614703518020711</v>
      </c>
      <c r="CT158" s="2">
        <f>Table83[[#This Row],[Waist]]-Table7[[#This Row],[Waist v Night Dia]]</f>
        <v>-0.61470351802071121</v>
      </c>
      <c r="CU158" s="2">
        <f>Table7[[#This Row],[WaistND Res]]^2</f>
        <v>0.37786041506703882</v>
      </c>
      <c r="CV158">
        <f>Regression!$K$29+(Regression!$K$28*Table83[[#This Row],[Night Pulse]])</f>
        <v>44.471135357809125</v>
      </c>
      <c r="CW158" s="2">
        <f>Table83[[#This Row],[Waist]]-Table7[[#This Row],[Waist v Night Pulse]]</f>
        <v>-0.47113535780912486</v>
      </c>
      <c r="CX158" s="2">
        <f>Table7[[#This Row],[WaistNP Res]]^2</f>
        <v>0.2219685253779321</v>
      </c>
      <c r="CY158">
        <f>Regression!$L$29+(Regression!$L$28*Table83[[#This Row],[Sleep]])</f>
        <v>44.408792884862443</v>
      </c>
      <c r="CZ158" s="2">
        <f>Table83[[#This Row],[Waist]]-Table7[[#This Row],[Waist v  Sleep]]</f>
        <v>-0.40879288486244292</v>
      </c>
      <c r="DA158" s="2">
        <f>Table7[[#This Row],[WaistS Res]]^2</f>
        <v>0.16711162271415853</v>
      </c>
      <c r="DB158">
        <f>Regression!$M$29+(Regression!$M$28*Table83[[#This Row],[BMI]])</f>
        <v>44.165338583839599</v>
      </c>
      <c r="DC158" s="2">
        <f>Table83[[#This Row],[Waist]]-Table7[[#This Row],[Waist v BMI]]</f>
        <v>-0.1653385838395991</v>
      </c>
      <c r="DD158" s="2">
        <f>Table7[[#This Row],[WaistBMI Res]]^2</f>
        <v>2.7336847306084138E-2</v>
      </c>
      <c r="DE158">
        <f>Regression!$N$29+(Regression!$N$28*Table83[[#This Row],[CBF]])</f>
        <v>44.105031770433015</v>
      </c>
      <c r="DF158" s="2">
        <f>Table83[[#This Row],[Waist]]-Table7[[#This Row],[Waist v  CBF]]</f>
        <v>-0.10503177043301548</v>
      </c>
      <c r="DG158" s="2">
        <f>Table7[[#This Row],[WaistCBF Res]]^2</f>
        <v>1.1031672800293666E-2</v>
      </c>
      <c r="DH158">
        <f>Regression!$O$29+(Regression!$O$28*Table83[[#This Row],[Gym]])</f>
        <v>44.347222222222221</v>
      </c>
      <c r="DI158" s="2">
        <f>Table83[[#This Row],[Waist]]-Table7[[#This Row],[Waist v  Gym]]</f>
        <v>-0.34722222222222143</v>
      </c>
      <c r="DJ158" s="2">
        <f>Table7[[#This Row],[WaistGYM Res]]^2</f>
        <v>0.12056327160493772</v>
      </c>
      <c r="DK158">
        <f>Regression!$P$29+(Regression!$P$28*Table83[[#This Row],[Cardio]])</f>
        <v>44.291666666666664</v>
      </c>
      <c r="DL158" s="2">
        <f>Table83[[#This Row],[Waist]]-Table7[[#This Row],[Waist v Cardio]]</f>
        <v>-0.2916666666666643</v>
      </c>
      <c r="DM158" s="2">
        <f>Table7[[#This Row],[WaistC Res]]^2</f>
        <v>8.506944444444306E-2</v>
      </c>
      <c r="DN158">
        <f>Regression!$Q$29+(Regression!$Q$28*Table83[[#This Row],[Calories]])</f>
        <v>44.068772736335696</v>
      </c>
      <c r="DO158" s="2">
        <f>Table83[[#This Row],[Waist]]-Table7[[#This Row],[Waist v Calories]]</f>
        <v>-6.8772736335695583E-2</v>
      </c>
      <c r="DP158" s="2">
        <f>Table7[[#This Row],[WaistCal Res]]^2</f>
        <v>4.7296892630991037E-3</v>
      </c>
      <c r="DQ158">
        <f>Regression!$R$29+(Regression!$R$28*Table83[[#This Row],[Carbs]])</f>
        <v>44.179020916456324</v>
      </c>
      <c r="DR158" s="2">
        <f>Table83[[#This Row],[Waist]]-Table7[[#This Row],[Waist v Carbs]]</f>
        <v>-0.17902091645632368</v>
      </c>
      <c r="DS158" s="2">
        <f>Table7[[#This Row],[WaistCarb Res]]^2</f>
        <v>3.2048488528862024E-2</v>
      </c>
      <c r="DT158">
        <f>Regression!$S$29+(Regression!$S$28*Table83[[#This Row],[Fat ]])</f>
        <v>44.137514426465728</v>
      </c>
      <c r="DU158" s="2">
        <f>Table83[[#This Row],[Waist]]-Table7[[#This Row],[Waist v Fat]]</f>
        <v>-0.13751442646572798</v>
      </c>
      <c r="DV158" s="2">
        <f>Table7[[#This Row],[WaistF Res]]^2</f>
        <v>1.8910217486198106E-2</v>
      </c>
      <c r="DW158">
        <f>Regression!$T$29+(Regression!$T$28*Table83[[#This Row],[Protein]])</f>
        <v>44.070839526800192</v>
      </c>
      <c r="DX158" s="2">
        <f>Table83[[#This Row],[Waist]]-Table7[[#This Row],[Waist v Protein]]</f>
        <v>-7.0839526800192232E-2</v>
      </c>
      <c r="DY158" s="2">
        <f>Table7[[#This Row],[WaistP Res]]^2</f>
        <v>5.0182385572751535E-3</v>
      </c>
      <c r="DZ158">
        <f>Regression!$U$29+(Regression!$U$28*Table83[[#This Row],[Fiber]])</f>
        <v>44.549251847384845</v>
      </c>
      <c r="EA158" s="2">
        <f>Table83[[#This Row],[Waist]]-Table7[[#This Row],[Waist v Fiber]]</f>
        <v>-0.54925184738484489</v>
      </c>
      <c r="EB158" s="2">
        <f>Table7[[#This Row],[WaistFib Res]]^2</f>
        <v>0.30167759185566495</v>
      </c>
      <c r="EC158">
        <f>Regression!$V$29+(Regression!$V$28*Table83[[#This Row],[Sugar]])</f>
        <v>44.384575791175521</v>
      </c>
      <c r="ED158" s="2">
        <f>Table83[[#This Row],[Waist]]-Table7[[#This Row],[Waist v Sugar]]</f>
        <v>-0.38457579117552143</v>
      </c>
      <c r="EE158" s="2">
        <f>Table7[[#This Row],[WaistSugar Res]]^2</f>
        <v>0.14789853915827827</v>
      </c>
      <c r="EF158">
        <f>Regression!$W$29+(Regression!$W$28*Table83[[#This Row],[Servings]])</f>
        <v>44.193613950837417</v>
      </c>
      <c r="EG158" s="2">
        <f>Table83[[#This Row],[Waist]]-Table7[[#This Row],[Waist v Servings]]</f>
        <v>-0.19361395083741684</v>
      </c>
      <c r="EH158" s="2">
        <f>Table7[[#This Row],[WaistServ Res]]^2</f>
        <v>3.7486361958873664E-2</v>
      </c>
      <c r="EI158">
        <f>Regression!$X$29+(Regression!$X$28*Table83[[#This Row],[Water]])</f>
        <v>44.33031459742935</v>
      </c>
      <c r="EJ158" s="2">
        <f>Table83[[#This Row],[Waist]]-Table7[[#This Row],[Waist v Water]]</f>
        <v>-0.33031459742934999</v>
      </c>
      <c r="EK158" s="2">
        <f>Table7[[#This Row],[WaistWat Res]]^2</f>
        <v>0.10910773327491355</v>
      </c>
      <c r="EL158">
        <f>Regression!$Y$29+(Regression!$Y$28*Table83[[#This Row],[Fat Calories]])</f>
        <v>44.117436246668063</v>
      </c>
      <c r="EM158" s="2">
        <f>Table83[[#This Row],[Waist]]-Table7[[#This Row],[Waist v Fat Calories]]</f>
        <v>-0.1174362466680634</v>
      </c>
      <c r="EN158" s="2">
        <f>Table7[[#This Row],[WaistFatCal Res]]^2</f>
        <v>1.3791272031482234E-2</v>
      </c>
    </row>
    <row r="159" spans="1:144" x14ac:dyDescent="0.25">
      <c r="A159">
        <f>Regression!$B$10+(Regression!$B$9*Table83[[#This Row],[Waist]])</f>
        <v>255.38023686459636</v>
      </c>
      <c r="B159" s="2">
        <f>Table83[[#This Row],[Weight]]-Table7[[#This Row],[Weight v Waist]]</f>
        <v>3.6197631354036446</v>
      </c>
      <c r="C159" s="2">
        <f>Table7[[#This Row],[Weight v Waist Res]]^2</f>
        <v>13.102685156427224</v>
      </c>
      <c r="D159">
        <f>Regression!$C$10+(Regression!$C$9*Table83[[#This Row],[Neck]])</f>
        <v>253.29286486487842</v>
      </c>
      <c r="E159" s="2">
        <f>Table83[[#This Row],[Weight]]-Table7[[#This Row],[Weight v Neck]]</f>
        <v>5.7071351351215753</v>
      </c>
      <c r="F159" s="2">
        <f>Table7[[#This Row],[WN Res]]^2</f>
        <v>32.57139145053916</v>
      </c>
      <c r="G159">
        <f>Regression!$D$10+(Regression!$D$9*Table83[[#This Row],[Morning Body Temp]])</f>
        <v>255.55235632864088</v>
      </c>
      <c r="H159" s="2">
        <f>Table83[[#This Row],[Weight]]-Table7[[#This Row],[Weight v Morning Temp]]</f>
        <v>3.447643671359117</v>
      </c>
      <c r="I159" s="2">
        <f>Table7[[#This Row],[WMT Res]]^2</f>
        <v>11.886246884662571</v>
      </c>
      <c r="J159">
        <f>Regression!$E$10+(Regression!$E$9*Table83[[#This Row],[Morning Systolic Pressure]])</f>
        <v>254.73886899784827</v>
      </c>
      <c r="K159" s="2">
        <f>Table83[[#This Row],[Weight]]-Table7[[#This Row],[Weight v Morning Sys]]</f>
        <v>4.2611310021517284</v>
      </c>
      <c r="L159" s="2">
        <f>Table7[[#This Row],[WMS Res]]^2</f>
        <v>18.157237417498592</v>
      </c>
      <c r="M159">
        <f>Regression!$F$10+(Regression!$F$9*Table83[[#This Row],[Morning Diastolic Pressure]])</f>
        <v>255.40607264438131</v>
      </c>
      <c r="N159" s="2">
        <f>Table83[[#This Row],[Weight]]-Table7[[#This Row],[Weight v Morning Dia]]</f>
        <v>3.593927355618689</v>
      </c>
      <c r="O159" s="2">
        <f>Table7[[#This Row],[WMD Res]]^2</f>
        <v>12.916313837464342</v>
      </c>
      <c r="P159">
        <f>Regression!$G$10+(Regression!$G$9*Table83[[#This Row],[Morning Pulse]])</f>
        <v>255.08805595379781</v>
      </c>
      <c r="Q159" s="2">
        <f>Table83[[#This Row],[Weight]]-Table7[[#This Row],[Weight v Morning Pulse]]</f>
        <v>3.9119440462021942</v>
      </c>
      <c r="R159" s="2">
        <f>Table7[[#This Row],[WMP Res]]^2</f>
        <v>15.303306220616795</v>
      </c>
      <c r="S159">
        <f>Regression!$H$10+(Regression!$H$9*Table83[[#This Row],[Night Body Temp]])</f>
        <v>254.85148667752509</v>
      </c>
      <c r="T159" s="2">
        <f>Table83[[#This Row],[Weight]]-Table7[[#This Row],[Weight v Night Temp]]</f>
        <v>4.148513322474912</v>
      </c>
      <c r="U159" s="2">
        <f>Table7[[#This Row],[WNT Res]]^2</f>
        <v>17.210162786751834</v>
      </c>
      <c r="V159">
        <f>Regression!$I$10+(Regression!$I$9*Table83[[#This Row],[Night Systolic Pressure]])</f>
        <v>254.82800205705334</v>
      </c>
      <c r="W159" s="2">
        <f>Table83[[#This Row],[Weight]]-Table7[[#This Row],[Weight v Night Sys]]</f>
        <v>4.1719979429466605</v>
      </c>
      <c r="X159" s="2">
        <f>Table7[[#This Row],[WNS Res]]^2</f>
        <v>17.405566835951166</v>
      </c>
      <c r="Y159">
        <f>Regression!$J$10+(Regression!$J$9*Table83[[#This Row],[Night Diastolic Pressure]])</f>
        <v>255.49997505840713</v>
      </c>
      <c r="Z159" s="2">
        <f>Table83[[#This Row],[Weight]]-Table7[[#This Row],[Weight v Night Dia]]</f>
        <v>3.5000249415928693</v>
      </c>
      <c r="AA159" s="2">
        <f>Table7[[#This Row],[WND Res]]^2</f>
        <v>12.250174591772168</v>
      </c>
      <c r="AB159">
        <f>Regression!$K$10+(Regression!$K$9*Table83[[#This Row],[Night Pulse]])</f>
        <v>254.86444520884743</v>
      </c>
      <c r="AC159" s="2">
        <f>Table83[[#This Row],[Weight]]-Table7[[#This Row],[Weight v Night Pulse]]</f>
        <v>4.1355547911525719</v>
      </c>
      <c r="AD159" s="2">
        <f>Table7[[#This Row],[WNP Res ]]^2</f>
        <v>17.102813430624991</v>
      </c>
      <c r="AE159">
        <f>Regression!$L$10+(Regression!$L$9*Table83[[#This Row],[Sleep]])</f>
        <v>254.82155554400751</v>
      </c>
      <c r="AF159" s="2">
        <f>Table83[[#This Row],[Weight]]-Table7[[#This Row],[Weight v Sleep]]</f>
        <v>4.1784444559924907</v>
      </c>
      <c r="AG159" s="2">
        <f>Table7[[#This Row],[WS Res]]^2</f>
        <v>17.45939807181438</v>
      </c>
      <c r="AH159">
        <f>Regression!$M$10+(Regression!$M$9*Table83[[#This Row],[BMI]])</f>
        <v>258.99999999999136</v>
      </c>
      <c r="AI159" s="2">
        <f>Table83[[#This Row],[Weight]]-Table7[[#This Row],[Weight v BMI]]</f>
        <v>8.6401996668428183E-12</v>
      </c>
      <c r="AJ159" s="2">
        <f>Table7[[#This Row],[WBMI Res]]^2</f>
        <v>7.4653050282910748E-23</v>
      </c>
      <c r="AK159">
        <f>Regression!$N$10+(Regression!$N$9*Table83[[#This Row],[CBF]])</f>
        <v>256.25609762651322</v>
      </c>
      <c r="AL159" s="2">
        <f>Table83[[#This Row],[Weight]]-Table7[[#This Row],[Weight v CBF]]</f>
        <v>2.743902373486776</v>
      </c>
      <c r="AM159" s="2">
        <f>Table7[[#This Row],[WCBF Res]]^2</f>
        <v>7.5290002352263627</v>
      </c>
      <c r="AN159">
        <f>Regression!$O$10+(Regression!$O$9*Table83[[#This Row],[Gym]])</f>
        <v>254.72962962962998</v>
      </c>
      <c r="AO159" s="2">
        <f>Table83[[#This Row],[Weight]]-Table7[[#This Row],[Weight v Gym]]</f>
        <v>4.2703703703700171</v>
      </c>
      <c r="AP159" s="2">
        <f>Table7[[#This Row],[WG Res]]^2</f>
        <v>18.236063100134157</v>
      </c>
      <c r="AQ159">
        <f>Regression!$P$10+(Regression!$P$9*Table83[[#This Row],[Cardio]])</f>
        <v>254.19242424242461</v>
      </c>
      <c r="AR159" s="2">
        <f>Table83[[#This Row],[Weight]]-Table7[[#This Row],[Weight v Cardio]]</f>
        <v>4.8075757575753926</v>
      </c>
      <c r="AS159" s="2">
        <f>Table7[[#This Row],[WC Res]]^2</f>
        <v>23.112784664826609</v>
      </c>
      <c r="AT159">
        <f>Regression!$Q$10+(Regression!$Q$9*Table83[[#This Row],[Calories]])</f>
        <v>255.49058877408552</v>
      </c>
      <c r="AU159" s="2">
        <f>Table83[[#This Row],[Weight]]-Table7[[#This Row],[Weight v Calories]]</f>
        <v>3.5094112259144765</v>
      </c>
      <c r="AV159" s="2">
        <f>Table7[[#This Row],[WCAL Res]]^2</f>
        <v>12.315967152574549</v>
      </c>
      <c r="AW159">
        <f>Regression!$R$10+(Regression!$R$9*Table83[[#This Row],[Carbs]])</f>
        <v>255.42332803483774</v>
      </c>
      <c r="AX159" s="2">
        <f>Table83[[#This Row],[Weight]]-Table7[[#This Row],[Weight v Carbs]]</f>
        <v>3.5766719651622623</v>
      </c>
      <c r="AY159" s="2">
        <f>Table7[[#This Row],[Wcarb Res]]^2</f>
        <v>12.79258234637768</v>
      </c>
      <c r="AZ159">
        <f>Regression!$S$10+(Regression!$S$9*Table83[[#This Row],[Fat ]])</f>
        <v>255.41496514007935</v>
      </c>
      <c r="BA159" s="2">
        <f>Table83[[#This Row],[Weight]]-Table7[[#This Row],[Weight v Fat]]</f>
        <v>3.5850348599206541</v>
      </c>
      <c r="BB159" s="2">
        <f>Table7[[#This Row],[WF Res]]^2</f>
        <v>12.852474946846304</v>
      </c>
      <c r="BC159">
        <f>Regression!$T$10+(Regression!$T$9*Table83[[#This Row],[Protein]])</f>
        <v>255.42390374994955</v>
      </c>
      <c r="BD159" s="2">
        <f>Table83[[#This Row],[Weight]]-Table7[[#This Row],[Weight v Protein]]</f>
        <v>3.5760962500504547</v>
      </c>
      <c r="BE159" s="2">
        <f>Table7[[#This Row],[WP Res]]^2</f>
        <v>12.788464389624924</v>
      </c>
      <c r="BF159">
        <f>Regression!$U$10+(Regression!$U$9*Table83[[#This Row],[Fiber]])</f>
        <v>255.42170486041442</v>
      </c>
      <c r="BG159" s="2">
        <f>Table83[[#This Row],[Weight]]-Table7[[#This Row],[Weight v Fiber]]</f>
        <v>3.5782951395855775</v>
      </c>
      <c r="BH159" s="2">
        <f>Table7[[#This Row],[Wfib Res]]^2</f>
        <v>12.804196105981768</v>
      </c>
      <c r="BI159">
        <f>Regression!$V$10+(Regression!$V$9*Table83[[#This Row],[Sugar]])</f>
        <v>255.49884032912408</v>
      </c>
      <c r="BJ159" s="2">
        <f>Table83[[#This Row],[Weight]]-Table7[[#This Row],[Weight v Sugar]]</f>
        <v>3.5011596708759214</v>
      </c>
      <c r="BK159" s="2">
        <f>Table7[[#This Row],[Wsugar Res]]^2</f>
        <v>12.258119040967991</v>
      </c>
      <c r="BL159">
        <f>Regression!$W$10+(Regression!$W$9*Table83[[#This Row],[Servings]])</f>
        <v>255.59036166947192</v>
      </c>
      <c r="BM159" s="2">
        <f>Table83[[#This Row],[Weight]]-Table7[[#This Row],[Weight v Servings]]</f>
        <v>3.4096383305280824</v>
      </c>
      <c r="BN159" s="2">
        <f>Table7[[#This Row],[Wserv Res]]^2</f>
        <v>11.625633545006329</v>
      </c>
      <c r="BO159">
        <f>Regression!$X$10+(Regression!$X$9*Table83[[#This Row],[Water]])</f>
        <v>255.0206340268538</v>
      </c>
      <c r="BP159" s="2">
        <f>Table83[[#This Row],[Weight]]-Table7[[#This Row],[Weight v Water]]</f>
        <v>3.9793659731462014</v>
      </c>
      <c r="BQ159" s="2">
        <f>Table7[[#This Row],[Wwater Res]]^2</f>
        <v>15.835353548233815</v>
      </c>
      <c r="BR159">
        <f>Regression!$Y$10+(Regression!$Y$9*Table83[[#This Row],[Fat Calories]])</f>
        <v>255.42937392302326</v>
      </c>
      <c r="BS159" s="2">
        <f>Table83[[#This Row],[Weight]]-Table7[[#This Row],[Weight v Fat Calories]]</f>
        <v>3.5706260769767368</v>
      </c>
      <c r="BT159" s="2">
        <f>Table7[[#This Row],[WFC Res]]^2</f>
        <v>12.749370581586282</v>
      </c>
      <c r="BU159">
        <f>Regression!$B$29+(Regression!$B$28*Table83[[#This Row],[Weight]])</f>
        <v>44.982913647258577</v>
      </c>
      <c r="BV159" s="2">
        <f>Table83[[#This Row],[Waist]]-Table7[[#This Row],[Waist v Weight]]</f>
        <v>-0.48291364725857733</v>
      </c>
      <c r="BW159" s="2">
        <f>Table7[[#This Row],[WaistW Res]]^2</f>
        <v>0.23320559070858166</v>
      </c>
      <c r="BX159">
        <f>Regression!$C$29+(Regression!$C$28*Table83[[#This Row],[Neck]])</f>
        <v>44.175585585585594</v>
      </c>
      <c r="BY159" s="2">
        <f>Table83[[#This Row],[Waist]]-Table7[[#This Row],[Waist v Neck]]</f>
        <v>0.32441441441440588</v>
      </c>
      <c r="BZ159" s="2">
        <f>Table7[[#This Row],[WaistN Res]]^2</f>
        <v>0.10524471227984188</v>
      </c>
      <c r="CA159">
        <f>Regression!$D$29+(Regression!$D$28*Table83[[#This Row],[Morning Body Temp]])</f>
        <v>44.572478809812466</v>
      </c>
      <c r="CB159" s="2">
        <f>Table83[[#This Row],[Waist]]-Table7[[#This Row],[Waist v Morning Temp]]</f>
        <v>-7.2478809812466238E-2</v>
      </c>
      <c r="CC159" s="2">
        <f>Table7[[#This Row],[WaistMT Res]]^2</f>
        <v>5.2531778718316524E-3</v>
      </c>
      <c r="CD159">
        <f>Regression!$E$29+(Regression!$E$28*Table83[[#This Row],[Morning Systolic Pressure]])</f>
        <v>44.365161485454784</v>
      </c>
      <c r="CE159" s="2">
        <f>Table83[[#This Row],[Waist]]-Table7[[#This Row],[Waist v Morning Sys]]</f>
        <v>0.13483851454521556</v>
      </c>
      <c r="CF159" s="2">
        <f>Table7[[#This Row],[WaistMS Res]]^2</f>
        <v>1.8181425004760308E-2</v>
      </c>
      <c r="CG159">
        <f>Regression!$F$29+(Regression!$F$28*Table83[[#This Row],[Morning Diastolic Pressure]])</f>
        <v>44.469723530150823</v>
      </c>
      <c r="CH159" s="2">
        <f>Table83[[#This Row],[Waist]]-Table7[[#This Row],[Waist v Morning Dia]]</f>
        <v>3.027646984917709E-2</v>
      </c>
      <c r="CI159" s="2">
        <f>Table7[[#This Row],[WaistMD Res]]^2</f>
        <v>9.1666462652812938E-4</v>
      </c>
      <c r="CJ159">
        <f>Regression!$G$29+(Regression!$G$28*Table83[[#This Row],[Morning Pulse]])</f>
        <v>44.441144158901992</v>
      </c>
      <c r="CK159" s="2">
        <f>Table83[[#This Row],[Waist]]-Table7[[#This Row],[Waist v Morning Pulse]]</f>
        <v>5.8855841098008455E-2</v>
      </c>
      <c r="CL159" s="2">
        <f>Table7[[#This Row],[WaistMP Res]]^2</f>
        <v>3.4640100313540209E-3</v>
      </c>
      <c r="CM159">
        <f>Regression!$H$29+(Regression!$H$28*Table83[[#This Row],[Night Body Temp]])</f>
        <v>44.432760107049404</v>
      </c>
      <c r="CN159" s="2">
        <f>Table83[[#This Row],[Waist]]-Table7[[#This Row],[Waist v Night Temp]]</f>
        <v>6.7239892950595959E-2</v>
      </c>
      <c r="CO159" s="2">
        <f>Table7[[#This Row],[WaistNT Res]]^2</f>
        <v>4.5212032040076039E-3</v>
      </c>
      <c r="CP159">
        <f>Regression!$I$29+(Regression!$I$28*Table83[[#This Row],[Night Systolic Pressure]])</f>
        <v>44.412878972328372</v>
      </c>
      <c r="CQ159" s="2">
        <f>Table83[[#This Row],[Waist]]-Table7[[#This Row],[Waist v  Night Sys]]</f>
        <v>8.7121027671628326E-2</v>
      </c>
      <c r="CR159" s="2">
        <f>Table7[[#This Row],[WaistNS Res]]^2</f>
        <v>7.5900734625606288E-3</v>
      </c>
      <c r="CS159">
        <f>Regression!$J$29+(Regression!$J$28*Table83[[#This Row],[Night Diastolic Pressure]])</f>
        <v>44.614703518020711</v>
      </c>
      <c r="CT159" s="2">
        <f>Table83[[#This Row],[Waist]]-Table7[[#This Row],[Waist v Night Dia]]</f>
        <v>-0.11470351802071121</v>
      </c>
      <c r="CU159" s="2">
        <f>Table7[[#This Row],[WaistND Res]]^2</f>
        <v>1.3156897046327623E-2</v>
      </c>
      <c r="CV159">
        <f>Regression!$K$29+(Regression!$K$28*Table83[[#This Row],[Night Pulse]])</f>
        <v>44.476848850431054</v>
      </c>
      <c r="CW159" s="2">
        <f>Table83[[#This Row],[Waist]]-Table7[[#This Row],[Waist v Night Pulse]]</f>
        <v>2.3151149568946039E-2</v>
      </c>
      <c r="CX159" s="2">
        <f>Table7[[#This Row],[WaistNP Res]]^2</f>
        <v>5.3597572636371034E-4</v>
      </c>
      <c r="CY159">
        <f>Regression!$L$29+(Regression!$L$28*Table83[[#This Row],[Sleep]])</f>
        <v>44.408792884862443</v>
      </c>
      <c r="CZ159" s="2">
        <f>Table83[[#This Row],[Waist]]-Table7[[#This Row],[Waist v  Sleep]]</f>
        <v>9.1207115137557082E-2</v>
      </c>
      <c r="DA159" s="2">
        <f>Table7[[#This Row],[WaistS Res]]^2</f>
        <v>8.3187378517155935E-3</v>
      </c>
      <c r="DB159">
        <f>Regression!$M$29+(Regression!$M$28*Table83[[#This Row],[BMI]])</f>
        <v>44.982913647256893</v>
      </c>
      <c r="DC159" s="2">
        <f>Table83[[#This Row],[Waist]]-Table7[[#This Row],[Waist v BMI]]</f>
        <v>-0.48291364725689334</v>
      </c>
      <c r="DD159" s="2">
        <f>Table7[[#This Row],[WaistBMI Res]]^2</f>
        <v>0.23320559070695521</v>
      </c>
      <c r="DE159">
        <f>Regression!$N$29+(Regression!$N$28*Table83[[#This Row],[CBF]])</f>
        <v>44.659010290127611</v>
      </c>
      <c r="DF159" s="2">
        <f>Table83[[#This Row],[Waist]]-Table7[[#This Row],[Waist v  CBF]]</f>
        <v>-0.15901029012761114</v>
      </c>
      <c r="DG159" s="2">
        <f>Table7[[#This Row],[WaistCBF Res]]^2</f>
        <v>2.5284272366467068E-2</v>
      </c>
      <c r="DH159">
        <f>Regression!$O$29+(Regression!$O$28*Table83[[#This Row],[Gym]])</f>
        <v>44.347222222222221</v>
      </c>
      <c r="DI159" s="2">
        <f>Table83[[#This Row],[Waist]]-Table7[[#This Row],[Waist v  Gym]]</f>
        <v>0.15277777777777857</v>
      </c>
      <c r="DJ159" s="2">
        <f>Table7[[#This Row],[WaistGYM Res]]^2</f>
        <v>2.3341049382716292E-2</v>
      </c>
      <c r="DK159">
        <f>Regression!$P$29+(Regression!$P$28*Table83[[#This Row],[Cardio]])</f>
        <v>44.291666666666664</v>
      </c>
      <c r="DL159" s="2">
        <f>Table83[[#This Row],[Waist]]-Table7[[#This Row],[Waist v Cardio]]</f>
        <v>0.2083333333333357</v>
      </c>
      <c r="DM159" s="2">
        <f>Table7[[#This Row],[WaistC Res]]^2</f>
        <v>4.3402777777778762E-2</v>
      </c>
      <c r="DN159">
        <f>Regression!$Q$29+(Regression!$Q$28*Table83[[#This Row],[Calories]])</f>
        <v>44.53791634861696</v>
      </c>
      <c r="DO159" s="2">
        <f>Table83[[#This Row],[Waist]]-Table7[[#This Row],[Waist v Calories]]</f>
        <v>-3.7916348616960249E-2</v>
      </c>
      <c r="DP159" s="2">
        <f>Table7[[#This Row],[WaistCal Res]]^2</f>
        <v>1.4376494924428634E-3</v>
      </c>
      <c r="DQ159">
        <f>Regression!$R$29+(Regression!$R$28*Table83[[#This Row],[Carbs]])</f>
        <v>44.517722619616819</v>
      </c>
      <c r="DR159" s="2">
        <f>Table83[[#This Row],[Waist]]-Table7[[#This Row],[Waist v Carbs]]</f>
        <v>-1.7722619616819202E-2</v>
      </c>
      <c r="DS159" s="2">
        <f>Table7[[#This Row],[WaistCarb Res]]^2</f>
        <v>3.140912460824648E-4</v>
      </c>
      <c r="DT159">
        <f>Regression!$S$29+(Regression!$S$28*Table83[[#This Row],[Fat ]])</f>
        <v>44.545219292643438</v>
      </c>
      <c r="DU159" s="2">
        <f>Table83[[#This Row],[Waist]]-Table7[[#This Row],[Waist v Fat]]</f>
        <v>-4.5219292643437825E-2</v>
      </c>
      <c r="DV159" s="2">
        <f>Table7[[#This Row],[WaistF Res]]^2</f>
        <v>2.04478442717287E-3</v>
      </c>
      <c r="DW159">
        <f>Regression!$T$29+(Regression!$T$28*Table83[[#This Row],[Protein]])</f>
        <v>44.510072584939024</v>
      </c>
      <c r="DX159" s="2">
        <f>Table83[[#This Row],[Waist]]-Table7[[#This Row],[Waist v Protein]]</f>
        <v>-1.0072584939024409E-2</v>
      </c>
      <c r="DY159" s="2">
        <f>Table7[[#This Row],[WaistP Res]]^2</f>
        <v>1.0145696735386136E-4</v>
      </c>
      <c r="DZ159">
        <f>Regression!$U$29+(Regression!$U$28*Table83[[#This Row],[Fiber]])</f>
        <v>44.571867872399494</v>
      </c>
      <c r="EA159" s="2">
        <f>Table83[[#This Row],[Waist]]-Table7[[#This Row],[Waist v Fiber]]</f>
        <v>-7.1867872399494104E-2</v>
      </c>
      <c r="EB159" s="2">
        <f>Table7[[#This Row],[WaistFib Res]]^2</f>
        <v>5.1649910832299662E-3</v>
      </c>
      <c r="EC159">
        <f>Regression!$V$29+(Regression!$V$28*Table83[[#This Row],[Sugar]])</f>
        <v>44.522484508532877</v>
      </c>
      <c r="ED159" s="2">
        <f>Table83[[#This Row],[Waist]]-Table7[[#This Row],[Waist v Sugar]]</f>
        <v>-2.2484508532876646E-2</v>
      </c>
      <c r="EE159" s="2">
        <f>Table7[[#This Row],[WaistSugar Res]]^2</f>
        <v>5.0555312396500271E-4</v>
      </c>
      <c r="EF159">
        <f>Regression!$W$29+(Regression!$W$28*Table83[[#This Row],[Servings]])</f>
        <v>44.526065342771801</v>
      </c>
      <c r="EG159" s="2">
        <f>Table83[[#This Row],[Waist]]-Table7[[#This Row],[Waist v Servings]]</f>
        <v>-2.606534277180117E-2</v>
      </c>
      <c r="EH159" s="2">
        <f>Table7[[#This Row],[WaistServ Res]]^2</f>
        <v>6.7940209381148751E-4</v>
      </c>
      <c r="EI159">
        <f>Regression!$X$29+(Regression!$X$28*Table83[[#This Row],[Water]])</f>
        <v>44.33031459742935</v>
      </c>
      <c r="EJ159" s="2">
        <f>Table83[[#This Row],[Waist]]-Table7[[#This Row],[Waist v Water]]</f>
        <v>0.16968540257065001</v>
      </c>
      <c r="EK159" s="2">
        <f>Table7[[#This Row],[WaistWat Res]]^2</f>
        <v>2.8793135845563558E-2</v>
      </c>
      <c r="EL159">
        <f>Regression!$Y$29+(Regression!$Y$28*Table83[[#This Row],[Fat Calories]])</f>
        <v>44.549136519773711</v>
      </c>
      <c r="EM159" s="2">
        <f>Table83[[#This Row],[Waist]]-Table7[[#This Row],[Waist v Fat Calories]]</f>
        <v>-4.9136519773711029E-2</v>
      </c>
      <c r="EN159" s="2">
        <f>Table7[[#This Row],[WaistFatCal Res]]^2</f>
        <v>2.4143975754722948E-3</v>
      </c>
    </row>
    <row r="160" spans="1:144" x14ac:dyDescent="0.25">
      <c r="A160">
        <f>Regression!$B$10+(Regression!$B$9*Table83[[#This Row],[Waist]])</f>
        <v>255.38023686459636</v>
      </c>
      <c r="B160" s="2">
        <f>Table83[[#This Row],[Weight]]-Table7[[#This Row],[Weight v Waist]]</f>
        <v>-0.58023686459634405</v>
      </c>
      <c r="C160" s="2">
        <f>Table7[[#This Row],[Weight v Waist Res]]^2</f>
        <v>0.33667481903659607</v>
      </c>
      <c r="D160">
        <f>Regression!$C$10+(Regression!$C$9*Table83[[#This Row],[Neck]])</f>
        <v>253.29286486487842</v>
      </c>
      <c r="E160" s="2">
        <f>Table83[[#This Row],[Weight]]-Table7[[#This Row],[Weight v Neck]]</f>
        <v>1.5071351351215867</v>
      </c>
      <c r="F160" s="2">
        <f>Table7[[#This Row],[WN Res]]^2</f>
        <v>2.2714563155179635</v>
      </c>
      <c r="G160">
        <f>Regression!$D$10+(Regression!$D$9*Table83[[#This Row],[Morning Body Temp]])</f>
        <v>255.27076211175142</v>
      </c>
      <c r="H160" s="2">
        <f>Table83[[#This Row],[Weight]]-Table7[[#This Row],[Weight v Morning Temp]]</f>
        <v>-0.47076211175141225</v>
      </c>
      <c r="I160" s="2">
        <f>Table7[[#This Row],[WMT Res]]^2</f>
        <v>0.22161696586064916</v>
      </c>
      <c r="J160">
        <f>Regression!$E$10+(Regression!$E$9*Table83[[#This Row],[Morning Systolic Pressure]])</f>
        <v>255.2347182403455</v>
      </c>
      <c r="K160" s="2">
        <f>Table83[[#This Row],[Weight]]-Table7[[#This Row],[Weight v Morning Sys]]</f>
        <v>-0.43471824034548945</v>
      </c>
      <c r="L160" s="2">
        <f>Table7[[#This Row],[WMS Res]]^2</f>
        <v>0.18897994848907873</v>
      </c>
      <c r="M160">
        <f>Regression!$F$10+(Regression!$F$9*Table83[[#This Row],[Morning Diastolic Pressure]])</f>
        <v>256.11548238769547</v>
      </c>
      <c r="N160" s="2">
        <f>Table83[[#This Row],[Weight]]-Table7[[#This Row],[Weight v Morning Dia]]</f>
        <v>-1.3154823876954538</v>
      </c>
      <c r="O160" s="2">
        <f>Table7[[#This Row],[WMD Res]]^2</f>
        <v>1.7304939123369321</v>
      </c>
      <c r="P160">
        <f>Regression!$G$10+(Regression!$G$9*Table83[[#This Row],[Morning Pulse]])</f>
        <v>255.11730068591285</v>
      </c>
      <c r="Q160" s="2">
        <f>Table83[[#This Row],[Weight]]-Table7[[#This Row],[Weight v Morning Pulse]]</f>
        <v>-0.31730068591284066</v>
      </c>
      <c r="R160" s="2">
        <f>Table7[[#This Row],[WMP Res]]^2</f>
        <v>0.10067972528075916</v>
      </c>
      <c r="S160">
        <f>Regression!$H$10+(Regression!$H$9*Table83[[#This Row],[Night Body Temp]])</f>
        <v>255.46766610041516</v>
      </c>
      <c r="T160" s="2">
        <f>Table83[[#This Row],[Weight]]-Table7[[#This Row],[Weight v Night Temp]]</f>
        <v>-0.66766610041514696</v>
      </c>
      <c r="U160" s="2">
        <f>Table7[[#This Row],[WNT Res]]^2</f>
        <v>0.44577802164356911</v>
      </c>
      <c r="V160">
        <f>Regression!$I$10+(Regression!$I$9*Table83[[#This Row],[Night Systolic Pressure]])</f>
        <v>255.03329172511027</v>
      </c>
      <c r="W160" s="2">
        <f>Table83[[#This Row],[Weight]]-Table7[[#This Row],[Weight v Night Sys]]</f>
        <v>-0.23329172511026286</v>
      </c>
      <c r="X160" s="2">
        <f>Table7[[#This Row],[WNS Res]]^2</f>
        <v>5.4425029004922451E-2</v>
      </c>
      <c r="Y160">
        <f>Regression!$J$10+(Regression!$J$9*Table83[[#This Row],[Night Diastolic Pressure]])</f>
        <v>255.41844332157493</v>
      </c>
      <c r="Z160" s="2">
        <f>Table83[[#This Row],[Weight]]-Table7[[#This Row],[Weight v Night Dia]]</f>
        <v>-0.61844332157491522</v>
      </c>
      <c r="AA160" s="2">
        <f>Table7[[#This Row],[WND Res]]^2</f>
        <v>0.38247214200061397</v>
      </c>
      <c r="AB160">
        <f>Regression!$K$10+(Regression!$K$9*Table83[[#This Row],[Night Pulse]])</f>
        <v>254.92587187132088</v>
      </c>
      <c r="AC160" s="2">
        <f>Table83[[#This Row],[Weight]]-Table7[[#This Row],[Weight v Night Pulse]]</f>
        <v>-0.12587187132086797</v>
      </c>
      <c r="AD160" s="2">
        <f>Table7[[#This Row],[WNP Res ]]^2</f>
        <v>1.5843727989817143E-2</v>
      </c>
      <c r="AE160">
        <f>Regression!$L$10+(Regression!$L$9*Table83[[#This Row],[Sleep]])</f>
        <v>255.76797809412898</v>
      </c>
      <c r="AF160" s="2">
        <f>Table83[[#This Row],[Weight]]-Table7[[#This Row],[Weight v Sleep]]</f>
        <v>-0.9679780941289664</v>
      </c>
      <c r="AG160" s="2">
        <f>Table7[[#This Row],[WS Res]]^2</f>
        <v>0.93698159071354614</v>
      </c>
      <c r="AH160">
        <f>Regression!$M$10+(Regression!$M$9*Table83[[#This Row],[BMI]])</f>
        <v>254.80000000000075</v>
      </c>
      <c r="AI160" s="2">
        <f>Table83[[#This Row],[Weight]]-Table7[[#This Row],[Weight v BMI]]</f>
        <v>-7.3896444519050419E-13</v>
      </c>
      <c r="AJ160" s="2">
        <f>Table7[[#This Row],[WBMI Res]]^2</f>
        <v>5.4606845125570968E-25</v>
      </c>
      <c r="AK160">
        <f>Regression!$N$10+(Regression!$N$9*Table83[[#This Row],[CBF]])</f>
        <v>256.25609762651322</v>
      </c>
      <c r="AL160" s="2">
        <f>Table83[[#This Row],[Weight]]-Table7[[#This Row],[Weight v CBF]]</f>
        <v>-1.4560976265132126</v>
      </c>
      <c r="AM160" s="2">
        <f>Table7[[#This Row],[WCBF Res]]^2</f>
        <v>2.1202202979374114</v>
      </c>
      <c r="AN160">
        <f>Regression!$O$10+(Regression!$O$9*Table83[[#This Row],[Gym]])</f>
        <v>254.72962962962998</v>
      </c>
      <c r="AO160" s="2">
        <f>Table83[[#This Row],[Weight]]-Table7[[#This Row],[Weight v Gym]]</f>
        <v>7.0370370370028468E-2</v>
      </c>
      <c r="AP160" s="2">
        <f>Table7[[#This Row],[WG Res]]^2</f>
        <v>4.9519890260149805E-3</v>
      </c>
      <c r="AQ160">
        <f>Regression!$P$10+(Regression!$P$9*Table83[[#This Row],[Cardio]])</f>
        <v>254.19242424242461</v>
      </c>
      <c r="AR160" s="2">
        <f>Table83[[#This Row],[Weight]]-Table7[[#This Row],[Weight v Cardio]]</f>
        <v>0.60757575757540394</v>
      </c>
      <c r="AS160" s="2">
        <f>Table7[[#This Row],[WC Res]]^2</f>
        <v>0.36914830119332603</v>
      </c>
      <c r="AT160">
        <f>Regression!$Q$10+(Regression!$Q$9*Table83[[#This Row],[Calories]])</f>
        <v>255.32823704363403</v>
      </c>
      <c r="AU160" s="2">
        <f>Table83[[#This Row],[Weight]]-Table7[[#This Row],[Weight v Calories]]</f>
        <v>-0.52823704363402157</v>
      </c>
      <c r="AV160" s="2">
        <f>Table7[[#This Row],[WCAL Res]]^2</f>
        <v>0.27903437426721123</v>
      </c>
      <c r="AW160">
        <f>Regression!$R$10+(Regression!$R$9*Table83[[#This Row],[Carbs]])</f>
        <v>255.94702855302182</v>
      </c>
      <c r="AX160" s="2">
        <f>Table83[[#This Row],[Weight]]-Table7[[#This Row],[Weight v Carbs]]</f>
        <v>-1.1470285530218121</v>
      </c>
      <c r="AY160" s="2">
        <f>Table7[[#This Row],[Wcarb Res]]^2</f>
        <v>1.3156745014473119</v>
      </c>
      <c r="AZ160">
        <f>Regression!$S$10+(Regression!$S$9*Table83[[#This Row],[Fat ]])</f>
        <v>254.93672506698718</v>
      </c>
      <c r="BA160" s="2">
        <f>Table83[[#This Row],[Weight]]-Table7[[#This Row],[Weight v Fat]]</f>
        <v>-0.13672506698716802</v>
      </c>
      <c r="BB160" s="2">
        <f>Table7[[#This Row],[WF Res]]^2</f>
        <v>1.8693743942645582E-2</v>
      </c>
      <c r="BC160">
        <f>Regression!$T$10+(Regression!$T$9*Table83[[#This Row],[Protein]])</f>
        <v>253.69839289013947</v>
      </c>
      <c r="BD160" s="2">
        <f>Table83[[#This Row],[Weight]]-Table7[[#This Row],[Weight v Protein]]</f>
        <v>1.101607109860538</v>
      </c>
      <c r="BE160" s="2">
        <f>Table7[[#This Row],[WP Res]]^2</f>
        <v>1.2135382244952875</v>
      </c>
      <c r="BF160">
        <f>Regression!$U$10+(Regression!$U$9*Table83[[#This Row],[Fiber]])</f>
        <v>254.97541835079346</v>
      </c>
      <c r="BG160" s="2">
        <f>Table83[[#This Row],[Weight]]-Table7[[#This Row],[Weight v Fiber]]</f>
        <v>-0.17541835079344992</v>
      </c>
      <c r="BH160" s="2">
        <f>Table7[[#This Row],[Wfib Res]]^2</f>
        <v>3.077159779509385E-2</v>
      </c>
      <c r="BI160">
        <f>Regression!$V$10+(Regression!$V$9*Table83[[#This Row],[Sugar]])</f>
        <v>256.60995632223018</v>
      </c>
      <c r="BJ160" s="2">
        <f>Table83[[#This Row],[Weight]]-Table7[[#This Row],[Weight v Sugar]]</f>
        <v>-1.809956322230164</v>
      </c>
      <c r="BK160" s="2">
        <f>Table7[[#This Row],[Wsugar Res]]^2</f>
        <v>3.2759418883809412</v>
      </c>
      <c r="BL160">
        <f>Regression!$W$10+(Regression!$W$9*Table83[[#This Row],[Servings]])</f>
        <v>256.46953401477333</v>
      </c>
      <c r="BM160" s="2">
        <f>Table83[[#This Row],[Weight]]-Table7[[#This Row],[Weight v Servings]]</f>
        <v>-1.6695340147733191</v>
      </c>
      <c r="BN160" s="2">
        <f>Table7[[#This Row],[Wserv Res]]^2</f>
        <v>2.7873438264851171</v>
      </c>
      <c r="BO160">
        <f>Regression!$X$10+(Regression!$X$9*Table83[[#This Row],[Water]])</f>
        <v>255.10626599365665</v>
      </c>
      <c r="BP160" s="2">
        <f>Table83[[#This Row],[Weight]]-Table7[[#This Row],[Weight v Water]]</f>
        <v>-0.30626599365663765</v>
      </c>
      <c r="BQ160" s="2">
        <f>Table7[[#This Row],[Wwater Res]]^2</f>
        <v>9.3798858870487611E-2</v>
      </c>
      <c r="BR160">
        <f>Regression!$Y$10+(Regression!$Y$9*Table83[[#This Row],[Fat Calories]])</f>
        <v>254.92040617503787</v>
      </c>
      <c r="BS160" s="2">
        <f>Table83[[#This Row],[Weight]]-Table7[[#This Row],[Weight v Fat Calories]]</f>
        <v>-0.12040617503785711</v>
      </c>
      <c r="BT160" s="2">
        <f>Table7[[#This Row],[WFC Res]]^2</f>
        <v>1.4497646987247086E-2</v>
      </c>
      <c r="BU160">
        <f>Regression!$B$29+(Regression!$B$28*Table83[[#This Row],[Weight]])</f>
        <v>44.41061110286465</v>
      </c>
      <c r="BV160" s="2">
        <f>Table83[[#This Row],[Waist]]-Table7[[#This Row],[Waist v Weight]]</f>
        <v>8.9388897135350476E-2</v>
      </c>
      <c r="BW160" s="2">
        <f>Table7[[#This Row],[WaistW Res]]^2</f>
        <v>7.9903749310742678E-3</v>
      </c>
      <c r="BX160">
        <f>Regression!$C$29+(Regression!$C$28*Table83[[#This Row],[Neck]])</f>
        <v>44.175585585585594</v>
      </c>
      <c r="BY160" s="2">
        <f>Table83[[#This Row],[Waist]]-Table7[[#This Row],[Waist v Neck]]</f>
        <v>0.32441441441440588</v>
      </c>
      <c r="BZ160" s="2">
        <f>Table7[[#This Row],[WaistN Res]]^2</f>
        <v>0.10524471227984188</v>
      </c>
      <c r="CA160">
        <f>Regression!$D$29+(Regression!$D$28*Table83[[#This Row],[Morning Body Temp]])</f>
        <v>44.495891557108962</v>
      </c>
      <c r="CB160" s="2">
        <f>Table83[[#This Row],[Waist]]-Table7[[#This Row],[Waist v Morning Temp]]</f>
        <v>4.1084428910380666E-3</v>
      </c>
      <c r="CC160" s="2">
        <f>Table7[[#This Row],[WaistMT Res]]^2</f>
        <v>1.6879302988921227E-5</v>
      </c>
      <c r="CD160">
        <f>Regression!$E$29+(Regression!$E$28*Table83[[#This Row],[Morning Systolic Pressure]])</f>
        <v>44.481655943121481</v>
      </c>
      <c r="CE160" s="2">
        <f>Table83[[#This Row],[Waist]]-Table7[[#This Row],[Waist v Morning Sys]]</f>
        <v>1.83440568785187E-2</v>
      </c>
      <c r="CF160" s="2">
        <f>Table7[[#This Row],[WaistMS Res]]^2</f>
        <v>3.3650442276232922E-4</v>
      </c>
      <c r="CG160">
        <f>Regression!$F$29+(Regression!$F$28*Table83[[#This Row],[Morning Diastolic Pressure]])</f>
        <v>44.509172874832799</v>
      </c>
      <c r="CH160" s="2">
        <f>Table83[[#This Row],[Waist]]-Table7[[#This Row],[Waist v Morning Dia]]</f>
        <v>-9.1728748327994936E-3</v>
      </c>
      <c r="CI160" s="2">
        <f>Table7[[#This Row],[WaistMD Res]]^2</f>
        <v>8.4141632698206333E-5</v>
      </c>
      <c r="CJ160">
        <f>Regression!$G$29+(Regression!$G$28*Table83[[#This Row],[Morning Pulse]])</f>
        <v>44.454576200079806</v>
      </c>
      <c r="CK160" s="2">
        <f>Table83[[#This Row],[Waist]]-Table7[[#This Row],[Waist v Morning Pulse]]</f>
        <v>4.542379992019363E-2</v>
      </c>
      <c r="CL160" s="2">
        <f>Table7[[#This Row],[WaistMP Res]]^2</f>
        <v>2.0633215991897828E-3</v>
      </c>
      <c r="CM160">
        <f>Regression!$H$29+(Regression!$H$28*Table83[[#This Row],[Night Body Temp]])</f>
        <v>44.481341649878722</v>
      </c>
      <c r="CN160" s="2">
        <f>Table83[[#This Row],[Waist]]-Table7[[#This Row],[Waist v Night Temp]]</f>
        <v>1.8658350121278033E-2</v>
      </c>
      <c r="CO160" s="2">
        <f>Table7[[#This Row],[WaistNT Res]]^2</f>
        <v>3.4813402924819599E-4</v>
      </c>
      <c r="CP160">
        <f>Regression!$I$29+(Regression!$I$28*Table83[[#This Row],[Night Systolic Pressure]])</f>
        <v>44.441959200979596</v>
      </c>
      <c r="CQ160" s="2">
        <f>Table83[[#This Row],[Waist]]-Table7[[#This Row],[Waist v  Night Sys]]</f>
        <v>5.8040799020403711E-2</v>
      </c>
      <c r="CR160" s="2">
        <f>Table7[[#This Row],[WaistNS Res]]^2</f>
        <v>3.3687343509268964E-3</v>
      </c>
      <c r="CS160">
        <f>Regression!$J$29+(Regression!$J$28*Table83[[#This Row],[Night Diastolic Pressure]])</f>
        <v>44.580567627605824</v>
      </c>
      <c r="CT160" s="2">
        <f>Table83[[#This Row],[Waist]]-Table7[[#This Row],[Waist v Night Dia]]</f>
        <v>-8.0567627605823589E-2</v>
      </c>
      <c r="CU160" s="2">
        <f>Table7[[#This Row],[WaistND Res]]^2</f>
        <v>6.4911426180306675E-3</v>
      </c>
      <c r="CV160">
        <f>Regression!$K$29+(Regression!$K$28*Table83[[#This Row],[Night Pulse]])</f>
        <v>44.471135357809125</v>
      </c>
      <c r="CW160" s="2">
        <f>Table83[[#This Row],[Waist]]-Table7[[#This Row],[Waist v Night Pulse]]</f>
        <v>2.8864642190875145E-2</v>
      </c>
      <c r="CX160" s="2">
        <f>Table7[[#This Row],[WaistNP Res]]^2</f>
        <v>8.3316756880724946E-4</v>
      </c>
      <c r="CY160">
        <f>Regression!$L$29+(Regression!$L$28*Table83[[#This Row],[Sleep]])</f>
        <v>44.553089788849412</v>
      </c>
      <c r="CZ160" s="2">
        <f>Table83[[#This Row],[Waist]]-Table7[[#This Row],[Waist v  Sleep]]</f>
        <v>-5.30897888494124E-2</v>
      </c>
      <c r="DA160" s="2">
        <f>Table7[[#This Row],[WaistS Res]]^2</f>
        <v>2.8185256800751933E-3</v>
      </c>
      <c r="DB160">
        <f>Regression!$M$29+(Regression!$M$28*Table83[[#This Row],[BMI]])</f>
        <v>44.410611102864792</v>
      </c>
      <c r="DC160" s="2">
        <f>Table83[[#This Row],[Waist]]-Table7[[#This Row],[Waist v BMI]]</f>
        <v>8.9388897135208367E-2</v>
      </c>
      <c r="DD160" s="2">
        <f>Table7[[#This Row],[WaistBMI Res]]^2</f>
        <v>7.9903749310488627E-3</v>
      </c>
      <c r="DE160">
        <f>Regression!$N$29+(Regression!$N$28*Table83[[#This Row],[CBF]])</f>
        <v>44.659010290127611</v>
      </c>
      <c r="DF160" s="2">
        <f>Table83[[#This Row],[Waist]]-Table7[[#This Row],[Waist v  CBF]]</f>
        <v>-0.15901029012761114</v>
      </c>
      <c r="DG160" s="2">
        <f>Table7[[#This Row],[WaistCBF Res]]^2</f>
        <v>2.5284272366467068E-2</v>
      </c>
      <c r="DH160">
        <f>Regression!$O$29+(Regression!$O$28*Table83[[#This Row],[Gym]])</f>
        <v>44.347222222222221</v>
      </c>
      <c r="DI160" s="2">
        <f>Table83[[#This Row],[Waist]]-Table7[[#This Row],[Waist v  Gym]]</f>
        <v>0.15277777777777857</v>
      </c>
      <c r="DJ160" s="2">
        <f>Table7[[#This Row],[WaistGYM Res]]^2</f>
        <v>2.3341049382716292E-2</v>
      </c>
      <c r="DK160">
        <f>Regression!$P$29+(Regression!$P$28*Table83[[#This Row],[Cardio]])</f>
        <v>44.291666666666664</v>
      </c>
      <c r="DL160" s="2">
        <f>Table83[[#This Row],[Waist]]-Table7[[#This Row],[Waist v Cardio]]</f>
        <v>0.2083333333333357</v>
      </c>
      <c r="DM160" s="2">
        <f>Table7[[#This Row],[WaistC Res]]^2</f>
        <v>4.3402777777778762E-2</v>
      </c>
      <c r="DN160">
        <f>Regression!$Q$29+(Regression!$Q$28*Table83[[#This Row],[Calories]])</f>
        <v>44.50143951569116</v>
      </c>
      <c r="DO160" s="2">
        <f>Table83[[#This Row],[Waist]]-Table7[[#This Row],[Waist v Calories]]</f>
        <v>-1.439515691160409E-3</v>
      </c>
      <c r="DP160" s="2">
        <f>Table7[[#This Row],[WaistCal Res]]^2</f>
        <v>2.0722054250970301E-6</v>
      </c>
      <c r="DQ160">
        <f>Regression!$R$29+(Regression!$R$28*Table83[[#This Row],[Carbs]])</f>
        <v>44.626753860486623</v>
      </c>
      <c r="DR160" s="2">
        <f>Table83[[#This Row],[Waist]]-Table7[[#This Row],[Waist v Carbs]]</f>
        <v>-0.12675386048662318</v>
      </c>
      <c r="DS160" s="2">
        <f>Table7[[#This Row],[WaistCarb Res]]^2</f>
        <v>1.6066541148262333E-2</v>
      </c>
      <c r="DT160">
        <f>Regression!$S$29+(Regression!$S$28*Table83[[#This Row],[Fat ]])</f>
        <v>44.399031423155243</v>
      </c>
      <c r="DU160" s="2">
        <f>Table83[[#This Row],[Waist]]-Table7[[#This Row],[Waist v Fat]]</f>
        <v>0.1009685768447568</v>
      </c>
      <c r="DV160" s="2">
        <f>Table7[[#This Row],[WaistF Res]]^2</f>
        <v>1.0194653510055558E-2</v>
      </c>
      <c r="DW160">
        <f>Regression!$T$29+(Regression!$T$28*Table83[[#This Row],[Protein]])</f>
        <v>44.194240000987982</v>
      </c>
      <c r="DX160" s="2">
        <f>Table83[[#This Row],[Waist]]-Table7[[#This Row],[Waist v Protein]]</f>
        <v>0.30575999901201811</v>
      </c>
      <c r="DY160" s="2">
        <f>Table7[[#This Row],[WaistP Res]]^2</f>
        <v>9.3489176995829315E-2</v>
      </c>
      <c r="DZ160">
        <f>Regression!$U$29+(Regression!$U$28*Table83[[#This Row],[Fiber]])</f>
        <v>44.399663781040992</v>
      </c>
      <c r="EA160" s="2">
        <f>Table83[[#This Row],[Waist]]-Table7[[#This Row],[Waist v Fiber]]</f>
        <v>0.10033621895900779</v>
      </c>
      <c r="EB160" s="2">
        <f>Table7[[#This Row],[WaistFib Res]]^2</f>
        <v>1.0067356834989955E-2</v>
      </c>
      <c r="EC160">
        <f>Regression!$V$29+(Regression!$V$28*Table83[[#This Row],[Sugar]])</f>
        <v>44.722084104387804</v>
      </c>
      <c r="ED160" s="2">
        <f>Table83[[#This Row],[Waist]]-Table7[[#This Row],[Waist v Sugar]]</f>
        <v>-0.2220841043878039</v>
      </c>
      <c r="EE160" s="2">
        <f>Table7[[#This Row],[WaistSugar Res]]^2</f>
        <v>4.9321349421732982E-2</v>
      </c>
      <c r="EF160">
        <f>Regression!$W$29+(Regression!$W$28*Table83[[#This Row],[Servings]])</f>
        <v>44.660212395657602</v>
      </c>
      <c r="EG160" s="2">
        <f>Table83[[#This Row],[Waist]]-Table7[[#This Row],[Waist v Servings]]</f>
        <v>-0.16021239565760226</v>
      </c>
      <c r="EH160" s="2">
        <f>Table7[[#This Row],[WaistServ Res]]^2</f>
        <v>2.5668011722348092E-2</v>
      </c>
      <c r="EI160">
        <f>Regression!$X$29+(Regression!$X$28*Table83[[#This Row],[Water]])</f>
        <v>44.442082352251923</v>
      </c>
      <c r="EJ160" s="2">
        <f>Table83[[#This Row],[Waist]]-Table7[[#This Row],[Waist v Water]]</f>
        <v>5.7917647748077172E-2</v>
      </c>
      <c r="EK160" s="2">
        <f>Table7[[#This Row],[WaistWat Res]]^2</f>
        <v>3.3544539206703488E-3</v>
      </c>
      <c r="EL160">
        <f>Regression!$Y$29+(Regression!$Y$28*Table83[[#This Row],[Fat Calories]])</f>
        <v>44.394344785805842</v>
      </c>
      <c r="EM160" s="2">
        <f>Table83[[#This Row],[Waist]]-Table7[[#This Row],[Waist v Fat Calories]]</f>
        <v>0.10565521419415802</v>
      </c>
      <c r="EN160" s="2">
        <f>Table7[[#This Row],[WaistFatCal Res]]^2</f>
        <v>1.1163024286413411E-2</v>
      </c>
    </row>
    <row r="161" spans="1:144" x14ac:dyDescent="0.25">
      <c r="A161">
        <f>Regression!$B$10+(Regression!$B$9*Table83[[#This Row],[Waist]])</f>
        <v>255.38023686459636</v>
      </c>
      <c r="B161" s="2">
        <f>Table83[[#This Row],[Weight]]-Table7[[#This Row],[Weight v Waist]]</f>
        <v>-2.580236864596344</v>
      </c>
      <c r="C161" s="2">
        <f>Table7[[#This Row],[Weight v Waist Res]]^2</f>
        <v>6.6576222774219724</v>
      </c>
      <c r="D161">
        <f>Regression!$C$10+(Regression!$C$9*Table83[[#This Row],[Neck]])</f>
        <v>253.29286486487842</v>
      </c>
      <c r="E161" s="2">
        <f>Table83[[#This Row],[Weight]]-Table7[[#This Row],[Weight v Neck]]</f>
        <v>-0.4928648648784133</v>
      </c>
      <c r="F161" s="2">
        <f>Table7[[#This Row],[WN Res]]^2</f>
        <v>0.2429157750316166</v>
      </c>
      <c r="G161">
        <f>Regression!$D$10+(Regression!$D$9*Table83[[#This Row],[Morning Body Temp]])</f>
        <v>255.20036355752904</v>
      </c>
      <c r="H161" s="2">
        <f>Table83[[#This Row],[Weight]]-Table7[[#This Row],[Weight v Morning Temp]]</f>
        <v>-2.4003635575290332</v>
      </c>
      <c r="I161" s="2">
        <f>Table7[[#This Row],[WMT Res]]^2</f>
        <v>5.7617452083134362</v>
      </c>
      <c r="J161">
        <f>Regression!$E$10+(Regression!$E$9*Table83[[#This Row],[Morning Systolic Pressure]])</f>
        <v>255.46010425966242</v>
      </c>
      <c r="K161" s="2">
        <f>Table83[[#This Row],[Weight]]-Table7[[#This Row],[Weight v Morning Sys]]</f>
        <v>-2.660104259662404</v>
      </c>
      <c r="L161" s="2">
        <f>Table7[[#This Row],[WMS Res]]^2</f>
        <v>7.0761546722740665</v>
      </c>
      <c r="M161">
        <f>Regression!$F$10+(Regression!$F$9*Table83[[#This Row],[Morning Diastolic Pressure]])</f>
        <v>254.29128590488762</v>
      </c>
      <c r="N161" s="2">
        <f>Table83[[#This Row],[Weight]]-Table7[[#This Row],[Weight v Morning Dia]]</f>
        <v>-1.4912859048876044</v>
      </c>
      <c r="O161" s="2">
        <f>Table7[[#This Row],[WMD Res]]^2</f>
        <v>2.2239336501164408</v>
      </c>
      <c r="P161">
        <f>Regression!$G$10+(Regression!$G$9*Table83[[#This Row],[Morning Pulse]])</f>
        <v>255.1246118689416</v>
      </c>
      <c r="Q161" s="2">
        <f>Table83[[#This Row],[Weight]]-Table7[[#This Row],[Weight v Morning Pulse]]</f>
        <v>-2.324611868941588</v>
      </c>
      <c r="R161" s="2">
        <f>Table7[[#This Row],[WMP Res]]^2</f>
        <v>5.4038203412241028</v>
      </c>
      <c r="S161">
        <f>Regression!$H$10+(Regression!$H$9*Table83[[#This Row],[Night Body Temp]])</f>
        <v>254.74879010704339</v>
      </c>
      <c r="T161" s="2">
        <f>Table83[[#This Row],[Weight]]-Table7[[#This Row],[Weight v Night Temp]]</f>
        <v>-1.9487901070433793</v>
      </c>
      <c r="U161" s="2">
        <f>Table7[[#This Row],[WNT Res]]^2</f>
        <v>3.7977828813101455</v>
      </c>
      <c r="V161">
        <f>Regression!$I$10+(Regression!$I$9*Table83[[#This Row],[Night Systolic Pressure]])</f>
        <v>255.13593655913874</v>
      </c>
      <c r="W161" s="2">
        <f>Table83[[#This Row],[Weight]]-Table7[[#This Row],[Weight v Night Sys]]</f>
        <v>-2.3359365591387302</v>
      </c>
      <c r="X161" s="2">
        <f>Table7[[#This Row],[WNS Res]]^2</f>
        <v>5.4565996083208903</v>
      </c>
      <c r="Y161">
        <f>Regression!$J$10+(Regression!$J$9*Table83[[#This Row],[Night Diastolic Pressure]])</f>
        <v>255.17384811107831</v>
      </c>
      <c r="Z161" s="2">
        <f>Table83[[#This Row],[Weight]]-Table7[[#This Row],[Weight v Night Dia]]</f>
        <v>-2.3738481110783027</v>
      </c>
      <c r="AA161" s="2">
        <f>Table7[[#This Row],[WND Res]]^2</f>
        <v>5.6351548544700263</v>
      </c>
      <c r="AB161">
        <f>Regression!$K$10+(Regression!$K$9*Table83[[#This Row],[Night Pulse]])</f>
        <v>255.07943852750452</v>
      </c>
      <c r="AC161" s="2">
        <f>Table83[[#This Row],[Weight]]-Table7[[#This Row],[Weight v Night Pulse]]</f>
        <v>-2.2794385275045101</v>
      </c>
      <c r="AD161" s="2">
        <f>Table7[[#This Row],[WNP Res ]]^2</f>
        <v>5.1958400006719296</v>
      </c>
      <c r="AE161">
        <f>Regression!$L$10+(Regression!$L$9*Table83[[#This Row],[Sleep]])</f>
        <v>255.13702972738133</v>
      </c>
      <c r="AF161" s="2">
        <f>Table83[[#This Row],[Weight]]-Table7[[#This Row],[Weight v Sleep]]</f>
        <v>-2.3370297273813208</v>
      </c>
      <c r="AG161" s="2">
        <f>Table7[[#This Row],[WS Res]]^2</f>
        <v>5.4617079466640108</v>
      </c>
      <c r="AH161">
        <f>Regression!$M$10+(Regression!$M$9*Table83[[#This Row],[BMI]])</f>
        <v>252.80000000000521</v>
      </c>
      <c r="AI161" s="2">
        <f>Table83[[#This Row],[Weight]]-Table7[[#This Row],[Weight v BMI]]</f>
        <v>-5.2011728257639334E-12</v>
      </c>
      <c r="AJ161" s="2">
        <f>Table7[[#This Row],[WBMI Res]]^2</f>
        <v>2.7052198763465179E-23</v>
      </c>
      <c r="AK161">
        <f>Regression!$N$10+(Regression!$N$9*Table83[[#This Row],[CBF]])</f>
        <v>256.25609762651322</v>
      </c>
      <c r="AL161" s="2">
        <f>Table83[[#This Row],[Weight]]-Table7[[#This Row],[Weight v CBF]]</f>
        <v>-3.4560976265132126</v>
      </c>
      <c r="AM161" s="2">
        <f>Table7[[#This Row],[WCBF Res]]^2</f>
        <v>11.944610803990262</v>
      </c>
      <c r="AN161">
        <f>Regression!$O$10+(Regression!$O$9*Table83[[#This Row],[Gym]])</f>
        <v>255.46779661016953</v>
      </c>
      <c r="AO161" s="2">
        <f>Table83[[#This Row],[Weight]]-Table7[[#This Row],[Weight v Gym]]</f>
        <v>-2.6677966101695176</v>
      </c>
      <c r="AP161" s="2">
        <f>Table7[[#This Row],[WG Res]]^2</f>
        <v>7.117138753231969</v>
      </c>
      <c r="AQ161">
        <f>Regression!$P$10+(Regression!$P$9*Table83[[#This Row],[Cardio]])</f>
        <v>256.41063829787231</v>
      </c>
      <c r="AR161" s="2">
        <f>Table83[[#This Row],[Weight]]-Table7[[#This Row],[Weight v Cardio]]</f>
        <v>-3.6106382978722991</v>
      </c>
      <c r="AS161" s="2">
        <f>Table7[[#This Row],[WC Res]]^2</f>
        <v>13.036708918062173</v>
      </c>
      <c r="AT161">
        <f>Regression!$Q$10+(Regression!$Q$9*Table83[[#This Row],[Calories]])</f>
        <v>255.52626972452083</v>
      </c>
      <c r="AU161" s="2">
        <f>Table83[[#This Row],[Weight]]-Table7[[#This Row],[Weight v Calories]]</f>
        <v>-2.7262697245208187</v>
      </c>
      <c r="AV161" s="2">
        <f>Table7[[#This Row],[WCAL Res]]^2</f>
        <v>7.4325466108388207</v>
      </c>
      <c r="AW161">
        <f>Regression!$R$10+(Regression!$R$9*Table83[[#This Row],[Carbs]])</f>
        <v>255.6943315422449</v>
      </c>
      <c r="AX161" s="2">
        <f>Table83[[#This Row],[Weight]]-Table7[[#This Row],[Weight v Carbs]]</f>
        <v>-2.8943315422448848</v>
      </c>
      <c r="AY161" s="2">
        <f>Table7[[#This Row],[Wcarb Res]]^2</f>
        <v>8.3771550764336524</v>
      </c>
      <c r="AZ161">
        <f>Regression!$S$10+(Regression!$S$9*Table83[[#This Row],[Fat ]])</f>
        <v>254.70380035174011</v>
      </c>
      <c r="BA161" s="2">
        <f>Table83[[#This Row],[Weight]]-Table7[[#This Row],[Weight v Fat]]</f>
        <v>-1.9038003517401023</v>
      </c>
      <c r="BB161" s="2">
        <f>Table7[[#This Row],[WF Res]]^2</f>
        <v>3.6244557792857375</v>
      </c>
      <c r="BC161">
        <f>Regression!$T$10+(Regression!$T$9*Table83[[#This Row],[Protein]])</f>
        <v>255.19082961878695</v>
      </c>
      <c r="BD161" s="2">
        <f>Table83[[#This Row],[Weight]]-Table7[[#This Row],[Weight v Protein]]</f>
        <v>-2.3908296187869382</v>
      </c>
      <c r="BE161" s="2">
        <f>Table7[[#This Row],[WP Res]]^2</f>
        <v>5.7160662660688963</v>
      </c>
      <c r="BF161">
        <f>Regression!$U$10+(Regression!$U$9*Table83[[#This Row],[Fiber]])</f>
        <v>255.4398494282776</v>
      </c>
      <c r="BG161" s="2">
        <f>Table83[[#This Row],[Weight]]-Table7[[#This Row],[Weight v Fiber]]</f>
        <v>-2.6398494282775857</v>
      </c>
      <c r="BH161" s="2">
        <f>Table7[[#This Row],[Wfib Res]]^2</f>
        <v>6.9688050039774962</v>
      </c>
      <c r="BI161">
        <f>Regression!$V$10+(Regression!$V$9*Table83[[#This Row],[Sugar]])</f>
        <v>256.47464376243818</v>
      </c>
      <c r="BJ161" s="2">
        <f>Table83[[#This Row],[Weight]]-Table7[[#This Row],[Weight v Sugar]]</f>
        <v>-3.6746437624381656</v>
      </c>
      <c r="BK161" s="2">
        <f>Table7[[#This Row],[Wsugar Res]]^2</f>
        <v>13.503006780825718</v>
      </c>
      <c r="BL161">
        <f>Regression!$W$10+(Regression!$W$9*Table83[[#This Row],[Servings]])</f>
        <v>255.80059853465269</v>
      </c>
      <c r="BM161" s="2">
        <f>Table83[[#This Row],[Weight]]-Table7[[#This Row],[Weight v Servings]]</f>
        <v>-3.0005985346526813</v>
      </c>
      <c r="BN161" s="2">
        <f>Table7[[#This Row],[Wserv Res]]^2</f>
        <v>9.0035915661598178</v>
      </c>
      <c r="BO161">
        <f>Regression!$X$10+(Regression!$X$9*Table83[[#This Row],[Water]])</f>
        <v>255.19189796045953</v>
      </c>
      <c r="BP161" s="2">
        <f>Table83[[#This Row],[Weight]]-Table7[[#This Row],[Weight v Water]]</f>
        <v>-2.3918979604595165</v>
      </c>
      <c r="BQ161" s="2">
        <f>Table7[[#This Row],[Wwater Res]]^2</f>
        <v>5.7211758532503945</v>
      </c>
      <c r="BR161">
        <f>Regression!$Y$10+(Regression!$Y$9*Table83[[#This Row],[Fat Calories]])</f>
        <v>254.67251568145602</v>
      </c>
      <c r="BS161" s="2">
        <f>Table83[[#This Row],[Weight]]-Table7[[#This Row],[Weight v Fat Calories]]</f>
        <v>-1.872515681456008</v>
      </c>
      <c r="BT161" s="2">
        <f>Table7[[#This Row],[WFC Res]]^2</f>
        <v>3.5063149772986582</v>
      </c>
      <c r="BU161">
        <f>Regression!$B$29+(Regression!$B$28*Table83[[#This Row],[Weight]])</f>
        <v>44.138086081724687</v>
      </c>
      <c r="BV161" s="2">
        <f>Table83[[#This Row],[Waist]]-Table7[[#This Row],[Waist v Weight]]</f>
        <v>0.36191391827531305</v>
      </c>
      <c r="BW161" s="2">
        <f>Table7[[#This Row],[WaistW Res]]^2</f>
        <v>0.13098168424138998</v>
      </c>
      <c r="BX161">
        <f>Regression!$C$29+(Regression!$C$28*Table83[[#This Row],[Neck]])</f>
        <v>44.175585585585594</v>
      </c>
      <c r="BY161" s="2">
        <f>Table83[[#This Row],[Waist]]-Table7[[#This Row],[Waist v Neck]]</f>
        <v>0.32441441441440588</v>
      </c>
      <c r="BZ161" s="2">
        <f>Table7[[#This Row],[WaistN Res]]^2</f>
        <v>0.10524471227984188</v>
      </c>
      <c r="CA161">
        <f>Regression!$D$29+(Regression!$D$28*Table83[[#This Row],[Morning Body Temp]])</f>
        <v>44.476744743933082</v>
      </c>
      <c r="CB161" s="2">
        <f>Table83[[#This Row],[Waist]]-Table7[[#This Row],[Waist v Morning Temp]]</f>
        <v>2.3255256066917696E-2</v>
      </c>
      <c r="CC161" s="2">
        <f>Table7[[#This Row],[WaistMT Res]]^2</f>
        <v>5.408069347379123E-4</v>
      </c>
      <c r="CD161">
        <f>Regression!$E$29+(Regression!$E$28*Table83[[#This Row],[Morning Systolic Pressure]])</f>
        <v>44.534607969333621</v>
      </c>
      <c r="CE161" s="2">
        <f>Table83[[#This Row],[Waist]]-Table7[[#This Row],[Waist v Morning Sys]]</f>
        <v>-3.4607969333620758E-2</v>
      </c>
      <c r="CF161" s="2">
        <f>Table7[[#This Row],[WaistMS Res]]^2</f>
        <v>1.1977115413968349E-3</v>
      </c>
      <c r="CG161">
        <f>Regression!$F$29+(Regression!$F$28*Table83[[#This Row],[Morning Diastolic Pressure]])</f>
        <v>44.407731702793427</v>
      </c>
      <c r="CH161" s="2">
        <f>Table83[[#This Row],[Waist]]-Table7[[#This Row],[Waist v Morning Dia]]</f>
        <v>9.2268297206572925E-2</v>
      </c>
      <c r="CI161" s="2">
        <f>Table7[[#This Row],[WaistMD Res]]^2</f>
        <v>8.5134386694004725E-3</v>
      </c>
      <c r="CJ161">
        <f>Regression!$G$29+(Regression!$G$28*Table83[[#This Row],[Morning Pulse]])</f>
        <v>44.457934210374262</v>
      </c>
      <c r="CK161" s="2">
        <f>Table83[[#This Row],[Waist]]-Table7[[#This Row],[Waist v Morning Pulse]]</f>
        <v>4.2065789625738148E-2</v>
      </c>
      <c r="CL161" s="2">
        <f>Table7[[#This Row],[WaistMP Res]]^2</f>
        <v>1.7695306568368593E-3</v>
      </c>
      <c r="CM161">
        <f>Regression!$H$29+(Regression!$H$28*Table83[[#This Row],[Night Body Temp]])</f>
        <v>44.424663183244519</v>
      </c>
      <c r="CN161" s="2">
        <f>Table83[[#This Row],[Waist]]-Table7[[#This Row],[Waist v Night Temp]]</f>
        <v>7.5336816755481095E-2</v>
      </c>
      <c r="CO161" s="2">
        <f>Table7[[#This Row],[WaistNT Res]]^2</f>
        <v>5.6756359588489369E-3</v>
      </c>
      <c r="CP161">
        <f>Regression!$I$29+(Regression!$I$28*Table83[[#This Row],[Night Systolic Pressure]])</f>
        <v>44.456499315305209</v>
      </c>
      <c r="CQ161" s="2">
        <f>Table83[[#This Row],[Waist]]-Table7[[#This Row],[Waist v  Night Sys]]</f>
        <v>4.3500684694791403E-2</v>
      </c>
      <c r="CR161" s="2">
        <f>Table7[[#This Row],[WaistNS Res]]^2</f>
        <v>1.8923095689156589E-3</v>
      </c>
      <c r="CS161">
        <f>Regression!$J$29+(Regression!$J$28*Table83[[#This Row],[Night Diastolic Pressure]])</f>
        <v>44.478159956361175</v>
      </c>
      <c r="CT161" s="2">
        <f>Table83[[#This Row],[Waist]]-Table7[[#This Row],[Waist v Night Dia]]</f>
        <v>2.184004363882508E-2</v>
      </c>
      <c r="CU161" s="2">
        <f>Table7[[#This Row],[WaistND Res]]^2</f>
        <v>4.7698750614578382E-4</v>
      </c>
      <c r="CV161">
        <f>Regression!$K$29+(Regression!$K$28*Table83[[#This Row],[Night Pulse]])</f>
        <v>44.456851626254306</v>
      </c>
      <c r="CW161" s="2">
        <f>Table83[[#This Row],[Waist]]-Table7[[#This Row],[Waist v Night Pulse]]</f>
        <v>4.3148373745694357E-2</v>
      </c>
      <c r="CX161" s="2">
        <f>Table7[[#This Row],[WaistNP Res]]^2</f>
        <v>1.8617821568981262E-3</v>
      </c>
      <c r="CY161">
        <f>Regression!$L$29+(Regression!$L$28*Table83[[#This Row],[Sleep]])</f>
        <v>44.456891852858099</v>
      </c>
      <c r="CZ161" s="2">
        <f>Table83[[#This Row],[Waist]]-Table7[[#This Row],[Waist v  Sleep]]</f>
        <v>4.3108147141900588E-2</v>
      </c>
      <c r="DA161" s="2">
        <f>Table7[[#This Row],[WaistS Res]]^2</f>
        <v>1.8583123500077519E-3</v>
      </c>
      <c r="DB161">
        <f>Regression!$M$29+(Regression!$M$28*Table83[[#This Row],[BMI]])</f>
        <v>44.138086081725689</v>
      </c>
      <c r="DC161" s="2">
        <f>Table83[[#This Row],[Waist]]-Table7[[#This Row],[Waist v BMI]]</f>
        <v>0.36191391827431119</v>
      </c>
      <c r="DD161" s="2">
        <f>Table7[[#This Row],[WaistBMI Res]]^2</f>
        <v>0.13098168424066481</v>
      </c>
      <c r="DE161">
        <f>Regression!$N$29+(Regression!$N$28*Table83[[#This Row],[CBF]])</f>
        <v>44.659010290127611</v>
      </c>
      <c r="DF161" s="2">
        <f>Table83[[#This Row],[Waist]]-Table7[[#This Row],[Waist v  CBF]]</f>
        <v>-0.15901029012761114</v>
      </c>
      <c r="DG161" s="2">
        <f>Table7[[#This Row],[WaistCBF Res]]^2</f>
        <v>2.5284272366467068E-2</v>
      </c>
      <c r="DH161">
        <f>Regression!$O$29+(Regression!$O$28*Table83[[#This Row],[Gym]])</f>
        <v>44.550847457627107</v>
      </c>
      <c r="DI161" s="2">
        <f>Table83[[#This Row],[Waist]]-Table7[[#This Row],[Waist v  Gym]]</f>
        <v>-5.0847457627106962E-2</v>
      </c>
      <c r="DJ161" s="2">
        <f>Table7[[#This Row],[WaistGYM Res]]^2</f>
        <v>2.5854639471404378E-3</v>
      </c>
      <c r="DK161">
        <f>Regression!$P$29+(Regression!$P$28*Table83[[#This Row],[Cardio]])</f>
        <v>44.680851063829778</v>
      </c>
      <c r="DL161" s="2">
        <f>Table83[[#This Row],[Waist]]-Table7[[#This Row],[Waist v Cardio]]</f>
        <v>-0.18085106382977756</v>
      </c>
      <c r="DM161" s="2">
        <f>Table7[[#This Row],[WaistC Res]]^2</f>
        <v>3.2707107288362278E-2</v>
      </c>
      <c r="DN161">
        <f>Regression!$Q$29+(Regression!$Q$28*Table83[[#This Row],[Calories]])</f>
        <v>44.545933066788322</v>
      </c>
      <c r="DO161" s="2">
        <f>Table83[[#This Row],[Waist]]-Table7[[#This Row],[Waist v Calories]]</f>
        <v>-4.5933066788322208E-2</v>
      </c>
      <c r="DP161" s="2">
        <f>Table7[[#This Row],[WaistCal Res]]^2</f>
        <v>2.1098466245804688E-3</v>
      </c>
      <c r="DQ161">
        <f>Regression!$R$29+(Regression!$R$28*Table83[[#This Row],[Carbs]])</f>
        <v>44.574143890298636</v>
      </c>
      <c r="DR161" s="2">
        <f>Table83[[#This Row],[Waist]]-Table7[[#This Row],[Waist v Carbs]]</f>
        <v>-7.4143890298635995E-2</v>
      </c>
      <c r="DS161" s="2">
        <f>Table7[[#This Row],[WaistCarb Res]]^2</f>
        <v>5.4973164686161688E-3</v>
      </c>
      <c r="DT161">
        <f>Regression!$S$29+(Regression!$S$28*Table83[[#This Row],[Fat ]])</f>
        <v>44.327831267022468</v>
      </c>
      <c r="DU161" s="2">
        <f>Table83[[#This Row],[Waist]]-Table7[[#This Row],[Waist v Fat]]</f>
        <v>0.1721687329775321</v>
      </c>
      <c r="DV161" s="2">
        <f>Table7[[#This Row],[WaistF Res]]^2</f>
        <v>2.9642072615088749E-2</v>
      </c>
      <c r="DW161">
        <f>Regression!$T$29+(Regression!$T$28*Table83[[#This Row],[Protein]])</f>
        <v>44.467411361059312</v>
      </c>
      <c r="DX161" s="2">
        <f>Table83[[#This Row],[Waist]]-Table7[[#This Row],[Waist v Protein]]</f>
        <v>3.2588638940687531E-2</v>
      </c>
      <c r="DY161" s="2">
        <f>Table7[[#This Row],[WaistP Res]]^2</f>
        <v>1.0620193880064956E-3</v>
      </c>
      <c r="DZ161">
        <f>Regression!$U$29+(Regression!$U$28*Table83[[#This Row],[Fiber]])</f>
        <v>44.578869134491477</v>
      </c>
      <c r="EA161" s="2">
        <f>Table83[[#This Row],[Waist]]-Table7[[#This Row],[Waist v Fiber]]</f>
        <v>-7.88691344914767E-2</v>
      </c>
      <c r="EB161" s="2">
        <f>Table7[[#This Row],[WaistFib Res]]^2</f>
        <v>6.2203403754346395E-3</v>
      </c>
      <c r="EC161">
        <f>Regression!$V$29+(Regression!$V$28*Table83[[#This Row],[Sugar]])</f>
        <v>44.697776712165798</v>
      </c>
      <c r="ED161" s="2">
        <f>Table83[[#This Row],[Waist]]-Table7[[#This Row],[Waist v Sugar]]</f>
        <v>-0.19777671216579762</v>
      </c>
      <c r="EE161" s="2">
        <f>Table7[[#This Row],[WaistSugar Res]]^2</f>
        <v>3.911562787511276E-2</v>
      </c>
      <c r="EF161">
        <f>Regression!$W$29+(Regression!$W$28*Table83[[#This Row],[Servings]])</f>
        <v>44.558143985853185</v>
      </c>
      <c r="EG161" s="2">
        <f>Table83[[#This Row],[Waist]]-Table7[[#This Row],[Waist v Servings]]</f>
        <v>-5.8143985853185143E-2</v>
      </c>
      <c r="EH161" s="2">
        <f>Table7[[#This Row],[WaistServ Res]]^2</f>
        <v>3.3807230908953941E-3</v>
      </c>
      <c r="EI161">
        <f>Regression!$X$29+(Regression!$X$28*Table83[[#This Row],[Water]])</f>
        <v>44.553850107074496</v>
      </c>
      <c r="EJ161" s="2">
        <f>Table83[[#This Row],[Waist]]-Table7[[#This Row],[Waist v Water]]</f>
        <v>-5.3850107074495668E-2</v>
      </c>
      <c r="EK161" s="2">
        <f>Table7[[#This Row],[WaistWat Res]]^2</f>
        <v>2.8998340319346485E-3</v>
      </c>
      <c r="EL161">
        <f>Regression!$Y$29+(Regression!$Y$28*Table83[[#This Row],[Fat Calories]])</f>
        <v>44.318954155480895</v>
      </c>
      <c r="EM161" s="2">
        <f>Table83[[#This Row],[Waist]]-Table7[[#This Row],[Waist v Fat Calories]]</f>
        <v>0.18104584451910455</v>
      </c>
      <c r="EN161" s="2">
        <f>Table7[[#This Row],[WaistFatCal Res]]^2</f>
        <v>3.2777597817635777E-2</v>
      </c>
    </row>
    <row r="162" spans="1:144" x14ac:dyDescent="0.25">
      <c r="A162">
        <f>Regression!$B$10+(Regression!$B$9*Table83[[#This Row],[Waist]])</f>
        <v>255.38023686459636</v>
      </c>
      <c r="B162" s="2">
        <f>Table83[[#This Row],[Weight]]-Table7[[#This Row],[Weight v Waist]]</f>
        <v>-3.580236864596344</v>
      </c>
      <c r="C162" s="2">
        <f>Table7[[#This Row],[Weight v Waist Res]]^2</f>
        <v>12.81809600661466</v>
      </c>
      <c r="D162">
        <f>Regression!$C$10+(Regression!$C$9*Table83[[#This Row],[Neck]])</f>
        <v>253.29286486487842</v>
      </c>
      <c r="E162" s="2">
        <f>Table83[[#This Row],[Weight]]-Table7[[#This Row],[Weight v Neck]]</f>
        <v>-1.4928648648784133</v>
      </c>
      <c r="F162" s="2">
        <f>Table7[[#This Row],[WN Res]]^2</f>
        <v>2.2286455047884433</v>
      </c>
      <c r="G162">
        <f>Regression!$D$10+(Regression!$D$9*Table83[[#This Row],[Morning Body Temp]])</f>
        <v>254.98916789486196</v>
      </c>
      <c r="H162" s="2">
        <f>Table83[[#This Row],[Weight]]-Table7[[#This Row],[Weight v Morning Temp]]</f>
        <v>-3.1891678948619528</v>
      </c>
      <c r="I162" s="2">
        <f>Table7[[#This Row],[WMT Res]]^2</f>
        <v>10.17079186161822</v>
      </c>
      <c r="J162">
        <f>Regression!$E$10+(Regression!$E$9*Table83[[#This Row],[Morning Systolic Pressure]])</f>
        <v>255.50518146352579</v>
      </c>
      <c r="K162" s="2">
        <f>Table83[[#This Row],[Weight]]-Table7[[#This Row],[Weight v Morning Sys]]</f>
        <v>-3.7051814635257756</v>
      </c>
      <c r="L162" s="2">
        <f>Table7[[#This Row],[WMS Res]]^2</f>
        <v>13.728369677655008</v>
      </c>
      <c r="M162">
        <f>Regression!$F$10+(Regression!$F$9*Table83[[#This Row],[Morning Diastolic Pressure]])</f>
        <v>254.79800715011203</v>
      </c>
      <c r="N162" s="2">
        <f>Table83[[#This Row],[Weight]]-Table7[[#This Row],[Weight v Morning Dia]]</f>
        <v>-2.9980071501120165</v>
      </c>
      <c r="O162" s="2">
        <f>Table7[[#This Row],[WMD Res]]^2</f>
        <v>8.9880468721227746</v>
      </c>
      <c r="P162">
        <f>Regression!$G$10+(Regression!$G$9*Table83[[#This Row],[Morning Pulse]])</f>
        <v>255.11912848167003</v>
      </c>
      <c r="Q162" s="2">
        <f>Table83[[#This Row],[Weight]]-Table7[[#This Row],[Weight v Morning Pulse]]</f>
        <v>-3.3191284816700204</v>
      </c>
      <c r="R162" s="2">
        <f>Table7[[#This Row],[WMP Res]]^2</f>
        <v>11.016613877833136</v>
      </c>
      <c r="S162">
        <f>Regression!$H$10+(Regression!$H$9*Table83[[#This Row],[Night Body Temp]])</f>
        <v>254.74879010704339</v>
      </c>
      <c r="T162" s="2">
        <f>Table83[[#This Row],[Weight]]-Table7[[#This Row],[Weight v Night Temp]]</f>
        <v>-2.9487901070433793</v>
      </c>
      <c r="U162" s="2">
        <f>Table7[[#This Row],[WNT Res]]^2</f>
        <v>8.695363095396905</v>
      </c>
      <c r="V162">
        <f>Regression!$I$10+(Regression!$I$9*Table83[[#This Row],[Night Systolic Pressure]])</f>
        <v>255.03329172511027</v>
      </c>
      <c r="W162" s="2">
        <f>Table83[[#This Row],[Weight]]-Table7[[#This Row],[Weight v Night Sys]]</f>
        <v>-3.2332917251102629</v>
      </c>
      <c r="X162" s="2">
        <f>Table7[[#This Row],[WNS Res]]^2</f>
        <v>10.4541753796665</v>
      </c>
      <c r="Y162">
        <f>Regression!$J$10+(Regression!$J$9*Table83[[#This Row],[Night Diastolic Pressure]])</f>
        <v>255.41844332157493</v>
      </c>
      <c r="Z162" s="2">
        <f>Table83[[#This Row],[Weight]]-Table7[[#This Row],[Weight v Night Dia]]</f>
        <v>-3.6184433215749152</v>
      </c>
      <c r="AA162" s="2">
        <f>Table7[[#This Row],[WND Res]]^2</f>
        <v>13.093132071450105</v>
      </c>
      <c r="AB162">
        <f>Regression!$K$10+(Regression!$K$9*Table83[[#This Row],[Night Pulse]])</f>
        <v>255.04872519626778</v>
      </c>
      <c r="AC162" s="2">
        <f>Table83[[#This Row],[Weight]]-Table7[[#This Row],[Weight v Night Pulse]]</f>
        <v>-3.2487251962677703</v>
      </c>
      <c r="AD162" s="2">
        <f>Table7[[#This Row],[WNP Res ]]^2</f>
        <v>10.554215400865063</v>
      </c>
      <c r="AE162">
        <f>Regression!$L$10+(Regression!$L$9*Table83[[#This Row],[Sleep]])</f>
        <v>255.13702972738133</v>
      </c>
      <c r="AF162" s="2">
        <f>Table83[[#This Row],[Weight]]-Table7[[#This Row],[Weight v Sleep]]</f>
        <v>-3.3370297273813208</v>
      </c>
      <c r="AG162" s="2">
        <f>Table7[[#This Row],[WS Res]]^2</f>
        <v>11.135767401426651</v>
      </c>
      <c r="AH162">
        <f>Regression!$M$10+(Regression!$M$9*Table83[[#This Row],[BMI]])</f>
        <v>251.80000000000746</v>
      </c>
      <c r="AI162" s="2">
        <f>Table83[[#This Row],[Weight]]-Table7[[#This Row],[Weight v BMI]]</f>
        <v>-7.4464878707658499E-12</v>
      </c>
      <c r="AJ162" s="2">
        <f>Table7[[#This Row],[WBMI Res]]^2</f>
        <v>5.5450181609462922E-23</v>
      </c>
      <c r="AK162">
        <f>Regression!$N$10+(Regression!$N$9*Table83[[#This Row],[CBF]])</f>
        <v>256.25609762651322</v>
      </c>
      <c r="AL162" s="2">
        <f>Table83[[#This Row],[Weight]]-Table7[[#This Row],[Weight v CBF]]</f>
        <v>-4.4560976265132126</v>
      </c>
      <c r="AM162" s="2">
        <f>Table7[[#This Row],[WCBF Res]]^2</f>
        <v>19.856806057016687</v>
      </c>
      <c r="AN162">
        <f>Regression!$O$10+(Regression!$O$9*Table83[[#This Row],[Gym]])</f>
        <v>254.72962962962998</v>
      </c>
      <c r="AO162" s="2">
        <f>Table83[[#This Row],[Weight]]-Table7[[#This Row],[Weight v Gym]]</f>
        <v>-2.9296296296299715</v>
      </c>
      <c r="AP162" s="2">
        <f>Table7[[#This Row],[WG Res]]^2</f>
        <v>8.5827297668058442</v>
      </c>
      <c r="AQ162">
        <f>Regression!$P$10+(Regression!$P$9*Table83[[#This Row],[Cardio]])</f>
        <v>254.19242424242461</v>
      </c>
      <c r="AR162" s="2">
        <f>Table83[[#This Row],[Weight]]-Table7[[#This Row],[Weight v Cardio]]</f>
        <v>-2.3924242424245961</v>
      </c>
      <c r="AS162" s="2">
        <f>Table7[[#This Row],[WC Res]]^2</f>
        <v>5.7236937557409027</v>
      </c>
      <c r="AT162">
        <f>Regression!$Q$10+(Regression!$Q$9*Table83[[#This Row],[Calories]])</f>
        <v>254.62405666129735</v>
      </c>
      <c r="AU162" s="2">
        <f>Table83[[#This Row],[Weight]]-Table7[[#This Row],[Weight v Calories]]</f>
        <v>-2.8240566612973339</v>
      </c>
      <c r="AV162" s="2">
        <f>Table7[[#This Row],[WCAL Res]]^2</f>
        <v>7.9752960262178441</v>
      </c>
      <c r="AW162">
        <f>Regression!$R$10+(Regression!$R$9*Table83[[#This Row],[Carbs]])</f>
        <v>254.90923944706654</v>
      </c>
      <c r="AX162" s="2">
        <f>Table83[[#This Row],[Weight]]-Table7[[#This Row],[Weight v Carbs]]</f>
        <v>-3.1092394470665283</v>
      </c>
      <c r="AY162" s="2">
        <f>Table7[[#This Row],[Wcarb Res]]^2</f>
        <v>9.66736993919457</v>
      </c>
      <c r="AZ162">
        <f>Regression!$S$10+(Regression!$S$9*Table83[[#This Row],[Fat ]])</f>
        <v>254.71259300014154</v>
      </c>
      <c r="BA162" s="2">
        <f>Table83[[#This Row],[Weight]]-Table7[[#This Row],[Weight v Fat]]</f>
        <v>-2.912593000141527</v>
      </c>
      <c r="BB162" s="2">
        <f>Table7[[#This Row],[WF Res]]^2</f>
        <v>8.4831979844734207</v>
      </c>
      <c r="BC162">
        <f>Regression!$T$10+(Regression!$T$9*Table83[[#This Row],[Protein]])</f>
        <v>254.35955518007222</v>
      </c>
      <c r="BD162" s="2">
        <f>Table83[[#This Row],[Weight]]-Table7[[#This Row],[Weight v Protein]]</f>
        <v>-2.5595551800722092</v>
      </c>
      <c r="BE162" s="2">
        <f>Table7[[#This Row],[WP Res]]^2</f>
        <v>6.551322719834479</v>
      </c>
      <c r="BF162">
        <f>Regression!$U$10+(Regression!$U$9*Table83[[#This Row],[Fiber]])</f>
        <v>255.12615342761012</v>
      </c>
      <c r="BG162" s="2">
        <f>Table83[[#This Row],[Weight]]-Table7[[#This Row],[Weight v Fiber]]</f>
        <v>-3.3261534276101088</v>
      </c>
      <c r="BH162" s="2">
        <f>Table7[[#This Row],[Wfib Res]]^2</f>
        <v>11.063296624002476</v>
      </c>
      <c r="BI162">
        <f>Regression!$V$10+(Regression!$V$9*Table83[[#This Row],[Sugar]])</f>
        <v>255.26468201630229</v>
      </c>
      <c r="BJ162" s="2">
        <f>Table83[[#This Row],[Weight]]-Table7[[#This Row],[Weight v Sugar]]</f>
        <v>-3.4646820163022767</v>
      </c>
      <c r="BK162" s="2">
        <f>Table7[[#This Row],[Wsugar Res]]^2</f>
        <v>12.004021474088409</v>
      </c>
      <c r="BL162">
        <f>Regression!$W$10+(Regression!$W$9*Table83[[#This Row],[Servings]])</f>
        <v>254.81095627291992</v>
      </c>
      <c r="BM162" s="2">
        <f>Table83[[#This Row],[Weight]]-Table7[[#This Row],[Weight v Servings]]</f>
        <v>-3.0109562729199126</v>
      </c>
      <c r="BN162" s="2">
        <f>Table7[[#This Row],[Wserv Res]]^2</f>
        <v>9.0658576774357709</v>
      </c>
      <c r="BO162">
        <f>Regression!$X$10+(Regression!$X$9*Table83[[#This Row],[Water]])</f>
        <v>255.10626599365665</v>
      </c>
      <c r="BP162" s="2">
        <f>Table83[[#This Row],[Weight]]-Table7[[#This Row],[Weight v Water]]</f>
        <v>-3.3062659936566376</v>
      </c>
      <c r="BQ162" s="2">
        <f>Table7[[#This Row],[Wwater Res]]^2</f>
        <v>10.931394820810313</v>
      </c>
      <c r="BR162">
        <f>Regression!$Y$10+(Regression!$Y$9*Table83[[#This Row],[Fat Calories]])</f>
        <v>254.68187327130991</v>
      </c>
      <c r="BS162" s="2">
        <f>Table83[[#This Row],[Weight]]-Table7[[#This Row],[Weight v Fat Calories]]</f>
        <v>-2.8818732713098996</v>
      </c>
      <c r="BT162" s="2">
        <f>Table7[[#This Row],[WFC Res]]^2</f>
        <v>8.3051935518904223</v>
      </c>
      <c r="BU162">
        <f>Regression!$B$29+(Regression!$B$28*Table83[[#This Row],[Weight]])</f>
        <v>44.001823571154709</v>
      </c>
      <c r="BV162" s="2">
        <f>Table83[[#This Row],[Waist]]-Table7[[#This Row],[Waist v Weight]]</f>
        <v>0.49817642884529079</v>
      </c>
      <c r="BW162" s="2">
        <f>Table7[[#This Row],[WaistW Res]]^2</f>
        <v>0.24817975425704708</v>
      </c>
      <c r="BX162">
        <f>Regression!$C$29+(Regression!$C$28*Table83[[#This Row],[Neck]])</f>
        <v>44.175585585585594</v>
      </c>
      <c r="BY162" s="2">
        <f>Table83[[#This Row],[Waist]]-Table7[[#This Row],[Waist v Neck]]</f>
        <v>0.32441441441440588</v>
      </c>
      <c r="BZ162" s="2">
        <f>Table7[[#This Row],[WaistN Res]]^2</f>
        <v>0.10524471227984188</v>
      </c>
      <c r="CA162">
        <f>Regression!$D$29+(Regression!$D$28*Table83[[#This Row],[Morning Body Temp]])</f>
        <v>44.419304304405451</v>
      </c>
      <c r="CB162" s="2">
        <f>Table83[[#This Row],[Waist]]-Table7[[#This Row],[Waist v Morning Temp]]</f>
        <v>8.0695695594549477E-2</v>
      </c>
      <c r="CC162" s="2">
        <f>Table7[[#This Row],[WaistMT Res]]^2</f>
        <v>6.511795287488192E-3</v>
      </c>
      <c r="CD162">
        <f>Regression!$E$29+(Regression!$E$28*Table83[[#This Row],[Morning Systolic Pressure]])</f>
        <v>44.545198374576046</v>
      </c>
      <c r="CE162" s="2">
        <f>Table83[[#This Row],[Waist]]-Table7[[#This Row],[Waist v Morning Sys]]</f>
        <v>-4.5198374576045808E-2</v>
      </c>
      <c r="CF162" s="2">
        <f>Table7[[#This Row],[WaistMS Res]]^2</f>
        <v>2.0428930643165439E-3</v>
      </c>
      <c r="CG162">
        <f>Regression!$F$29+(Regression!$F$28*Table83[[#This Row],[Morning Diastolic Pressure]])</f>
        <v>44.435909806137701</v>
      </c>
      <c r="CH162" s="2">
        <f>Table83[[#This Row],[Waist]]-Table7[[#This Row],[Waist v Morning Dia]]</f>
        <v>6.4090193862298861E-2</v>
      </c>
      <c r="CI162" s="2">
        <f>Table7[[#This Row],[WaistMD Res]]^2</f>
        <v>4.1075529493070509E-3</v>
      </c>
      <c r="CJ162">
        <f>Regression!$G$29+(Regression!$G$28*Table83[[#This Row],[Morning Pulse]])</f>
        <v>44.455415702653426</v>
      </c>
      <c r="CK162" s="2">
        <f>Table83[[#This Row],[Waist]]-Table7[[#This Row],[Waist v Morning Pulse]]</f>
        <v>4.4584297346574431E-2</v>
      </c>
      <c r="CL162" s="2">
        <f>Table7[[#This Row],[WaistMP Res]]^2</f>
        <v>1.9877595698877637E-3</v>
      </c>
      <c r="CM162">
        <f>Regression!$H$29+(Regression!$H$28*Table83[[#This Row],[Night Body Temp]])</f>
        <v>44.424663183244519</v>
      </c>
      <c r="CN162" s="2">
        <f>Table83[[#This Row],[Waist]]-Table7[[#This Row],[Waist v Night Temp]]</f>
        <v>7.5336816755481095E-2</v>
      </c>
      <c r="CO162" s="2">
        <f>Table7[[#This Row],[WaistNT Res]]^2</f>
        <v>5.6756359588489369E-3</v>
      </c>
      <c r="CP162">
        <f>Regression!$I$29+(Regression!$I$28*Table83[[#This Row],[Night Systolic Pressure]])</f>
        <v>44.441959200979596</v>
      </c>
      <c r="CQ162" s="2">
        <f>Table83[[#This Row],[Waist]]-Table7[[#This Row],[Waist v  Night Sys]]</f>
        <v>5.8040799020403711E-2</v>
      </c>
      <c r="CR162" s="2">
        <f>Table7[[#This Row],[WaistNS Res]]^2</f>
        <v>3.3687343509268964E-3</v>
      </c>
      <c r="CS162">
        <f>Regression!$J$29+(Regression!$J$28*Table83[[#This Row],[Night Diastolic Pressure]])</f>
        <v>44.580567627605824</v>
      </c>
      <c r="CT162" s="2">
        <f>Table83[[#This Row],[Waist]]-Table7[[#This Row],[Waist v Night Dia]]</f>
        <v>-8.0567627605823589E-2</v>
      </c>
      <c r="CU162" s="2">
        <f>Table7[[#This Row],[WaistND Res]]^2</f>
        <v>6.4911426180306675E-3</v>
      </c>
      <c r="CV162">
        <f>Regression!$K$29+(Regression!$K$28*Table83[[#This Row],[Night Pulse]])</f>
        <v>44.459708372565267</v>
      </c>
      <c r="CW162" s="2">
        <f>Table83[[#This Row],[Waist]]-Table7[[#This Row],[Waist v Night Pulse]]</f>
        <v>4.0291627434733357E-2</v>
      </c>
      <c r="CX162" s="2">
        <f>Table7[[#This Row],[WaistNP Res]]^2</f>
        <v>1.6234152413393578E-3</v>
      </c>
      <c r="CY162">
        <f>Regression!$L$29+(Regression!$L$28*Table83[[#This Row],[Sleep]])</f>
        <v>44.456891852858099</v>
      </c>
      <c r="CZ162" s="2">
        <f>Table83[[#This Row],[Waist]]-Table7[[#This Row],[Waist v  Sleep]]</f>
        <v>4.3108147141900588E-2</v>
      </c>
      <c r="DA162" s="2">
        <f>Table7[[#This Row],[WaistS Res]]^2</f>
        <v>1.8583123500077519E-3</v>
      </c>
      <c r="DB162">
        <f>Regression!$M$29+(Regression!$M$28*Table83[[#This Row],[BMI]])</f>
        <v>44.001823571156145</v>
      </c>
      <c r="DC162" s="2">
        <f>Table83[[#This Row],[Waist]]-Table7[[#This Row],[Waist v BMI]]</f>
        <v>0.49817642884385549</v>
      </c>
      <c r="DD162" s="2">
        <f>Table7[[#This Row],[WaistBMI Res]]^2</f>
        <v>0.248179754255617</v>
      </c>
      <c r="DE162">
        <f>Regression!$N$29+(Regression!$N$28*Table83[[#This Row],[CBF]])</f>
        <v>44.659010290127611</v>
      </c>
      <c r="DF162" s="2">
        <f>Table83[[#This Row],[Waist]]-Table7[[#This Row],[Waist v  CBF]]</f>
        <v>-0.15901029012761114</v>
      </c>
      <c r="DG162" s="2">
        <f>Table7[[#This Row],[WaistCBF Res]]^2</f>
        <v>2.5284272366467068E-2</v>
      </c>
      <c r="DH162">
        <f>Regression!$O$29+(Regression!$O$28*Table83[[#This Row],[Gym]])</f>
        <v>44.347222222222221</v>
      </c>
      <c r="DI162" s="2">
        <f>Table83[[#This Row],[Waist]]-Table7[[#This Row],[Waist v  Gym]]</f>
        <v>0.15277777777777857</v>
      </c>
      <c r="DJ162" s="2">
        <f>Table7[[#This Row],[WaistGYM Res]]^2</f>
        <v>2.3341049382716292E-2</v>
      </c>
      <c r="DK162">
        <f>Regression!$P$29+(Regression!$P$28*Table83[[#This Row],[Cardio]])</f>
        <v>44.291666666666664</v>
      </c>
      <c r="DL162" s="2">
        <f>Table83[[#This Row],[Waist]]-Table7[[#This Row],[Waist v Cardio]]</f>
        <v>0.2083333333333357</v>
      </c>
      <c r="DM162" s="2">
        <f>Table7[[#This Row],[WaistC Res]]^2</f>
        <v>4.3402777777778762E-2</v>
      </c>
      <c r="DN162">
        <f>Regression!$Q$29+(Regression!$Q$28*Table83[[#This Row],[Calories]])</f>
        <v>44.343225802263596</v>
      </c>
      <c r="DO162" s="2">
        <f>Table83[[#This Row],[Waist]]-Table7[[#This Row],[Waist v Calories]]</f>
        <v>0.15677419773640366</v>
      </c>
      <c r="DP162" s="2">
        <f>Table7[[#This Row],[WaistCal Res]]^2</f>
        <v>2.4578149075892997E-2</v>
      </c>
      <c r="DQ162">
        <f>Regression!$R$29+(Regression!$R$28*Table83[[#This Row],[Carbs]])</f>
        <v>44.410692523797827</v>
      </c>
      <c r="DR162" s="2">
        <f>Table83[[#This Row],[Waist]]-Table7[[#This Row],[Waist v Carbs]]</f>
        <v>8.9307476202172609E-2</v>
      </c>
      <c r="DS162" s="2">
        <f>Table7[[#This Row],[WaistCarb Res]]^2</f>
        <v>7.9758253056016262E-3</v>
      </c>
      <c r="DT162">
        <f>Regression!$S$29+(Regression!$S$28*Table83[[#This Row],[Fat ]])</f>
        <v>44.330518993562514</v>
      </c>
      <c r="DU162" s="2">
        <f>Table83[[#This Row],[Waist]]-Table7[[#This Row],[Waist v Fat]]</f>
        <v>0.16948100643748631</v>
      </c>
      <c r="DV162" s="2">
        <f>Table7[[#This Row],[WaistF Res]]^2</f>
        <v>2.8723811543063277E-2</v>
      </c>
      <c r="DW162">
        <f>Regression!$T$29+(Regression!$T$28*Table83[[#This Row],[Protein]])</f>
        <v>44.315257259878742</v>
      </c>
      <c r="DX162" s="2">
        <f>Table83[[#This Row],[Waist]]-Table7[[#This Row],[Waist v Protein]]</f>
        <v>0.18474274012125846</v>
      </c>
      <c r="DY162" s="2">
        <f>Table7[[#This Row],[WaistP Res]]^2</f>
        <v>3.4129880027510842E-2</v>
      </c>
      <c r="DZ162">
        <f>Regression!$U$29+(Regression!$U$28*Table83[[#This Row],[Fiber]])</f>
        <v>44.457826410606273</v>
      </c>
      <c r="EA162" s="2">
        <f>Table83[[#This Row],[Waist]]-Table7[[#This Row],[Waist v Fiber]]</f>
        <v>4.2173589393726729E-2</v>
      </c>
      <c r="EB162" s="2">
        <f>Table7[[#This Row],[WaistFib Res]]^2</f>
        <v>1.7786116423506597E-3</v>
      </c>
      <c r="EC162">
        <f>Regression!$V$29+(Regression!$V$28*Table83[[#This Row],[Sugar]])</f>
        <v>44.480420579208413</v>
      </c>
      <c r="ED162" s="2">
        <f>Table83[[#This Row],[Waist]]-Table7[[#This Row],[Waist v Sugar]]</f>
        <v>1.9579420791586699E-2</v>
      </c>
      <c r="EE162" s="2">
        <f>Table7[[#This Row],[WaistSugar Res]]^2</f>
        <v>3.8335371853401751E-4</v>
      </c>
      <c r="EF162">
        <f>Regression!$W$29+(Regression!$W$28*Table83[[#This Row],[Servings]])</f>
        <v>44.407141064148256</v>
      </c>
      <c r="EG162" s="2">
        <f>Table83[[#This Row],[Waist]]-Table7[[#This Row],[Waist v Servings]]</f>
        <v>9.2858935851744207E-2</v>
      </c>
      <c r="EH162" s="2">
        <f>Table7[[#This Row],[WaistServ Res]]^2</f>
        <v>8.6227819675183462E-3</v>
      </c>
      <c r="EI162">
        <f>Regression!$X$29+(Regression!$X$28*Table83[[#This Row],[Water]])</f>
        <v>44.442082352251923</v>
      </c>
      <c r="EJ162" s="2">
        <f>Table83[[#This Row],[Waist]]-Table7[[#This Row],[Waist v Water]]</f>
        <v>5.7917647748077172E-2</v>
      </c>
      <c r="EK162" s="2">
        <f>Table7[[#This Row],[WaistWat Res]]^2</f>
        <v>3.3544539206703488E-3</v>
      </c>
      <c r="EL162">
        <f>Regression!$Y$29+(Regression!$Y$28*Table83[[#This Row],[Fat Calories]])</f>
        <v>44.321800067751333</v>
      </c>
      <c r="EM162" s="2">
        <f>Table83[[#This Row],[Waist]]-Table7[[#This Row],[Waist v Fat Calories]]</f>
        <v>0.17819993224866693</v>
      </c>
      <c r="EN162" s="2">
        <f>Table7[[#This Row],[WaistFatCal Res]]^2</f>
        <v>3.1755215853429483E-2</v>
      </c>
    </row>
    <row r="163" spans="1:144" x14ac:dyDescent="0.25">
      <c r="A163">
        <f>Regression!$B$10+(Regression!$B$9*Table83[[#This Row],[Waist]])</f>
        <v>255.38023686459636</v>
      </c>
      <c r="B163" s="2">
        <f>Table83[[#This Row],[Weight]]-Table7[[#This Row],[Weight v Waist]]</f>
        <v>-0.58023686459634405</v>
      </c>
      <c r="C163" s="2">
        <f>Table7[[#This Row],[Weight v Waist Res]]^2</f>
        <v>0.33667481903659607</v>
      </c>
      <c r="D163">
        <f>Regression!$C$10+(Regression!$C$9*Table83[[#This Row],[Neck]])</f>
        <v>253.29286486487842</v>
      </c>
      <c r="E163" s="2">
        <f>Table83[[#This Row],[Weight]]-Table7[[#This Row],[Weight v Neck]]</f>
        <v>1.5071351351215867</v>
      </c>
      <c r="F163" s="2">
        <f>Table7[[#This Row],[WN Res]]^2</f>
        <v>2.2714563155179635</v>
      </c>
      <c r="G163">
        <f>Regression!$D$10+(Regression!$D$9*Table83[[#This Row],[Morning Body Temp]])</f>
        <v>255.55235632864088</v>
      </c>
      <c r="H163" s="2">
        <f>Table83[[#This Row],[Weight]]-Table7[[#This Row],[Weight v Morning Temp]]</f>
        <v>-0.75235632864087165</v>
      </c>
      <c r="I163" s="2">
        <f>Table7[[#This Row],[WMT Res]]^2</f>
        <v>0.56604004524597129</v>
      </c>
      <c r="J163">
        <f>Regression!$E$10+(Regression!$E$9*Table83[[#This Row],[Morning Systolic Pressure]])</f>
        <v>254.55856018239473</v>
      </c>
      <c r="K163" s="2">
        <f>Table83[[#This Row],[Weight]]-Table7[[#This Row],[Weight v Morning Sys]]</f>
        <v>0.24143981760528277</v>
      </c>
      <c r="L163" s="2">
        <f>Table7[[#This Row],[WMS Res]]^2</f>
        <v>5.8293185525272212E-2</v>
      </c>
      <c r="M163">
        <f>Regression!$F$10+(Regression!$F$9*Table83[[#This Row],[Morning Diastolic Pressure]])</f>
        <v>255.71010539151592</v>
      </c>
      <c r="N163" s="2">
        <f>Table83[[#This Row],[Weight]]-Table7[[#This Row],[Weight v Morning Dia]]</f>
        <v>-0.91010539151591274</v>
      </c>
      <c r="O163" s="2">
        <f>Table7[[#This Row],[WMD Res]]^2</f>
        <v>0.8282918236663328</v>
      </c>
      <c r="P163">
        <f>Regression!$G$10+(Regression!$G$9*Table83[[#This Row],[Morning Pulse]])</f>
        <v>255.06429460895433</v>
      </c>
      <c r="Q163" s="2">
        <f>Table83[[#This Row],[Weight]]-Table7[[#This Row],[Weight v Morning Pulse]]</f>
        <v>-0.26429460895431589</v>
      </c>
      <c r="R163" s="2">
        <f>Table7[[#This Row],[WMP Res]]^2</f>
        <v>6.9851640322314751E-2</v>
      </c>
      <c r="S163">
        <f>Regression!$H$10+(Regression!$H$9*Table83[[#This Row],[Night Body Temp]])</f>
        <v>254.64609353656169</v>
      </c>
      <c r="T163" s="2">
        <f>Table83[[#This Row],[Weight]]-Table7[[#This Row],[Weight v Night Temp]]</f>
        <v>0.15390646343831804</v>
      </c>
      <c r="U163" s="2">
        <f>Table7[[#This Row],[WNT Res]]^2</f>
        <v>2.3687199488090328E-2</v>
      </c>
      <c r="V163">
        <f>Regression!$I$10+(Regression!$I$9*Table83[[#This Row],[Night Systolic Pressure]])</f>
        <v>256.16238489942344</v>
      </c>
      <c r="W163" s="2">
        <f>Table83[[#This Row],[Weight]]-Table7[[#This Row],[Weight v Night Sys]]</f>
        <v>-1.3623848994234322</v>
      </c>
      <c r="X163" s="2">
        <f>Table7[[#This Row],[WNS Res]]^2</f>
        <v>1.8560926141769956</v>
      </c>
      <c r="Y163">
        <f>Regression!$J$10+(Regression!$J$9*Table83[[#This Row],[Night Diastolic Pressure]])</f>
        <v>255.29614571632661</v>
      </c>
      <c r="Z163" s="2">
        <f>Table83[[#This Row],[Weight]]-Table7[[#This Row],[Weight v Night Dia]]</f>
        <v>-0.49614571632659477</v>
      </c>
      <c r="AA163" s="2">
        <f>Table7[[#This Row],[WND Res]]^2</f>
        <v>0.24616057182922985</v>
      </c>
      <c r="AB163">
        <f>Regression!$K$10+(Regression!$K$9*Table83[[#This Row],[Night Pulse]])</f>
        <v>255.14086518997797</v>
      </c>
      <c r="AC163" s="2">
        <f>Table83[[#This Row],[Weight]]-Table7[[#This Row],[Weight v Night Pulse]]</f>
        <v>-0.34086518997796134</v>
      </c>
      <c r="AD163" s="2">
        <f>Table7[[#This Row],[WNP Res ]]^2</f>
        <v>0.11618907773871168</v>
      </c>
      <c r="AE163">
        <f>Regression!$L$10+(Regression!$L$9*Table83[[#This Row],[Sleep]])</f>
        <v>254.82155554400751</v>
      </c>
      <c r="AF163" s="2">
        <f>Table83[[#This Row],[Weight]]-Table7[[#This Row],[Weight v Sleep]]</f>
        <v>-2.1555544007497929E-2</v>
      </c>
      <c r="AG163" s="2">
        <f>Table7[[#This Row],[WS Res]]^2</f>
        <v>4.6464147745917984E-4</v>
      </c>
      <c r="AH163">
        <f>Regression!$M$10+(Regression!$M$9*Table83[[#This Row],[BMI]])</f>
        <v>254.80000000000075</v>
      </c>
      <c r="AI163" s="2">
        <f>Table83[[#This Row],[Weight]]-Table7[[#This Row],[Weight v BMI]]</f>
        <v>-7.3896444519050419E-13</v>
      </c>
      <c r="AJ163" s="2">
        <f>Table7[[#This Row],[WBMI Res]]^2</f>
        <v>5.4606845125570968E-25</v>
      </c>
      <c r="AK163">
        <f>Regression!$N$10+(Regression!$N$9*Table83[[#This Row],[CBF]])</f>
        <v>256.25609762651322</v>
      </c>
      <c r="AL163" s="2">
        <f>Table83[[#This Row],[Weight]]-Table7[[#This Row],[Weight v CBF]]</f>
        <v>-1.4560976265132126</v>
      </c>
      <c r="AM163" s="2">
        <f>Table7[[#This Row],[WCBF Res]]^2</f>
        <v>2.1202202979374114</v>
      </c>
      <c r="AN163">
        <f>Regression!$O$10+(Regression!$O$9*Table83[[#This Row],[Gym]])</f>
        <v>254.72962962962998</v>
      </c>
      <c r="AO163" s="2">
        <f>Table83[[#This Row],[Weight]]-Table7[[#This Row],[Weight v Gym]]</f>
        <v>7.0370370370028468E-2</v>
      </c>
      <c r="AP163" s="2">
        <f>Table7[[#This Row],[WG Res]]^2</f>
        <v>4.9519890260149805E-3</v>
      </c>
      <c r="AQ163">
        <f>Regression!$P$10+(Regression!$P$9*Table83[[#This Row],[Cardio]])</f>
        <v>254.19242424242461</v>
      </c>
      <c r="AR163" s="2">
        <f>Table83[[#This Row],[Weight]]-Table7[[#This Row],[Weight v Cardio]]</f>
        <v>0.60757575757540394</v>
      </c>
      <c r="AS163" s="2">
        <f>Table7[[#This Row],[WC Res]]^2</f>
        <v>0.36914830119332603</v>
      </c>
      <c r="AT163">
        <f>Regression!$Q$10+(Regression!$Q$9*Table83[[#This Row],[Calories]])</f>
        <v>255.38513991712895</v>
      </c>
      <c r="AU163" s="2">
        <f>Table83[[#This Row],[Weight]]-Table7[[#This Row],[Weight v Calories]]</f>
        <v>-0.58513991712894153</v>
      </c>
      <c r="AV163" s="2">
        <f>Table7[[#This Row],[WCAL Res]]^2</f>
        <v>0.34238872261766456</v>
      </c>
      <c r="AW163">
        <f>Regression!$R$10+(Regression!$R$9*Table83[[#This Row],[Carbs]])</f>
        <v>255.46800758673814</v>
      </c>
      <c r="AX163" s="2">
        <f>Table83[[#This Row],[Weight]]-Table7[[#This Row],[Weight v Carbs]]</f>
        <v>-0.66800758673812766</v>
      </c>
      <c r="AY163" s="2">
        <f>Table7[[#This Row],[Wcarb Res]]^2</f>
        <v>0.44623413593969713</v>
      </c>
      <c r="AZ163">
        <f>Regression!$S$10+(Regression!$S$9*Table83[[#This Row],[Fat ]])</f>
        <v>255.30197690361541</v>
      </c>
      <c r="BA163" s="2">
        <f>Table83[[#This Row],[Weight]]-Table7[[#This Row],[Weight v Fat]]</f>
        <v>-0.50197690361540026</v>
      </c>
      <c r="BB163" s="2">
        <f>Table7[[#This Row],[WF Res]]^2</f>
        <v>0.25198081176330483</v>
      </c>
      <c r="BC163">
        <f>Regression!$T$10+(Regression!$T$9*Table83[[#This Row],[Protein]])</f>
        <v>255.23870241634208</v>
      </c>
      <c r="BD163" s="2">
        <f>Table83[[#This Row],[Weight]]-Table7[[#This Row],[Weight v Protein]]</f>
        <v>-0.43870241634206764</v>
      </c>
      <c r="BE163" s="2">
        <f>Table7[[#This Row],[WP Res]]^2</f>
        <v>0.19245981010436886</v>
      </c>
      <c r="BF163">
        <f>Regression!$U$10+(Regression!$U$9*Table83[[#This Row],[Fiber]])</f>
        <v>255.01473347952822</v>
      </c>
      <c r="BG163" s="2">
        <f>Table83[[#This Row],[Weight]]-Table7[[#This Row],[Weight v Fiber]]</f>
        <v>-0.21473347952820632</v>
      </c>
      <c r="BH163" s="2">
        <f>Table7[[#This Row],[Wfib Res]]^2</f>
        <v>4.6110467230290601E-2</v>
      </c>
      <c r="BI163">
        <f>Regression!$V$10+(Regression!$V$9*Table83[[#This Row],[Sugar]])</f>
        <v>255.62538129896143</v>
      </c>
      <c r="BJ163" s="2">
        <f>Table83[[#This Row],[Weight]]-Table7[[#This Row],[Weight v Sugar]]</f>
        <v>-0.82538129896141754</v>
      </c>
      <c r="BK163" s="2">
        <f>Table7[[#This Row],[Wsugar Res]]^2</f>
        <v>0.68125428867523696</v>
      </c>
      <c r="BL163">
        <f>Regression!$W$10+(Regression!$W$9*Table83[[#This Row],[Servings]])</f>
        <v>254.78763909332716</v>
      </c>
      <c r="BM163" s="2">
        <f>Table83[[#This Row],[Weight]]-Table7[[#This Row],[Weight v Servings]]</f>
        <v>1.2360906672853389E-2</v>
      </c>
      <c r="BN163" s="2">
        <f>Table7[[#This Row],[Wserv Res]]^2</f>
        <v>1.5279201377499144E-4</v>
      </c>
      <c r="BO163">
        <f>Regression!$X$10+(Regression!$X$9*Table83[[#This Row],[Water]])</f>
        <v>255.10626599365665</v>
      </c>
      <c r="BP163" s="2">
        <f>Table83[[#This Row],[Weight]]-Table7[[#This Row],[Weight v Water]]</f>
        <v>-0.30626599365663765</v>
      </c>
      <c r="BQ163" s="2">
        <f>Table7[[#This Row],[Wwater Res]]^2</f>
        <v>9.3798858870487611E-2</v>
      </c>
      <c r="BR163">
        <f>Regression!$Y$10+(Regression!$Y$9*Table83[[#This Row],[Fat Calories]])</f>
        <v>255.30912601512617</v>
      </c>
      <c r="BS163" s="2">
        <f>Table83[[#This Row],[Weight]]-Table7[[#This Row],[Weight v Fat Calories]]</f>
        <v>-0.50912601512615652</v>
      </c>
      <c r="BT163" s="2">
        <f>Table7[[#This Row],[WFC Res]]^2</f>
        <v>0.25920929927823938</v>
      </c>
      <c r="BU163">
        <f>Regression!$B$29+(Regression!$B$28*Table83[[#This Row],[Weight]])</f>
        <v>44.41061110286465</v>
      </c>
      <c r="BV163" s="2">
        <f>Table83[[#This Row],[Waist]]-Table7[[#This Row],[Waist v Weight]]</f>
        <v>8.9388897135350476E-2</v>
      </c>
      <c r="BW163" s="2">
        <f>Table7[[#This Row],[WaistW Res]]^2</f>
        <v>7.9903749310742678E-3</v>
      </c>
      <c r="BX163">
        <f>Regression!$C$29+(Regression!$C$28*Table83[[#This Row],[Neck]])</f>
        <v>44.175585585585594</v>
      </c>
      <c r="BY163" s="2">
        <f>Table83[[#This Row],[Waist]]-Table7[[#This Row],[Waist v Neck]]</f>
        <v>0.32441441441440588</v>
      </c>
      <c r="BZ163" s="2">
        <f>Table7[[#This Row],[WaistN Res]]^2</f>
        <v>0.10524471227984188</v>
      </c>
      <c r="CA163">
        <f>Regression!$D$29+(Regression!$D$28*Table83[[#This Row],[Morning Body Temp]])</f>
        <v>44.572478809812466</v>
      </c>
      <c r="CB163" s="2">
        <f>Table83[[#This Row],[Waist]]-Table7[[#This Row],[Waist v Morning Temp]]</f>
        <v>-7.2478809812466238E-2</v>
      </c>
      <c r="CC163" s="2">
        <f>Table7[[#This Row],[WaistMT Res]]^2</f>
        <v>5.2531778718316524E-3</v>
      </c>
      <c r="CD163">
        <f>Regression!$E$29+(Regression!$E$28*Table83[[#This Row],[Morning Systolic Pressure]])</f>
        <v>44.322799864485077</v>
      </c>
      <c r="CE163" s="2">
        <f>Table83[[#This Row],[Waist]]-Table7[[#This Row],[Waist v Morning Sys]]</f>
        <v>0.17720013551492286</v>
      </c>
      <c r="CF163" s="2">
        <f>Table7[[#This Row],[WaistMS Res]]^2</f>
        <v>3.1399888026507027E-2</v>
      </c>
      <c r="CG163">
        <f>Regression!$F$29+(Regression!$F$28*Table83[[#This Row],[Morning Diastolic Pressure]])</f>
        <v>44.486630392157387</v>
      </c>
      <c r="CH163" s="2">
        <f>Table83[[#This Row],[Waist]]-Table7[[#This Row],[Waist v Morning Dia]]</f>
        <v>1.3369607842612652E-2</v>
      </c>
      <c r="CI163" s="2">
        <f>Table7[[#This Row],[WaistMD Res]]^2</f>
        <v>1.7874641386524971E-4</v>
      </c>
      <c r="CJ163">
        <f>Regression!$G$29+(Regression!$G$28*Table83[[#This Row],[Morning Pulse]])</f>
        <v>44.430230625445013</v>
      </c>
      <c r="CK163" s="2">
        <f>Table83[[#This Row],[Waist]]-Table7[[#This Row],[Waist v Morning Pulse]]</f>
        <v>6.9769374554986996E-2</v>
      </c>
      <c r="CL163" s="2">
        <f>Table7[[#This Row],[WaistMP Res]]^2</f>
        <v>4.8677656257940672E-3</v>
      </c>
      <c r="CM163">
        <f>Regression!$H$29+(Regression!$H$28*Table83[[#This Row],[Night Body Temp]])</f>
        <v>44.416566259439634</v>
      </c>
      <c r="CN163" s="2">
        <f>Table83[[#This Row],[Waist]]-Table7[[#This Row],[Waist v Night Temp]]</f>
        <v>8.3433740560366232E-2</v>
      </c>
      <c r="CO163" s="2">
        <f>Table7[[#This Row],[WaistNT Res]]^2</f>
        <v>6.9611890638945012E-3</v>
      </c>
      <c r="CP163">
        <f>Regression!$I$29+(Regression!$I$28*Table83[[#This Row],[Night Systolic Pressure]])</f>
        <v>44.601900458561346</v>
      </c>
      <c r="CQ163" s="2">
        <f>Table83[[#This Row],[Waist]]-Table7[[#This Row],[Waist v  Night Sys]]</f>
        <v>-0.10190045856134589</v>
      </c>
      <c r="CR163" s="2">
        <f>Table7[[#This Row],[WaistNS Res]]^2</f>
        <v>1.038370345501257E-2</v>
      </c>
      <c r="CS163">
        <f>Regression!$J$29+(Regression!$J$28*Table83[[#This Row],[Night Diastolic Pressure]])</f>
        <v>44.529363791983499</v>
      </c>
      <c r="CT163" s="2">
        <f>Table83[[#This Row],[Waist]]-Table7[[#This Row],[Waist v Night Dia]]</f>
        <v>-2.9363791983499254E-2</v>
      </c>
      <c r="CU163" s="2">
        <f>Table7[[#This Row],[WaistND Res]]^2</f>
        <v>8.6223227965021509E-4</v>
      </c>
      <c r="CV163">
        <f>Regression!$K$29+(Regression!$K$28*Table83[[#This Row],[Night Pulse]])</f>
        <v>44.451138133632369</v>
      </c>
      <c r="CW163" s="2">
        <f>Table83[[#This Row],[Waist]]-Table7[[#This Row],[Waist v Night Pulse]]</f>
        <v>4.8861866367630569E-2</v>
      </c>
      <c r="CX163" s="2">
        <f>Table7[[#This Row],[WaistNP Res]]^2</f>
        <v>2.3874819849281875E-3</v>
      </c>
      <c r="CY163">
        <f>Regression!$L$29+(Regression!$L$28*Table83[[#This Row],[Sleep]])</f>
        <v>44.408792884862443</v>
      </c>
      <c r="CZ163" s="2">
        <f>Table83[[#This Row],[Waist]]-Table7[[#This Row],[Waist v  Sleep]]</f>
        <v>9.1207115137557082E-2</v>
      </c>
      <c r="DA163" s="2">
        <f>Table7[[#This Row],[WaistS Res]]^2</f>
        <v>8.3187378517155935E-3</v>
      </c>
      <c r="DB163">
        <f>Regression!$M$29+(Regression!$M$28*Table83[[#This Row],[BMI]])</f>
        <v>44.410611102864792</v>
      </c>
      <c r="DC163" s="2">
        <f>Table83[[#This Row],[Waist]]-Table7[[#This Row],[Waist v BMI]]</f>
        <v>8.9388897135208367E-2</v>
      </c>
      <c r="DD163" s="2">
        <f>Table7[[#This Row],[WaistBMI Res]]^2</f>
        <v>7.9903749310488627E-3</v>
      </c>
      <c r="DE163">
        <f>Regression!$N$29+(Regression!$N$28*Table83[[#This Row],[CBF]])</f>
        <v>44.659010290127611</v>
      </c>
      <c r="DF163" s="2">
        <f>Table83[[#This Row],[Waist]]-Table7[[#This Row],[Waist v  CBF]]</f>
        <v>-0.15901029012761114</v>
      </c>
      <c r="DG163" s="2">
        <f>Table7[[#This Row],[WaistCBF Res]]^2</f>
        <v>2.5284272366467068E-2</v>
      </c>
      <c r="DH163">
        <f>Regression!$O$29+(Regression!$O$28*Table83[[#This Row],[Gym]])</f>
        <v>44.347222222222221</v>
      </c>
      <c r="DI163" s="2">
        <f>Table83[[#This Row],[Waist]]-Table7[[#This Row],[Waist v  Gym]]</f>
        <v>0.15277777777777857</v>
      </c>
      <c r="DJ163" s="2">
        <f>Table7[[#This Row],[WaistGYM Res]]^2</f>
        <v>2.3341049382716292E-2</v>
      </c>
      <c r="DK163">
        <f>Regression!$P$29+(Regression!$P$28*Table83[[#This Row],[Cardio]])</f>
        <v>44.291666666666664</v>
      </c>
      <c r="DL163" s="2">
        <f>Table83[[#This Row],[Waist]]-Table7[[#This Row],[Waist v Cardio]]</f>
        <v>0.2083333333333357</v>
      </c>
      <c r="DM163" s="2">
        <f>Table7[[#This Row],[WaistC Res]]^2</f>
        <v>4.3402777777778762E-2</v>
      </c>
      <c r="DN163">
        <f>Regression!$Q$29+(Regression!$Q$28*Table83[[#This Row],[Calories]])</f>
        <v>44.514224329278917</v>
      </c>
      <c r="DO163" s="2">
        <f>Table83[[#This Row],[Waist]]-Table7[[#This Row],[Waist v Calories]]</f>
        <v>-1.422432927891748E-2</v>
      </c>
      <c r="DP163" s="2">
        <f>Table7[[#This Row],[WaistCal Res]]^2</f>
        <v>2.0233154343506909E-4</v>
      </c>
      <c r="DQ163">
        <f>Regression!$R$29+(Regression!$R$28*Table83[[#This Row],[Carbs]])</f>
        <v>44.527024628715644</v>
      </c>
      <c r="DR163" s="2">
        <f>Table83[[#This Row],[Waist]]-Table7[[#This Row],[Waist v Carbs]]</f>
        <v>-2.7024628715643928E-2</v>
      </c>
      <c r="DS163" s="2">
        <f>Table7[[#This Row],[WaistCarb Res]]^2</f>
        <v>7.3033055721840635E-4</v>
      </c>
      <c r="DT163">
        <f>Regression!$S$29+(Regression!$S$28*Table83[[#This Row],[Fat ]])</f>
        <v>44.510681179893716</v>
      </c>
      <c r="DU163" s="2">
        <f>Table83[[#This Row],[Waist]]-Table7[[#This Row],[Waist v Fat]]</f>
        <v>-1.0681179893715864E-2</v>
      </c>
      <c r="DV163" s="2">
        <f>Table7[[#This Row],[WaistF Res]]^2</f>
        <v>1.1408760392192003E-4</v>
      </c>
      <c r="DW163">
        <f>Regression!$T$29+(Regression!$T$28*Table83[[#This Row],[Protein]])</f>
        <v>44.476173861316461</v>
      </c>
      <c r="DX163" s="2">
        <f>Table83[[#This Row],[Waist]]-Table7[[#This Row],[Waist v Protein]]</f>
        <v>2.3826138683539E-2</v>
      </c>
      <c r="DY163" s="2">
        <f>Table7[[#This Row],[WaistP Res]]^2</f>
        <v>5.6768488456723353E-4</v>
      </c>
      <c r="DZ163">
        <f>Regression!$U$29+(Regression!$U$28*Table83[[#This Row],[Fiber]])</f>
        <v>44.414833914743127</v>
      </c>
      <c r="EA163" s="2">
        <f>Table83[[#This Row],[Waist]]-Table7[[#This Row],[Waist v Fiber]]</f>
        <v>8.5166085256872748E-2</v>
      </c>
      <c r="EB163" s="2">
        <f>Table7[[#This Row],[WaistFib Res]]^2</f>
        <v>7.2532620779809176E-3</v>
      </c>
      <c r="EC163">
        <f>Regression!$V$29+(Regression!$V$28*Table83[[#This Row],[Sugar]])</f>
        <v>44.545216182449323</v>
      </c>
      <c r="ED163" s="2">
        <f>Table83[[#This Row],[Waist]]-Table7[[#This Row],[Waist v Sugar]]</f>
        <v>-4.5216182449323128E-2</v>
      </c>
      <c r="EE163" s="2">
        <f>Table7[[#This Row],[WaistSugar Res]]^2</f>
        <v>2.0445031552904767E-3</v>
      </c>
      <c r="EF163">
        <f>Regression!$W$29+(Regression!$W$28*Table83[[#This Row],[Servings]])</f>
        <v>44.403583251006502</v>
      </c>
      <c r="EG163" s="2">
        <f>Table83[[#This Row],[Waist]]-Table7[[#This Row],[Waist v Servings]]</f>
        <v>9.6416748993497947E-2</v>
      </c>
      <c r="EH163" s="2">
        <f>Table7[[#This Row],[WaistServ Res]]^2</f>
        <v>9.2961894864751881E-3</v>
      </c>
      <c r="EI163">
        <f>Regression!$X$29+(Regression!$X$28*Table83[[#This Row],[Water]])</f>
        <v>44.442082352251923</v>
      </c>
      <c r="EJ163" s="2">
        <f>Table83[[#This Row],[Waist]]-Table7[[#This Row],[Waist v Water]]</f>
        <v>5.7917647748077172E-2</v>
      </c>
      <c r="EK163" s="2">
        <f>Table7[[#This Row],[WaistWat Res]]^2</f>
        <v>3.3544539206703488E-3</v>
      </c>
      <c r="EL163">
        <f>Regression!$Y$29+(Regression!$Y$28*Table83[[#This Row],[Fat Calories]])</f>
        <v>44.512565671732595</v>
      </c>
      <c r="EM163" s="2">
        <f>Table83[[#This Row],[Waist]]-Table7[[#This Row],[Waist v Fat Calories]]</f>
        <v>-1.2565671732595263E-2</v>
      </c>
      <c r="EN163" s="2">
        <f>Table7[[#This Row],[WaistFatCal Res]]^2</f>
        <v>1.5789610609134364E-4</v>
      </c>
    </row>
    <row r="164" spans="1:144" x14ac:dyDescent="0.25">
      <c r="A164">
        <f>Regression!$B$10+(Regression!$B$9*Table83[[#This Row],[Waist]])</f>
        <v>255.38023686459636</v>
      </c>
      <c r="B164" s="2">
        <f>Table83[[#This Row],[Weight]]-Table7[[#This Row],[Weight v Waist]]</f>
        <v>-0.38023686459635542</v>
      </c>
      <c r="C164" s="2">
        <f>Table7[[#This Row],[Weight v Waist Res]]^2</f>
        <v>0.14458007319806712</v>
      </c>
      <c r="D164">
        <f>Regression!$C$10+(Regression!$C$9*Table83[[#This Row],[Neck]])</f>
        <v>253.29286486487842</v>
      </c>
      <c r="E164" s="2">
        <f>Table83[[#This Row],[Weight]]-Table7[[#This Row],[Weight v Neck]]</f>
        <v>1.7071351351215753</v>
      </c>
      <c r="F164" s="2">
        <f>Table7[[#This Row],[WN Res]]^2</f>
        <v>2.9143103695665591</v>
      </c>
      <c r="G164">
        <f>Regression!$D$10+(Regression!$D$9*Table83[[#This Row],[Morning Body Temp]])</f>
        <v>255.62275488286326</v>
      </c>
      <c r="H164" s="2">
        <f>Table83[[#This Row],[Weight]]-Table7[[#This Row],[Weight v Morning Temp]]</f>
        <v>-0.62275488286326208</v>
      </c>
      <c r="I164" s="2">
        <f>Table7[[#This Row],[WMT Res]]^2</f>
        <v>0.38782364413003528</v>
      </c>
      <c r="J164">
        <f>Regression!$E$10+(Regression!$E$9*Table83[[#This Row],[Morning Systolic Pressure]])</f>
        <v>255.05440942489196</v>
      </c>
      <c r="K164" s="2">
        <f>Table83[[#This Row],[Weight]]-Table7[[#This Row],[Weight v Morning Sys]]</f>
        <v>-5.4409424891957769E-2</v>
      </c>
      <c r="L164" s="2">
        <f>Table7[[#This Row],[WMS Res]]^2</f>
        <v>2.9603855170735939E-3</v>
      </c>
      <c r="M164">
        <f>Regression!$F$10+(Regression!$F$9*Table83[[#This Row],[Morning Diastolic Pressure]])</f>
        <v>255.71010539151592</v>
      </c>
      <c r="N164" s="2">
        <f>Table83[[#This Row],[Weight]]-Table7[[#This Row],[Weight v Morning Dia]]</f>
        <v>-0.71010539151592411</v>
      </c>
      <c r="O164" s="2">
        <f>Table7[[#This Row],[WMD Res]]^2</f>
        <v>0.50424966705998386</v>
      </c>
      <c r="P164">
        <f>Regression!$G$10+(Regression!$G$9*Table83[[#This Row],[Morning Pulse]])</f>
        <v>255.10633391136972</v>
      </c>
      <c r="Q164" s="2">
        <f>Table83[[#This Row],[Weight]]-Table7[[#This Row],[Weight v Morning Pulse]]</f>
        <v>-0.10633391136971682</v>
      </c>
      <c r="R164" s="2">
        <f>Table7[[#This Row],[WMP Res]]^2</f>
        <v>1.1306900707182791E-2</v>
      </c>
      <c r="S164">
        <f>Regression!$H$10+(Regression!$H$9*Table83[[#This Row],[Night Body Temp]])</f>
        <v>255.67305924137855</v>
      </c>
      <c r="T164" s="2">
        <f>Table83[[#This Row],[Weight]]-Table7[[#This Row],[Weight v Night Temp]]</f>
        <v>-0.673059241378553</v>
      </c>
      <c r="U164" s="2">
        <f>Table7[[#This Row],[WNT Res]]^2</f>
        <v>0.45300874240507327</v>
      </c>
      <c r="V164">
        <f>Regression!$I$10+(Regression!$I$9*Table83[[#This Row],[Night Systolic Pressure]])</f>
        <v>255.13593655913874</v>
      </c>
      <c r="W164" s="2">
        <f>Table83[[#This Row],[Weight]]-Table7[[#This Row],[Weight v Night Sys]]</f>
        <v>-0.13593655913874159</v>
      </c>
      <c r="X164" s="2">
        <f>Table7[[#This Row],[WNS Res]]^2</f>
        <v>1.847874811048059E-2</v>
      </c>
      <c r="Y164">
        <f>Regression!$J$10+(Regression!$J$9*Table83[[#This Row],[Night Diastolic Pressure]])</f>
        <v>255.09231637424611</v>
      </c>
      <c r="Z164" s="2">
        <f>Table83[[#This Row],[Weight]]-Table7[[#This Row],[Weight v Night Dia]]</f>
        <v>-9.2316374246109945E-2</v>
      </c>
      <c r="AA164" s="2">
        <f>Table7[[#This Row],[WND Res]]^2</f>
        <v>8.5223129539478311E-3</v>
      </c>
      <c r="AB164">
        <f>Regression!$K$10+(Regression!$K$9*Table83[[#This Row],[Night Pulse]])</f>
        <v>255.23300518368814</v>
      </c>
      <c r="AC164" s="2">
        <f>Table83[[#This Row],[Weight]]-Table7[[#This Row],[Weight v Night Pulse]]</f>
        <v>-0.23300518368813528</v>
      </c>
      <c r="AD164" s="2">
        <f>Table7[[#This Row],[WNP Res ]]^2</f>
        <v>5.4291415625541663E-2</v>
      </c>
      <c r="AE164">
        <f>Regression!$L$10+(Regression!$L$9*Table83[[#This Row],[Sleep]])</f>
        <v>254.82155554400751</v>
      </c>
      <c r="AF164" s="2">
        <f>Table83[[#This Row],[Weight]]-Table7[[#This Row],[Weight v Sleep]]</f>
        <v>0.1784444559924907</v>
      </c>
      <c r="AG164" s="2">
        <f>Table7[[#This Row],[WS Res]]^2</f>
        <v>3.1842423874455954E-2</v>
      </c>
      <c r="AH164">
        <f>Regression!$M$10+(Regression!$M$9*Table83[[#This Row],[BMI]])</f>
        <v>255.00000000000026</v>
      </c>
      <c r="AI164" s="2">
        <f>Table83[[#This Row],[Weight]]-Table7[[#This Row],[Weight v BMI]]</f>
        <v>-2.5579538487363607E-13</v>
      </c>
      <c r="AJ164" s="2">
        <f>Table7[[#This Row],[WBMI Res]]^2</f>
        <v>6.5431278922651603E-26</v>
      </c>
      <c r="AK164">
        <f>Regression!$N$10+(Regression!$N$9*Table83[[#This Row],[CBF]])</f>
        <v>256.25609762651322</v>
      </c>
      <c r="AL164" s="2">
        <f>Table83[[#This Row],[Weight]]-Table7[[#This Row],[Weight v CBF]]</f>
        <v>-1.256097626513224</v>
      </c>
      <c r="AM164" s="2">
        <f>Table7[[#This Row],[WCBF Res]]^2</f>
        <v>1.5777812473321546</v>
      </c>
      <c r="AN164">
        <f>Regression!$O$10+(Regression!$O$9*Table83[[#This Row],[Gym]])</f>
        <v>254.72962962962998</v>
      </c>
      <c r="AO164" s="2">
        <f>Table83[[#This Row],[Weight]]-Table7[[#This Row],[Weight v Gym]]</f>
        <v>0.2703703703700171</v>
      </c>
      <c r="AP164" s="2">
        <f>Table7[[#This Row],[WG Res]]^2</f>
        <v>7.3100137174020224E-2</v>
      </c>
      <c r="AQ164">
        <f>Regression!$P$10+(Regression!$P$9*Table83[[#This Row],[Cardio]])</f>
        <v>254.19242424242461</v>
      </c>
      <c r="AR164" s="2">
        <f>Table83[[#This Row],[Weight]]-Table7[[#This Row],[Weight v Cardio]]</f>
        <v>0.80757575757539257</v>
      </c>
      <c r="AS164" s="2">
        <f>Table7[[#This Row],[WC Res]]^2</f>
        <v>0.65217860422346918</v>
      </c>
      <c r="AT164">
        <f>Regression!$Q$10+(Regression!$Q$9*Table83[[#This Row],[Calories]])</f>
        <v>254.5325436745967</v>
      </c>
      <c r="AU164" s="2">
        <f>Table83[[#This Row],[Weight]]-Table7[[#This Row],[Weight v Calories]]</f>
        <v>0.46745632540330462</v>
      </c>
      <c r="AV164" s="2">
        <f>Table7[[#This Row],[WCAL Res]]^2</f>
        <v>0.21851541615956022</v>
      </c>
      <c r="AW164">
        <f>Regression!$R$10+(Regression!$R$9*Table83[[#This Row],[Carbs]])</f>
        <v>253.62565780109853</v>
      </c>
      <c r="AX164" s="2">
        <f>Table83[[#This Row],[Weight]]-Table7[[#This Row],[Weight v Carbs]]</f>
        <v>1.3743421989014735</v>
      </c>
      <c r="AY164" s="2">
        <f>Table7[[#This Row],[Wcarb Res]]^2</f>
        <v>1.8888164796813371</v>
      </c>
      <c r="AZ164">
        <f>Regression!$S$10+(Regression!$S$9*Table83[[#This Row],[Fat ]])</f>
        <v>255.50842083566522</v>
      </c>
      <c r="BA164" s="2">
        <f>Table83[[#This Row],[Weight]]-Table7[[#This Row],[Weight v Fat]]</f>
        <v>-0.50842083566521978</v>
      </c>
      <c r="BB164" s="2">
        <f>Table7[[#This Row],[WF Res]]^2</f>
        <v>0.25849174613852044</v>
      </c>
      <c r="BC164">
        <f>Regression!$T$10+(Regression!$T$9*Table83[[#This Row],[Protein]])</f>
        <v>254.75415049948228</v>
      </c>
      <c r="BD164" s="2">
        <f>Table83[[#This Row],[Weight]]-Table7[[#This Row],[Weight v Protein]]</f>
        <v>0.24584950051772125</v>
      </c>
      <c r="BE164" s="2">
        <f>Table7[[#This Row],[WP Res]]^2</f>
        <v>6.0441976904813025E-2</v>
      </c>
      <c r="BF164">
        <f>Regression!$U$10+(Regression!$U$9*Table83[[#This Row],[Fiber]])</f>
        <v>255.23615871446881</v>
      </c>
      <c r="BG164" s="2">
        <f>Table83[[#This Row],[Weight]]-Table7[[#This Row],[Weight v Fiber]]</f>
        <v>-0.23615871446881442</v>
      </c>
      <c r="BH164" s="2">
        <f>Table7[[#This Row],[Wfib Res]]^2</f>
        <v>5.5770938419563022E-2</v>
      </c>
      <c r="BI164">
        <f>Regression!$V$10+(Regression!$V$9*Table83[[#This Row],[Sugar]])</f>
        <v>251.43359184263471</v>
      </c>
      <c r="BJ164" s="2">
        <f>Table83[[#This Row],[Weight]]-Table7[[#This Row],[Weight v Sugar]]</f>
        <v>3.5664081573652879</v>
      </c>
      <c r="BK164" s="2">
        <f>Table7[[#This Row],[Wsugar Res]]^2</f>
        <v>12.719267144921668</v>
      </c>
      <c r="BL164">
        <f>Regression!$W$10+(Regression!$W$9*Table83[[#This Row],[Servings]])</f>
        <v>251.65319855790469</v>
      </c>
      <c r="BM164" s="2">
        <f>Table83[[#This Row],[Weight]]-Table7[[#This Row],[Weight v Servings]]</f>
        <v>3.3468014420953125</v>
      </c>
      <c r="BN164" s="2">
        <f>Table7[[#This Row],[Wserv Res]]^2</f>
        <v>11.201079892811263</v>
      </c>
      <c r="BO164">
        <f>Regression!$X$10+(Regression!$X$9*Table83[[#This Row],[Water]])</f>
        <v>255.0206340268538</v>
      </c>
      <c r="BP164" s="2">
        <f>Table83[[#This Row],[Weight]]-Table7[[#This Row],[Weight v Water]]</f>
        <v>-2.0634026853798559E-2</v>
      </c>
      <c r="BQ164" s="2">
        <f>Table7[[#This Row],[Wwater Res]]^2</f>
        <v>4.2576306420328007E-4</v>
      </c>
      <c r="BR164">
        <f>Regression!$Y$10+(Regression!$Y$9*Table83[[#This Row],[Fat Calories]])</f>
        <v>255.52883429365093</v>
      </c>
      <c r="BS164" s="2">
        <f>Table83[[#This Row],[Weight]]-Table7[[#This Row],[Weight v Fat Calories]]</f>
        <v>-0.52883429365093093</v>
      </c>
      <c r="BT164" s="2">
        <f>Table7[[#This Row],[WFC Res]]^2</f>
        <v>0.27966571014127906</v>
      </c>
      <c r="BU164">
        <f>Regression!$B$29+(Regression!$B$28*Table83[[#This Row],[Weight]])</f>
        <v>44.437863604978645</v>
      </c>
      <c r="BV164" s="2">
        <f>Table83[[#This Row],[Waist]]-Table7[[#This Row],[Waist v Weight]]</f>
        <v>6.2136395021354929E-2</v>
      </c>
      <c r="BW164" s="2">
        <f>Table7[[#This Row],[WaistW Res]]^2</f>
        <v>3.8609315862498618E-3</v>
      </c>
      <c r="BX164">
        <f>Regression!$C$29+(Regression!$C$28*Table83[[#This Row],[Neck]])</f>
        <v>44.175585585585594</v>
      </c>
      <c r="BY164" s="2">
        <f>Table83[[#This Row],[Waist]]-Table7[[#This Row],[Waist v Neck]]</f>
        <v>0.32441441441440588</v>
      </c>
      <c r="BZ164" s="2">
        <f>Table7[[#This Row],[WaistN Res]]^2</f>
        <v>0.10524471227984188</v>
      </c>
      <c r="CA164">
        <f>Regression!$D$29+(Regression!$D$28*Table83[[#This Row],[Morning Body Temp]])</f>
        <v>44.591625622988346</v>
      </c>
      <c r="CB164" s="2">
        <f>Table83[[#This Row],[Waist]]-Table7[[#This Row],[Waist v Morning Temp]]</f>
        <v>-9.1625622988345867E-2</v>
      </c>
      <c r="CC164" s="2">
        <f>Table7[[#This Row],[WaistMT Res]]^2</f>
        <v>8.3952547880024944E-3</v>
      </c>
      <c r="CD164">
        <f>Regression!$E$29+(Regression!$E$28*Table83[[#This Row],[Morning Systolic Pressure]])</f>
        <v>44.439294322151774</v>
      </c>
      <c r="CE164" s="2">
        <f>Table83[[#This Row],[Waist]]-Table7[[#This Row],[Waist v Morning Sys]]</f>
        <v>6.0705677848226003E-2</v>
      </c>
      <c r="CF164" s="2">
        <f>Table7[[#This Row],[WaistMS Res]]^2</f>
        <v>3.6851793230125974E-3</v>
      </c>
      <c r="CG164">
        <f>Regression!$F$29+(Regression!$F$28*Table83[[#This Row],[Morning Diastolic Pressure]])</f>
        <v>44.486630392157387</v>
      </c>
      <c r="CH164" s="2">
        <f>Table83[[#This Row],[Waist]]-Table7[[#This Row],[Waist v Morning Dia]]</f>
        <v>1.3369607842612652E-2</v>
      </c>
      <c r="CI164" s="2">
        <f>Table7[[#This Row],[WaistMD Res]]^2</f>
        <v>1.7874641386524971E-4</v>
      </c>
      <c r="CJ164">
        <f>Regression!$G$29+(Regression!$G$28*Table83[[#This Row],[Morning Pulse]])</f>
        <v>44.449539184638127</v>
      </c>
      <c r="CK164" s="2">
        <f>Table83[[#This Row],[Waist]]-Table7[[#This Row],[Waist v Morning Pulse]]</f>
        <v>5.0460815361873301E-2</v>
      </c>
      <c r="CL164" s="2">
        <f>Table7[[#This Row],[WaistMP Res]]^2</f>
        <v>2.5462938869850685E-3</v>
      </c>
      <c r="CM164">
        <f>Regression!$H$29+(Regression!$H$28*Table83[[#This Row],[Night Body Temp]])</f>
        <v>44.497535497488492</v>
      </c>
      <c r="CN164" s="2">
        <f>Table83[[#This Row],[Waist]]-Table7[[#This Row],[Waist v Night Temp]]</f>
        <v>2.4645025115077601E-3</v>
      </c>
      <c r="CO164" s="2">
        <f>Table7[[#This Row],[WaistNT Res]]^2</f>
        <v>6.0737726292280576E-6</v>
      </c>
      <c r="CP164">
        <f>Regression!$I$29+(Regression!$I$28*Table83[[#This Row],[Night Systolic Pressure]])</f>
        <v>44.456499315305209</v>
      </c>
      <c r="CQ164" s="2">
        <f>Table83[[#This Row],[Waist]]-Table7[[#This Row],[Waist v  Night Sys]]</f>
        <v>4.3500684694791403E-2</v>
      </c>
      <c r="CR164" s="2">
        <f>Table7[[#This Row],[WaistNS Res]]^2</f>
        <v>1.8923095689156589E-3</v>
      </c>
      <c r="CS164">
        <f>Regression!$J$29+(Regression!$J$28*Table83[[#This Row],[Night Diastolic Pressure]])</f>
        <v>44.444024065946287</v>
      </c>
      <c r="CT164" s="2">
        <f>Table83[[#This Row],[Waist]]-Table7[[#This Row],[Waist v Night Dia]]</f>
        <v>5.5975934053712706E-2</v>
      </c>
      <c r="CU164" s="2">
        <f>Table7[[#This Row],[WaistND Res]]^2</f>
        <v>3.1333051931855937E-3</v>
      </c>
      <c r="CV164">
        <f>Regression!$K$29+(Regression!$K$28*Table83[[#This Row],[Night Pulse]])</f>
        <v>44.442567894699479</v>
      </c>
      <c r="CW164" s="2">
        <f>Table83[[#This Row],[Waist]]-Table7[[#This Row],[Waist v Night Pulse]]</f>
        <v>5.7432105300520675E-2</v>
      </c>
      <c r="CX164" s="2">
        <f>Table7[[#This Row],[WaistNP Res]]^2</f>
        <v>3.2984467192500948E-3</v>
      </c>
      <c r="CY164">
        <f>Regression!$L$29+(Regression!$L$28*Table83[[#This Row],[Sleep]])</f>
        <v>44.408792884862443</v>
      </c>
      <c r="CZ164" s="2">
        <f>Table83[[#This Row],[Waist]]-Table7[[#This Row],[Waist v  Sleep]]</f>
        <v>9.1207115137557082E-2</v>
      </c>
      <c r="DA164" s="2">
        <f>Table7[[#This Row],[WaistS Res]]^2</f>
        <v>8.3187378517155935E-3</v>
      </c>
      <c r="DB164">
        <f>Regression!$M$29+(Regression!$M$28*Table83[[#This Row],[BMI]])</f>
        <v>44.437863604978695</v>
      </c>
      <c r="DC164" s="2">
        <f>Table83[[#This Row],[Waist]]-Table7[[#This Row],[Waist v BMI]]</f>
        <v>6.2136395021305191E-2</v>
      </c>
      <c r="DD164" s="2">
        <f>Table7[[#This Row],[WaistBMI Res]]^2</f>
        <v>3.8609315862436805E-3</v>
      </c>
      <c r="DE164">
        <f>Regression!$N$29+(Regression!$N$28*Table83[[#This Row],[CBF]])</f>
        <v>44.659010290127611</v>
      </c>
      <c r="DF164" s="2">
        <f>Table83[[#This Row],[Waist]]-Table7[[#This Row],[Waist v  CBF]]</f>
        <v>-0.15901029012761114</v>
      </c>
      <c r="DG164" s="2">
        <f>Table7[[#This Row],[WaistCBF Res]]^2</f>
        <v>2.5284272366467068E-2</v>
      </c>
      <c r="DH164">
        <f>Regression!$O$29+(Regression!$O$28*Table83[[#This Row],[Gym]])</f>
        <v>44.347222222222221</v>
      </c>
      <c r="DI164" s="2">
        <f>Table83[[#This Row],[Waist]]-Table7[[#This Row],[Waist v  Gym]]</f>
        <v>0.15277777777777857</v>
      </c>
      <c r="DJ164" s="2">
        <f>Table7[[#This Row],[WaistGYM Res]]^2</f>
        <v>2.3341049382716292E-2</v>
      </c>
      <c r="DK164">
        <f>Regression!$P$29+(Regression!$P$28*Table83[[#This Row],[Cardio]])</f>
        <v>44.291666666666664</v>
      </c>
      <c r="DL164" s="2">
        <f>Table83[[#This Row],[Waist]]-Table7[[#This Row],[Waist v Cardio]]</f>
        <v>0.2083333333333357</v>
      </c>
      <c r="DM164" s="2">
        <f>Table7[[#This Row],[WaistC Res]]^2</f>
        <v>4.3402777777778762E-2</v>
      </c>
      <c r="DN164">
        <f>Regression!$Q$29+(Regression!$Q$28*Table83[[#This Row],[Calories]])</f>
        <v>44.322664863879154</v>
      </c>
      <c r="DO164" s="2">
        <f>Table83[[#This Row],[Waist]]-Table7[[#This Row],[Waist v Calories]]</f>
        <v>0.1773351361208455</v>
      </c>
      <c r="DP164" s="2">
        <f>Table7[[#This Row],[WaistCal Res]]^2</f>
        <v>3.1447750502998806E-2</v>
      </c>
      <c r="DQ164">
        <f>Regression!$R$29+(Regression!$R$28*Table83[[#This Row],[Carbs]])</f>
        <v>44.143458685452828</v>
      </c>
      <c r="DR164" s="2">
        <f>Table83[[#This Row],[Waist]]-Table7[[#This Row],[Waist v Carbs]]</f>
        <v>0.35654131454717231</v>
      </c>
      <c r="DS164" s="2">
        <f>Table7[[#This Row],[WaistCarb Res]]^2</f>
        <v>0.12712170897902567</v>
      </c>
      <c r="DT164">
        <f>Regression!$S$29+(Regression!$S$28*Table83[[#This Row],[Fat ]])</f>
        <v>44.573786721008233</v>
      </c>
      <c r="DU164" s="2">
        <f>Table83[[#This Row],[Waist]]-Table7[[#This Row],[Waist v Fat]]</f>
        <v>-7.3786721008232803E-2</v>
      </c>
      <c r="DV164" s="2">
        <f>Table7[[#This Row],[WaistF Res]]^2</f>
        <v>5.4444801971467839E-3</v>
      </c>
      <c r="DW164">
        <f>Regression!$T$29+(Regression!$T$28*Table83[[#This Row],[Protein]])</f>
        <v>44.387482861146751</v>
      </c>
      <c r="DX164" s="2">
        <f>Table83[[#This Row],[Waist]]-Table7[[#This Row],[Waist v Protein]]</f>
        <v>0.11251713885324932</v>
      </c>
      <c r="DY164" s="2">
        <f>Table7[[#This Row],[WaistP Res]]^2</f>
        <v>1.2660106535721388E-2</v>
      </c>
      <c r="DZ164">
        <f>Regression!$U$29+(Regression!$U$28*Table83[[#This Row],[Fiber]])</f>
        <v>44.500273045357169</v>
      </c>
      <c r="EA164" s="2">
        <f>Table83[[#This Row],[Waist]]-Table7[[#This Row],[Waist v Fiber]]</f>
        <v>-2.730453571686553E-4</v>
      </c>
      <c r="EB164" s="2">
        <f>Table7[[#This Row],[WaistFib Res]]^2</f>
        <v>7.4553767071358538E-8</v>
      </c>
      <c r="EC164">
        <f>Regression!$V$29+(Regression!$V$28*Table83[[#This Row],[Sugar]])</f>
        <v>43.792207957760873</v>
      </c>
      <c r="ED164" s="2">
        <f>Table83[[#This Row],[Waist]]-Table7[[#This Row],[Waist v Sugar]]</f>
        <v>0.70779204223912728</v>
      </c>
      <c r="EE164" s="2">
        <f>Table7[[#This Row],[WaistSugar Res]]^2</f>
        <v>0.50096957505703454</v>
      </c>
      <c r="EF164">
        <f>Regression!$W$29+(Regression!$W$28*Table83[[#This Row],[Servings]])</f>
        <v>43.925319845065815</v>
      </c>
      <c r="EG164" s="2">
        <f>Table83[[#This Row],[Waist]]-Table7[[#This Row],[Waist v Servings]]</f>
        <v>0.57468015493418534</v>
      </c>
      <c r="EH164" s="2">
        <f>Table7[[#This Row],[WaistServ Res]]^2</f>
        <v>0.33025728047517927</v>
      </c>
      <c r="EI164">
        <f>Regression!$X$29+(Regression!$X$28*Table83[[#This Row],[Water]])</f>
        <v>44.33031459742935</v>
      </c>
      <c r="EJ164" s="2">
        <f>Table83[[#This Row],[Waist]]-Table7[[#This Row],[Waist v Water]]</f>
        <v>0.16968540257065001</v>
      </c>
      <c r="EK164" s="2">
        <f>Table7[[#This Row],[WaistWat Res]]^2</f>
        <v>2.8793135845563558E-2</v>
      </c>
      <c r="EL164">
        <f>Regression!$Y$29+(Regression!$Y$28*Table83[[#This Row],[Fat Calories]])</f>
        <v>44.579385279722608</v>
      </c>
      <c r="EM164" s="2">
        <f>Table83[[#This Row],[Waist]]-Table7[[#This Row],[Waist v Fat Calories]]</f>
        <v>-7.9385279722608004E-2</v>
      </c>
      <c r="EN164" s="2">
        <f>Table7[[#This Row],[WaistFatCal Res]]^2</f>
        <v>6.3020226366367173E-3</v>
      </c>
    </row>
    <row r="165" spans="1:144" x14ac:dyDescent="0.25">
      <c r="A165">
        <f>Regression!$B$10+(Regression!$B$9*Table83[[#This Row],[Waist]])</f>
        <v>255.38023686459636</v>
      </c>
      <c r="B165" s="2">
        <f>Table83[[#This Row],[Weight]]-Table7[[#This Row],[Weight v Waist]]</f>
        <v>-0.58023686459634405</v>
      </c>
      <c r="C165" s="2">
        <f>Table7[[#This Row],[Weight v Waist Res]]^2</f>
        <v>0.33667481903659607</v>
      </c>
      <c r="D165">
        <f>Regression!$C$10+(Regression!$C$9*Table83[[#This Row],[Neck]])</f>
        <v>253.29286486487842</v>
      </c>
      <c r="E165" s="2">
        <f>Table83[[#This Row],[Weight]]-Table7[[#This Row],[Weight v Neck]]</f>
        <v>1.5071351351215867</v>
      </c>
      <c r="F165" s="2">
        <f>Table7[[#This Row],[WN Res]]^2</f>
        <v>2.2714563155179635</v>
      </c>
      <c r="G165">
        <f>Regression!$D$10+(Regression!$D$9*Table83[[#This Row],[Morning Body Temp]])</f>
        <v>254.63717512375013</v>
      </c>
      <c r="H165" s="2">
        <f>Table83[[#This Row],[Weight]]-Table7[[#This Row],[Weight v Morning Temp]]</f>
        <v>0.16282487624988562</v>
      </c>
      <c r="I165" s="2">
        <f>Table7[[#This Row],[WMT Res]]^2</f>
        <v>2.6511940325790566E-2</v>
      </c>
      <c r="J165">
        <f>Regression!$E$10+(Regression!$E$9*Table83[[#This Row],[Morning Systolic Pressure]])</f>
        <v>255.32487264807224</v>
      </c>
      <c r="K165" s="2">
        <f>Table83[[#This Row],[Weight]]-Table7[[#This Row],[Weight v Morning Sys]]</f>
        <v>-0.52487264807223255</v>
      </c>
      <c r="L165" s="2">
        <f>Table7[[#This Row],[WMS Res]]^2</f>
        <v>0.27549129669435768</v>
      </c>
      <c r="M165">
        <f>Regression!$F$10+(Regression!$F$9*Table83[[#This Row],[Morning Diastolic Pressure]])</f>
        <v>253.8859089087081</v>
      </c>
      <c r="N165" s="2">
        <f>Table83[[#This Row],[Weight]]-Table7[[#This Row],[Weight v Morning Dia]]</f>
        <v>0.91409109129190824</v>
      </c>
      <c r="O165" s="2">
        <f>Table7[[#This Row],[WMD Res]]^2</f>
        <v>0.83556252317923174</v>
      </c>
      <c r="P165">
        <f>Regression!$G$10+(Regression!$G$9*Table83[[#This Row],[Morning Pulse]])</f>
        <v>255.08988374955499</v>
      </c>
      <c r="Q165" s="2">
        <f>Table83[[#This Row],[Weight]]-Table7[[#This Row],[Weight v Morning Pulse]]</f>
        <v>-0.2898837495549742</v>
      </c>
      <c r="R165" s="2">
        <f>Table7[[#This Row],[WMP Res]]^2</f>
        <v>8.4032588256051005E-2</v>
      </c>
      <c r="S165">
        <f>Regression!$H$10+(Regression!$H$9*Table83[[#This Row],[Night Body Temp]])</f>
        <v>255.15957638897012</v>
      </c>
      <c r="T165" s="2">
        <f>Table83[[#This Row],[Weight]]-Table7[[#This Row],[Weight v Night Temp]]</f>
        <v>-0.35957638897011179</v>
      </c>
      <c r="U165" s="2">
        <f>Table7[[#This Row],[WNT Res]]^2</f>
        <v>0.12929517950478514</v>
      </c>
      <c r="V165">
        <f>Regression!$I$10+(Regression!$I$9*Table83[[#This Row],[Night Systolic Pressure]])</f>
        <v>255.64916072928111</v>
      </c>
      <c r="W165" s="2">
        <f>Table83[[#This Row],[Weight]]-Table7[[#This Row],[Weight v Night Sys]]</f>
        <v>-0.84916072928109543</v>
      </c>
      <c r="X165" s="2">
        <f>Table7[[#This Row],[WNS Res]]^2</f>
        <v>0.72107394415320181</v>
      </c>
      <c r="Y165">
        <f>Regression!$J$10+(Regression!$J$9*Table83[[#This Row],[Night Diastolic Pressure]])</f>
        <v>255.1330822426622</v>
      </c>
      <c r="Z165" s="2">
        <f>Table83[[#This Row],[Weight]]-Table7[[#This Row],[Weight v Night Dia]]</f>
        <v>-0.33308224266218645</v>
      </c>
      <c r="AA165" s="2">
        <f>Table7[[#This Row],[WND Res]]^2</f>
        <v>0.11094378037687165</v>
      </c>
      <c r="AB165">
        <f>Regression!$K$10+(Regression!$K$9*Table83[[#This Row],[Night Pulse]])</f>
        <v>255.14086518997797</v>
      </c>
      <c r="AC165" s="2">
        <f>Table83[[#This Row],[Weight]]-Table7[[#This Row],[Weight v Night Pulse]]</f>
        <v>-0.34086518997796134</v>
      </c>
      <c r="AD165" s="2">
        <f>Table7[[#This Row],[WNP Res ]]^2</f>
        <v>0.11618907773871168</v>
      </c>
      <c r="AE165">
        <f>Regression!$L$10+(Regression!$L$9*Table83[[#This Row],[Sleep]])</f>
        <v>256.87213773593737</v>
      </c>
      <c r="AF165" s="2">
        <f>Table83[[#This Row],[Weight]]-Table7[[#This Row],[Weight v Sleep]]</f>
        <v>-2.0721377359373605</v>
      </c>
      <c r="AG165" s="2">
        <f>Table7[[#This Row],[WS Res]]^2</f>
        <v>4.2937547966956107</v>
      </c>
      <c r="AH165">
        <f>Regression!$M$10+(Regression!$M$9*Table83[[#This Row],[BMI]])</f>
        <v>254.80000000000075</v>
      </c>
      <c r="AI165" s="2">
        <f>Table83[[#This Row],[Weight]]-Table7[[#This Row],[Weight v BMI]]</f>
        <v>-7.3896444519050419E-13</v>
      </c>
      <c r="AJ165" s="2">
        <f>Table7[[#This Row],[WBMI Res]]^2</f>
        <v>5.4606845125570968E-25</v>
      </c>
      <c r="AK165">
        <f>Regression!$N$10+(Regression!$N$9*Table83[[#This Row],[CBF]])</f>
        <v>256.25609762651322</v>
      </c>
      <c r="AL165" s="2">
        <f>Table83[[#This Row],[Weight]]-Table7[[#This Row],[Weight v CBF]]</f>
        <v>-1.4560976265132126</v>
      </c>
      <c r="AM165" s="2">
        <f>Table7[[#This Row],[WCBF Res]]^2</f>
        <v>2.1202202979374114</v>
      </c>
      <c r="AN165">
        <f>Regression!$O$10+(Regression!$O$9*Table83[[#This Row],[Gym]])</f>
        <v>255.46779661016953</v>
      </c>
      <c r="AO165" s="2">
        <f>Table83[[#This Row],[Weight]]-Table7[[#This Row],[Weight v Gym]]</f>
        <v>-0.66779661016951763</v>
      </c>
      <c r="AP165" s="2">
        <f>Table7[[#This Row],[WG Res]]^2</f>
        <v>0.44595231255389872</v>
      </c>
      <c r="AQ165">
        <f>Regression!$P$10+(Regression!$P$9*Table83[[#This Row],[Cardio]])</f>
        <v>256.41063829787231</v>
      </c>
      <c r="AR165" s="2">
        <f>Table83[[#This Row],[Weight]]-Table7[[#This Row],[Weight v Cardio]]</f>
        <v>-1.6106382978722991</v>
      </c>
      <c r="AS165" s="2">
        <f>Table7[[#This Row],[WC Res]]^2</f>
        <v>2.5941557265729767</v>
      </c>
      <c r="AT165">
        <f>Regression!$Q$10+(Regression!$Q$9*Table83[[#This Row],[Calories]])</f>
        <v>255.09485992223014</v>
      </c>
      <c r="AU165" s="2">
        <f>Table83[[#This Row],[Weight]]-Table7[[#This Row],[Weight v Calories]]</f>
        <v>-0.29485992223013113</v>
      </c>
      <c r="AV165" s="2">
        <f>Table7[[#This Row],[WCAL Res]]^2</f>
        <v>8.6942373737558976E-2</v>
      </c>
      <c r="AW165">
        <f>Regression!$R$10+(Regression!$R$9*Table83[[#This Row],[Carbs]])</f>
        <v>254.99868933169918</v>
      </c>
      <c r="AX165" s="2">
        <f>Table83[[#This Row],[Weight]]-Table7[[#This Row],[Weight v Carbs]]</f>
        <v>-0.19868933169917113</v>
      </c>
      <c r="AY165" s="2">
        <f>Table7[[#This Row],[Wcarb Res]]^2</f>
        <v>3.9477450531063253E-2</v>
      </c>
      <c r="AZ165">
        <f>Regression!$S$10+(Regression!$S$9*Table83[[#This Row],[Fat ]])</f>
        <v>255.21438764808471</v>
      </c>
      <c r="BA165" s="2">
        <f>Table83[[#This Row],[Weight]]-Table7[[#This Row],[Weight v Fat]]</f>
        <v>-0.41438764808469841</v>
      </c>
      <c r="BB165" s="2">
        <f>Table7[[#This Row],[WF Res]]^2</f>
        <v>0.17171712288516786</v>
      </c>
      <c r="BC165">
        <f>Regression!$T$10+(Regression!$T$9*Table83[[#This Row],[Protein]])</f>
        <v>255.01576841410201</v>
      </c>
      <c r="BD165" s="2">
        <f>Table83[[#This Row],[Weight]]-Table7[[#This Row],[Weight v Protein]]</f>
        <v>-0.21576841410200132</v>
      </c>
      <c r="BE165" s="2">
        <f>Table7[[#This Row],[WP Res]]^2</f>
        <v>4.6556008524092723E-2</v>
      </c>
      <c r="BF165">
        <f>Regression!$U$10+(Regression!$U$9*Table83[[#This Row],[Fiber]])</f>
        <v>254.9836192854209</v>
      </c>
      <c r="BG165" s="2">
        <f>Table83[[#This Row],[Weight]]-Table7[[#This Row],[Weight v Fiber]]</f>
        <v>-0.1836192854208889</v>
      </c>
      <c r="BH165" s="2">
        <f>Table7[[#This Row],[Wfib Res]]^2</f>
        <v>3.3716041978477863E-2</v>
      </c>
      <c r="BI165">
        <f>Regression!$V$10+(Regression!$V$9*Table83[[#This Row],[Sugar]])</f>
        <v>254.63994349635291</v>
      </c>
      <c r="BJ165" s="2">
        <f>Table83[[#This Row],[Weight]]-Table7[[#This Row],[Weight v Sugar]]</f>
        <v>0.16005650364709822</v>
      </c>
      <c r="BK165" s="2">
        <f>Table7[[#This Row],[Wsugar Res]]^2</f>
        <v>2.5618084359733569E-2</v>
      </c>
      <c r="BL165">
        <f>Regression!$W$10+(Regression!$W$9*Table83[[#This Row],[Servings]])</f>
        <v>254.67296443959216</v>
      </c>
      <c r="BM165" s="2">
        <f>Table83[[#This Row],[Weight]]-Table7[[#This Row],[Weight v Servings]]</f>
        <v>0.12703556040784747</v>
      </c>
      <c r="BN165" s="2">
        <f>Table7[[#This Row],[Wserv Res]]^2</f>
        <v>1.6138033608135864E-2</v>
      </c>
      <c r="BO165">
        <f>Regression!$X$10+(Regression!$X$9*Table83[[#This Row],[Water]])</f>
        <v>255.10626599365665</v>
      </c>
      <c r="BP165" s="2">
        <f>Table83[[#This Row],[Weight]]-Table7[[#This Row],[Weight v Water]]</f>
        <v>-0.30626599365663765</v>
      </c>
      <c r="BQ165" s="2">
        <f>Table7[[#This Row],[Wwater Res]]^2</f>
        <v>9.3798858870487611E-2</v>
      </c>
      <c r="BR165">
        <f>Regression!$Y$10+(Regression!$Y$9*Table83[[#This Row],[Fat Calories]])</f>
        <v>255.21590901252969</v>
      </c>
      <c r="BS165" s="2">
        <f>Table83[[#This Row],[Weight]]-Table7[[#This Row],[Weight v Fat Calories]]</f>
        <v>-0.41590901252968138</v>
      </c>
      <c r="BT165" s="2">
        <f>Table7[[#This Row],[WFC Res]]^2</f>
        <v>0.17298030670341466</v>
      </c>
      <c r="BU165">
        <f>Regression!$B$29+(Regression!$B$28*Table83[[#This Row],[Weight]])</f>
        <v>44.41061110286465</v>
      </c>
      <c r="BV165" s="2">
        <f>Table83[[#This Row],[Waist]]-Table7[[#This Row],[Waist v Weight]]</f>
        <v>8.9388897135350476E-2</v>
      </c>
      <c r="BW165" s="2">
        <f>Table7[[#This Row],[WaistW Res]]^2</f>
        <v>7.9903749310742678E-3</v>
      </c>
      <c r="BX165">
        <f>Regression!$C$29+(Regression!$C$28*Table83[[#This Row],[Neck]])</f>
        <v>44.175585585585594</v>
      </c>
      <c r="BY165" s="2">
        <f>Table83[[#This Row],[Waist]]-Table7[[#This Row],[Waist v Neck]]</f>
        <v>0.32441441441440588</v>
      </c>
      <c r="BZ165" s="2">
        <f>Table7[[#This Row],[WaistN Res]]^2</f>
        <v>0.10524471227984188</v>
      </c>
      <c r="CA165">
        <f>Regression!$D$29+(Regression!$D$28*Table83[[#This Row],[Morning Body Temp]])</f>
        <v>44.323570238526059</v>
      </c>
      <c r="CB165" s="2">
        <f>Table83[[#This Row],[Waist]]-Table7[[#This Row],[Waist v Morning Temp]]</f>
        <v>0.17642976147394052</v>
      </c>
      <c r="CC165" s="2">
        <f>Table7[[#This Row],[WaistMT Res]]^2</f>
        <v>3.1127460733751545E-2</v>
      </c>
      <c r="CD165">
        <f>Regression!$E$29+(Regression!$E$28*Table83[[#This Row],[Morning Systolic Pressure]])</f>
        <v>44.502836753606339</v>
      </c>
      <c r="CE165" s="2">
        <f>Table83[[#This Row],[Waist]]-Table7[[#This Row],[Waist v Morning Sys]]</f>
        <v>-2.8367536063385046E-3</v>
      </c>
      <c r="CF165" s="2">
        <f>Table7[[#This Row],[WaistMS Res]]^2</f>
        <v>8.0471710230745112E-6</v>
      </c>
      <c r="CG165">
        <f>Regression!$F$29+(Regression!$F$28*Table83[[#This Row],[Morning Diastolic Pressure]])</f>
        <v>44.385189220118015</v>
      </c>
      <c r="CH165" s="2">
        <f>Table83[[#This Row],[Waist]]-Table7[[#This Row],[Waist v Morning Dia]]</f>
        <v>0.11481077988198507</v>
      </c>
      <c r="CI165" s="2">
        <f>Table7[[#This Row],[WaistMD Res]]^2</f>
        <v>1.3181515177109627E-2</v>
      </c>
      <c r="CJ165">
        <f>Regression!$G$29+(Regression!$G$28*Table83[[#This Row],[Morning Pulse]])</f>
        <v>44.441983661475604</v>
      </c>
      <c r="CK165" s="2">
        <f>Table83[[#This Row],[Waist]]-Table7[[#This Row],[Waist v Morning Pulse]]</f>
        <v>5.801633852439636E-2</v>
      </c>
      <c r="CL165" s="2">
        <f>Table7[[#This Row],[WaistMP Res]]^2</f>
        <v>3.3658955357773572E-3</v>
      </c>
      <c r="CM165">
        <f>Regression!$H$29+(Regression!$H$28*Table83[[#This Row],[Night Body Temp]])</f>
        <v>44.457050878464067</v>
      </c>
      <c r="CN165" s="2">
        <f>Table83[[#This Row],[Waist]]-Table7[[#This Row],[Waist v Night Temp]]</f>
        <v>4.2949121535933443E-2</v>
      </c>
      <c r="CO165" s="2">
        <f>Table7[[#This Row],[WaistNT Res]]^2</f>
        <v>1.8446270407083819E-3</v>
      </c>
      <c r="CP165">
        <f>Regression!$I$29+(Regression!$I$28*Table83[[#This Row],[Night Systolic Pressure]])</f>
        <v>44.529199886933277</v>
      </c>
      <c r="CQ165" s="2">
        <f>Table83[[#This Row],[Waist]]-Table7[[#This Row],[Waist v  Night Sys]]</f>
        <v>-2.9199886933277241E-2</v>
      </c>
      <c r="CR165" s="2">
        <f>Table7[[#This Row],[WaistNS Res]]^2</f>
        <v>8.5263339691617494E-4</v>
      </c>
      <c r="CS165">
        <f>Regression!$J$29+(Regression!$J$28*Table83[[#This Row],[Night Diastolic Pressure]])</f>
        <v>44.461092011153731</v>
      </c>
      <c r="CT165" s="2">
        <f>Table83[[#This Row],[Waist]]-Table7[[#This Row],[Waist v Night Dia]]</f>
        <v>3.8907988846268893E-2</v>
      </c>
      <c r="CU165" s="2">
        <f>Table7[[#This Row],[WaistND Res]]^2</f>
        <v>1.5138315960613845E-3</v>
      </c>
      <c r="CV165">
        <f>Regression!$K$29+(Regression!$K$28*Table83[[#This Row],[Night Pulse]])</f>
        <v>44.451138133632369</v>
      </c>
      <c r="CW165" s="2">
        <f>Table83[[#This Row],[Waist]]-Table7[[#This Row],[Waist v Night Pulse]]</f>
        <v>4.8861866367630569E-2</v>
      </c>
      <c r="CX165" s="2">
        <f>Table7[[#This Row],[WaistNP Res]]^2</f>
        <v>2.3874819849281875E-3</v>
      </c>
      <c r="CY165">
        <f>Regression!$L$29+(Regression!$L$28*Table83[[#This Row],[Sleep]])</f>
        <v>44.721436176834203</v>
      </c>
      <c r="CZ165" s="2">
        <f>Table83[[#This Row],[Waist]]-Table7[[#This Row],[Waist v  Sleep]]</f>
        <v>-0.22143617683420302</v>
      </c>
      <c r="DA165" s="2">
        <f>Table7[[#This Row],[WaistS Res]]^2</f>
        <v>4.9033980410948433E-2</v>
      </c>
      <c r="DB165">
        <f>Regression!$M$29+(Regression!$M$28*Table83[[#This Row],[BMI]])</f>
        <v>44.410611102864792</v>
      </c>
      <c r="DC165" s="2">
        <f>Table83[[#This Row],[Waist]]-Table7[[#This Row],[Waist v BMI]]</f>
        <v>8.9388897135208367E-2</v>
      </c>
      <c r="DD165" s="2">
        <f>Table7[[#This Row],[WaistBMI Res]]^2</f>
        <v>7.9903749310488627E-3</v>
      </c>
      <c r="DE165">
        <f>Regression!$N$29+(Regression!$N$28*Table83[[#This Row],[CBF]])</f>
        <v>44.659010290127611</v>
      </c>
      <c r="DF165" s="2">
        <f>Table83[[#This Row],[Waist]]-Table7[[#This Row],[Waist v  CBF]]</f>
        <v>-0.15901029012761114</v>
      </c>
      <c r="DG165" s="2">
        <f>Table7[[#This Row],[WaistCBF Res]]^2</f>
        <v>2.5284272366467068E-2</v>
      </c>
      <c r="DH165">
        <f>Regression!$O$29+(Regression!$O$28*Table83[[#This Row],[Gym]])</f>
        <v>44.550847457627107</v>
      </c>
      <c r="DI165" s="2">
        <f>Table83[[#This Row],[Waist]]-Table7[[#This Row],[Waist v  Gym]]</f>
        <v>-5.0847457627106962E-2</v>
      </c>
      <c r="DJ165" s="2">
        <f>Table7[[#This Row],[WaistGYM Res]]^2</f>
        <v>2.5854639471404378E-3</v>
      </c>
      <c r="DK165">
        <f>Regression!$P$29+(Regression!$P$28*Table83[[#This Row],[Cardio]])</f>
        <v>44.680851063829778</v>
      </c>
      <c r="DL165" s="2">
        <f>Table83[[#This Row],[Waist]]-Table7[[#This Row],[Waist v Cardio]]</f>
        <v>-0.18085106382977756</v>
      </c>
      <c r="DM165" s="2">
        <f>Table7[[#This Row],[WaistC Res]]^2</f>
        <v>3.2707107288362278E-2</v>
      </c>
      <c r="DN165">
        <f>Regression!$Q$29+(Regression!$Q$28*Table83[[#This Row],[Calories]])</f>
        <v>44.449004852737581</v>
      </c>
      <c r="DO165" s="2">
        <f>Table83[[#This Row],[Waist]]-Table7[[#This Row],[Waist v Calories]]</f>
        <v>5.0995147262419493E-2</v>
      </c>
      <c r="DP165" s="2">
        <f>Table7[[#This Row],[WaistCal Res]]^2</f>
        <v>2.6005050443158504E-3</v>
      </c>
      <c r="DQ165">
        <f>Regression!$R$29+(Regression!$R$28*Table83[[#This Row],[Carbs]])</f>
        <v>44.429315442008743</v>
      </c>
      <c r="DR165" s="2">
        <f>Table83[[#This Row],[Waist]]-Table7[[#This Row],[Waist v Carbs]]</f>
        <v>7.0684557991256725E-2</v>
      </c>
      <c r="DS165" s="2">
        <f>Table7[[#This Row],[WaistCarb Res]]^2</f>
        <v>4.9963067384193351E-3</v>
      </c>
      <c r="DT165">
        <f>Regression!$S$29+(Regression!$S$28*Table83[[#This Row],[Fat ]])</f>
        <v>44.483906998104018</v>
      </c>
      <c r="DU165" s="2">
        <f>Table83[[#This Row],[Waist]]-Table7[[#This Row],[Waist v Fat]]</f>
        <v>1.6093001895981729E-2</v>
      </c>
      <c r="DV165" s="2">
        <f>Table7[[#This Row],[WaistF Res]]^2</f>
        <v>2.5898471002407152E-4</v>
      </c>
      <c r="DW165">
        <f>Regression!$T$29+(Regression!$T$28*Table83[[#This Row],[Protein]])</f>
        <v>44.435368657699385</v>
      </c>
      <c r="DX165" s="2">
        <f>Table83[[#This Row],[Waist]]-Table7[[#This Row],[Waist v Protein]]</f>
        <v>6.4631342300614847E-2</v>
      </c>
      <c r="DY165" s="2">
        <f>Table7[[#This Row],[WaistP Res]]^2</f>
        <v>4.1772104075792462E-3</v>
      </c>
      <c r="DZ165">
        <f>Regression!$U$29+(Regression!$U$28*Table83[[#This Row],[Fiber]])</f>
        <v>44.402828193285956</v>
      </c>
      <c r="EA165" s="2">
        <f>Table83[[#This Row],[Waist]]-Table7[[#This Row],[Waist v Fiber]]</f>
        <v>9.7171806714044351E-2</v>
      </c>
      <c r="EB165" s="2">
        <f>Table7[[#This Row],[WaistFib Res]]^2</f>
        <v>9.442360020071594E-3</v>
      </c>
      <c r="EC165">
        <f>Regression!$V$29+(Regression!$V$28*Table83[[#This Row],[Sugar]])</f>
        <v>44.368193271825042</v>
      </c>
      <c r="ED165" s="2">
        <f>Table83[[#This Row],[Waist]]-Table7[[#This Row],[Waist v Sugar]]</f>
        <v>0.13180672817495775</v>
      </c>
      <c r="EE165" s="2">
        <f>Table7[[#This Row],[WaistSugar Res]]^2</f>
        <v>1.7373013592187202E-2</v>
      </c>
      <c r="EF165">
        <f>Regression!$W$29+(Regression!$W$28*Table83[[#This Row],[Servings]])</f>
        <v>44.386085809325749</v>
      </c>
      <c r="EG165" s="2">
        <f>Table83[[#This Row],[Waist]]-Table7[[#This Row],[Waist v Servings]]</f>
        <v>0.1139141906742509</v>
      </c>
      <c r="EH165" s="2">
        <f>Table7[[#This Row],[WaistServ Res]]^2</f>
        <v>1.2976442836969592E-2</v>
      </c>
      <c r="EI165">
        <f>Regression!$X$29+(Regression!$X$28*Table83[[#This Row],[Water]])</f>
        <v>44.442082352251923</v>
      </c>
      <c r="EJ165" s="2">
        <f>Table83[[#This Row],[Waist]]-Table7[[#This Row],[Waist v Water]]</f>
        <v>5.7917647748077172E-2</v>
      </c>
      <c r="EK165" s="2">
        <f>Table7[[#This Row],[WaistWat Res]]^2</f>
        <v>3.3544539206703488E-3</v>
      </c>
      <c r="EL165">
        <f>Regression!$Y$29+(Regression!$Y$28*Table83[[#This Row],[Fat Calories]])</f>
        <v>44.484215699609003</v>
      </c>
      <c r="EM165" s="2">
        <f>Table83[[#This Row],[Waist]]-Table7[[#This Row],[Waist v Fat Calories]]</f>
        <v>1.578430039099743E-2</v>
      </c>
      <c r="EN165" s="2">
        <f>Table7[[#This Row],[WaistFatCal Res]]^2</f>
        <v>2.4914413883324164E-4</v>
      </c>
    </row>
    <row r="166" spans="1:144" x14ac:dyDescent="0.25">
      <c r="A166">
        <f>Regression!$B$10+(Regression!$B$9*Table83[[#This Row],[Waist]])</f>
        <v>255.38023686459636</v>
      </c>
      <c r="B166" s="2">
        <f>Table83[[#This Row],[Weight]]-Table7[[#This Row],[Weight v Waist]]</f>
        <v>-3.580236864596344</v>
      </c>
      <c r="C166" s="2">
        <f>Table7[[#This Row],[Weight v Waist Res]]^2</f>
        <v>12.81809600661466</v>
      </c>
      <c r="D166">
        <f>Regression!$C$10+(Regression!$C$9*Table83[[#This Row],[Neck]])</f>
        <v>253.29286486487842</v>
      </c>
      <c r="E166" s="2">
        <f>Table83[[#This Row],[Weight]]-Table7[[#This Row],[Weight v Neck]]</f>
        <v>-1.4928648648784133</v>
      </c>
      <c r="F166" s="2">
        <f>Table7[[#This Row],[WN Res]]^2</f>
        <v>2.2286455047884433</v>
      </c>
      <c r="G166">
        <f>Regression!$D$10+(Regression!$D$9*Table83[[#This Row],[Morning Body Temp]])</f>
        <v>255.62275488286326</v>
      </c>
      <c r="H166" s="2">
        <f>Table83[[#This Row],[Weight]]-Table7[[#This Row],[Weight v Morning Temp]]</f>
        <v>-3.8227548828632507</v>
      </c>
      <c r="I166" s="2">
        <f>Table7[[#This Row],[WMT Res]]^2</f>
        <v>14.613454894454826</v>
      </c>
      <c r="J166">
        <f>Regression!$E$10+(Regression!$E$9*Table83[[#This Row],[Morning Systolic Pressure]])</f>
        <v>255.00933222102856</v>
      </c>
      <c r="K166" s="2">
        <f>Table83[[#This Row],[Weight]]-Table7[[#This Row],[Weight v Morning Sys]]</f>
        <v>-3.2093322210285464</v>
      </c>
      <c r="L166" s="2">
        <f>Table7[[#This Row],[WMS Res]]^2</f>
        <v>10.299813304932023</v>
      </c>
      <c r="M166">
        <f>Regression!$F$10+(Regression!$F$9*Table83[[#This Row],[Morning Diastolic Pressure]])</f>
        <v>255.30472839533641</v>
      </c>
      <c r="N166" s="2">
        <f>Table83[[#This Row],[Weight]]-Table7[[#This Row],[Weight v Morning Dia]]</f>
        <v>-3.5047283953364001</v>
      </c>
      <c r="O166" s="2">
        <f>Table7[[#This Row],[WMD Res]]^2</f>
        <v>12.283121125077258</v>
      </c>
      <c r="P166">
        <f>Regression!$G$10+(Regression!$G$9*Table83[[#This Row],[Morning Pulse]])</f>
        <v>255.10998950288408</v>
      </c>
      <c r="Q166" s="2">
        <f>Table83[[#This Row],[Weight]]-Table7[[#This Row],[Weight v Morning Pulse]]</f>
        <v>-3.3099895028840649</v>
      </c>
      <c r="R166" s="2">
        <f>Table7[[#This Row],[WMP Res]]^2</f>
        <v>10.9560305092027</v>
      </c>
      <c r="S166">
        <f>Regression!$H$10+(Regression!$H$9*Table83[[#This Row],[Night Body Temp]])</f>
        <v>255.57036267089688</v>
      </c>
      <c r="T166" s="2">
        <f>Table83[[#This Row],[Weight]]-Table7[[#This Row],[Weight v Night Temp]]</f>
        <v>-3.7703626708968727</v>
      </c>
      <c r="U166" s="2">
        <f>Table7[[#This Row],[WNT Res]]^2</f>
        <v>14.2156346700926</v>
      </c>
      <c r="V166">
        <f>Regression!$I$10+(Regression!$I$9*Table83[[#This Row],[Night Systolic Pressure]])</f>
        <v>254.6227123889964</v>
      </c>
      <c r="W166" s="2">
        <f>Table83[[#This Row],[Weight]]-Table7[[#This Row],[Weight v Night Sys]]</f>
        <v>-2.8227123889963934</v>
      </c>
      <c r="X166" s="2">
        <f>Table7[[#This Row],[WNS Res]]^2</f>
        <v>7.9677052309937269</v>
      </c>
      <c r="Y166">
        <f>Regression!$J$10+(Regression!$J$9*Table83[[#This Row],[Night Diastolic Pressure]])</f>
        <v>255.17384811107831</v>
      </c>
      <c r="Z166" s="2">
        <f>Table83[[#This Row],[Weight]]-Table7[[#This Row],[Weight v Night Dia]]</f>
        <v>-3.3738481110783027</v>
      </c>
      <c r="AA166" s="2">
        <f>Table7[[#This Row],[WND Res]]^2</f>
        <v>11.382851076626631</v>
      </c>
      <c r="AB166">
        <f>Regression!$K$10+(Regression!$K$9*Table83[[#This Row],[Night Pulse]])</f>
        <v>255.23300518368814</v>
      </c>
      <c r="AC166" s="2">
        <f>Table83[[#This Row],[Weight]]-Table7[[#This Row],[Weight v Night Pulse]]</f>
        <v>-3.4330051836881239</v>
      </c>
      <c r="AD166" s="2">
        <f>Table7[[#This Row],[WNP Res ]]^2</f>
        <v>11.78552459122953</v>
      </c>
      <c r="AE166">
        <f>Regression!$L$10+(Regression!$L$9*Table83[[#This Row],[Sleep]])</f>
        <v>254.82155554400751</v>
      </c>
      <c r="AF166" s="2">
        <f>Table83[[#This Row],[Weight]]-Table7[[#This Row],[Weight v Sleep]]</f>
        <v>-3.0215555440074979</v>
      </c>
      <c r="AG166" s="2">
        <f>Table7[[#This Row],[WS Res]]^2</f>
        <v>9.1297979055224463</v>
      </c>
      <c r="AH166">
        <f>Regression!$M$10+(Regression!$M$9*Table83[[#This Row],[BMI]])</f>
        <v>251.80000000000746</v>
      </c>
      <c r="AI166" s="2">
        <f>Table83[[#This Row],[Weight]]-Table7[[#This Row],[Weight v BMI]]</f>
        <v>-7.4464878707658499E-12</v>
      </c>
      <c r="AJ166" s="2">
        <f>Table7[[#This Row],[WBMI Res]]^2</f>
        <v>5.5450181609462922E-23</v>
      </c>
      <c r="AK166">
        <f>Regression!$N$10+(Regression!$N$9*Table83[[#This Row],[CBF]])</f>
        <v>256.25609762651322</v>
      </c>
      <c r="AL166" s="2">
        <f>Table83[[#This Row],[Weight]]-Table7[[#This Row],[Weight v CBF]]</f>
        <v>-4.4560976265132126</v>
      </c>
      <c r="AM166" s="2">
        <f>Table7[[#This Row],[WCBF Res]]^2</f>
        <v>19.856806057016687</v>
      </c>
      <c r="AN166">
        <f>Regression!$O$10+(Regression!$O$9*Table83[[#This Row],[Gym]])</f>
        <v>254.72962962962998</v>
      </c>
      <c r="AO166" s="2">
        <f>Table83[[#This Row],[Weight]]-Table7[[#This Row],[Weight v Gym]]</f>
        <v>-2.9296296296299715</v>
      </c>
      <c r="AP166" s="2">
        <f>Table7[[#This Row],[WG Res]]^2</f>
        <v>8.5827297668058442</v>
      </c>
      <c r="AQ166">
        <f>Regression!$P$10+(Regression!$P$9*Table83[[#This Row],[Cardio]])</f>
        <v>254.19242424242461</v>
      </c>
      <c r="AR166" s="2">
        <f>Table83[[#This Row],[Weight]]-Table7[[#This Row],[Weight v Cardio]]</f>
        <v>-2.3924242424245961</v>
      </c>
      <c r="AS166" s="2">
        <f>Table7[[#This Row],[WC Res]]^2</f>
        <v>5.7236937557409027</v>
      </c>
      <c r="AT166">
        <f>Regression!$Q$10+(Regression!$Q$9*Table83[[#This Row],[Calories]])</f>
        <v>254.18301341110563</v>
      </c>
      <c r="AU166" s="2">
        <f>Table83[[#This Row],[Weight]]-Table7[[#This Row],[Weight v Calories]]</f>
        <v>-2.3830134111056225</v>
      </c>
      <c r="AV166" s="2">
        <f>Table7[[#This Row],[WCAL Res]]^2</f>
        <v>5.6787529175092546</v>
      </c>
      <c r="AW166">
        <f>Regression!$R$10+(Regression!$R$9*Table83[[#This Row],[Carbs]])</f>
        <v>254.26871355417148</v>
      </c>
      <c r="AX166" s="2">
        <f>Table83[[#This Row],[Weight]]-Table7[[#This Row],[Weight v Carbs]]</f>
        <v>-2.4687135541714724</v>
      </c>
      <c r="AY166" s="2">
        <f>Table7[[#This Row],[Wcarb Res]]^2</f>
        <v>6.0945466125499435</v>
      </c>
      <c r="AZ166">
        <f>Regression!$S$10+(Regression!$S$9*Table83[[#This Row],[Fat ]])</f>
        <v>254.47996411106914</v>
      </c>
      <c r="BA166" s="2">
        <f>Table83[[#This Row],[Weight]]-Table7[[#This Row],[Weight v Fat]]</f>
        <v>-2.6799641110691255</v>
      </c>
      <c r="BB166" s="2">
        <f>Table7[[#This Row],[WF Res]]^2</f>
        <v>7.1822076366185277</v>
      </c>
      <c r="BC166">
        <f>Regression!$T$10+(Regression!$T$9*Table83[[#This Row],[Protein]])</f>
        <v>254.13518848827027</v>
      </c>
      <c r="BD166" s="2">
        <f>Table83[[#This Row],[Weight]]-Table7[[#This Row],[Weight v Protein]]</f>
        <v>-2.335188488270262</v>
      </c>
      <c r="BE166" s="2">
        <f>Table7[[#This Row],[WP Res]]^2</f>
        <v>5.4531052757499516</v>
      </c>
      <c r="BF166">
        <f>Regression!$U$10+(Regression!$U$9*Table83[[#This Row],[Fiber]])</f>
        <v>255.23682314204279</v>
      </c>
      <c r="BG166" s="2">
        <f>Table83[[#This Row],[Weight]]-Table7[[#This Row],[Weight v Fiber]]</f>
        <v>-3.4368231420427833</v>
      </c>
      <c r="BH166" s="2">
        <f>Table7[[#This Row],[Wfib Res]]^2</f>
        <v>11.81175330968083</v>
      </c>
      <c r="BI166">
        <f>Regression!$V$10+(Regression!$V$9*Table83[[#This Row],[Sugar]])</f>
        <v>254.37104393544851</v>
      </c>
      <c r="BJ166" s="2">
        <f>Table83[[#This Row],[Weight]]-Table7[[#This Row],[Weight v Sugar]]</f>
        <v>-2.5710439354485004</v>
      </c>
      <c r="BK166" s="2">
        <f>Table7[[#This Row],[Wsugar Res]]^2</f>
        <v>6.6102669180065128</v>
      </c>
      <c r="BL166">
        <f>Regression!$W$10+(Regression!$W$9*Table83[[#This Row],[Servings]])</f>
        <v>255.01698840079709</v>
      </c>
      <c r="BM166" s="2">
        <f>Table83[[#This Row],[Weight]]-Table7[[#This Row],[Weight v Servings]]</f>
        <v>-3.2169884007970779</v>
      </c>
      <c r="BN166" s="2">
        <f>Table7[[#This Row],[Wserv Res]]^2</f>
        <v>10.349014370862941</v>
      </c>
      <c r="BO166">
        <f>Regression!$X$10+(Regression!$X$9*Table83[[#This Row],[Water]])</f>
        <v>255.0206340268538</v>
      </c>
      <c r="BP166" s="2">
        <f>Table83[[#This Row],[Weight]]-Table7[[#This Row],[Weight v Water]]</f>
        <v>-3.2206340268537872</v>
      </c>
      <c r="BQ166" s="2">
        <f>Table7[[#This Row],[Wwater Res]]^2</f>
        <v>10.37248353492844</v>
      </c>
      <c r="BR166">
        <f>Regression!$Y$10+(Regression!$Y$9*Table83[[#This Row],[Fat Calories]])</f>
        <v>254.4342976111985</v>
      </c>
      <c r="BS166" s="2">
        <f>Table83[[#This Row],[Weight]]-Table7[[#This Row],[Weight v Fat Calories]]</f>
        <v>-2.634297611198491</v>
      </c>
      <c r="BT166" s="2">
        <f>Table7[[#This Row],[WFC Res]]^2</f>
        <v>6.9395239043660766</v>
      </c>
      <c r="BU166">
        <f>Regression!$B$29+(Regression!$B$28*Table83[[#This Row],[Weight]])</f>
        <v>44.001823571154709</v>
      </c>
      <c r="BV166" s="2">
        <f>Table83[[#This Row],[Waist]]-Table7[[#This Row],[Waist v Weight]]</f>
        <v>0.49817642884529079</v>
      </c>
      <c r="BW166" s="2">
        <f>Table7[[#This Row],[WaistW Res]]^2</f>
        <v>0.24817975425704708</v>
      </c>
      <c r="BX166">
        <f>Regression!$C$29+(Regression!$C$28*Table83[[#This Row],[Neck]])</f>
        <v>44.175585585585594</v>
      </c>
      <c r="BY166" s="2">
        <f>Table83[[#This Row],[Waist]]-Table7[[#This Row],[Waist v Neck]]</f>
        <v>0.32441441441440588</v>
      </c>
      <c r="BZ166" s="2">
        <f>Table7[[#This Row],[WaistN Res]]^2</f>
        <v>0.10524471227984188</v>
      </c>
      <c r="CA166">
        <f>Regression!$D$29+(Regression!$D$28*Table83[[#This Row],[Morning Body Temp]])</f>
        <v>44.591625622988346</v>
      </c>
      <c r="CB166" s="2">
        <f>Table83[[#This Row],[Waist]]-Table7[[#This Row],[Waist v Morning Temp]]</f>
        <v>-9.1625622988345867E-2</v>
      </c>
      <c r="CC166" s="2">
        <f>Table7[[#This Row],[WaistMT Res]]^2</f>
        <v>8.3952547880024944E-3</v>
      </c>
      <c r="CD166">
        <f>Regression!$E$29+(Regression!$E$28*Table83[[#This Row],[Morning Systolic Pressure]])</f>
        <v>44.428703916909349</v>
      </c>
      <c r="CE166" s="2">
        <f>Table83[[#This Row],[Waist]]-Table7[[#This Row],[Waist v Morning Sys]]</f>
        <v>7.1296083090651052E-2</v>
      </c>
      <c r="CF166" s="2">
        <f>Table7[[#This Row],[WaistMS Res]]^2</f>
        <v>5.0831314640690187E-3</v>
      </c>
      <c r="CG166">
        <f>Regression!$F$29+(Regression!$F$28*Table83[[#This Row],[Morning Diastolic Pressure]])</f>
        <v>44.464087909481968</v>
      </c>
      <c r="CH166" s="2">
        <f>Table83[[#This Row],[Waist]]-Table7[[#This Row],[Waist v Morning Dia]]</f>
        <v>3.5912090518031903E-2</v>
      </c>
      <c r="CI166" s="2">
        <f>Table7[[#This Row],[WaistMD Res]]^2</f>
        <v>1.2896782453753169E-3</v>
      </c>
      <c r="CJ166">
        <f>Regression!$G$29+(Regression!$G$28*Table83[[#This Row],[Morning Pulse]])</f>
        <v>44.451218189785358</v>
      </c>
      <c r="CK166" s="2">
        <f>Table83[[#This Row],[Waist]]-Table7[[#This Row],[Waist v Morning Pulse]]</f>
        <v>4.8781810214642007E-2</v>
      </c>
      <c r="CL166" s="2">
        <f>Table7[[#This Row],[WaistMP Res]]^2</f>
        <v>2.3796650078173514E-3</v>
      </c>
      <c r="CM166">
        <f>Regression!$H$29+(Regression!$H$28*Table83[[#This Row],[Night Body Temp]])</f>
        <v>44.489438573683607</v>
      </c>
      <c r="CN166" s="2">
        <f>Table83[[#This Row],[Waist]]-Table7[[#This Row],[Waist v Night Temp]]</f>
        <v>1.0561426316392897E-2</v>
      </c>
      <c r="CO166" s="2">
        <f>Table7[[#This Row],[WaistNT Res]]^2</f>
        <v>1.1154372583659643E-4</v>
      </c>
      <c r="CP166">
        <f>Regression!$I$29+(Regression!$I$28*Table83[[#This Row],[Night Systolic Pressure]])</f>
        <v>44.383798743677147</v>
      </c>
      <c r="CQ166" s="2">
        <f>Table83[[#This Row],[Waist]]-Table7[[#This Row],[Waist v  Night Sys]]</f>
        <v>0.11620125632285294</v>
      </c>
      <c r="CR166" s="2">
        <f>Table7[[#This Row],[WaistNS Res]]^2</f>
        <v>1.3502731971009371E-2</v>
      </c>
      <c r="CS166">
        <f>Regression!$J$29+(Regression!$J$28*Table83[[#This Row],[Night Diastolic Pressure]])</f>
        <v>44.478159956361175</v>
      </c>
      <c r="CT166" s="2">
        <f>Table83[[#This Row],[Waist]]-Table7[[#This Row],[Waist v Night Dia]]</f>
        <v>2.184004363882508E-2</v>
      </c>
      <c r="CU166" s="2">
        <f>Table7[[#This Row],[WaistND Res]]^2</f>
        <v>4.7698750614578382E-4</v>
      </c>
      <c r="CV166">
        <f>Regression!$K$29+(Regression!$K$28*Table83[[#This Row],[Night Pulse]])</f>
        <v>44.442567894699479</v>
      </c>
      <c r="CW166" s="2">
        <f>Table83[[#This Row],[Waist]]-Table7[[#This Row],[Waist v Night Pulse]]</f>
        <v>5.7432105300520675E-2</v>
      </c>
      <c r="CX166" s="2">
        <f>Table7[[#This Row],[WaistNP Res]]^2</f>
        <v>3.2984467192500948E-3</v>
      </c>
      <c r="CY166">
        <f>Regression!$L$29+(Regression!$L$28*Table83[[#This Row],[Sleep]])</f>
        <v>44.408792884862443</v>
      </c>
      <c r="CZ166" s="2">
        <f>Table83[[#This Row],[Waist]]-Table7[[#This Row],[Waist v  Sleep]]</f>
        <v>9.1207115137557082E-2</v>
      </c>
      <c r="DA166" s="2">
        <f>Table7[[#This Row],[WaistS Res]]^2</f>
        <v>8.3187378517155935E-3</v>
      </c>
      <c r="DB166">
        <f>Regression!$M$29+(Regression!$M$28*Table83[[#This Row],[BMI]])</f>
        <v>44.001823571156145</v>
      </c>
      <c r="DC166" s="2">
        <f>Table83[[#This Row],[Waist]]-Table7[[#This Row],[Waist v BMI]]</f>
        <v>0.49817642884385549</v>
      </c>
      <c r="DD166" s="2">
        <f>Table7[[#This Row],[WaistBMI Res]]^2</f>
        <v>0.248179754255617</v>
      </c>
      <c r="DE166">
        <f>Regression!$N$29+(Regression!$N$28*Table83[[#This Row],[CBF]])</f>
        <v>44.659010290127611</v>
      </c>
      <c r="DF166" s="2">
        <f>Table83[[#This Row],[Waist]]-Table7[[#This Row],[Waist v  CBF]]</f>
        <v>-0.15901029012761114</v>
      </c>
      <c r="DG166" s="2">
        <f>Table7[[#This Row],[WaistCBF Res]]^2</f>
        <v>2.5284272366467068E-2</v>
      </c>
      <c r="DH166">
        <f>Regression!$O$29+(Regression!$O$28*Table83[[#This Row],[Gym]])</f>
        <v>44.347222222222221</v>
      </c>
      <c r="DI166" s="2">
        <f>Table83[[#This Row],[Waist]]-Table7[[#This Row],[Waist v  Gym]]</f>
        <v>0.15277777777777857</v>
      </c>
      <c r="DJ166" s="2">
        <f>Table7[[#This Row],[WaistGYM Res]]^2</f>
        <v>2.3341049382716292E-2</v>
      </c>
      <c r="DK166">
        <f>Regression!$P$29+(Regression!$P$28*Table83[[#This Row],[Cardio]])</f>
        <v>44.291666666666664</v>
      </c>
      <c r="DL166" s="2">
        <f>Table83[[#This Row],[Waist]]-Table7[[#This Row],[Waist v Cardio]]</f>
        <v>0.2083333333333357</v>
      </c>
      <c r="DM166" s="2">
        <f>Table7[[#This Row],[WaistC Res]]^2</f>
        <v>4.3402777777778762E-2</v>
      </c>
      <c r="DN166">
        <f>Regression!$Q$29+(Regression!$Q$28*Table83[[#This Row],[Calories]])</f>
        <v>44.244133166136123</v>
      </c>
      <c r="DO166" s="2">
        <f>Table83[[#This Row],[Waist]]-Table7[[#This Row],[Waist v Calories]]</f>
        <v>0.25586683386387676</v>
      </c>
      <c r="DP166" s="2">
        <f>Table7[[#This Row],[WaistCal Res]]^2</f>
        <v>6.5467836671524712E-2</v>
      </c>
      <c r="DQ166">
        <f>Regression!$R$29+(Regression!$R$28*Table83[[#This Row],[Carbs]])</f>
        <v>44.277338955323721</v>
      </c>
      <c r="DR166" s="2">
        <f>Table83[[#This Row],[Waist]]-Table7[[#This Row],[Waist v Carbs]]</f>
        <v>0.22266104467627912</v>
      </c>
      <c r="DS166" s="2">
        <f>Table7[[#This Row],[WaistCarb Res]]^2</f>
        <v>4.9577940816331968E-2</v>
      </c>
      <c r="DT166">
        <f>Regression!$S$29+(Regression!$S$28*Table83[[#This Row],[Fat ]])</f>
        <v>44.25940926523085</v>
      </c>
      <c r="DU166" s="2">
        <f>Table83[[#This Row],[Waist]]-Table7[[#This Row],[Waist v Fat]]</f>
        <v>0.24059073476914961</v>
      </c>
      <c r="DV166" s="2">
        <f>Table7[[#This Row],[WaistF Res]]^2</f>
        <v>5.7883901656759294E-2</v>
      </c>
      <c r="DW166">
        <f>Regression!$T$29+(Regression!$T$28*Table83[[#This Row],[Protein]])</f>
        <v>44.274189820852506</v>
      </c>
      <c r="DX166" s="2">
        <f>Table83[[#This Row],[Waist]]-Table7[[#This Row],[Waist v Protein]]</f>
        <v>0.22581017914749424</v>
      </c>
      <c r="DY166" s="2">
        <f>Table7[[#This Row],[WaistP Res]]^2</f>
        <v>5.0990237006623439E-2</v>
      </c>
      <c r="DZ166">
        <f>Regression!$U$29+(Regression!$U$28*Table83[[#This Row],[Fiber]])</f>
        <v>44.500529421349235</v>
      </c>
      <c r="EA166" s="2">
        <f>Table83[[#This Row],[Waist]]-Table7[[#This Row],[Waist v Fiber]]</f>
        <v>-5.2942134923483763E-4</v>
      </c>
      <c r="EB166" s="2">
        <f>Table7[[#This Row],[WaistFib Res]]^2</f>
        <v>2.8028696502563591E-7</v>
      </c>
      <c r="EC166">
        <f>Regression!$V$29+(Regression!$V$28*Table83[[#This Row],[Sugar]])</f>
        <v>44.319888464752601</v>
      </c>
      <c r="ED166" s="2">
        <f>Table83[[#This Row],[Waist]]-Table7[[#This Row],[Waist v Sugar]]</f>
        <v>0.18011153524739854</v>
      </c>
      <c r="EE166" s="2">
        <f>Table7[[#This Row],[WaistSugar Res]]^2</f>
        <v>3.2440165129174886E-2</v>
      </c>
      <c r="EF166">
        <f>Regression!$W$29+(Regression!$W$28*Table83[[#This Row],[Servings]])</f>
        <v>44.438578134368015</v>
      </c>
      <c r="EG166" s="2">
        <f>Table83[[#This Row],[Waist]]-Table7[[#This Row],[Waist v Servings]]</f>
        <v>6.1421865631984929E-2</v>
      </c>
      <c r="EH166" s="2">
        <f>Table7[[#This Row],[WaistServ Res]]^2</f>
        <v>3.7726455777136111E-3</v>
      </c>
      <c r="EI166">
        <f>Regression!$X$29+(Regression!$X$28*Table83[[#This Row],[Water]])</f>
        <v>44.33031459742935</v>
      </c>
      <c r="EJ166" s="2">
        <f>Table83[[#This Row],[Waist]]-Table7[[#This Row],[Waist v Water]]</f>
        <v>0.16968540257065001</v>
      </c>
      <c r="EK166" s="2">
        <f>Table7[[#This Row],[WaistWat Res]]^2</f>
        <v>2.8793135845563558E-2</v>
      </c>
      <c r="EL166">
        <f>Regression!$Y$29+(Regression!$Y$28*Table83[[#This Row],[Fat Calories]])</f>
        <v>44.246505187341768</v>
      </c>
      <c r="EM166" s="2">
        <f>Table83[[#This Row],[Waist]]-Table7[[#This Row],[Waist v Fat Calories]]</f>
        <v>0.25349481265823215</v>
      </c>
      <c r="EN166" s="2">
        <f>Table7[[#This Row],[WaistFatCal Res]]^2</f>
        <v>6.4259620044632218E-2</v>
      </c>
    </row>
    <row r="167" spans="1:144" x14ac:dyDescent="0.25">
      <c r="A167">
        <f>Regression!$B$10+(Regression!$B$9*Table83[[#This Row],[Waist]])</f>
        <v>258.23421455025004</v>
      </c>
      <c r="B167" s="2">
        <f>Table83[[#This Row],[Weight]]-Table7[[#This Row],[Weight v Waist]]</f>
        <v>-0.83421455025006708</v>
      </c>
      <c r="C167" s="2">
        <f>Table7[[#This Row],[Weight v Waist Res]]^2</f>
        <v>0.6959139158489217</v>
      </c>
      <c r="D167">
        <f>Regression!$C$10+(Regression!$C$9*Table83[[#This Row],[Neck]])</f>
        <v>253.29286486487842</v>
      </c>
      <c r="E167" s="2">
        <f>Table83[[#This Row],[Weight]]-Table7[[#This Row],[Weight v Neck]]</f>
        <v>4.1071351351215526</v>
      </c>
      <c r="F167" s="2">
        <f>Table7[[#This Row],[WN Res]]^2</f>
        <v>16.868559018149934</v>
      </c>
      <c r="G167">
        <f>Regression!$D$10+(Regression!$D$9*Table83[[#This Row],[Morning Body Temp]])</f>
        <v>255.83395054553034</v>
      </c>
      <c r="H167" s="2">
        <f>Table83[[#This Row],[Weight]]-Table7[[#This Row],[Weight v Morning Temp]]</f>
        <v>1.5660494544696348</v>
      </c>
      <c r="I167" s="2">
        <f>Table7[[#This Row],[WMT Res]]^2</f>
        <v>2.4525108938446407</v>
      </c>
      <c r="J167">
        <f>Regression!$E$10+(Regression!$E$9*Table83[[#This Row],[Morning Systolic Pressure]])</f>
        <v>255.46010425966242</v>
      </c>
      <c r="K167" s="2">
        <f>Table83[[#This Row],[Weight]]-Table7[[#This Row],[Weight v Morning Sys]]</f>
        <v>1.9398957403375618</v>
      </c>
      <c r="L167" s="2">
        <f>Table7[[#This Row],[WMS Res]]^2</f>
        <v>3.7631954833798171</v>
      </c>
      <c r="M167">
        <f>Regression!$F$10+(Regression!$F$9*Table83[[#This Row],[Morning Diastolic Pressure]])</f>
        <v>254.39263015393252</v>
      </c>
      <c r="N167" s="2">
        <f>Table83[[#This Row],[Weight]]-Table7[[#This Row],[Weight v Morning Dia]]</f>
        <v>3.007369846067462</v>
      </c>
      <c r="O167" s="2">
        <f>Table7[[#This Row],[WMD Res]]^2</f>
        <v>9.0442733910358299</v>
      </c>
      <c r="P167">
        <f>Regression!$G$10+(Regression!$G$9*Table83[[#This Row],[Morning Pulse]])</f>
        <v>255.12095627742721</v>
      </c>
      <c r="Q167" s="2">
        <f>Table83[[#This Row],[Weight]]-Table7[[#This Row],[Weight v Morning Pulse]]</f>
        <v>2.2790437225727658</v>
      </c>
      <c r="R167" s="2">
        <f>Table7[[#This Row],[WMP Res]]^2</f>
        <v>5.1940402893983295</v>
      </c>
      <c r="S167">
        <f>Regression!$H$10+(Regression!$H$9*Table83[[#This Row],[Night Body Temp]])</f>
        <v>254.74879010704339</v>
      </c>
      <c r="T167" s="2">
        <f>Table83[[#This Row],[Weight]]-Table7[[#This Row],[Weight v Night Temp]]</f>
        <v>2.6512098929565866</v>
      </c>
      <c r="U167" s="2">
        <f>Table7[[#This Row],[WNT Res]]^2</f>
        <v>7.0289138965108755</v>
      </c>
      <c r="V167">
        <f>Regression!$I$10+(Regression!$I$9*Table83[[#This Row],[Night Systolic Pressure]])</f>
        <v>257.39412290776505</v>
      </c>
      <c r="W167" s="2">
        <f>Table83[[#This Row],[Weight]]-Table7[[#This Row],[Weight v Night Sys]]</f>
        <v>5.8770922349253851E-3</v>
      </c>
      <c r="X167" s="2">
        <f>Table7[[#This Row],[WNS Res]]^2</f>
        <v>3.4540213137820257E-5</v>
      </c>
      <c r="Y167">
        <f>Regression!$J$10+(Regression!$J$9*Table83[[#This Row],[Night Diastolic Pressure]])</f>
        <v>255.54074092682322</v>
      </c>
      <c r="Z167" s="2">
        <f>Table83[[#This Row],[Weight]]-Table7[[#This Row],[Weight v Night Dia]]</f>
        <v>1.8592590731767586</v>
      </c>
      <c r="AA167" s="2">
        <f>Table7[[#This Row],[WND Res]]^2</f>
        <v>3.4568443011900998</v>
      </c>
      <c r="AB167">
        <f>Regression!$K$10+(Regression!$K$9*Table83[[#This Row],[Night Pulse]])</f>
        <v>255.01801186503107</v>
      </c>
      <c r="AC167" s="2">
        <f>Table83[[#This Row],[Weight]]-Table7[[#This Row],[Weight v Night Pulse]]</f>
        <v>2.3819881349689069</v>
      </c>
      <c r="AD167" s="2">
        <f>Table7[[#This Row],[WNP Res ]]^2</f>
        <v>5.6738674751326519</v>
      </c>
      <c r="AE167">
        <f>Regression!$L$10+(Regression!$L$9*Table83[[#This Row],[Sleep]])</f>
        <v>255.13702972738133</v>
      </c>
      <c r="AF167" s="2">
        <f>Table83[[#This Row],[Weight]]-Table7[[#This Row],[Weight v Sleep]]</f>
        <v>2.2629702726186451</v>
      </c>
      <c r="AG167" s="2">
        <f>Table7[[#This Row],[WS Res]]^2</f>
        <v>5.121034454755705</v>
      </c>
      <c r="AH167">
        <f>Regression!$M$10+(Regression!$M$9*Table83[[#This Row],[BMI]])</f>
        <v>257.39999999999486</v>
      </c>
      <c r="AI167" s="2">
        <f>Table83[[#This Row],[Weight]]-Table7[[#This Row],[Weight v BMI]]</f>
        <v>5.1159076974727213E-12</v>
      </c>
      <c r="AJ167" s="2">
        <f>Table7[[#This Row],[WBMI Res]]^2</f>
        <v>2.6172511569060641E-23</v>
      </c>
      <c r="AK167">
        <f>Regression!$N$10+(Regression!$N$9*Table83[[#This Row],[CBF]])</f>
        <v>259.27809165285294</v>
      </c>
      <c r="AL167" s="2">
        <f>Table83[[#This Row],[Weight]]-Table7[[#This Row],[Weight v CBF]]</f>
        <v>-1.8780916528529588</v>
      </c>
      <c r="AM167" s="2">
        <f>Table7[[#This Row],[WCBF Res]]^2</f>
        <v>3.5272282565159587</v>
      </c>
      <c r="AN167">
        <f>Regression!$O$10+(Regression!$O$9*Table83[[#This Row],[Gym]])</f>
        <v>254.72962962962998</v>
      </c>
      <c r="AO167" s="2">
        <f>Table83[[#This Row],[Weight]]-Table7[[#This Row],[Weight v Gym]]</f>
        <v>2.6703703703699944</v>
      </c>
      <c r="AP167" s="2">
        <f>Table7[[#This Row],[WG Res]]^2</f>
        <v>7.1308779149499806</v>
      </c>
      <c r="AQ167">
        <f>Regression!$P$10+(Regression!$P$9*Table83[[#This Row],[Cardio]])</f>
        <v>254.19242424242461</v>
      </c>
      <c r="AR167" s="2">
        <f>Table83[[#This Row],[Weight]]-Table7[[#This Row],[Weight v Cardio]]</f>
        <v>3.2075757575753698</v>
      </c>
      <c r="AS167" s="2">
        <f>Table7[[#This Row],[WC Res]]^2</f>
        <v>10.288542240585208</v>
      </c>
      <c r="AT167">
        <f>Regression!$Q$10+(Regression!$Q$9*Table83[[#This Row],[Calories]])</f>
        <v>255.41763969080722</v>
      </c>
      <c r="AU167" s="2">
        <f>Table83[[#This Row],[Weight]]-Table7[[#This Row],[Weight v Calories]]</f>
        <v>1.9823603091927566</v>
      </c>
      <c r="AV167" s="2">
        <f>Table7[[#This Row],[WCAL Res]]^2</f>
        <v>3.9297523954628018</v>
      </c>
      <c r="AW167">
        <f>Regression!$R$10+(Regression!$R$9*Table83[[#This Row],[Carbs]])</f>
        <v>254.98995735771928</v>
      </c>
      <c r="AX167" s="2">
        <f>Table83[[#This Row],[Weight]]-Table7[[#This Row],[Weight v Carbs]]</f>
        <v>2.4100426422807004</v>
      </c>
      <c r="AY167" s="2">
        <f>Table7[[#This Row],[Wcarb Res]]^2</f>
        <v>5.8083055376113402</v>
      </c>
      <c r="AZ167">
        <f>Regression!$S$10+(Regression!$S$9*Table83[[#This Row],[Fat ]])</f>
        <v>254.8922442961192</v>
      </c>
      <c r="BA167" s="2">
        <f>Table83[[#This Row],[Weight]]-Table7[[#This Row],[Weight v Fat]]</f>
        <v>2.5077557038807754</v>
      </c>
      <c r="BB167" s="2">
        <f>Table7[[#This Row],[WF Res]]^2</f>
        <v>6.2888386703465633</v>
      </c>
      <c r="BC167">
        <f>Regression!$T$10+(Regression!$T$9*Table83[[#This Row],[Protein]])</f>
        <v>256.06453729387471</v>
      </c>
      <c r="BD167" s="2">
        <f>Table83[[#This Row],[Weight]]-Table7[[#This Row],[Weight v Protein]]</f>
        <v>1.33546270612527</v>
      </c>
      <c r="BE167" s="2">
        <f>Table7[[#This Row],[WP Res]]^2</f>
        <v>1.7834606394514292</v>
      </c>
      <c r="BF167">
        <f>Regression!$U$10+(Regression!$U$9*Table83[[#This Row],[Fiber]])</f>
        <v>255.2607615183511</v>
      </c>
      <c r="BG167" s="2">
        <f>Table83[[#This Row],[Weight]]-Table7[[#This Row],[Weight v Fiber]]</f>
        <v>2.1392384816488743</v>
      </c>
      <c r="BH167" s="2">
        <f>Table7[[#This Row],[Wfib Res]]^2</f>
        <v>4.5763412813673812</v>
      </c>
      <c r="BI167">
        <f>Regression!$V$10+(Regression!$V$9*Table83[[#This Row],[Sugar]])</f>
        <v>254.52467857316489</v>
      </c>
      <c r="BJ167" s="2">
        <f>Table83[[#This Row],[Weight]]-Table7[[#This Row],[Weight v Sugar]]</f>
        <v>2.875321426835086</v>
      </c>
      <c r="BK167" s="2">
        <f>Table7[[#This Row],[Wsugar Res]]^2</f>
        <v>8.2674733076169549</v>
      </c>
      <c r="BL167">
        <f>Regression!$W$10+(Regression!$W$9*Table83[[#This Row],[Servings]])</f>
        <v>254.40539024754392</v>
      </c>
      <c r="BM167" s="2">
        <f>Table83[[#This Row],[Weight]]-Table7[[#This Row],[Weight v Servings]]</f>
        <v>2.9946097524560571</v>
      </c>
      <c r="BN167" s="2">
        <f>Table7[[#This Row],[Wserv Res]]^2</f>
        <v>8.9676875695049283</v>
      </c>
      <c r="BO167">
        <f>Regression!$X$10+(Regression!$X$9*Table83[[#This Row],[Water]])</f>
        <v>255.08485800195595</v>
      </c>
      <c r="BP167" s="2">
        <f>Table83[[#This Row],[Weight]]-Table7[[#This Row],[Weight v Water]]</f>
        <v>2.3151419980440266</v>
      </c>
      <c r="BQ167" s="2">
        <f>Table7[[#This Row],[Wwater Res]]^2</f>
        <v>5.3598824711072881</v>
      </c>
      <c r="BR167">
        <f>Regression!$Y$10+(Regression!$Y$9*Table83[[#This Row],[Fat Calories]])</f>
        <v>254.87306744486631</v>
      </c>
      <c r="BS167" s="2">
        <f>Table83[[#This Row],[Weight]]-Table7[[#This Row],[Weight v Fat Calories]]</f>
        <v>2.5269325551336692</v>
      </c>
      <c r="BT167" s="2">
        <f>Table7[[#This Row],[WFC Res]]^2</f>
        <v>6.385388138194374</v>
      </c>
      <c r="BU167">
        <f>Regression!$B$29+(Regression!$B$28*Table83[[#This Row],[Weight]])</f>
        <v>44.764893630346599</v>
      </c>
      <c r="BV167" s="2">
        <f>Table83[[#This Row],[Waist]]-Table7[[#This Row],[Waist v Weight]]</f>
        <v>0.23510636965340126</v>
      </c>
      <c r="BW167" s="2">
        <f>Table7[[#This Row],[WaistW Res]]^2</f>
        <v>5.527500505160176E-2</v>
      </c>
      <c r="BX167">
        <f>Regression!$C$29+(Regression!$C$28*Table83[[#This Row],[Neck]])</f>
        <v>44.175585585585594</v>
      </c>
      <c r="BY167" s="2">
        <f>Table83[[#This Row],[Waist]]-Table7[[#This Row],[Waist v Neck]]</f>
        <v>0.82441441441440588</v>
      </c>
      <c r="BZ167" s="2">
        <f>Table7[[#This Row],[WaistN Res]]^2</f>
        <v>0.67965912669424777</v>
      </c>
      <c r="CA167">
        <f>Regression!$D$29+(Regression!$D$28*Table83[[#This Row],[Morning Body Temp]])</f>
        <v>44.649066062515985</v>
      </c>
      <c r="CB167" s="2">
        <f>Table83[[#This Row],[Waist]]-Table7[[#This Row],[Waist v Morning Temp]]</f>
        <v>0.35093393748401525</v>
      </c>
      <c r="CC167" s="2">
        <f>Table7[[#This Row],[WaistMT Res]]^2</f>
        <v>0.12315462847803473</v>
      </c>
      <c r="CD167">
        <f>Regression!$E$29+(Regression!$E$28*Table83[[#This Row],[Morning Systolic Pressure]])</f>
        <v>44.534607969333621</v>
      </c>
      <c r="CE167" s="2">
        <f>Table83[[#This Row],[Waist]]-Table7[[#This Row],[Waist v Morning Sys]]</f>
        <v>0.46539203066637924</v>
      </c>
      <c r="CF167" s="2">
        <f>Table7[[#This Row],[WaistMS Res]]^2</f>
        <v>0.21658974220777608</v>
      </c>
      <c r="CG167">
        <f>Regression!$F$29+(Regression!$F$28*Table83[[#This Row],[Morning Diastolic Pressure]])</f>
        <v>44.413367323462282</v>
      </c>
      <c r="CH167" s="2">
        <f>Table83[[#This Row],[Waist]]-Table7[[#This Row],[Waist v Morning Dia]]</f>
        <v>0.58663267653771811</v>
      </c>
      <c r="CI167" s="2">
        <f>Table7[[#This Row],[WaistMD Res]]^2</f>
        <v>0.34413789718180698</v>
      </c>
      <c r="CJ167">
        <f>Regression!$G$29+(Regression!$G$28*Table83[[#This Row],[Morning Pulse]])</f>
        <v>44.456255205227038</v>
      </c>
      <c r="CK167" s="2">
        <f>Table83[[#This Row],[Waist]]-Table7[[#This Row],[Waist v Morning Pulse]]</f>
        <v>0.54374479477296234</v>
      </c>
      <c r="CL167" s="2">
        <f>Table7[[#This Row],[WaistMP Res]]^2</f>
        <v>0.29565840184269093</v>
      </c>
      <c r="CM167">
        <f>Regression!$H$29+(Regression!$H$28*Table83[[#This Row],[Night Body Temp]])</f>
        <v>44.424663183244519</v>
      </c>
      <c r="CN167" s="2">
        <f>Table83[[#This Row],[Waist]]-Table7[[#This Row],[Waist v Night Temp]]</f>
        <v>0.5753368167554811</v>
      </c>
      <c r="CO167" s="2">
        <f>Table7[[#This Row],[WaistNT Res]]^2</f>
        <v>0.33101245271433005</v>
      </c>
      <c r="CP167">
        <f>Regression!$I$29+(Regression!$I$28*Table83[[#This Row],[Night Systolic Pressure]])</f>
        <v>44.776381830468708</v>
      </c>
      <c r="CQ167" s="2">
        <f>Table83[[#This Row],[Waist]]-Table7[[#This Row],[Waist v  Night Sys]]</f>
        <v>0.22361816953129221</v>
      </c>
      <c r="CR167" s="2">
        <f>Table7[[#This Row],[WaistNS Res]]^2</f>
        <v>5.0005085744525744E-2</v>
      </c>
      <c r="CS167">
        <f>Regression!$J$29+(Regression!$J$28*Table83[[#This Row],[Night Diastolic Pressure]])</f>
        <v>44.631771463228155</v>
      </c>
      <c r="CT167" s="2">
        <f>Table83[[#This Row],[Waist]]-Table7[[#This Row],[Waist v Night Dia]]</f>
        <v>0.36822853677184497</v>
      </c>
      <c r="CU167" s="2">
        <f>Table7[[#This Row],[WaistND Res]]^2</f>
        <v>0.13559225529313398</v>
      </c>
      <c r="CV167">
        <f>Regression!$K$29+(Regression!$K$28*Table83[[#This Row],[Night Pulse]])</f>
        <v>44.462565118876235</v>
      </c>
      <c r="CW167" s="2">
        <f>Table83[[#This Row],[Waist]]-Table7[[#This Row],[Waist v Night Pulse]]</f>
        <v>0.53743488112376525</v>
      </c>
      <c r="CX167" s="2">
        <f>Table7[[#This Row],[WaistNP Res]]^2</f>
        <v>0.28883625144851571</v>
      </c>
      <c r="CY167">
        <f>Regression!$L$29+(Regression!$L$28*Table83[[#This Row],[Sleep]])</f>
        <v>44.456891852858099</v>
      </c>
      <c r="CZ167" s="2">
        <f>Table83[[#This Row],[Waist]]-Table7[[#This Row],[Waist v  Sleep]]</f>
        <v>0.54310814714190059</v>
      </c>
      <c r="DA167" s="2">
        <f>Table7[[#This Row],[WaistS Res]]^2</f>
        <v>0.29496645949190836</v>
      </c>
      <c r="DB167">
        <f>Regression!$M$29+(Regression!$M$28*Table83[[#This Row],[BMI]])</f>
        <v>44.764893630345611</v>
      </c>
      <c r="DC167" s="2">
        <f>Table83[[#This Row],[Waist]]-Table7[[#This Row],[Waist v BMI]]</f>
        <v>0.23510636965438891</v>
      </c>
      <c r="DD167" s="2">
        <f>Table7[[#This Row],[WaistBMI Res]]^2</f>
        <v>5.5275005052066166E-2</v>
      </c>
      <c r="DE167">
        <f>Regression!$N$29+(Regression!$N$28*Table83[[#This Row],[CBF]])</f>
        <v>45.203183363709613</v>
      </c>
      <c r="DF167" s="2">
        <f>Table83[[#This Row],[Waist]]-Table7[[#This Row],[Waist v  CBF]]</f>
        <v>-0.20318336370961276</v>
      </c>
      <c r="DG167" s="2">
        <f>Table7[[#This Row],[WaistCBF Res]]^2</f>
        <v>4.1283479288352784E-2</v>
      </c>
      <c r="DH167">
        <f>Regression!$O$29+(Regression!$O$28*Table83[[#This Row],[Gym]])</f>
        <v>44.347222222222221</v>
      </c>
      <c r="DI167" s="2">
        <f>Table83[[#This Row],[Waist]]-Table7[[#This Row],[Waist v  Gym]]</f>
        <v>0.65277777777777857</v>
      </c>
      <c r="DJ167" s="2">
        <f>Table7[[#This Row],[WaistGYM Res]]^2</f>
        <v>0.42611882716049487</v>
      </c>
      <c r="DK167">
        <f>Regression!$P$29+(Regression!$P$28*Table83[[#This Row],[Cardio]])</f>
        <v>44.291666666666664</v>
      </c>
      <c r="DL167" s="2">
        <f>Table83[[#This Row],[Waist]]-Table7[[#This Row],[Waist v Cardio]]</f>
        <v>0.7083333333333357</v>
      </c>
      <c r="DM167" s="2">
        <f>Table7[[#This Row],[WaistC Res]]^2</f>
        <v>0.50173611111111449</v>
      </c>
      <c r="DN167">
        <f>Regression!$Q$29+(Regression!$Q$28*Table83[[#This Row],[Calories]])</f>
        <v>44.521526307590399</v>
      </c>
      <c r="DO167" s="2">
        <f>Table83[[#This Row],[Waist]]-Table7[[#This Row],[Waist v Calories]]</f>
        <v>0.47847369240960091</v>
      </c>
      <c r="DP167" s="2">
        <f>Table7[[#This Row],[WaistCal Res]]^2</f>
        <v>0.22893707432807739</v>
      </c>
      <c r="DQ167">
        <f>Regression!$R$29+(Regression!$R$28*Table83[[#This Row],[Carbs]])</f>
        <v>44.427497498498639</v>
      </c>
      <c r="DR167" s="2">
        <f>Table83[[#This Row],[Waist]]-Table7[[#This Row],[Waist v Carbs]]</f>
        <v>0.57250250150136139</v>
      </c>
      <c r="DS167" s="2">
        <f>Table7[[#This Row],[WaistCarb Res]]^2</f>
        <v>0.32775911422531628</v>
      </c>
      <c r="DT167">
        <f>Regression!$S$29+(Regression!$S$28*Table83[[#This Row],[Fat ]])</f>
        <v>44.385434592834564</v>
      </c>
      <c r="DU167" s="2">
        <f>Table83[[#This Row],[Waist]]-Table7[[#This Row],[Waist v Fat]]</f>
        <v>0.61456540716543628</v>
      </c>
      <c r="DV167" s="2">
        <f>Table7[[#This Row],[WaistF Res]]^2</f>
        <v>0.37769063968441846</v>
      </c>
      <c r="DW167">
        <f>Regression!$T$29+(Regression!$T$28*Table83[[#This Row],[Protein]])</f>
        <v>44.627332320740322</v>
      </c>
      <c r="DX167" s="2">
        <f>Table83[[#This Row],[Waist]]-Table7[[#This Row],[Waist v Protein]]</f>
        <v>0.3726676792596777</v>
      </c>
      <c r="DY167" s="2">
        <f>Table7[[#This Row],[WaistP Res]]^2</f>
        <v>0.13888119916479402</v>
      </c>
      <c r="DZ167">
        <f>Regression!$U$29+(Regression!$U$28*Table83[[#This Row],[Fiber]])</f>
        <v>44.509766282092059</v>
      </c>
      <c r="EA167" s="2">
        <f>Table83[[#This Row],[Waist]]-Table7[[#This Row],[Waist v Fiber]]</f>
        <v>0.49023371790794101</v>
      </c>
      <c r="EB167" s="2">
        <f>Table7[[#This Row],[WaistFib Res]]^2</f>
        <v>0.24032909817384268</v>
      </c>
      <c r="EC167">
        <f>Regression!$V$29+(Regression!$V$28*Table83[[#This Row],[Sugar]])</f>
        <v>44.347487213927103</v>
      </c>
      <c r="ED167" s="2">
        <f>Table83[[#This Row],[Waist]]-Table7[[#This Row],[Waist v Sugar]]</f>
        <v>0.6525127860728972</v>
      </c>
      <c r="EE167" s="2">
        <f>Table7[[#This Row],[WaistSugar Res]]^2</f>
        <v>0.42577293598861449</v>
      </c>
      <c r="EF167">
        <f>Regression!$W$29+(Regression!$W$28*Table83[[#This Row],[Servings]])</f>
        <v>44.345258445403978</v>
      </c>
      <c r="EG167" s="2">
        <f>Table83[[#This Row],[Waist]]-Table7[[#This Row],[Waist v Servings]]</f>
        <v>0.65474155459602201</v>
      </c>
      <c r="EH167" s="2">
        <f>Table7[[#This Row],[WaistServ Res]]^2</f>
        <v>0.42868650331481567</v>
      </c>
      <c r="EI167">
        <f>Regression!$X$29+(Regression!$X$28*Table83[[#This Row],[Water]])</f>
        <v>44.414140413546278</v>
      </c>
      <c r="EJ167" s="2">
        <f>Table83[[#This Row],[Waist]]-Table7[[#This Row],[Waist v Water]]</f>
        <v>0.58585958645372216</v>
      </c>
      <c r="EK167" s="2">
        <f>Table7[[#This Row],[WaistWat Res]]^2</f>
        <v>0.34323145503972635</v>
      </c>
      <c r="EL167">
        <f>Regression!$Y$29+(Regression!$Y$28*Table83[[#This Row],[Fat Calories]])</f>
        <v>44.379947716136698</v>
      </c>
      <c r="EM167" s="2">
        <f>Table83[[#This Row],[Waist]]-Table7[[#This Row],[Waist v Fat Calories]]</f>
        <v>0.62005228386330202</v>
      </c>
      <c r="EN167" s="2">
        <f>Table7[[#This Row],[WaistFatCal Res]]^2</f>
        <v>0.38446483472409687</v>
      </c>
    </row>
    <row r="168" spans="1:144" x14ac:dyDescent="0.25">
      <c r="A168">
        <f>Regression!$B$10+(Regression!$B$9*Table83[[#This Row],[Waist]])</f>
        <v>258.23421455025004</v>
      </c>
      <c r="B168" s="2">
        <f>Table83[[#This Row],[Weight]]-Table7[[#This Row],[Weight v Waist]]</f>
        <v>-2.434214550250033</v>
      </c>
      <c r="C168" s="2">
        <f>Table7[[#This Row],[Weight v Waist Res]]^2</f>
        <v>5.9254004766489698</v>
      </c>
      <c r="D168">
        <f>Regression!$C$10+(Regression!$C$9*Table83[[#This Row],[Neck]])</f>
        <v>253.29286486487842</v>
      </c>
      <c r="E168" s="2">
        <f>Table83[[#This Row],[Weight]]-Table7[[#This Row],[Weight v Neck]]</f>
        <v>2.5071351351215867</v>
      </c>
      <c r="F168" s="2">
        <f>Table7[[#This Row],[WN Res]]^2</f>
        <v>6.2857265857611369</v>
      </c>
      <c r="G168">
        <f>Regression!$D$10+(Regression!$D$9*Table83[[#This Row],[Morning Body Temp]])</f>
        <v>255.05956644908434</v>
      </c>
      <c r="H168" s="2">
        <f>Table83[[#This Row],[Weight]]-Table7[[#This Row],[Weight v Morning Temp]]</f>
        <v>0.74043355091566809</v>
      </c>
      <c r="I168" s="2">
        <f>Table7[[#This Row],[WMT Res]]^2</f>
        <v>0.54824184332158521</v>
      </c>
      <c r="J168">
        <f>Regression!$E$10+(Regression!$E$9*Table83[[#This Row],[Morning Systolic Pressure]])</f>
        <v>255.14456383261873</v>
      </c>
      <c r="K168" s="2">
        <f>Table83[[#This Row],[Weight]]-Table7[[#This Row],[Weight v Morning Sys]]</f>
        <v>0.65543616738128208</v>
      </c>
      <c r="L168" s="2">
        <f>Table7[[#This Row],[WMS Res]]^2</f>
        <v>0.42959656951146402</v>
      </c>
      <c r="M168">
        <f>Regression!$F$10+(Regression!$F$9*Table83[[#This Row],[Morning Diastolic Pressure]])</f>
        <v>255.00069564820177</v>
      </c>
      <c r="N168" s="2">
        <f>Table83[[#This Row],[Weight]]-Table7[[#This Row],[Weight v Morning Dia]]</f>
        <v>0.79930435179824144</v>
      </c>
      <c r="O168" s="2">
        <f>Table7[[#This Row],[WMD Res]]^2</f>
        <v>0.63888744680360687</v>
      </c>
      <c r="P168">
        <f>Regression!$G$10+(Regression!$G$9*Table83[[#This Row],[Morning Pulse]])</f>
        <v>255.14288982651351</v>
      </c>
      <c r="Q168" s="2">
        <f>Table83[[#This Row],[Weight]]-Table7[[#This Row],[Weight v Morning Pulse]]</f>
        <v>0.65711017348650103</v>
      </c>
      <c r="R168" s="2">
        <f>Table7[[#This Row],[WMP Res]]^2</f>
        <v>0.43179378009945946</v>
      </c>
      <c r="S168">
        <f>Regression!$H$10+(Regression!$H$9*Table83[[#This Row],[Night Body Temp]])</f>
        <v>256.49463180523202</v>
      </c>
      <c r="T168" s="2">
        <f>Table83[[#This Row],[Weight]]-Table7[[#This Row],[Weight v Night Temp]]</f>
        <v>-0.69463180523200663</v>
      </c>
      <c r="U168" s="2">
        <f>Table7[[#This Row],[WNT Res]]^2</f>
        <v>0.4825133448398764</v>
      </c>
      <c r="V168">
        <f>Regression!$I$10+(Regression!$I$9*Table83[[#This Row],[Night Systolic Pressure]])</f>
        <v>254.10948821885404</v>
      </c>
      <c r="W168" s="2">
        <f>Table83[[#This Row],[Weight]]-Table7[[#This Row],[Weight v Night Sys]]</f>
        <v>1.6905117811459718</v>
      </c>
      <c r="X168" s="2">
        <f>Table7[[#This Row],[WNS Res]]^2</f>
        <v>2.8578300821933258</v>
      </c>
      <c r="Y168">
        <f>Regression!$J$10+(Regression!$J$9*Table83[[#This Row],[Night Diastolic Pressure]])</f>
        <v>254.97001876899779</v>
      </c>
      <c r="Z168" s="2">
        <f>Table83[[#This Row],[Weight]]-Table7[[#This Row],[Weight v Night Dia]]</f>
        <v>0.82998123100222188</v>
      </c>
      <c r="AA168" s="2">
        <f>Table7[[#This Row],[WND Res]]^2</f>
        <v>0.68886884381596358</v>
      </c>
      <c r="AB168">
        <f>Regression!$K$10+(Regression!$K$9*Table83[[#This Row],[Night Pulse]])</f>
        <v>255.23300518368814</v>
      </c>
      <c r="AC168" s="2">
        <f>Table83[[#This Row],[Weight]]-Table7[[#This Row],[Weight v Night Pulse]]</f>
        <v>0.56699481631187609</v>
      </c>
      <c r="AD168" s="2">
        <f>Table7[[#This Row],[WNP Res ]]^2</f>
        <v>0.32148312172453813</v>
      </c>
      <c r="AE168">
        <f>Regression!$L$10+(Regression!$L$9*Table83[[#This Row],[Sleep]])</f>
        <v>255.21589827322478</v>
      </c>
      <c r="AF168" s="2">
        <f>Table83[[#This Row],[Weight]]-Table7[[#This Row],[Weight v Sleep]]</f>
        <v>0.58410172677523065</v>
      </c>
      <c r="AG168" s="2">
        <f>Table7[[#This Row],[WS Res]]^2</f>
        <v>0.3411748272218062</v>
      </c>
      <c r="AH168">
        <f>Regression!$M$10+(Regression!$M$9*Table83[[#This Row],[BMI]])</f>
        <v>255.79999999999848</v>
      </c>
      <c r="AI168" s="2">
        <f>Table83[[#This Row],[Weight]]-Table7[[#This Row],[Weight v BMI]]</f>
        <v>1.5347723092418164E-12</v>
      </c>
      <c r="AJ168" s="2">
        <f>Table7[[#This Row],[WBMI Res]]^2</f>
        <v>2.3555260412154577E-24</v>
      </c>
      <c r="AK168">
        <f>Regression!$N$10+(Regression!$N$9*Table83[[#This Row],[CBF]])</f>
        <v>259.27809165285294</v>
      </c>
      <c r="AL168" s="2">
        <f>Table83[[#This Row],[Weight]]-Table7[[#This Row],[Weight v CBF]]</f>
        <v>-3.4780916528529247</v>
      </c>
      <c r="AM168" s="2">
        <f>Table7[[#This Row],[WCBF Res]]^2</f>
        <v>12.097121545645189</v>
      </c>
      <c r="AN168">
        <f>Regression!$O$10+(Regression!$O$9*Table83[[#This Row],[Gym]])</f>
        <v>254.72962962962998</v>
      </c>
      <c r="AO168" s="2">
        <f>Table83[[#This Row],[Weight]]-Table7[[#This Row],[Weight v Gym]]</f>
        <v>1.0703703703700285</v>
      </c>
      <c r="AP168" s="2">
        <f>Table7[[#This Row],[WG Res]]^2</f>
        <v>1.1456927297660719</v>
      </c>
      <c r="AQ168">
        <f>Regression!$P$10+(Regression!$P$9*Table83[[#This Row],[Cardio]])</f>
        <v>254.19242424242461</v>
      </c>
      <c r="AR168" s="2">
        <f>Table83[[#This Row],[Weight]]-Table7[[#This Row],[Weight v Cardio]]</f>
        <v>1.6075757575754039</v>
      </c>
      <c r="AS168" s="2">
        <f>Table7[[#This Row],[WC Res]]^2</f>
        <v>2.5842998163441337</v>
      </c>
      <c r="AT168">
        <f>Regression!$Q$10+(Regression!$Q$9*Table83[[#This Row],[Calories]])</f>
        <v>255.46979736573908</v>
      </c>
      <c r="AU168" s="2">
        <f>Table83[[#This Row],[Weight]]-Table7[[#This Row],[Weight v Calories]]</f>
        <v>0.33020263426092811</v>
      </c>
      <c r="AV168" s="2">
        <f>Table7[[#This Row],[WCAL Res]]^2</f>
        <v>0.10903377967285625</v>
      </c>
      <c r="AW168">
        <f>Regression!$R$10+(Regression!$R$9*Table83[[#This Row],[Carbs]])</f>
        <v>255.04705698599537</v>
      </c>
      <c r="AX168" s="2">
        <f>Table83[[#This Row],[Weight]]-Table7[[#This Row],[Weight v Carbs]]</f>
        <v>0.75294301400464292</v>
      </c>
      <c r="AY168" s="2">
        <f>Table7[[#This Row],[Wcarb Res]]^2</f>
        <v>0.56692318233839589</v>
      </c>
      <c r="AZ168">
        <f>Regression!$S$10+(Regression!$S$9*Table83[[#This Row],[Fat ]])</f>
        <v>255.5861423183222</v>
      </c>
      <c r="BA168" s="2">
        <f>Table83[[#This Row],[Weight]]-Table7[[#This Row],[Weight v Fat]]</f>
        <v>0.21385768167780839</v>
      </c>
      <c r="BB168" s="2">
        <f>Table7[[#This Row],[WF Res]]^2</f>
        <v>4.5735108012606822E-2</v>
      </c>
      <c r="BC168">
        <f>Regression!$T$10+(Regression!$T$9*Table83[[#This Row],[Protein]])</f>
        <v>255.81755559086764</v>
      </c>
      <c r="BD168" s="2">
        <f>Table83[[#This Row],[Weight]]-Table7[[#This Row],[Weight v Protein]]</f>
        <v>-1.7555590867630144E-2</v>
      </c>
      <c r="BE168" s="2">
        <f>Table7[[#This Row],[WP Res]]^2</f>
        <v>3.0819877071161891E-4</v>
      </c>
      <c r="BF168">
        <f>Regression!$U$10+(Regression!$U$9*Table83[[#This Row],[Fiber]])</f>
        <v>255.20384703203675</v>
      </c>
      <c r="BG168" s="2">
        <f>Table83[[#This Row],[Weight]]-Table7[[#This Row],[Weight v Fiber]]</f>
        <v>0.59615296796326334</v>
      </c>
      <c r="BH168" s="2">
        <f>Table7[[#This Row],[Wfib Res]]^2</f>
        <v>0.35539836121140767</v>
      </c>
      <c r="BI168">
        <f>Regression!$V$10+(Regression!$V$9*Table83[[#This Row],[Sugar]])</f>
        <v>254.32001533071789</v>
      </c>
      <c r="BJ168" s="2">
        <f>Table83[[#This Row],[Weight]]-Table7[[#This Row],[Weight v Sugar]]</f>
        <v>1.4799846692821177</v>
      </c>
      <c r="BK168" s="2">
        <f>Table7[[#This Row],[Wsugar Res]]^2</f>
        <v>2.1903546213100995</v>
      </c>
      <c r="BL168">
        <f>Regression!$W$10+(Regression!$W$9*Table83[[#This Row],[Servings]])</f>
        <v>253.33738697242558</v>
      </c>
      <c r="BM168" s="2">
        <f>Table83[[#This Row],[Weight]]-Table7[[#This Row],[Weight v Servings]]</f>
        <v>2.4626130275744345</v>
      </c>
      <c r="BN168" s="2">
        <f>Table7[[#This Row],[Wserv Res]]^2</f>
        <v>6.0644629235793222</v>
      </c>
      <c r="BO168">
        <f>Regression!$X$10+(Regression!$X$9*Table83[[#This Row],[Water]])</f>
        <v>255.10626599365665</v>
      </c>
      <c r="BP168" s="2">
        <f>Table83[[#This Row],[Weight]]-Table7[[#This Row],[Weight v Water]]</f>
        <v>0.69373400634336235</v>
      </c>
      <c r="BQ168" s="2">
        <f>Table7[[#This Row],[Wwater Res]]^2</f>
        <v>0.48126687155721232</v>
      </c>
      <c r="BR168">
        <f>Regression!$Y$10+(Regression!$Y$9*Table83[[#This Row],[Fat Calories]])</f>
        <v>255.61154950348737</v>
      </c>
      <c r="BS168" s="2">
        <f>Table83[[#This Row],[Weight]]-Table7[[#This Row],[Weight v Fat Calories]]</f>
        <v>0.18845049651264389</v>
      </c>
      <c r="BT168" s="2">
        <f>Table7[[#This Row],[WFC Res]]^2</f>
        <v>3.5513589635862007E-2</v>
      </c>
      <c r="BU168">
        <f>Regression!$B$29+(Regression!$B$28*Table83[[#This Row],[Weight]])</f>
        <v>44.546873613434634</v>
      </c>
      <c r="BV168" s="2">
        <f>Table83[[#This Row],[Waist]]-Table7[[#This Row],[Waist v Weight]]</f>
        <v>0.45312638656536564</v>
      </c>
      <c r="BW168" s="2">
        <f>Table7[[#This Row],[WaistW Res]]^2</f>
        <v>0.20532352220178518</v>
      </c>
      <c r="BX168">
        <f>Regression!$C$29+(Regression!$C$28*Table83[[#This Row],[Neck]])</f>
        <v>44.175585585585594</v>
      </c>
      <c r="BY168" s="2">
        <f>Table83[[#This Row],[Waist]]-Table7[[#This Row],[Waist v Neck]]</f>
        <v>0.82441441441440588</v>
      </c>
      <c r="BZ168" s="2">
        <f>Table7[[#This Row],[WaistN Res]]^2</f>
        <v>0.67965912669424777</v>
      </c>
      <c r="CA168">
        <f>Regression!$D$29+(Regression!$D$28*Table83[[#This Row],[Morning Body Temp]])</f>
        <v>44.438451117581323</v>
      </c>
      <c r="CB168" s="2">
        <f>Table83[[#This Row],[Waist]]-Table7[[#This Row],[Waist v Morning Temp]]</f>
        <v>0.56154888241867695</v>
      </c>
      <c r="CC168" s="2">
        <f>Table7[[#This Row],[WaistMT Res]]^2</f>
        <v>0.31533714734566509</v>
      </c>
      <c r="CD168">
        <f>Regression!$E$29+(Regression!$E$28*Table83[[#This Row],[Morning Systolic Pressure]])</f>
        <v>44.460475132636631</v>
      </c>
      <c r="CE168" s="2">
        <f>Table83[[#This Row],[Waist]]-Table7[[#This Row],[Waist v Morning Sys]]</f>
        <v>0.5395248673633688</v>
      </c>
      <c r="CF168" s="2">
        <f>Table7[[#This Row],[WaistMS Res]]^2</f>
        <v>0.29108708250346071</v>
      </c>
      <c r="CG168">
        <f>Regression!$F$29+(Regression!$F$28*Table83[[#This Row],[Morning Diastolic Pressure]])</f>
        <v>44.447181047475404</v>
      </c>
      <c r="CH168" s="2">
        <f>Table83[[#This Row],[Waist]]-Table7[[#This Row],[Waist v Morning Dia]]</f>
        <v>0.55281895252459634</v>
      </c>
      <c r="CI168" s="2">
        <f>Table7[[#This Row],[WaistMD Res]]^2</f>
        <v>0.30560879427039189</v>
      </c>
      <c r="CJ168">
        <f>Regression!$G$29+(Regression!$G$28*Table83[[#This Row],[Morning Pulse]])</f>
        <v>44.466329236110404</v>
      </c>
      <c r="CK168" s="2">
        <f>Table83[[#This Row],[Waist]]-Table7[[#This Row],[Waist v Morning Pulse]]</f>
        <v>0.53367076388959589</v>
      </c>
      <c r="CL168" s="2">
        <f>Table7[[#This Row],[WaistMP Res]]^2</f>
        <v>0.28480448423050481</v>
      </c>
      <c r="CM168">
        <f>Regression!$H$29+(Regression!$H$28*Table83[[#This Row],[Night Body Temp]])</f>
        <v>44.56231088792758</v>
      </c>
      <c r="CN168" s="2">
        <f>Table83[[#This Row],[Waist]]-Table7[[#This Row],[Waist v Night Temp]]</f>
        <v>0.43768911207241956</v>
      </c>
      <c r="CO168" s="2">
        <f>Table7[[#This Row],[WaistNT Res]]^2</f>
        <v>0.19157175882674304</v>
      </c>
      <c r="CP168">
        <f>Regression!$I$29+(Regression!$I$28*Table83[[#This Row],[Night Systolic Pressure]])</f>
        <v>44.311098172049078</v>
      </c>
      <c r="CQ168" s="2">
        <f>Table83[[#This Row],[Waist]]-Table7[[#This Row],[Waist v  Night Sys]]</f>
        <v>0.68890182795092159</v>
      </c>
      <c r="CR168" s="2">
        <f>Table7[[#This Row],[WaistNS Res]]^2</f>
        <v>0.47458572855412118</v>
      </c>
      <c r="CS168">
        <f>Regression!$J$29+(Regression!$J$28*Table83[[#This Row],[Night Diastolic Pressure]])</f>
        <v>44.392820230323963</v>
      </c>
      <c r="CT168" s="2">
        <f>Table83[[#This Row],[Waist]]-Table7[[#This Row],[Waist v Night Dia]]</f>
        <v>0.60717976967603704</v>
      </c>
      <c r="CU168" s="2">
        <f>Table7[[#This Row],[WaistND Res]]^2</f>
        <v>0.36866727270384542</v>
      </c>
      <c r="CV168">
        <f>Regression!$K$29+(Regression!$K$28*Table83[[#This Row],[Night Pulse]])</f>
        <v>44.442567894699479</v>
      </c>
      <c r="CW168" s="2">
        <f>Table83[[#This Row],[Waist]]-Table7[[#This Row],[Waist v Night Pulse]]</f>
        <v>0.55743210530052067</v>
      </c>
      <c r="CX168" s="2">
        <f>Table7[[#This Row],[WaistNP Res]]^2</f>
        <v>0.31073055201977079</v>
      </c>
      <c r="CY168">
        <f>Regression!$L$29+(Regression!$L$28*Table83[[#This Row],[Sleep]])</f>
        <v>44.468916594857014</v>
      </c>
      <c r="CZ168" s="2">
        <f>Table83[[#This Row],[Waist]]-Table7[[#This Row],[Waist v  Sleep]]</f>
        <v>0.53108340514298646</v>
      </c>
      <c r="DA168" s="2">
        <f>Table7[[#This Row],[WaistS Res]]^2</f>
        <v>0.28204958321826951</v>
      </c>
      <c r="DB168">
        <f>Regression!$M$29+(Regression!$M$28*Table83[[#This Row],[BMI]])</f>
        <v>44.546873613434336</v>
      </c>
      <c r="DC168" s="2">
        <f>Table83[[#This Row],[Waist]]-Table7[[#This Row],[Waist v BMI]]</f>
        <v>0.45312638656566406</v>
      </c>
      <c r="DD168" s="2">
        <f>Table7[[#This Row],[WaistBMI Res]]^2</f>
        <v>0.20532352220205563</v>
      </c>
      <c r="DE168">
        <f>Regression!$N$29+(Regression!$N$28*Table83[[#This Row],[CBF]])</f>
        <v>45.203183363709613</v>
      </c>
      <c r="DF168" s="2">
        <f>Table83[[#This Row],[Waist]]-Table7[[#This Row],[Waist v  CBF]]</f>
        <v>-0.20318336370961276</v>
      </c>
      <c r="DG168" s="2">
        <f>Table7[[#This Row],[WaistCBF Res]]^2</f>
        <v>4.1283479288352784E-2</v>
      </c>
      <c r="DH168">
        <f>Regression!$O$29+(Regression!$O$28*Table83[[#This Row],[Gym]])</f>
        <v>44.347222222222221</v>
      </c>
      <c r="DI168" s="2">
        <f>Table83[[#This Row],[Waist]]-Table7[[#This Row],[Waist v  Gym]]</f>
        <v>0.65277777777777857</v>
      </c>
      <c r="DJ168" s="2">
        <f>Table7[[#This Row],[WaistGYM Res]]^2</f>
        <v>0.42611882716049487</v>
      </c>
      <c r="DK168">
        <f>Regression!$P$29+(Regression!$P$28*Table83[[#This Row],[Cardio]])</f>
        <v>44.291666666666664</v>
      </c>
      <c r="DL168" s="2">
        <f>Table83[[#This Row],[Waist]]-Table7[[#This Row],[Waist v Cardio]]</f>
        <v>0.7083333333333357</v>
      </c>
      <c r="DM168" s="2">
        <f>Table7[[#This Row],[WaistC Res]]^2</f>
        <v>0.50173611111111449</v>
      </c>
      <c r="DN168">
        <f>Regression!$Q$29+(Regression!$Q$28*Table83[[#This Row],[Calories]])</f>
        <v>44.533244980307941</v>
      </c>
      <c r="DO168" s="2">
        <f>Table83[[#This Row],[Waist]]-Table7[[#This Row],[Waist v Calories]]</f>
        <v>0.46675501969205868</v>
      </c>
      <c r="DP168" s="2">
        <f>Table7[[#This Row],[WaistCal Res]]^2</f>
        <v>0.21786024840773408</v>
      </c>
      <c r="DQ168">
        <f>Regression!$R$29+(Regression!$R$28*Table83[[#This Row],[Carbs]])</f>
        <v>44.439385291441319</v>
      </c>
      <c r="DR168" s="2">
        <f>Table83[[#This Row],[Waist]]-Table7[[#This Row],[Waist v Carbs]]</f>
        <v>0.56061470855868123</v>
      </c>
      <c r="DS168" s="2">
        <f>Table7[[#This Row],[WaistCarb Res]]^2</f>
        <v>0.31428885145233509</v>
      </c>
      <c r="DT168">
        <f>Regression!$S$29+(Regression!$S$28*Table83[[#This Row],[Fat ]])</f>
        <v>44.597544533459264</v>
      </c>
      <c r="DU168" s="2">
        <f>Table83[[#This Row],[Waist]]-Table7[[#This Row],[Waist v Fat]]</f>
        <v>0.4024554665407365</v>
      </c>
      <c r="DV168" s="2">
        <f>Table7[[#This Row],[WaistF Res]]^2</f>
        <v>0.16197040254852188</v>
      </c>
      <c r="DW168">
        <f>Regression!$T$29+(Regression!$T$28*Table83[[#This Row],[Protein]])</f>
        <v>44.582125494596127</v>
      </c>
      <c r="DX168" s="2">
        <f>Table83[[#This Row],[Waist]]-Table7[[#This Row],[Waist v Protein]]</f>
        <v>0.41787450540387283</v>
      </c>
      <c r="DY168" s="2">
        <f>Table7[[#This Row],[WaistP Res]]^2</f>
        <v>0.17461910226653135</v>
      </c>
      <c r="DZ168">
        <f>Regression!$U$29+(Regression!$U$28*Table83[[#This Row],[Fiber]])</f>
        <v>44.487805261112008</v>
      </c>
      <c r="EA168" s="2">
        <f>Table83[[#This Row],[Waist]]-Table7[[#This Row],[Waist v Fiber]]</f>
        <v>0.51219473888799172</v>
      </c>
      <c r="EB168" s="2">
        <f>Table7[[#This Row],[WaistFib Res]]^2</f>
        <v>0.262343450544538</v>
      </c>
      <c r="EC168">
        <f>Regression!$V$29+(Regression!$V$28*Table83[[#This Row],[Sugar]])</f>
        <v>44.310721745036147</v>
      </c>
      <c r="ED168" s="2">
        <f>Table83[[#This Row],[Waist]]-Table7[[#This Row],[Waist v Sugar]]</f>
        <v>0.68927825496385253</v>
      </c>
      <c r="EE168" s="2">
        <f>Table7[[#This Row],[WaistSugar Res]]^2</f>
        <v>0.47510451276601368</v>
      </c>
      <c r="EF168">
        <f>Regression!$W$29+(Regression!$W$28*Table83[[#This Row],[Servings]])</f>
        <v>44.182298938550531</v>
      </c>
      <c r="EG168" s="2">
        <f>Table83[[#This Row],[Waist]]-Table7[[#This Row],[Waist v Servings]]</f>
        <v>0.81770106144946908</v>
      </c>
      <c r="EH168" s="2">
        <f>Table7[[#This Row],[WaistServ Res]]^2</f>
        <v>0.66863502589558843</v>
      </c>
      <c r="EI168">
        <f>Regression!$X$29+(Regression!$X$28*Table83[[#This Row],[Water]])</f>
        <v>44.442082352251923</v>
      </c>
      <c r="EJ168" s="2">
        <f>Table83[[#This Row],[Waist]]-Table7[[#This Row],[Waist v Water]]</f>
        <v>0.55791764774807717</v>
      </c>
      <c r="EK168" s="2">
        <f>Table7[[#This Row],[WaistWat Res]]^2</f>
        <v>0.31127210166874753</v>
      </c>
      <c r="EL168">
        <f>Regression!$Y$29+(Regression!$Y$28*Table83[[#This Row],[Fat Calories]])</f>
        <v>44.604541354555991</v>
      </c>
      <c r="EM168" s="2">
        <f>Table83[[#This Row],[Waist]]-Table7[[#This Row],[Waist v Fat Calories]]</f>
        <v>0.39545864544400899</v>
      </c>
      <c r="EN168" s="2">
        <f>Table7[[#This Row],[WaistFatCal Res]]^2</f>
        <v>0.15638754025641041</v>
      </c>
    </row>
    <row r="169" spans="1:144" x14ac:dyDescent="0.25">
      <c r="A169">
        <f>Regression!$B$10+(Regression!$B$9*Table83[[#This Row],[Waist]])</f>
        <v>255.38023686459636</v>
      </c>
      <c r="B169" s="2">
        <f>Table83[[#This Row],[Weight]]-Table7[[#This Row],[Weight v Waist]]</f>
        <v>-3.580236864596344</v>
      </c>
      <c r="C169" s="2">
        <f>Table7[[#This Row],[Weight v Waist Res]]^2</f>
        <v>12.81809600661466</v>
      </c>
      <c r="D169">
        <f>Regression!$C$10+(Regression!$C$9*Table83[[#This Row],[Neck]])</f>
        <v>253.29286486487842</v>
      </c>
      <c r="E169" s="2">
        <f>Table83[[#This Row],[Weight]]-Table7[[#This Row],[Weight v Neck]]</f>
        <v>-1.4928648648784133</v>
      </c>
      <c r="F169" s="2">
        <f>Table7[[#This Row],[WN Res]]^2</f>
        <v>2.2286455047884433</v>
      </c>
      <c r="G169">
        <f>Regression!$D$10+(Regression!$D$9*Table83[[#This Row],[Morning Body Temp]])</f>
        <v>254.7075736779725</v>
      </c>
      <c r="H169" s="2">
        <f>Table83[[#This Row],[Weight]]-Table7[[#This Row],[Weight v Morning Temp]]</f>
        <v>-2.9075736779724934</v>
      </c>
      <c r="I169" s="2">
        <f>Table7[[#This Row],[WMT Res]]^2</f>
        <v>8.4539846928384925</v>
      </c>
      <c r="J169">
        <f>Regression!$E$10+(Regression!$E$9*Table83[[#This Row],[Morning Systolic Pressure]])</f>
        <v>254.73886899784827</v>
      </c>
      <c r="K169" s="2">
        <f>Table83[[#This Row],[Weight]]-Table7[[#This Row],[Weight v Morning Sys]]</f>
        <v>-2.9388689978482603</v>
      </c>
      <c r="L169" s="2">
        <f>Table7[[#This Row],[WMS Res]]^2</f>
        <v>8.6369509865136376</v>
      </c>
      <c r="M169">
        <f>Regression!$F$10+(Regression!$F$9*Table83[[#This Row],[Morning Diastolic Pressure]])</f>
        <v>255.71010539151592</v>
      </c>
      <c r="N169" s="2">
        <f>Table83[[#This Row],[Weight]]-Table7[[#This Row],[Weight v Morning Dia]]</f>
        <v>-3.9101053915159127</v>
      </c>
      <c r="O169" s="2">
        <f>Table7[[#This Row],[WMD Res]]^2</f>
        <v>15.28892417276181</v>
      </c>
      <c r="P169">
        <f>Regression!$G$10+(Regression!$G$9*Table83[[#This Row],[Morning Pulse]])</f>
        <v>255.06612240471154</v>
      </c>
      <c r="Q169" s="2">
        <f>Table83[[#This Row],[Weight]]-Table7[[#This Row],[Weight v Morning Pulse]]</f>
        <v>-3.266122404711524</v>
      </c>
      <c r="R169" s="2">
        <f>Table7[[#This Row],[WMP Res]]^2</f>
        <v>10.667555562558588</v>
      </c>
      <c r="S169">
        <f>Regression!$H$10+(Regression!$H$9*Table83[[#This Row],[Night Body Temp]])</f>
        <v>254.95418324800676</v>
      </c>
      <c r="T169" s="2">
        <f>Table83[[#This Row],[Weight]]-Table7[[#This Row],[Weight v Night Temp]]</f>
        <v>-3.1541832480067455</v>
      </c>
      <c r="U169" s="2">
        <f>Table7[[#This Row],[WNT Res]]^2</f>
        <v>9.9488719620063826</v>
      </c>
      <c r="V169">
        <f>Regression!$I$10+(Regression!$I$9*Table83[[#This Row],[Night Systolic Pressure]])</f>
        <v>253.69890888274017</v>
      </c>
      <c r="W169" s="2">
        <f>Table83[[#This Row],[Weight]]-Table7[[#This Row],[Weight v Night Sys]]</f>
        <v>-1.8989088827401588</v>
      </c>
      <c r="X169" s="2">
        <f>Table7[[#This Row],[WNS Res]]^2</f>
        <v>3.6058549449494781</v>
      </c>
      <c r="Y169">
        <f>Regression!$J$10+(Regression!$J$9*Table83[[#This Row],[Night Diastolic Pressure]])</f>
        <v>255.2146139794944</v>
      </c>
      <c r="Z169" s="2">
        <f>Table83[[#This Row],[Weight]]-Table7[[#This Row],[Weight v Night Dia]]</f>
        <v>-3.4146139794943906</v>
      </c>
      <c r="AA169" s="2">
        <f>Table7[[#This Row],[WND Res]]^2</f>
        <v>11.659588628958518</v>
      </c>
      <c r="AB169">
        <f>Regression!$K$10+(Regression!$K$9*Table83[[#This Row],[Night Pulse]])</f>
        <v>255.04872519626778</v>
      </c>
      <c r="AC169" s="2">
        <f>Table83[[#This Row],[Weight]]-Table7[[#This Row],[Weight v Night Pulse]]</f>
        <v>-3.2487251962677703</v>
      </c>
      <c r="AD169" s="2">
        <f>Table7[[#This Row],[WNP Res ]]^2</f>
        <v>10.554215400865063</v>
      </c>
      <c r="AE169">
        <f>Regression!$L$10+(Regression!$L$9*Table83[[#This Row],[Sleep]])</f>
        <v>253.87513299388604</v>
      </c>
      <c r="AF169" s="2">
        <f>Table83[[#This Row],[Weight]]-Table7[[#This Row],[Weight v Sleep]]</f>
        <v>-2.0751329938860295</v>
      </c>
      <c r="AG169" s="2">
        <f>Table7[[#This Row],[WS Res]]^2</f>
        <v>4.3061769423143961</v>
      </c>
      <c r="AH169">
        <f>Regression!$M$10+(Regression!$M$9*Table83[[#This Row],[BMI]])</f>
        <v>251.80000000000746</v>
      </c>
      <c r="AI169" s="2">
        <f>Table83[[#This Row],[Weight]]-Table7[[#This Row],[Weight v BMI]]</f>
        <v>-7.4464878707658499E-12</v>
      </c>
      <c r="AJ169" s="2">
        <f>Table7[[#This Row],[WBMI Res]]^2</f>
        <v>5.5450181609462922E-23</v>
      </c>
      <c r="AK169">
        <f>Regression!$N$10+(Regression!$N$9*Table83[[#This Row],[CBF]])</f>
        <v>256.25609762651322</v>
      </c>
      <c r="AL169" s="2">
        <f>Table83[[#This Row],[Weight]]-Table7[[#This Row],[Weight v CBF]]</f>
        <v>-4.4560976265132126</v>
      </c>
      <c r="AM169" s="2">
        <f>Table7[[#This Row],[WCBF Res]]^2</f>
        <v>19.856806057016687</v>
      </c>
      <c r="AN169">
        <f>Regression!$O$10+(Regression!$O$9*Table83[[#This Row],[Gym]])</f>
        <v>254.72962962962998</v>
      </c>
      <c r="AO169" s="2">
        <f>Table83[[#This Row],[Weight]]-Table7[[#This Row],[Weight v Gym]]</f>
        <v>-2.9296296296299715</v>
      </c>
      <c r="AP169" s="2">
        <f>Table7[[#This Row],[WG Res]]^2</f>
        <v>8.5827297668058442</v>
      </c>
      <c r="AQ169">
        <f>Regression!$P$10+(Regression!$P$9*Table83[[#This Row],[Cardio]])</f>
        <v>254.19242424242461</v>
      </c>
      <c r="AR169" s="2">
        <f>Table83[[#This Row],[Weight]]-Table7[[#This Row],[Weight v Cardio]]</f>
        <v>-2.3924242424245961</v>
      </c>
      <c r="AS169" s="2">
        <f>Table7[[#This Row],[WC Res]]^2</f>
        <v>5.7236937557409027</v>
      </c>
      <c r="AT169">
        <f>Regression!$Q$10+(Regression!$Q$9*Table83[[#This Row],[Calories]])</f>
        <v>255.72683602196022</v>
      </c>
      <c r="AU169" s="2">
        <f>Table83[[#This Row],[Weight]]-Table7[[#This Row],[Weight v Calories]]</f>
        <v>-3.926836021960213</v>
      </c>
      <c r="AV169" s="2">
        <f>Table7[[#This Row],[WCAL Res]]^2</f>
        <v>15.42004114336431</v>
      </c>
      <c r="AW169">
        <f>Regression!$R$10+(Regression!$R$9*Table83[[#This Row],[Carbs]])</f>
        <v>255.52508899184019</v>
      </c>
      <c r="AX169" s="2">
        <f>Table83[[#This Row],[Weight]]-Table7[[#This Row],[Weight v Carbs]]</f>
        <v>-3.7250889918401811</v>
      </c>
      <c r="AY169" s="2">
        <f>Table7[[#This Row],[Wcarb Res]]^2</f>
        <v>13.876287997128896</v>
      </c>
      <c r="AZ169">
        <f>Regression!$S$10+(Regression!$S$9*Table83[[#This Row],[Fat ]])</f>
        <v>255.59043722356068</v>
      </c>
      <c r="BA169" s="2">
        <f>Table83[[#This Row],[Weight]]-Table7[[#This Row],[Weight v Fat]]</f>
        <v>-3.7904372235606729</v>
      </c>
      <c r="BB169" s="2">
        <f>Table7[[#This Row],[WF Res]]^2</f>
        <v>14.367414345754343</v>
      </c>
      <c r="BC169">
        <f>Regression!$T$10+(Regression!$T$9*Table83[[#This Row],[Protein]])</f>
        <v>256.30369052777434</v>
      </c>
      <c r="BD169" s="2">
        <f>Table83[[#This Row],[Weight]]-Table7[[#This Row],[Weight v Protein]]</f>
        <v>-4.5036905277743244</v>
      </c>
      <c r="BE169" s="2">
        <f>Table7[[#This Row],[WP Res]]^2</f>
        <v>20.283228369964174</v>
      </c>
      <c r="BF169">
        <f>Regression!$U$10+(Regression!$U$9*Table83[[#This Row],[Fiber]])</f>
        <v>254.87803735394732</v>
      </c>
      <c r="BG169" s="2">
        <f>Table83[[#This Row],[Weight]]-Table7[[#This Row],[Weight v Fiber]]</f>
        <v>-3.0780373539473089</v>
      </c>
      <c r="BH169" s="2">
        <f>Table7[[#This Row],[Wfib Res]]^2</f>
        <v>9.4743139522949509</v>
      </c>
      <c r="BI169">
        <f>Regression!$V$10+(Regression!$V$9*Table83[[#This Row],[Sugar]])</f>
        <v>255.69416428479389</v>
      </c>
      <c r="BJ169" s="2">
        <f>Table83[[#This Row],[Weight]]-Table7[[#This Row],[Weight v Sugar]]</f>
        <v>-3.8941642847938738</v>
      </c>
      <c r="BK169" s="2">
        <f>Table7[[#This Row],[Wsugar Res]]^2</f>
        <v>15.164515476964182</v>
      </c>
      <c r="BL169">
        <f>Regression!$W$10+(Regression!$W$9*Table83[[#This Row],[Servings]])</f>
        <v>256.62243355308664</v>
      </c>
      <c r="BM169" s="2">
        <f>Table83[[#This Row],[Weight]]-Table7[[#This Row],[Weight v Servings]]</f>
        <v>-4.8224335530866256</v>
      </c>
      <c r="BN169" s="2">
        <f>Table7[[#This Row],[Wserv Res]]^2</f>
        <v>23.255865373935695</v>
      </c>
      <c r="BO169">
        <f>Regression!$X$10+(Regression!$X$9*Table83[[#This Row],[Water]])</f>
        <v>255.10626599365665</v>
      </c>
      <c r="BP169" s="2">
        <f>Table83[[#This Row],[Weight]]-Table7[[#This Row],[Weight v Water]]</f>
        <v>-3.3062659936566376</v>
      </c>
      <c r="BQ169" s="2">
        <f>Table7[[#This Row],[Wwater Res]]^2</f>
        <v>10.931394820810313</v>
      </c>
      <c r="BR169">
        <f>Regression!$Y$10+(Regression!$Y$9*Table83[[#This Row],[Fat Calories]])</f>
        <v>255.61612036312465</v>
      </c>
      <c r="BS169" s="2">
        <f>Table83[[#This Row],[Weight]]-Table7[[#This Row],[Weight v Fat Calories]]</f>
        <v>-3.8161203631246394</v>
      </c>
      <c r="BT169" s="2">
        <f>Table7[[#This Row],[WFC Res]]^2</f>
        <v>14.56277462585453</v>
      </c>
      <c r="BU169">
        <f>Regression!$B$29+(Regression!$B$28*Table83[[#This Row],[Weight]])</f>
        <v>44.001823571154709</v>
      </c>
      <c r="BV169" s="2">
        <f>Table83[[#This Row],[Waist]]-Table7[[#This Row],[Waist v Weight]]</f>
        <v>0.49817642884529079</v>
      </c>
      <c r="BW169" s="2">
        <f>Table7[[#This Row],[WaistW Res]]^2</f>
        <v>0.24817975425704708</v>
      </c>
      <c r="BX169">
        <f>Regression!$C$29+(Regression!$C$28*Table83[[#This Row],[Neck]])</f>
        <v>44.175585585585594</v>
      </c>
      <c r="BY169" s="2">
        <f>Table83[[#This Row],[Waist]]-Table7[[#This Row],[Waist v Neck]]</f>
        <v>0.32441441441440588</v>
      </c>
      <c r="BZ169" s="2">
        <f>Table7[[#This Row],[WaistN Res]]^2</f>
        <v>0.10524471227984188</v>
      </c>
      <c r="CA169">
        <f>Regression!$D$29+(Regression!$D$28*Table83[[#This Row],[Morning Body Temp]])</f>
        <v>44.342717051701939</v>
      </c>
      <c r="CB169" s="2">
        <f>Table83[[#This Row],[Waist]]-Table7[[#This Row],[Waist v Morning Temp]]</f>
        <v>0.15728294829806089</v>
      </c>
      <c r="CC169" s="2">
        <f>Table7[[#This Row],[WaistMT Res]]^2</f>
        <v>2.4737925825330496E-2</v>
      </c>
      <c r="CD169">
        <f>Regression!$E$29+(Regression!$E$28*Table83[[#This Row],[Morning Systolic Pressure]])</f>
        <v>44.365161485454784</v>
      </c>
      <c r="CE169" s="2">
        <f>Table83[[#This Row],[Waist]]-Table7[[#This Row],[Waist v Morning Sys]]</f>
        <v>0.13483851454521556</v>
      </c>
      <c r="CF169" s="2">
        <f>Table7[[#This Row],[WaistMS Res]]^2</f>
        <v>1.8181425004760308E-2</v>
      </c>
      <c r="CG169">
        <f>Regression!$F$29+(Regression!$F$28*Table83[[#This Row],[Morning Diastolic Pressure]])</f>
        <v>44.486630392157387</v>
      </c>
      <c r="CH169" s="2">
        <f>Table83[[#This Row],[Waist]]-Table7[[#This Row],[Waist v Morning Dia]]</f>
        <v>1.3369607842612652E-2</v>
      </c>
      <c r="CI169" s="2">
        <f>Table7[[#This Row],[WaistMD Res]]^2</f>
        <v>1.7874641386524971E-4</v>
      </c>
      <c r="CJ169">
        <f>Regression!$G$29+(Regression!$G$28*Table83[[#This Row],[Morning Pulse]])</f>
        <v>44.431070128018625</v>
      </c>
      <c r="CK169" s="2">
        <f>Table83[[#This Row],[Waist]]-Table7[[#This Row],[Waist v Morning Pulse]]</f>
        <v>6.8929871981374902E-2</v>
      </c>
      <c r="CL169" s="2">
        <f>Table7[[#This Row],[WaistMP Res]]^2</f>
        <v>4.7513272513687328E-3</v>
      </c>
      <c r="CM169">
        <f>Regression!$H$29+(Regression!$H$28*Table83[[#This Row],[Night Body Temp]])</f>
        <v>44.440857030854289</v>
      </c>
      <c r="CN169" s="2">
        <f>Table83[[#This Row],[Waist]]-Table7[[#This Row],[Waist v Night Temp]]</f>
        <v>5.9142969145710822E-2</v>
      </c>
      <c r="CO169" s="2">
        <f>Table7[[#This Row],[WaistNT Res]]^2</f>
        <v>3.4978907993705021E-3</v>
      </c>
      <c r="CP169">
        <f>Regression!$I$29+(Regression!$I$28*Table83[[#This Row],[Night Systolic Pressure]])</f>
        <v>44.252937714746622</v>
      </c>
      <c r="CQ169" s="2">
        <f>Table83[[#This Row],[Waist]]-Table7[[#This Row],[Waist v  Night Sys]]</f>
        <v>0.24706228525337792</v>
      </c>
      <c r="CR169" s="2">
        <f>Table7[[#This Row],[WaistNS Res]]^2</f>
        <v>6.1039772794621479E-2</v>
      </c>
      <c r="CS169">
        <f>Regression!$J$29+(Regression!$J$28*Table83[[#This Row],[Night Diastolic Pressure]])</f>
        <v>44.495227901568619</v>
      </c>
      <c r="CT169" s="2">
        <f>Table83[[#This Row],[Waist]]-Table7[[#This Row],[Waist v Night Dia]]</f>
        <v>4.7720984313812664E-3</v>
      </c>
      <c r="CU169" s="2">
        <f>Table7[[#This Row],[WaistND Res]]^2</f>
        <v>2.2772923438791544E-5</v>
      </c>
      <c r="CV169">
        <f>Regression!$K$29+(Regression!$K$28*Table83[[#This Row],[Night Pulse]])</f>
        <v>44.459708372565267</v>
      </c>
      <c r="CW169" s="2">
        <f>Table83[[#This Row],[Waist]]-Table7[[#This Row],[Waist v Night Pulse]]</f>
        <v>4.0291627434733357E-2</v>
      </c>
      <c r="CX169" s="2">
        <f>Table7[[#This Row],[WaistNP Res]]^2</f>
        <v>1.6234152413393578E-3</v>
      </c>
      <c r="CY169">
        <f>Regression!$L$29+(Regression!$L$28*Table83[[#This Row],[Sleep]])</f>
        <v>44.264495980875481</v>
      </c>
      <c r="CZ169" s="2">
        <f>Table83[[#This Row],[Waist]]-Table7[[#This Row],[Waist v  Sleep]]</f>
        <v>0.23550401912451946</v>
      </c>
      <c r="DA169" s="2">
        <f>Table7[[#This Row],[WaistS Res]]^2</f>
        <v>5.5462143023802028E-2</v>
      </c>
      <c r="DB169">
        <f>Regression!$M$29+(Regression!$M$28*Table83[[#This Row],[BMI]])</f>
        <v>44.001823571156145</v>
      </c>
      <c r="DC169" s="2">
        <f>Table83[[#This Row],[Waist]]-Table7[[#This Row],[Waist v BMI]]</f>
        <v>0.49817642884385549</v>
      </c>
      <c r="DD169" s="2">
        <f>Table7[[#This Row],[WaistBMI Res]]^2</f>
        <v>0.248179754255617</v>
      </c>
      <c r="DE169">
        <f>Regression!$N$29+(Regression!$N$28*Table83[[#This Row],[CBF]])</f>
        <v>44.659010290127611</v>
      </c>
      <c r="DF169" s="2">
        <f>Table83[[#This Row],[Waist]]-Table7[[#This Row],[Waist v  CBF]]</f>
        <v>-0.15901029012761114</v>
      </c>
      <c r="DG169" s="2">
        <f>Table7[[#This Row],[WaistCBF Res]]^2</f>
        <v>2.5284272366467068E-2</v>
      </c>
      <c r="DH169">
        <f>Regression!$O$29+(Regression!$O$28*Table83[[#This Row],[Gym]])</f>
        <v>44.347222222222221</v>
      </c>
      <c r="DI169" s="2">
        <f>Table83[[#This Row],[Waist]]-Table7[[#This Row],[Waist v  Gym]]</f>
        <v>0.15277777777777857</v>
      </c>
      <c r="DJ169" s="2">
        <f>Table7[[#This Row],[WaistGYM Res]]^2</f>
        <v>2.3341049382716292E-2</v>
      </c>
      <c r="DK169">
        <f>Regression!$P$29+(Regression!$P$28*Table83[[#This Row],[Cardio]])</f>
        <v>44.291666666666664</v>
      </c>
      <c r="DL169" s="2">
        <f>Table83[[#This Row],[Waist]]-Table7[[#This Row],[Waist v Cardio]]</f>
        <v>0.2083333333333357</v>
      </c>
      <c r="DM169" s="2">
        <f>Table7[[#This Row],[WaistC Res]]^2</f>
        <v>4.3402777777778762E-2</v>
      </c>
      <c r="DN169">
        <f>Regression!$Q$29+(Regression!$Q$28*Table83[[#This Row],[Calories]])</f>
        <v>44.590995865330086</v>
      </c>
      <c r="DO169" s="2">
        <f>Table83[[#This Row],[Waist]]-Table7[[#This Row],[Waist v Calories]]</f>
        <v>-9.099586533008619E-2</v>
      </c>
      <c r="DP169" s="2">
        <f>Table7[[#This Row],[WaistCal Res]]^2</f>
        <v>8.280247507171181E-3</v>
      </c>
      <c r="DQ169">
        <f>Regression!$R$29+(Regression!$R$28*Table83[[#This Row],[Carbs]])</f>
        <v>44.538908627705084</v>
      </c>
      <c r="DR169" s="2">
        <f>Table83[[#This Row],[Waist]]-Table7[[#This Row],[Waist v Carbs]]</f>
        <v>-3.8908627705083632E-2</v>
      </c>
      <c r="DS169" s="2">
        <f>Table7[[#This Row],[WaistCarb Res]]^2</f>
        <v>1.5138813098928016E-3</v>
      </c>
      <c r="DT169">
        <f>Regression!$S$29+(Regression!$S$28*Table83[[#This Row],[Fat ]])</f>
        <v>44.598857395098825</v>
      </c>
      <c r="DU169" s="2">
        <f>Table83[[#This Row],[Waist]]-Table7[[#This Row],[Waist v Fat]]</f>
        <v>-9.8857395098825407E-2</v>
      </c>
      <c r="DV169" s="2">
        <f>Table7[[#This Row],[WaistF Res]]^2</f>
        <v>9.7727845657252701E-3</v>
      </c>
      <c r="DW169">
        <f>Regression!$T$29+(Regression!$T$28*Table83[[#This Row],[Protein]])</f>
        <v>44.671106246237997</v>
      </c>
      <c r="DX169" s="2">
        <f>Table83[[#This Row],[Waist]]-Table7[[#This Row],[Waist v Protein]]</f>
        <v>-0.17110624623799708</v>
      </c>
      <c r="DY169" s="2">
        <f>Table7[[#This Row],[WaistP Res]]^2</f>
        <v>2.9277347501658092E-2</v>
      </c>
      <c r="DZ169">
        <f>Regression!$U$29+(Regression!$U$28*Table83[[#This Row],[Fiber]])</f>
        <v>44.362088354233407</v>
      </c>
      <c r="EA169" s="2">
        <f>Table83[[#This Row],[Waist]]-Table7[[#This Row],[Waist v Fiber]]</f>
        <v>0.13791164576659298</v>
      </c>
      <c r="EB169" s="2">
        <f>Table7[[#This Row],[WaistFib Res]]^2</f>
        <v>1.9019622038050223E-2</v>
      </c>
      <c r="EC169">
        <f>Regression!$V$29+(Regression!$V$28*Table83[[#This Row],[Sugar]])</f>
        <v>44.557572278715625</v>
      </c>
      <c r="ED169" s="2">
        <f>Table83[[#This Row],[Waist]]-Table7[[#This Row],[Waist v Sugar]]</f>
        <v>-5.7572278715625202E-2</v>
      </c>
      <c r="EE169" s="2">
        <f>Table7[[#This Row],[WaistSugar Res]]^2</f>
        <v>3.3145672765096308E-3</v>
      </c>
      <c r="EF169">
        <f>Regression!$W$29+(Regression!$W$28*Table83[[#This Row],[Servings]])</f>
        <v>44.683542317898613</v>
      </c>
      <c r="EG169" s="2">
        <f>Table83[[#This Row],[Waist]]-Table7[[#This Row],[Waist v Servings]]</f>
        <v>-0.18354231789861331</v>
      </c>
      <c r="EH169" s="2">
        <f>Table7[[#This Row],[WaistServ Res]]^2</f>
        <v>3.3687782459595625E-2</v>
      </c>
      <c r="EI169">
        <f>Regression!$X$29+(Regression!$X$28*Table83[[#This Row],[Water]])</f>
        <v>44.442082352251923</v>
      </c>
      <c r="EJ169" s="2">
        <f>Table83[[#This Row],[Waist]]-Table7[[#This Row],[Waist v Water]]</f>
        <v>5.7917647748077172E-2</v>
      </c>
      <c r="EK169" s="2">
        <f>Table7[[#This Row],[WaistWat Res]]^2</f>
        <v>3.3544539206703488E-3</v>
      </c>
      <c r="EL169">
        <f>Regression!$Y$29+(Regression!$Y$28*Table83[[#This Row],[Fat Calories]])</f>
        <v>44.605931484464577</v>
      </c>
      <c r="EM169" s="2">
        <f>Table83[[#This Row],[Waist]]-Table7[[#This Row],[Waist v Fat Calories]]</f>
        <v>-0.1059314844645769</v>
      </c>
      <c r="EN169" s="2">
        <f>Table7[[#This Row],[WaistFatCal Res]]^2</f>
        <v>1.1221479400868897E-2</v>
      </c>
    </row>
    <row r="170" spans="1:144" x14ac:dyDescent="0.25">
      <c r="A170">
        <f>Regression!$B$10+(Regression!$B$9*Table83[[#This Row],[Waist]])</f>
        <v>255.38023686459636</v>
      </c>
      <c r="B170" s="2">
        <f>Table83[[#This Row],[Weight]]-Table7[[#This Row],[Weight v Waist]]</f>
        <v>-7.7802368645963611</v>
      </c>
      <c r="C170" s="2">
        <f>Table7[[#This Row],[Weight v Waist Res]]^2</f>
        <v>60.532085669224216</v>
      </c>
      <c r="D170">
        <f>Regression!$C$10+(Regression!$C$9*Table83[[#This Row],[Neck]])</f>
        <v>253.29286486487842</v>
      </c>
      <c r="E170" s="2">
        <f>Table83[[#This Row],[Weight]]-Table7[[#This Row],[Weight v Neck]]</f>
        <v>-5.6928648648784304</v>
      </c>
      <c r="F170" s="2">
        <f>Table7[[#This Row],[WN Res]]^2</f>
        <v>32.408710369767306</v>
      </c>
      <c r="G170">
        <f>Regression!$D$10+(Regression!$D$9*Table83[[#This Row],[Morning Body Temp]])</f>
        <v>257.59391440108948</v>
      </c>
      <c r="H170" s="2">
        <f>Table83[[#This Row],[Weight]]-Table7[[#This Row],[Weight v Morning Temp]]</f>
        <v>-9.9939144010894836</v>
      </c>
      <c r="I170" s="2">
        <f>Table7[[#This Row],[WMT Res]]^2</f>
        <v>99.878325056303765</v>
      </c>
      <c r="J170">
        <f>Regression!$E$10+(Regression!$E$9*Table83[[#This Row],[Morning Systolic Pressure]])</f>
        <v>254.6487145901215</v>
      </c>
      <c r="K170" s="2">
        <f>Table83[[#This Row],[Weight]]-Table7[[#This Row],[Weight v Morning Sys]]</f>
        <v>-7.0487145901215058</v>
      </c>
      <c r="L170" s="2">
        <f>Table7[[#This Row],[WMS Res]]^2</f>
        <v>49.68437737299179</v>
      </c>
      <c r="M170">
        <f>Regression!$F$10+(Regression!$F$9*Table83[[#This Row],[Morning Diastolic Pressure]])</f>
        <v>255.60876114247105</v>
      </c>
      <c r="N170" s="2">
        <f>Table83[[#This Row],[Weight]]-Table7[[#This Row],[Weight v Morning Dia]]</f>
        <v>-8.0087611424710587</v>
      </c>
      <c r="O170" s="2">
        <f>Table7[[#This Row],[WMD Res]]^2</f>
        <v>64.140255037154333</v>
      </c>
      <c r="P170">
        <f>Regression!$G$10+(Regression!$G$9*Table83[[#This Row],[Morning Pulse]])</f>
        <v>255.06429460895433</v>
      </c>
      <c r="Q170" s="2">
        <f>Table83[[#This Row],[Weight]]-Table7[[#This Row],[Weight v Morning Pulse]]</f>
        <v>-7.4642946089543329</v>
      </c>
      <c r="R170" s="2">
        <f>Table7[[#This Row],[WMP Res]]^2</f>
        <v>55.715694009264716</v>
      </c>
      <c r="S170">
        <f>Regression!$H$10+(Regression!$H$9*Table83[[#This Row],[Night Body Temp]])</f>
        <v>255.98114895282362</v>
      </c>
      <c r="T170" s="2">
        <f>Table83[[#This Row],[Weight]]-Table7[[#This Row],[Weight v Night Temp]]</f>
        <v>-8.3811489528236223</v>
      </c>
      <c r="U170" s="2">
        <f>Table7[[#This Row],[WNT Res]]^2</f>
        <v>70.243657769416501</v>
      </c>
      <c r="V170">
        <f>Regression!$I$10+(Regression!$I$9*Table83[[#This Row],[Night Systolic Pressure]])</f>
        <v>253.69890888274017</v>
      </c>
      <c r="W170" s="2">
        <f>Table83[[#This Row],[Weight]]-Table7[[#This Row],[Weight v Night Sys]]</f>
        <v>-6.0989088827401758</v>
      </c>
      <c r="X170" s="2">
        <f>Table7[[#This Row],[WNS Res]]^2</f>
        <v>37.19668955996702</v>
      </c>
      <c r="Y170">
        <f>Regression!$J$10+(Regression!$J$9*Table83[[#This Row],[Night Diastolic Pressure]])</f>
        <v>255.01078463741391</v>
      </c>
      <c r="Z170" s="2">
        <f>Table83[[#This Row],[Weight]]-Table7[[#This Row],[Weight v Night Dia]]</f>
        <v>-7.4107846374139115</v>
      </c>
      <c r="AA170" s="2">
        <f>Table7[[#This Row],[WND Res]]^2</f>
        <v>54.919728942130043</v>
      </c>
      <c r="AB170">
        <f>Regression!$K$10+(Regression!$K$9*Table83[[#This Row],[Night Pulse]])</f>
        <v>255.14086518997797</v>
      </c>
      <c r="AC170" s="2">
        <f>Table83[[#This Row],[Weight]]-Table7[[#This Row],[Weight v Night Pulse]]</f>
        <v>-7.5408651899779784</v>
      </c>
      <c r="AD170" s="2">
        <f>Table7[[#This Row],[WNP Res ]]^2</f>
        <v>56.864647813421612</v>
      </c>
      <c r="AE170">
        <f>Regression!$L$10+(Regression!$L$9*Table83[[#This Row],[Sleep]])</f>
        <v>256.39892646087662</v>
      </c>
      <c r="AF170" s="2">
        <f>Table83[[#This Row],[Weight]]-Table7[[#This Row],[Weight v Sleep]]</f>
        <v>-8.7989264608766291</v>
      </c>
      <c r="AG170" s="2">
        <f>Table7[[#This Row],[WS Res]]^2</f>
        <v>77.421106863914915</v>
      </c>
      <c r="AH170">
        <f>Regression!$M$10+(Regression!$M$9*Table83[[#This Row],[BMI]])</f>
        <v>247.60000000001679</v>
      </c>
      <c r="AI170" s="2">
        <f>Table83[[#This Row],[Weight]]-Table7[[#This Row],[Weight v BMI]]</f>
        <v>-1.6797230273368768E-11</v>
      </c>
      <c r="AJ170" s="2">
        <f>Table7[[#This Row],[WBMI Res]]^2</f>
        <v>2.8214694485657623E-22</v>
      </c>
      <c r="AK170">
        <f>Regression!$N$10+(Regression!$N$9*Table83[[#This Row],[CBF]])</f>
        <v>256.25609762651322</v>
      </c>
      <c r="AL170" s="2">
        <f>Table83[[#This Row],[Weight]]-Table7[[#This Row],[Weight v CBF]]</f>
        <v>-8.6560976265132297</v>
      </c>
      <c r="AM170" s="2">
        <f>Table7[[#This Row],[WCBF Res]]^2</f>
        <v>74.928026119727974</v>
      </c>
      <c r="AN170">
        <f>Regression!$O$10+(Regression!$O$9*Table83[[#This Row],[Gym]])</f>
        <v>254.72962962962998</v>
      </c>
      <c r="AO170" s="2">
        <f>Table83[[#This Row],[Weight]]-Table7[[#This Row],[Weight v Gym]]</f>
        <v>-7.1296296296299886</v>
      </c>
      <c r="AP170" s="2">
        <f>Table7[[#This Row],[WG Res]]^2</f>
        <v>50.831618655697845</v>
      </c>
      <c r="AQ170">
        <f>Regression!$P$10+(Regression!$P$9*Table83[[#This Row],[Cardio]])</f>
        <v>254.19242424242461</v>
      </c>
      <c r="AR170" s="2">
        <f>Table83[[#This Row],[Weight]]-Table7[[#This Row],[Weight v Cardio]]</f>
        <v>-6.5924242424246131</v>
      </c>
      <c r="AS170" s="2">
        <f>Table7[[#This Row],[WC Res]]^2</f>
        <v>43.460057392107736</v>
      </c>
      <c r="AT170">
        <f>Regression!$Q$10+(Regression!$Q$9*Table83[[#This Row],[Calories]])</f>
        <v>255.41712198324078</v>
      </c>
      <c r="AU170" s="2">
        <f>Table83[[#This Row],[Weight]]-Table7[[#This Row],[Weight v Calories]]</f>
        <v>-7.8171219832407814</v>
      </c>
      <c r="AV170" s="2">
        <f>Table7[[#This Row],[WCAL Res]]^2</f>
        <v>61.107396100866289</v>
      </c>
      <c r="AW170">
        <f>Regression!$R$10+(Regression!$R$9*Table83[[#This Row],[Carbs]])</f>
        <v>255.18168088089755</v>
      </c>
      <c r="AX170" s="2">
        <f>Table83[[#This Row],[Weight]]-Table7[[#This Row],[Weight v Carbs]]</f>
        <v>-7.5816808808975509</v>
      </c>
      <c r="AY170" s="2">
        <f>Table7[[#This Row],[Wcarb Res]]^2</f>
        <v>57.481884979767464</v>
      </c>
      <c r="AZ170">
        <f>Regression!$S$10+(Regression!$S$9*Table83[[#This Row],[Fat ]])</f>
        <v>255.47776977151807</v>
      </c>
      <c r="BA170" s="2">
        <f>Table83[[#This Row],[Weight]]-Table7[[#This Row],[Weight v Fat]]</f>
        <v>-7.877769771518075</v>
      </c>
      <c r="BB170" s="2">
        <f>Table7[[#This Row],[WF Res]]^2</f>
        <v>62.059256573043946</v>
      </c>
      <c r="BC170">
        <f>Regression!$T$10+(Regression!$T$9*Table83[[#This Row],[Protein]])</f>
        <v>255.57969417994954</v>
      </c>
      <c r="BD170" s="2">
        <f>Table83[[#This Row],[Weight]]-Table7[[#This Row],[Weight v Protein]]</f>
        <v>-7.9796941799495471</v>
      </c>
      <c r="BE170" s="2">
        <f>Table7[[#This Row],[WP Res]]^2</f>
        <v>63.675519205520672</v>
      </c>
      <c r="BF170">
        <f>Regression!$U$10+(Regression!$U$9*Table83[[#This Row],[Fiber]])</f>
        <v>255.34482109828227</v>
      </c>
      <c r="BG170" s="2">
        <f>Table83[[#This Row],[Weight]]-Table7[[#This Row],[Weight v Fiber]]</f>
        <v>-7.7448210982822729</v>
      </c>
      <c r="BH170" s="2">
        <f>Table7[[#This Row],[Wfib Res]]^2</f>
        <v>59.98225384439823</v>
      </c>
      <c r="BI170">
        <f>Regression!$V$10+(Regression!$V$9*Table83[[#This Row],[Sugar]])</f>
        <v>254.86661480179268</v>
      </c>
      <c r="BJ170" s="2">
        <f>Table83[[#This Row],[Weight]]-Table7[[#This Row],[Weight v Sugar]]</f>
        <v>-7.2666148017926844</v>
      </c>
      <c r="BK170" s="2">
        <f>Table7[[#This Row],[Wsugar Res]]^2</f>
        <v>52.803690677632531</v>
      </c>
      <c r="BL170">
        <f>Regression!$W$10+(Regression!$W$9*Table83[[#This Row],[Servings]])</f>
        <v>254.34805292067642</v>
      </c>
      <c r="BM170" s="2">
        <f>Table83[[#This Row],[Weight]]-Table7[[#This Row],[Weight v Servings]]</f>
        <v>-6.7480529206764288</v>
      </c>
      <c r="BN170" s="2">
        <f>Table7[[#This Row],[Wserv Res]]^2</f>
        <v>45.53621822024968</v>
      </c>
      <c r="BO170">
        <f>Regression!$X$10+(Regression!$X$9*Table83[[#This Row],[Water]])</f>
        <v>255.0206340268538</v>
      </c>
      <c r="BP170" s="2">
        <f>Table83[[#This Row],[Weight]]-Table7[[#This Row],[Weight v Water]]</f>
        <v>-7.4206340268538042</v>
      </c>
      <c r="BQ170" s="2">
        <f>Table7[[#This Row],[Wwater Res]]^2</f>
        <v>55.065809360500509</v>
      </c>
      <c r="BR170">
        <f>Regression!$Y$10+(Regression!$Y$9*Table83[[#This Row],[Fat Calories]])</f>
        <v>255.49621385055116</v>
      </c>
      <c r="BS170" s="2">
        <f>Table83[[#This Row],[Weight]]-Table7[[#This Row],[Weight v Fat Calories]]</f>
        <v>-7.8962138505511632</v>
      </c>
      <c r="BT170" s="2">
        <f>Table7[[#This Row],[WFC Res]]^2</f>
        <v>62.350193173636029</v>
      </c>
      <c r="BU170">
        <f>Regression!$B$29+(Regression!$B$28*Table83[[#This Row],[Weight]])</f>
        <v>43.429521026760781</v>
      </c>
      <c r="BV170" s="2">
        <f>Table83[[#This Row],[Waist]]-Table7[[#This Row],[Waist v Weight]]</f>
        <v>1.0704789732392186</v>
      </c>
      <c r="BW170" s="2">
        <f>Table7[[#This Row],[WaistW Res]]^2</f>
        <v>1.1459252321472917</v>
      </c>
      <c r="BX170">
        <f>Regression!$C$29+(Regression!$C$28*Table83[[#This Row],[Neck]])</f>
        <v>44.175585585585594</v>
      </c>
      <c r="BY170" s="2">
        <f>Table83[[#This Row],[Waist]]-Table7[[#This Row],[Waist v Neck]]</f>
        <v>0.32441441441440588</v>
      </c>
      <c r="BZ170" s="2">
        <f>Table7[[#This Row],[WaistN Res]]^2</f>
        <v>0.10524471227984188</v>
      </c>
      <c r="CA170">
        <f>Regression!$D$29+(Regression!$D$28*Table83[[#This Row],[Morning Body Temp]])</f>
        <v>45.127736391912919</v>
      </c>
      <c r="CB170" s="2">
        <f>Table83[[#This Row],[Waist]]-Table7[[#This Row],[Waist v Morning Temp]]</f>
        <v>-0.62773639191291863</v>
      </c>
      <c r="CC170" s="2">
        <f>Table7[[#This Row],[WaistMT Res]]^2</f>
        <v>0.39405297773184939</v>
      </c>
      <c r="CD170">
        <f>Regression!$E$29+(Regression!$E$28*Table83[[#This Row],[Morning Systolic Pressure]])</f>
        <v>44.343980674969934</v>
      </c>
      <c r="CE170" s="2">
        <f>Table83[[#This Row],[Waist]]-Table7[[#This Row],[Waist v Morning Sys]]</f>
        <v>0.15601932503006566</v>
      </c>
      <c r="CF170" s="2">
        <f>Table7[[#This Row],[WaistMS Res]]^2</f>
        <v>2.4342029782837272E-2</v>
      </c>
      <c r="CG170">
        <f>Regression!$F$29+(Regression!$F$28*Table83[[#This Row],[Morning Diastolic Pressure]])</f>
        <v>44.480994771488533</v>
      </c>
      <c r="CH170" s="2">
        <f>Table83[[#This Row],[Waist]]-Table7[[#This Row],[Waist v Morning Dia]]</f>
        <v>1.9005228511467465E-2</v>
      </c>
      <c r="CI170" s="2">
        <f>Table7[[#This Row],[WaistMD Res]]^2</f>
        <v>3.6119871077309584E-4</v>
      </c>
      <c r="CJ170">
        <f>Regression!$G$29+(Regression!$G$28*Table83[[#This Row],[Morning Pulse]])</f>
        <v>44.430230625445013</v>
      </c>
      <c r="CK170" s="2">
        <f>Table83[[#This Row],[Waist]]-Table7[[#This Row],[Waist v Morning Pulse]]</f>
        <v>6.9769374554986996E-2</v>
      </c>
      <c r="CL170" s="2">
        <f>Table7[[#This Row],[WaistMP Res]]^2</f>
        <v>4.8677656257940672E-3</v>
      </c>
      <c r="CM170">
        <f>Regression!$H$29+(Regression!$H$28*Table83[[#This Row],[Night Body Temp]])</f>
        <v>44.521826268903155</v>
      </c>
      <c r="CN170" s="2">
        <f>Table83[[#This Row],[Waist]]-Table7[[#This Row],[Waist v Night Temp]]</f>
        <v>-2.1826268903154755E-2</v>
      </c>
      <c r="CO170" s="2">
        <f>Table7[[#This Row],[WaistNT Res]]^2</f>
        <v>4.763860142328203E-4</v>
      </c>
      <c r="CP170">
        <f>Regression!$I$29+(Regression!$I$28*Table83[[#This Row],[Night Systolic Pressure]])</f>
        <v>44.252937714746622</v>
      </c>
      <c r="CQ170" s="2">
        <f>Table83[[#This Row],[Waist]]-Table7[[#This Row],[Waist v  Night Sys]]</f>
        <v>0.24706228525337792</v>
      </c>
      <c r="CR170" s="2">
        <f>Table7[[#This Row],[WaistNS Res]]^2</f>
        <v>6.1039772794621479E-2</v>
      </c>
      <c r="CS170">
        <f>Regression!$J$29+(Regression!$J$28*Table83[[#This Row],[Night Diastolic Pressure]])</f>
        <v>44.409888175531407</v>
      </c>
      <c r="CT170" s="2">
        <f>Table83[[#This Row],[Waist]]-Table7[[#This Row],[Waist v Night Dia]]</f>
        <v>9.0111824468593227E-2</v>
      </c>
      <c r="CU170" s="2">
        <f>Table7[[#This Row],[WaistND Res]]^2</f>
        <v>8.1201409090585572E-3</v>
      </c>
      <c r="CV170">
        <f>Regression!$K$29+(Regression!$K$28*Table83[[#This Row],[Night Pulse]])</f>
        <v>44.451138133632369</v>
      </c>
      <c r="CW170" s="2">
        <f>Table83[[#This Row],[Waist]]-Table7[[#This Row],[Waist v Night Pulse]]</f>
        <v>4.8861866367630569E-2</v>
      </c>
      <c r="CX170" s="2">
        <f>Table7[[#This Row],[WaistNP Res]]^2</f>
        <v>2.3874819849281875E-3</v>
      </c>
      <c r="CY170">
        <f>Regression!$L$29+(Regression!$L$28*Table83[[#This Row],[Sleep]])</f>
        <v>44.649287724840718</v>
      </c>
      <c r="CZ170" s="2">
        <f>Table83[[#This Row],[Waist]]-Table7[[#This Row],[Waist v  Sleep]]</f>
        <v>-0.14928772484071828</v>
      </c>
      <c r="DA170" s="2">
        <f>Table7[[#This Row],[WaistS Res]]^2</f>
        <v>2.2286824788118016E-2</v>
      </c>
      <c r="DB170">
        <f>Regression!$M$29+(Regression!$M$28*Table83[[#This Row],[BMI]])</f>
        <v>43.429521026764029</v>
      </c>
      <c r="DC170" s="2">
        <f>Table83[[#This Row],[Waist]]-Table7[[#This Row],[Waist v BMI]]</f>
        <v>1.0704789732359714</v>
      </c>
      <c r="DD170" s="2">
        <f>Table7[[#This Row],[WaistBMI Res]]^2</f>
        <v>1.1459252321403397</v>
      </c>
      <c r="DE170">
        <f>Regression!$N$29+(Regression!$N$28*Table83[[#This Row],[CBF]])</f>
        <v>44.659010290127611</v>
      </c>
      <c r="DF170" s="2">
        <f>Table83[[#This Row],[Waist]]-Table7[[#This Row],[Waist v  CBF]]</f>
        <v>-0.15901029012761114</v>
      </c>
      <c r="DG170" s="2">
        <f>Table7[[#This Row],[WaistCBF Res]]^2</f>
        <v>2.5284272366467068E-2</v>
      </c>
      <c r="DH170">
        <f>Regression!$O$29+(Regression!$O$28*Table83[[#This Row],[Gym]])</f>
        <v>44.347222222222221</v>
      </c>
      <c r="DI170" s="2">
        <f>Table83[[#This Row],[Waist]]-Table7[[#This Row],[Waist v  Gym]]</f>
        <v>0.15277777777777857</v>
      </c>
      <c r="DJ170" s="2">
        <f>Table7[[#This Row],[WaistGYM Res]]^2</f>
        <v>2.3341049382716292E-2</v>
      </c>
      <c r="DK170">
        <f>Regression!$P$29+(Regression!$P$28*Table83[[#This Row],[Cardio]])</f>
        <v>44.291666666666664</v>
      </c>
      <c r="DL170" s="2">
        <f>Table83[[#This Row],[Waist]]-Table7[[#This Row],[Waist v Cardio]]</f>
        <v>0.2083333333333357</v>
      </c>
      <c r="DM170" s="2">
        <f>Table7[[#This Row],[WaistC Res]]^2</f>
        <v>4.3402777777778762E-2</v>
      </c>
      <c r="DN170">
        <f>Regression!$Q$29+(Regression!$Q$28*Table83[[#This Row],[Calories]])</f>
        <v>44.521409990182796</v>
      </c>
      <c r="DO170" s="2">
        <f>Table83[[#This Row],[Waist]]-Table7[[#This Row],[Waist v Calories]]</f>
        <v>-2.1409990182796435E-2</v>
      </c>
      <c r="DP170" s="2">
        <f>Table7[[#This Row],[WaistCal Res]]^2</f>
        <v>4.5838767962743971E-4</v>
      </c>
      <c r="DQ170">
        <f>Regression!$R$29+(Regression!$R$28*Table83[[#This Row],[Carbs]])</f>
        <v>44.467413161955569</v>
      </c>
      <c r="DR170" s="2">
        <f>Table83[[#This Row],[Waist]]-Table7[[#This Row],[Waist v Carbs]]</f>
        <v>3.2586838044430522E-2</v>
      </c>
      <c r="DS170" s="2">
        <f>Table7[[#This Row],[WaistCarb Res]]^2</f>
        <v>1.0619020137339445E-3</v>
      </c>
      <c r="DT170">
        <f>Regression!$S$29+(Regression!$S$28*Table83[[#This Row],[Fat ]])</f>
        <v>44.564417339358045</v>
      </c>
      <c r="DU170" s="2">
        <f>Table83[[#This Row],[Waist]]-Table7[[#This Row],[Waist v Fat]]</f>
        <v>-6.4417339358044501E-2</v>
      </c>
      <c r="DV170" s="2">
        <f>Table7[[#This Row],[WaistF Res]]^2</f>
        <v>4.1495936099694691E-3</v>
      </c>
      <c r="DW170">
        <f>Regression!$T$29+(Regression!$T$28*Table83[[#This Row],[Protein]])</f>
        <v>44.538588020690703</v>
      </c>
      <c r="DX170" s="2">
        <f>Table83[[#This Row],[Waist]]-Table7[[#This Row],[Waist v Protein]]</f>
        <v>-3.8588020690703217E-2</v>
      </c>
      <c r="DY170" s="2">
        <f>Table7[[#This Row],[WaistP Res]]^2</f>
        <v>1.4890353408261395E-3</v>
      </c>
      <c r="DZ170">
        <f>Regression!$U$29+(Regression!$U$28*Table83[[#This Row],[Fiber]])</f>
        <v>44.542201507602947</v>
      </c>
      <c r="EA170" s="2">
        <f>Table83[[#This Row],[Waist]]-Table7[[#This Row],[Waist v Fiber]]</f>
        <v>-4.220150760294672E-2</v>
      </c>
      <c r="EB170" s="2">
        <f>Table7[[#This Row],[WaistFib Res]]^2</f>
        <v>1.7809672439615697E-3</v>
      </c>
      <c r="EC170">
        <f>Regression!$V$29+(Regression!$V$28*Table83[[#This Row],[Sugar]])</f>
        <v>44.408912243776115</v>
      </c>
      <c r="ED170" s="2">
        <f>Table83[[#This Row],[Waist]]-Table7[[#This Row],[Waist v Sugar]]</f>
        <v>9.1087756223885208E-2</v>
      </c>
      <c r="EE170" s="2">
        <f>Table7[[#This Row],[WaistSugar Res]]^2</f>
        <v>8.2969793339019385E-3</v>
      </c>
      <c r="EF170">
        <f>Regression!$W$29+(Regression!$W$28*Table83[[#This Row],[Servings]])</f>
        <v>44.336509724563598</v>
      </c>
      <c r="EG170" s="2">
        <f>Table83[[#This Row],[Waist]]-Table7[[#This Row],[Waist v Servings]]</f>
        <v>0.16349027543640204</v>
      </c>
      <c r="EH170" s="2">
        <f>Table7[[#This Row],[WaistServ Res]]^2</f>
        <v>2.6729070162270604E-2</v>
      </c>
      <c r="EI170">
        <f>Regression!$X$29+(Regression!$X$28*Table83[[#This Row],[Water]])</f>
        <v>44.33031459742935</v>
      </c>
      <c r="EJ170" s="2">
        <f>Table83[[#This Row],[Waist]]-Table7[[#This Row],[Waist v Water]]</f>
        <v>0.16968540257065001</v>
      </c>
      <c r="EK170" s="2">
        <f>Table7[[#This Row],[WaistWat Res]]^2</f>
        <v>2.8793135845563558E-2</v>
      </c>
      <c r="EL170">
        <f>Regression!$Y$29+(Regression!$Y$28*Table83[[#This Row],[Fat Calories]])</f>
        <v>44.569464464562522</v>
      </c>
      <c r="EM170" s="2">
        <f>Table83[[#This Row],[Waist]]-Table7[[#This Row],[Waist v Fat Calories]]</f>
        <v>-6.9464464562521755E-2</v>
      </c>
      <c r="EN170" s="2">
        <f>Table7[[#This Row],[WaistFatCal Res]]^2</f>
        <v>4.8253118369578404E-3</v>
      </c>
    </row>
    <row r="171" spans="1:144" x14ac:dyDescent="0.25">
      <c r="A171">
        <f>Regression!$B$10+(Regression!$B$9*Table83[[#This Row],[Waist]])</f>
        <v>255.38023686459636</v>
      </c>
      <c r="B171" s="2">
        <f>Table83[[#This Row],[Weight]]-Table7[[#This Row],[Weight v Waist]]</f>
        <v>-6.580236864596344</v>
      </c>
      <c r="C171" s="2">
        <f>Table7[[#This Row],[Weight v Waist Res]]^2</f>
        <v>43.299517194192724</v>
      </c>
      <c r="D171">
        <f>Regression!$C$10+(Regression!$C$9*Table83[[#This Row],[Neck]])</f>
        <v>253.29286486487842</v>
      </c>
      <c r="E171" s="2">
        <f>Table83[[#This Row],[Weight]]-Table7[[#This Row],[Weight v Neck]]</f>
        <v>-4.4928648648784133</v>
      </c>
      <c r="F171" s="2">
        <f>Table7[[#This Row],[WN Res]]^2</f>
        <v>20.185834694058922</v>
      </c>
      <c r="G171">
        <f>Regression!$D$10+(Regression!$D$9*Table83[[#This Row],[Morning Body Temp]])</f>
        <v>255.4819577744185</v>
      </c>
      <c r="H171" s="2">
        <f>Table83[[#This Row],[Weight]]-Table7[[#This Row],[Weight v Morning Temp]]</f>
        <v>-6.6819577744184926</v>
      </c>
      <c r="I171" s="2">
        <f>Table7[[#This Row],[WMT Res]]^2</f>
        <v>44.648559699111736</v>
      </c>
      <c r="J171">
        <f>Regression!$E$10+(Regression!$E$9*Table83[[#This Row],[Morning Systolic Pressure]])</f>
        <v>255.32487264807224</v>
      </c>
      <c r="K171" s="2">
        <f>Table83[[#This Row],[Weight]]-Table7[[#This Row],[Weight v Morning Sys]]</f>
        <v>-6.5248726480722326</v>
      </c>
      <c r="L171" s="2">
        <f>Table7[[#This Row],[WMS Res]]^2</f>
        <v>42.573963073561146</v>
      </c>
      <c r="M171">
        <f>Regression!$F$10+(Regression!$F$9*Table83[[#This Row],[Morning Diastolic Pressure]])</f>
        <v>254.49397440297739</v>
      </c>
      <c r="N171" s="2">
        <f>Table83[[#This Row],[Weight]]-Table7[[#This Row],[Weight v Morning Dia]]</f>
        <v>-5.6939744029773749</v>
      </c>
      <c r="O171" s="2">
        <f>Table7[[#This Row],[WMD Res]]^2</f>
        <v>32.421344501761553</v>
      </c>
      <c r="P171">
        <f>Regression!$G$10+(Regression!$G$9*Table83[[#This Row],[Morning Pulse]])</f>
        <v>255.1081617071269</v>
      </c>
      <c r="Q171" s="2">
        <f>Table83[[#This Row],[Weight]]-Table7[[#This Row],[Weight v Morning Pulse]]</f>
        <v>-6.3081617071268852</v>
      </c>
      <c r="R171" s="2">
        <f>Table7[[#This Row],[WMP Res]]^2</f>
        <v>39.792904123261977</v>
      </c>
      <c r="S171">
        <f>Regression!$H$10+(Regression!$H$9*Table83[[#This Row],[Night Body Temp]])</f>
        <v>254.95418324800676</v>
      </c>
      <c r="T171" s="2">
        <f>Table83[[#This Row],[Weight]]-Table7[[#This Row],[Weight v Night Temp]]</f>
        <v>-6.1541832480067455</v>
      </c>
      <c r="U171" s="2">
        <f>Table7[[#This Row],[WNT Res]]^2</f>
        <v>37.873971450046859</v>
      </c>
      <c r="V171">
        <f>Regression!$I$10+(Regression!$I$9*Table83[[#This Row],[Night Systolic Pressure]])</f>
        <v>255.13593655913874</v>
      </c>
      <c r="W171" s="2">
        <f>Table83[[#This Row],[Weight]]-Table7[[#This Row],[Weight v Night Sys]]</f>
        <v>-6.3359365591387302</v>
      </c>
      <c r="X171" s="2">
        <f>Table7[[#This Row],[WNS Res]]^2</f>
        <v>40.144092081430735</v>
      </c>
      <c r="Y171">
        <f>Regression!$J$10+(Regression!$J$9*Table83[[#This Row],[Night Diastolic Pressure]])</f>
        <v>255.25537984791052</v>
      </c>
      <c r="Z171" s="2">
        <f>Table83[[#This Row],[Weight]]-Table7[[#This Row],[Weight v Night Dia]]</f>
        <v>-6.4553798479105069</v>
      </c>
      <c r="AA171" s="2">
        <f>Table7[[#This Row],[WND Res]]^2</f>
        <v>41.671928980809078</v>
      </c>
      <c r="AB171">
        <f>Regression!$K$10+(Regression!$K$9*Table83[[#This Row],[Night Pulse]])</f>
        <v>255.11015185874123</v>
      </c>
      <c r="AC171" s="2">
        <f>Table83[[#This Row],[Weight]]-Table7[[#This Row],[Weight v Night Pulse]]</f>
        <v>-6.3101518587412215</v>
      </c>
      <c r="AD171" s="2">
        <f>Table7[[#This Row],[WNP Res ]]^2</f>
        <v>39.818016480375292</v>
      </c>
      <c r="AE171">
        <f>Regression!$L$10+(Regression!$L$9*Table83[[#This Row],[Sleep]])</f>
        <v>255.45250391075515</v>
      </c>
      <c r="AF171" s="2">
        <f>Table83[[#This Row],[Weight]]-Table7[[#This Row],[Weight v Sleep]]</f>
        <v>-6.6525039107551436</v>
      </c>
      <c r="AG171" s="2">
        <f>Table7[[#This Row],[WS Res]]^2</f>
        <v>44.255808282612477</v>
      </c>
      <c r="AH171">
        <f>Regression!$M$10+(Regression!$M$9*Table83[[#This Row],[BMI]])</f>
        <v>248.80000000001414</v>
      </c>
      <c r="AI171" s="2">
        <f>Table83[[#This Row],[Weight]]-Table7[[#This Row],[Weight v BMI]]</f>
        <v>-1.4125589586910792E-11</v>
      </c>
      <c r="AJ171" s="2">
        <f>Table7[[#This Row],[WBMI Res]]^2</f>
        <v>1.9953228117784259E-22</v>
      </c>
      <c r="AK171">
        <f>Regression!$N$10+(Regression!$N$9*Table83[[#This Row],[CBF]])</f>
        <v>256.25609762651322</v>
      </c>
      <c r="AL171" s="2">
        <f>Table83[[#This Row],[Weight]]-Table7[[#This Row],[Weight v CBF]]</f>
        <v>-7.4560976265132126</v>
      </c>
      <c r="AM171" s="2">
        <f>Table7[[#This Row],[WCBF Res]]^2</f>
        <v>55.593391816095959</v>
      </c>
      <c r="AN171">
        <f>Regression!$O$10+(Regression!$O$9*Table83[[#This Row],[Gym]])</f>
        <v>254.72962962962998</v>
      </c>
      <c r="AO171" s="2">
        <f>Table83[[#This Row],[Weight]]-Table7[[#This Row],[Weight v Gym]]</f>
        <v>-5.9296296296299715</v>
      </c>
      <c r="AP171" s="2">
        <f>Table7[[#This Row],[WG Res]]^2</f>
        <v>35.16050754458567</v>
      </c>
      <c r="AQ171">
        <f>Regression!$P$10+(Regression!$P$9*Table83[[#This Row],[Cardio]])</f>
        <v>254.19242424242461</v>
      </c>
      <c r="AR171" s="2">
        <f>Table83[[#This Row],[Weight]]-Table7[[#This Row],[Weight v Cardio]]</f>
        <v>-5.3924242424245961</v>
      </c>
      <c r="AS171" s="2">
        <f>Table7[[#This Row],[WC Res]]^2</f>
        <v>29.07823921028848</v>
      </c>
      <c r="AT171">
        <f>Regression!$Q$10+(Regression!$Q$9*Table83[[#This Row],[Calories]])</f>
        <v>255.4774971953421</v>
      </c>
      <c r="AU171" s="2">
        <f>Table83[[#This Row],[Weight]]-Table7[[#This Row],[Weight v Calories]]</f>
        <v>-6.6774971953420845</v>
      </c>
      <c r="AV171" s="2">
        <f>Table7[[#This Row],[WCAL Res]]^2</f>
        <v>44.588968793801406</v>
      </c>
      <c r="AW171">
        <f>Regression!$R$10+(Regression!$R$9*Table83[[#This Row],[Carbs]])</f>
        <v>255.4091802592234</v>
      </c>
      <c r="AX171" s="2">
        <f>Table83[[#This Row],[Weight]]-Table7[[#This Row],[Weight v Carbs]]</f>
        <v>-6.6091802592233933</v>
      </c>
      <c r="AY171" s="2">
        <f>Table7[[#This Row],[Wcarb Res]]^2</f>
        <v>43.681263698908197</v>
      </c>
      <c r="AZ171">
        <f>Regression!$S$10+(Regression!$S$9*Table83[[#This Row],[Fat ]])</f>
        <v>255.3859095911761</v>
      </c>
      <c r="BA171" s="2">
        <f>Table83[[#This Row],[Weight]]-Table7[[#This Row],[Weight v Fat]]</f>
        <v>-6.5859095911760903</v>
      </c>
      <c r="BB171" s="2">
        <f>Table7[[#This Row],[WF Res]]^2</f>
        <v>43.374205143145218</v>
      </c>
      <c r="BC171">
        <f>Regression!$T$10+(Regression!$T$9*Table83[[#This Row],[Protein]])</f>
        <v>255.55510882771188</v>
      </c>
      <c r="BD171" s="2">
        <f>Table83[[#This Row],[Weight]]-Table7[[#This Row],[Weight v Protein]]</f>
        <v>-6.7551088277118652</v>
      </c>
      <c r="BE171" s="2">
        <f>Table7[[#This Row],[WP Res]]^2</f>
        <v>45.631495274230772</v>
      </c>
      <c r="BF171">
        <f>Regression!$U$10+(Regression!$U$9*Table83[[#This Row],[Fiber]])</f>
        <v>255.00619083929129</v>
      </c>
      <c r="BG171" s="2">
        <f>Table83[[#This Row],[Weight]]-Table7[[#This Row],[Weight v Fiber]]</f>
        <v>-6.2061908392912812</v>
      </c>
      <c r="BH171" s="2">
        <f>Table7[[#This Row],[Wfib Res]]^2</f>
        <v>38.516804733703019</v>
      </c>
      <c r="BI171">
        <f>Regression!$V$10+(Regression!$V$9*Table83[[#This Row],[Sugar]])</f>
        <v>254.93690392816609</v>
      </c>
      <c r="BJ171" s="2">
        <f>Table83[[#This Row],[Weight]]-Table7[[#This Row],[Weight v Sugar]]</f>
        <v>-6.1369039281660775</v>
      </c>
      <c r="BK171" s="2">
        <f>Table7[[#This Row],[Wsugar Res]]^2</f>
        <v>37.661589823540233</v>
      </c>
      <c r="BL171">
        <f>Regression!$W$10+(Regression!$W$9*Table83[[#This Row],[Servings]])</f>
        <v>254.73030176645966</v>
      </c>
      <c r="BM171" s="2">
        <f>Table83[[#This Row],[Weight]]-Table7[[#This Row],[Weight v Servings]]</f>
        <v>-5.9303017664596496</v>
      </c>
      <c r="BN171" s="2">
        <f>Table7[[#This Row],[Wserv Res]]^2</f>
        <v>35.168479041274438</v>
      </c>
      <c r="BO171">
        <f>Regression!$X$10+(Regression!$X$9*Table83[[#This Row],[Water]])</f>
        <v>255.0206340268538</v>
      </c>
      <c r="BP171" s="2">
        <f>Table83[[#This Row],[Weight]]-Table7[[#This Row],[Weight v Water]]</f>
        <v>-6.2206340268537872</v>
      </c>
      <c r="BQ171" s="2">
        <f>Table7[[#This Row],[Wwater Res]]^2</f>
        <v>38.696287696051165</v>
      </c>
      <c r="BR171">
        <f>Regression!$Y$10+(Regression!$Y$9*Table83[[#This Row],[Fat Calories]])</f>
        <v>255.39845150952465</v>
      </c>
      <c r="BS171" s="2">
        <f>Table83[[#This Row],[Weight]]-Table7[[#This Row],[Weight v Fat Calories]]</f>
        <v>-6.5984515095246365</v>
      </c>
      <c r="BT171" s="2">
        <f>Table7[[#This Row],[WFC Res]]^2</f>
        <v>43.539562323547955</v>
      </c>
      <c r="BU171">
        <f>Regression!$B$29+(Regression!$B$28*Table83[[#This Row],[Weight]])</f>
        <v>43.593036039444762</v>
      </c>
      <c r="BV171" s="2">
        <f>Table83[[#This Row],[Waist]]-Table7[[#This Row],[Waist v Weight]]</f>
        <v>0.9069639605552382</v>
      </c>
      <c r="BW171" s="2">
        <f>Table7[[#This Row],[WaistW Res]]^2</f>
        <v>0.82258362574604371</v>
      </c>
      <c r="BX171">
        <f>Regression!$C$29+(Regression!$C$28*Table83[[#This Row],[Neck]])</f>
        <v>44.175585585585594</v>
      </c>
      <c r="BY171" s="2">
        <f>Table83[[#This Row],[Waist]]-Table7[[#This Row],[Waist v Neck]]</f>
        <v>0.32441441441440588</v>
      </c>
      <c r="BZ171" s="2">
        <f>Table7[[#This Row],[WaistN Res]]^2</f>
        <v>0.10524471227984188</v>
      </c>
      <c r="CA171">
        <f>Regression!$D$29+(Regression!$D$28*Table83[[#This Row],[Morning Body Temp]])</f>
        <v>44.553331996636587</v>
      </c>
      <c r="CB171" s="2">
        <f>Table83[[#This Row],[Waist]]-Table7[[#This Row],[Waist v Morning Temp]]</f>
        <v>-5.3331996636586609E-2</v>
      </c>
      <c r="CC171" s="2">
        <f>Table7[[#This Row],[WaistMT Res]]^2</f>
        <v>2.8443018652448853E-3</v>
      </c>
      <c r="CD171">
        <f>Regression!$E$29+(Regression!$E$28*Table83[[#This Row],[Morning Systolic Pressure]])</f>
        <v>44.502836753606339</v>
      </c>
      <c r="CE171" s="2">
        <f>Table83[[#This Row],[Waist]]-Table7[[#This Row],[Waist v Morning Sys]]</f>
        <v>-2.8367536063385046E-3</v>
      </c>
      <c r="CF171" s="2">
        <f>Table7[[#This Row],[WaistMS Res]]^2</f>
        <v>8.0471710230745112E-6</v>
      </c>
      <c r="CG171">
        <f>Regression!$F$29+(Regression!$F$28*Table83[[#This Row],[Morning Diastolic Pressure]])</f>
        <v>44.419002944131137</v>
      </c>
      <c r="CH171" s="2">
        <f>Table83[[#This Row],[Waist]]-Table7[[#This Row],[Waist v Morning Dia]]</f>
        <v>8.0997055868863299E-2</v>
      </c>
      <c r="CI171" s="2">
        <f>Table7[[#This Row],[WaistMD Res]]^2</f>
        <v>6.5605230594237623E-3</v>
      </c>
      <c r="CJ171">
        <f>Regression!$G$29+(Regression!$G$28*Table83[[#This Row],[Morning Pulse]])</f>
        <v>44.450378687211739</v>
      </c>
      <c r="CK171" s="2">
        <f>Table83[[#This Row],[Waist]]-Table7[[#This Row],[Waist v Morning Pulse]]</f>
        <v>4.9621312788261207E-2</v>
      </c>
      <c r="CL171" s="2">
        <f>Table7[[#This Row],[WaistMP Res]]^2</f>
        <v>2.4622746828304553E-3</v>
      </c>
      <c r="CM171">
        <f>Regression!$H$29+(Regression!$H$28*Table83[[#This Row],[Night Body Temp]])</f>
        <v>44.440857030854289</v>
      </c>
      <c r="CN171" s="2">
        <f>Table83[[#This Row],[Waist]]-Table7[[#This Row],[Waist v Night Temp]]</f>
        <v>5.9142969145710822E-2</v>
      </c>
      <c r="CO171" s="2">
        <f>Table7[[#This Row],[WaistNT Res]]^2</f>
        <v>3.4978907993705021E-3</v>
      </c>
      <c r="CP171">
        <f>Regression!$I$29+(Regression!$I$28*Table83[[#This Row],[Night Systolic Pressure]])</f>
        <v>44.456499315305209</v>
      </c>
      <c r="CQ171" s="2">
        <f>Table83[[#This Row],[Waist]]-Table7[[#This Row],[Waist v  Night Sys]]</f>
        <v>4.3500684694791403E-2</v>
      </c>
      <c r="CR171" s="2">
        <f>Table7[[#This Row],[WaistNS Res]]^2</f>
        <v>1.8923095689156589E-3</v>
      </c>
      <c r="CS171">
        <f>Regression!$J$29+(Regression!$J$28*Table83[[#This Row],[Night Diastolic Pressure]])</f>
        <v>44.512295846776055</v>
      </c>
      <c r="CT171" s="2">
        <f>Table83[[#This Row],[Waist]]-Table7[[#This Row],[Waist v Night Dia]]</f>
        <v>-1.2295846776055441E-2</v>
      </c>
      <c r="CU171" s="2">
        <f>Table7[[#This Row],[WaistND Res]]^2</f>
        <v>1.5118784794023298E-4</v>
      </c>
      <c r="CV171">
        <f>Regression!$K$29+(Regression!$K$28*Table83[[#This Row],[Night Pulse]])</f>
        <v>44.453994879943338</v>
      </c>
      <c r="CW171" s="2">
        <f>Table83[[#This Row],[Waist]]-Table7[[#This Row],[Waist v Night Pulse]]</f>
        <v>4.6005120056662463E-2</v>
      </c>
      <c r="CX171" s="2">
        <f>Table7[[#This Row],[WaistNP Res]]^2</f>
        <v>2.1164710714279269E-3</v>
      </c>
      <c r="CY171">
        <f>Regression!$L$29+(Regression!$L$28*Table83[[#This Row],[Sleep]])</f>
        <v>44.504990820853756</v>
      </c>
      <c r="CZ171" s="2">
        <f>Table83[[#This Row],[Waist]]-Table7[[#This Row],[Waist v  Sleep]]</f>
        <v>-4.9908208537559062E-3</v>
      </c>
      <c r="DA171" s="2">
        <f>Table7[[#This Row],[WaistS Res]]^2</f>
        <v>2.4908292794284833E-5</v>
      </c>
      <c r="DB171">
        <f>Regression!$M$29+(Regression!$M$28*Table83[[#This Row],[BMI]])</f>
        <v>43.59303603944749</v>
      </c>
      <c r="DC171" s="2">
        <f>Table83[[#This Row],[Waist]]-Table7[[#This Row],[Waist v BMI]]</f>
        <v>0.90696396055250972</v>
      </c>
      <c r="DD171" s="2">
        <f>Table7[[#This Row],[WaistBMI Res]]^2</f>
        <v>0.82258362574109445</v>
      </c>
      <c r="DE171">
        <f>Regression!$N$29+(Regression!$N$28*Table83[[#This Row],[CBF]])</f>
        <v>44.659010290127611</v>
      </c>
      <c r="DF171" s="2">
        <f>Table83[[#This Row],[Waist]]-Table7[[#This Row],[Waist v  CBF]]</f>
        <v>-0.15901029012761114</v>
      </c>
      <c r="DG171" s="2">
        <f>Table7[[#This Row],[WaistCBF Res]]^2</f>
        <v>2.5284272366467068E-2</v>
      </c>
      <c r="DH171">
        <f>Regression!$O$29+(Regression!$O$28*Table83[[#This Row],[Gym]])</f>
        <v>44.347222222222221</v>
      </c>
      <c r="DI171" s="2">
        <f>Table83[[#This Row],[Waist]]-Table7[[#This Row],[Waist v  Gym]]</f>
        <v>0.15277777777777857</v>
      </c>
      <c r="DJ171" s="2">
        <f>Table7[[#This Row],[WaistGYM Res]]^2</f>
        <v>2.3341049382716292E-2</v>
      </c>
      <c r="DK171">
        <f>Regression!$P$29+(Regression!$P$28*Table83[[#This Row],[Cardio]])</f>
        <v>44.291666666666664</v>
      </c>
      <c r="DL171" s="2">
        <f>Table83[[#This Row],[Waist]]-Table7[[#This Row],[Waist v Cardio]]</f>
        <v>0.2083333333333357</v>
      </c>
      <c r="DM171" s="2">
        <f>Table7[[#This Row],[WaistC Res]]^2</f>
        <v>4.3402777777778762E-2</v>
      </c>
      <c r="DN171">
        <f>Regression!$Q$29+(Regression!$Q$28*Table83[[#This Row],[Calories]])</f>
        <v>44.534974961240117</v>
      </c>
      <c r="DO171" s="2">
        <f>Table83[[#This Row],[Waist]]-Table7[[#This Row],[Waist v Calories]]</f>
        <v>-3.4974961240116897E-2</v>
      </c>
      <c r="DP171" s="2">
        <f>Table7[[#This Row],[WaistCal Res]]^2</f>
        <v>1.2232479137476793E-3</v>
      </c>
      <c r="DQ171">
        <f>Regression!$R$29+(Regression!$R$28*Table83[[#This Row],[Carbs]])</f>
        <v>44.514777139371489</v>
      </c>
      <c r="DR171" s="2">
        <f>Table83[[#This Row],[Waist]]-Table7[[#This Row],[Waist v Carbs]]</f>
        <v>-1.4777139371489056E-2</v>
      </c>
      <c r="DS171" s="2">
        <f>Table7[[#This Row],[WaistCarb Res]]^2</f>
        <v>2.1836384800441198E-4</v>
      </c>
      <c r="DT171">
        <f>Regression!$S$29+(Regression!$S$28*Table83[[#This Row],[Fat ]])</f>
        <v>44.536337626237874</v>
      </c>
      <c r="DU171" s="2">
        <f>Table83[[#This Row],[Waist]]-Table7[[#This Row],[Waist v Fat]]</f>
        <v>-3.6337626237873621E-2</v>
      </c>
      <c r="DV171" s="2">
        <f>Table7[[#This Row],[WaistF Res]]^2</f>
        <v>1.3204230806034014E-3</v>
      </c>
      <c r="DW171">
        <f>Regression!$T$29+(Regression!$T$28*Table83[[#This Row],[Protein]])</f>
        <v>44.534087987972612</v>
      </c>
      <c r="DX171" s="2">
        <f>Table83[[#This Row],[Waist]]-Table7[[#This Row],[Waist v Protein]]</f>
        <v>-3.40879879726117E-2</v>
      </c>
      <c r="DY171" s="2">
        <f>Table7[[#This Row],[WaistP Res]]^2</f>
        <v>1.1619909240209198E-3</v>
      </c>
      <c r="DZ171">
        <f>Regression!$U$29+(Regression!$U$28*Table83[[#This Row],[Fiber]])</f>
        <v>44.411537651987956</v>
      </c>
      <c r="EA171" s="2">
        <f>Table83[[#This Row],[Waist]]-Table7[[#This Row],[Waist v Fiber]]</f>
        <v>8.846234801204389E-2</v>
      </c>
      <c r="EB171" s="2">
        <f>Table7[[#This Row],[WaistFib Res]]^2</f>
        <v>7.8255870158039659E-3</v>
      </c>
      <c r="EC171">
        <f>Regression!$V$29+(Regression!$V$28*Table83[[#This Row],[Sugar]])</f>
        <v>44.42153890139258</v>
      </c>
      <c r="ED171" s="2">
        <f>Table83[[#This Row],[Waist]]-Table7[[#This Row],[Waist v Sugar]]</f>
        <v>7.8461098607419899E-2</v>
      </c>
      <c r="EE171" s="2">
        <f>Table7[[#This Row],[WaistSugar Res]]^2</f>
        <v>6.1561439946832691E-3</v>
      </c>
      <c r="EF171">
        <f>Regression!$W$29+(Regression!$W$28*Table83[[#This Row],[Servings]])</f>
        <v>44.394834530166122</v>
      </c>
      <c r="EG171" s="2">
        <f>Table83[[#This Row],[Waist]]-Table7[[#This Row],[Waist v Servings]]</f>
        <v>0.10516546983387798</v>
      </c>
      <c r="EH171" s="2">
        <f>Table7[[#This Row],[WaistServ Res]]^2</f>
        <v>1.1059776045380299E-2</v>
      </c>
      <c r="EI171">
        <f>Regression!$X$29+(Regression!$X$28*Table83[[#This Row],[Water]])</f>
        <v>44.33031459742935</v>
      </c>
      <c r="EJ171" s="2">
        <f>Table83[[#This Row],[Waist]]-Table7[[#This Row],[Waist v Water]]</f>
        <v>0.16968540257065001</v>
      </c>
      <c r="EK171" s="2">
        <f>Table7[[#This Row],[WaistWat Res]]^2</f>
        <v>2.8793135845563558E-2</v>
      </c>
      <c r="EL171">
        <f>Regression!$Y$29+(Regression!$Y$28*Table83[[#This Row],[Fat Calories]])</f>
        <v>44.539732124263644</v>
      </c>
      <c r="EM171" s="2">
        <f>Table83[[#This Row],[Waist]]-Table7[[#This Row],[Waist v Fat Calories]]</f>
        <v>-3.9732124263643698E-2</v>
      </c>
      <c r="EN171" s="2">
        <f>Table7[[#This Row],[WaistFatCal Res]]^2</f>
        <v>1.5786416985016241E-3</v>
      </c>
    </row>
    <row r="172" spans="1:144" x14ac:dyDescent="0.25">
      <c r="A172">
        <f>Regression!$B$10+(Regression!$B$9*Table83[[#This Row],[Waist]])</f>
        <v>255.38023686459636</v>
      </c>
      <c r="B172" s="2">
        <f>Table83[[#This Row],[Weight]]-Table7[[#This Row],[Weight v Waist]]</f>
        <v>-5.580236864596344</v>
      </c>
      <c r="C172" s="2">
        <f>Table7[[#This Row],[Weight v Waist Res]]^2</f>
        <v>31.139043465000036</v>
      </c>
      <c r="D172">
        <f>Regression!$C$10+(Regression!$C$9*Table83[[#This Row],[Neck]])</f>
        <v>253.29286486487842</v>
      </c>
      <c r="E172" s="2">
        <f>Table83[[#This Row],[Weight]]-Table7[[#This Row],[Weight v Neck]]</f>
        <v>-3.4928648648784133</v>
      </c>
      <c r="F172" s="2">
        <f>Table7[[#This Row],[WN Res]]^2</f>
        <v>12.200104964302096</v>
      </c>
      <c r="G172">
        <f>Regression!$D$10+(Regression!$D$9*Table83[[#This Row],[Morning Body Temp]])</f>
        <v>255.27076211175142</v>
      </c>
      <c r="H172" s="2">
        <f>Table83[[#This Row],[Weight]]-Table7[[#This Row],[Weight v Morning Temp]]</f>
        <v>-5.4707621117514122</v>
      </c>
      <c r="I172" s="2">
        <f>Table7[[#This Row],[WMT Res]]^2</f>
        <v>29.92923808337477</v>
      </c>
      <c r="J172">
        <f>Regression!$E$10+(Regression!$E$9*Table83[[#This Row],[Morning Systolic Pressure]])</f>
        <v>254.73886899784827</v>
      </c>
      <c r="K172" s="2">
        <f>Table83[[#This Row],[Weight]]-Table7[[#This Row],[Weight v Morning Sys]]</f>
        <v>-4.9388689978482603</v>
      </c>
      <c r="L172" s="2">
        <f>Table7[[#This Row],[WMS Res]]^2</f>
        <v>24.39242697790668</v>
      </c>
      <c r="M172">
        <f>Regression!$F$10+(Regression!$F$9*Table83[[#This Row],[Morning Diastolic Pressure]])</f>
        <v>256.01413813865059</v>
      </c>
      <c r="N172" s="2">
        <f>Table83[[#This Row],[Weight]]-Table7[[#This Row],[Weight v Morning Dia]]</f>
        <v>-6.2141381386505827</v>
      </c>
      <c r="O172" s="2">
        <f>Table7[[#This Row],[WMD Res]]^2</f>
        <v>38.615512806231727</v>
      </c>
      <c r="P172">
        <f>Regression!$G$10+(Regression!$G$9*Table83[[#This Row],[Morning Pulse]])</f>
        <v>255.09353934106937</v>
      </c>
      <c r="Q172" s="2">
        <f>Table83[[#This Row],[Weight]]-Table7[[#This Row],[Weight v Morning Pulse]]</f>
        <v>-5.2935393410693621</v>
      </c>
      <c r="R172" s="2">
        <f>Table7[[#This Row],[WMP Res]]^2</f>
        <v>28.021558755449057</v>
      </c>
      <c r="S172">
        <f>Regression!$H$10+(Regression!$H$9*Table83[[#This Row],[Night Body Temp]])</f>
        <v>255.05687981848845</v>
      </c>
      <c r="T172" s="2">
        <f>Table83[[#This Row],[Weight]]-Table7[[#This Row],[Weight v Night Temp]]</f>
        <v>-5.2568798184884429</v>
      </c>
      <c r="U172" s="2">
        <f>Table7[[#This Row],[WNT Res]]^2</f>
        <v>27.634785426031083</v>
      </c>
      <c r="V172">
        <f>Regression!$I$10+(Regression!$I$9*Table83[[#This Row],[Night Systolic Pressure]])</f>
        <v>255.03329172511027</v>
      </c>
      <c r="W172" s="2">
        <f>Table83[[#This Row],[Weight]]-Table7[[#This Row],[Weight v Night Sys]]</f>
        <v>-5.2332917251102629</v>
      </c>
      <c r="X172" s="2">
        <f>Table7[[#This Row],[WNS Res]]^2</f>
        <v>27.38734228010755</v>
      </c>
      <c r="Y172">
        <f>Regression!$J$10+(Regression!$J$9*Table83[[#This Row],[Night Diastolic Pressure]])</f>
        <v>255.01078463741391</v>
      </c>
      <c r="Z172" s="2">
        <f>Table83[[#This Row],[Weight]]-Table7[[#This Row],[Weight v Night Dia]]</f>
        <v>-5.2107846374138944</v>
      </c>
      <c r="AA172" s="2">
        <f>Table7[[#This Row],[WND Res]]^2</f>
        <v>27.152276537508651</v>
      </c>
      <c r="AB172">
        <f>Regression!$K$10+(Regression!$K$9*Table83[[#This Row],[Night Pulse]])</f>
        <v>255.17157852121468</v>
      </c>
      <c r="AC172" s="2">
        <f>Table83[[#This Row],[Weight]]-Table7[[#This Row],[Weight v Night Pulse]]</f>
        <v>-5.3715785212146727</v>
      </c>
      <c r="AD172" s="2">
        <f>Table7[[#This Row],[WNP Res ]]^2</f>
        <v>28.85385580957481</v>
      </c>
      <c r="AE172">
        <f>Regression!$L$10+(Regression!$L$9*Table83[[#This Row],[Sleep]])</f>
        <v>255.13702972738133</v>
      </c>
      <c r="AF172" s="2">
        <f>Table83[[#This Row],[Weight]]-Table7[[#This Row],[Weight v Sleep]]</f>
        <v>-5.3370297273813208</v>
      </c>
      <c r="AG172" s="2">
        <f>Table7[[#This Row],[WS Res]]^2</f>
        <v>28.483886310951934</v>
      </c>
      <c r="AH172">
        <f>Regression!$M$10+(Regression!$M$9*Table83[[#This Row],[BMI]])</f>
        <v>249.80000000001192</v>
      </c>
      <c r="AI172" s="2">
        <f>Table83[[#This Row],[Weight]]-Table7[[#This Row],[Weight v BMI]]</f>
        <v>-1.1908696251339279E-11</v>
      </c>
      <c r="AJ172" s="2">
        <f>Table7[[#This Row],[WBMI Res]]^2</f>
        <v>1.418170464066622E-22</v>
      </c>
      <c r="AK172">
        <f>Regression!$N$10+(Regression!$N$9*Table83[[#This Row],[CBF]])</f>
        <v>256.25609762651322</v>
      </c>
      <c r="AL172" s="2">
        <f>Table83[[#This Row],[Weight]]-Table7[[#This Row],[Weight v CBF]]</f>
        <v>-6.4560976265132126</v>
      </c>
      <c r="AM172" s="2">
        <f>Table7[[#This Row],[WCBF Res]]^2</f>
        <v>41.681196563069534</v>
      </c>
      <c r="AN172">
        <f>Regression!$O$10+(Regression!$O$9*Table83[[#This Row],[Gym]])</f>
        <v>254.72962962962998</v>
      </c>
      <c r="AO172" s="2">
        <f>Table83[[#This Row],[Weight]]-Table7[[#This Row],[Weight v Gym]]</f>
        <v>-4.9296296296299715</v>
      </c>
      <c r="AP172" s="2">
        <f>Table7[[#This Row],[WG Res]]^2</f>
        <v>24.30124828532573</v>
      </c>
      <c r="AQ172">
        <f>Regression!$P$10+(Regression!$P$9*Table83[[#This Row],[Cardio]])</f>
        <v>254.19242424242461</v>
      </c>
      <c r="AR172" s="2">
        <f>Table83[[#This Row],[Weight]]-Table7[[#This Row],[Weight v Cardio]]</f>
        <v>-4.3924242424245961</v>
      </c>
      <c r="AS172" s="2">
        <f>Table7[[#This Row],[WC Res]]^2</f>
        <v>19.293390725439288</v>
      </c>
      <c r="AT172">
        <f>Regression!$Q$10+(Regression!$Q$9*Table83[[#This Row],[Calories]])</f>
        <v>254.89866740223457</v>
      </c>
      <c r="AU172" s="2">
        <f>Table83[[#This Row],[Weight]]-Table7[[#This Row],[Weight v Calories]]</f>
        <v>-5.0986674022345539</v>
      </c>
      <c r="AV172" s="2">
        <f>Table7[[#This Row],[WCAL Res]]^2</f>
        <v>25.996409278609256</v>
      </c>
      <c r="AW172">
        <f>Regression!$R$10+(Regression!$R$9*Table83[[#This Row],[Carbs]])</f>
        <v>254.34024181386167</v>
      </c>
      <c r="AX172" s="2">
        <f>Table83[[#This Row],[Weight]]-Table7[[#This Row],[Weight v Carbs]]</f>
        <v>-4.5402418138616554</v>
      </c>
      <c r="AY172" s="2">
        <f>Table7[[#This Row],[Wcarb Res]]^2</f>
        <v>20.613795728337774</v>
      </c>
      <c r="AZ172">
        <f>Regression!$S$10+(Regression!$S$9*Table83[[#This Row],[Fat ]])</f>
        <v>255.34778296572921</v>
      </c>
      <c r="BA172" s="2">
        <f>Table83[[#This Row],[Weight]]-Table7[[#This Row],[Weight v Fat]]</f>
        <v>-5.5477829657291977</v>
      </c>
      <c r="BB172" s="2">
        <f>Table7[[#This Row],[WF Res]]^2</f>
        <v>30.777895834835054</v>
      </c>
      <c r="BC172">
        <f>Regression!$T$10+(Regression!$T$9*Table83[[#This Row],[Protein]])</f>
        <v>255.25800186584914</v>
      </c>
      <c r="BD172" s="2">
        <f>Table83[[#This Row],[Weight]]-Table7[[#This Row],[Weight v Protein]]</f>
        <v>-5.4580018658491269</v>
      </c>
      <c r="BE172" s="2">
        <f>Table7[[#This Row],[WP Res]]^2</f>
        <v>29.789784367612551</v>
      </c>
      <c r="BF172">
        <f>Regression!$U$10+(Regression!$U$9*Table83[[#This Row],[Fiber]])</f>
        <v>255.39572135230384</v>
      </c>
      <c r="BG172" s="2">
        <f>Table83[[#This Row],[Weight]]-Table7[[#This Row],[Weight v Fiber]]</f>
        <v>-5.5957213523038263</v>
      </c>
      <c r="BH172" s="2">
        <f>Table7[[#This Row],[Wfib Res]]^2</f>
        <v>31.312097452628961</v>
      </c>
      <c r="BI172">
        <f>Regression!$V$10+(Regression!$V$9*Table83[[#This Row],[Sugar]])</f>
        <v>253.1968375026957</v>
      </c>
      <c r="BJ172" s="2">
        <f>Table83[[#This Row],[Weight]]-Table7[[#This Row],[Weight v Sugar]]</f>
        <v>-3.3968375026956892</v>
      </c>
      <c r="BK172" s="2">
        <f>Table7[[#This Row],[Wsugar Res]]^2</f>
        <v>11.538505019719887</v>
      </c>
      <c r="BL172">
        <f>Regression!$W$10+(Regression!$W$9*Table83[[#This Row],[Servings]])</f>
        <v>252.45592113404945</v>
      </c>
      <c r="BM172" s="2">
        <f>Table83[[#This Row],[Weight]]-Table7[[#This Row],[Weight v Servings]]</f>
        <v>-2.6559211340494358</v>
      </c>
      <c r="BN172" s="2">
        <f>Table7[[#This Row],[Wserv Res]]^2</f>
        <v>7.0539170702904412</v>
      </c>
      <c r="BO172">
        <f>Regression!$X$10+(Regression!$X$9*Table83[[#This Row],[Water]])</f>
        <v>255.0206340268538</v>
      </c>
      <c r="BP172" s="2">
        <f>Table83[[#This Row],[Weight]]-Table7[[#This Row],[Weight v Water]]</f>
        <v>-5.2206340268537872</v>
      </c>
      <c r="BQ172" s="2">
        <f>Table7[[#This Row],[Wwater Res]]^2</f>
        <v>27.255019642343591</v>
      </c>
      <c r="BR172">
        <f>Regression!$Y$10+(Regression!$Y$9*Table83[[#This Row],[Fat Calories]])</f>
        <v>255.35787518858501</v>
      </c>
      <c r="BS172" s="2">
        <f>Table83[[#This Row],[Weight]]-Table7[[#This Row],[Weight v Fat Calories]]</f>
        <v>-5.5578751885850011</v>
      </c>
      <c r="BT172" s="2">
        <f>Table7[[#This Row],[WFC Res]]^2</f>
        <v>30.889976611888763</v>
      </c>
      <c r="BU172">
        <f>Regression!$B$29+(Regression!$B$28*Table83[[#This Row],[Weight]])</f>
        <v>43.72929855001474</v>
      </c>
      <c r="BV172" s="2">
        <f>Table83[[#This Row],[Waist]]-Table7[[#This Row],[Waist v Weight]]</f>
        <v>0.77070144998526047</v>
      </c>
      <c r="BW172" s="2">
        <f>Table7[[#This Row],[WaistW Res]]^2</f>
        <v>0.59398072500938293</v>
      </c>
      <c r="BX172">
        <f>Regression!$C$29+(Regression!$C$28*Table83[[#This Row],[Neck]])</f>
        <v>44.175585585585594</v>
      </c>
      <c r="BY172" s="2">
        <f>Table83[[#This Row],[Waist]]-Table7[[#This Row],[Waist v Neck]]</f>
        <v>0.32441441441440588</v>
      </c>
      <c r="BZ172" s="2">
        <f>Table7[[#This Row],[WaistN Res]]^2</f>
        <v>0.10524471227984188</v>
      </c>
      <c r="CA172">
        <f>Regression!$D$29+(Regression!$D$28*Table83[[#This Row],[Morning Body Temp]])</f>
        <v>44.495891557108962</v>
      </c>
      <c r="CB172" s="2">
        <f>Table83[[#This Row],[Waist]]-Table7[[#This Row],[Waist v Morning Temp]]</f>
        <v>4.1084428910380666E-3</v>
      </c>
      <c r="CC172" s="2">
        <f>Table7[[#This Row],[WaistMT Res]]^2</f>
        <v>1.6879302988921227E-5</v>
      </c>
      <c r="CD172">
        <f>Regression!$E$29+(Regression!$E$28*Table83[[#This Row],[Morning Systolic Pressure]])</f>
        <v>44.365161485454784</v>
      </c>
      <c r="CE172" s="2">
        <f>Table83[[#This Row],[Waist]]-Table7[[#This Row],[Waist v Morning Sys]]</f>
        <v>0.13483851454521556</v>
      </c>
      <c r="CF172" s="2">
        <f>Table7[[#This Row],[WaistMS Res]]^2</f>
        <v>1.8181425004760308E-2</v>
      </c>
      <c r="CG172">
        <f>Regression!$F$29+(Regression!$F$28*Table83[[#This Row],[Morning Diastolic Pressure]])</f>
        <v>44.503537254163952</v>
      </c>
      <c r="CH172" s="2">
        <f>Table83[[#This Row],[Waist]]-Table7[[#This Row],[Waist v Morning Dia]]</f>
        <v>-3.5372541639517863E-3</v>
      </c>
      <c r="CI172" s="2">
        <f>Table7[[#This Row],[WaistMD Res]]^2</f>
        <v>1.2512167020394251E-5</v>
      </c>
      <c r="CJ172">
        <f>Regression!$G$29+(Regression!$G$28*Table83[[#This Row],[Morning Pulse]])</f>
        <v>44.443662666622828</v>
      </c>
      <c r="CK172" s="2">
        <f>Table83[[#This Row],[Waist]]-Table7[[#This Row],[Waist v Morning Pulse]]</f>
        <v>5.6337333377172172E-2</v>
      </c>
      <c r="CL172" s="2">
        <f>Table7[[#This Row],[WaistMP Res]]^2</f>
        <v>3.1738951320506377E-3</v>
      </c>
      <c r="CM172">
        <f>Regression!$H$29+(Regression!$H$28*Table83[[#This Row],[Night Body Temp]])</f>
        <v>44.448953954659181</v>
      </c>
      <c r="CN172" s="2">
        <f>Table83[[#This Row],[Waist]]-Table7[[#This Row],[Waist v Night Temp]]</f>
        <v>5.104604534081858E-2</v>
      </c>
      <c r="CO172" s="2">
        <f>Table7[[#This Row],[WaistNT Res]]^2</f>
        <v>2.605698744936906E-3</v>
      </c>
      <c r="CP172">
        <f>Regression!$I$29+(Regression!$I$28*Table83[[#This Row],[Night Systolic Pressure]])</f>
        <v>44.441959200979596</v>
      </c>
      <c r="CQ172" s="2">
        <f>Table83[[#This Row],[Waist]]-Table7[[#This Row],[Waist v  Night Sys]]</f>
        <v>5.8040799020403711E-2</v>
      </c>
      <c r="CR172" s="2">
        <f>Table7[[#This Row],[WaistNS Res]]^2</f>
        <v>3.3687343509268964E-3</v>
      </c>
      <c r="CS172">
        <f>Regression!$J$29+(Regression!$J$28*Table83[[#This Row],[Night Diastolic Pressure]])</f>
        <v>44.409888175531407</v>
      </c>
      <c r="CT172" s="2">
        <f>Table83[[#This Row],[Waist]]-Table7[[#This Row],[Waist v Night Dia]]</f>
        <v>9.0111824468593227E-2</v>
      </c>
      <c r="CU172" s="2">
        <f>Table7[[#This Row],[WaistND Res]]^2</f>
        <v>8.1201409090585572E-3</v>
      </c>
      <c r="CV172">
        <f>Regression!$K$29+(Regression!$K$28*Table83[[#This Row],[Night Pulse]])</f>
        <v>44.448281387321408</v>
      </c>
      <c r="CW172" s="2">
        <f>Table83[[#This Row],[Waist]]-Table7[[#This Row],[Waist v Night Pulse]]</f>
        <v>5.1718612678591569E-2</v>
      </c>
      <c r="CX172" s="2">
        <f>Table7[[#This Row],[WaistNP Res]]^2</f>
        <v>2.6748148973981725E-3</v>
      </c>
      <c r="CY172">
        <f>Regression!$L$29+(Regression!$L$28*Table83[[#This Row],[Sleep]])</f>
        <v>44.456891852858099</v>
      </c>
      <c r="CZ172" s="2">
        <f>Table83[[#This Row],[Waist]]-Table7[[#This Row],[Waist v  Sleep]]</f>
        <v>4.3108147141900588E-2</v>
      </c>
      <c r="DA172" s="2">
        <f>Table7[[#This Row],[WaistS Res]]^2</f>
        <v>1.8583123500077519E-3</v>
      </c>
      <c r="DB172">
        <f>Regression!$M$29+(Regression!$M$28*Table83[[#This Row],[BMI]])</f>
        <v>43.729298550017042</v>
      </c>
      <c r="DC172" s="2">
        <f>Table83[[#This Row],[Waist]]-Table7[[#This Row],[Waist v BMI]]</f>
        <v>0.77070144998295831</v>
      </c>
      <c r="DD172" s="2">
        <f>Table7[[#This Row],[WaistBMI Res]]^2</f>
        <v>0.59398072500583443</v>
      </c>
      <c r="DE172">
        <f>Regression!$N$29+(Regression!$N$28*Table83[[#This Row],[CBF]])</f>
        <v>44.659010290127611</v>
      </c>
      <c r="DF172" s="2">
        <f>Table83[[#This Row],[Waist]]-Table7[[#This Row],[Waist v  CBF]]</f>
        <v>-0.15901029012761114</v>
      </c>
      <c r="DG172" s="2">
        <f>Table7[[#This Row],[WaistCBF Res]]^2</f>
        <v>2.5284272366467068E-2</v>
      </c>
      <c r="DH172">
        <f>Regression!$O$29+(Regression!$O$28*Table83[[#This Row],[Gym]])</f>
        <v>44.347222222222221</v>
      </c>
      <c r="DI172" s="2">
        <f>Table83[[#This Row],[Waist]]-Table7[[#This Row],[Waist v  Gym]]</f>
        <v>0.15277777777777857</v>
      </c>
      <c r="DJ172" s="2">
        <f>Table7[[#This Row],[WaistGYM Res]]^2</f>
        <v>2.3341049382716292E-2</v>
      </c>
      <c r="DK172">
        <f>Regression!$P$29+(Regression!$P$28*Table83[[#This Row],[Cardio]])</f>
        <v>44.291666666666664</v>
      </c>
      <c r="DL172" s="2">
        <f>Table83[[#This Row],[Waist]]-Table7[[#This Row],[Waist v Cardio]]</f>
        <v>0.2083333333333357</v>
      </c>
      <c r="DM172" s="2">
        <f>Table7[[#This Row],[WaistC Res]]^2</f>
        <v>4.3402777777778762E-2</v>
      </c>
      <c r="DN172">
        <f>Regression!$Q$29+(Regression!$Q$28*Table83[[#This Row],[Calories]])</f>
        <v>44.404924744978537</v>
      </c>
      <c r="DO172" s="2">
        <f>Table83[[#This Row],[Waist]]-Table7[[#This Row],[Waist v Calories]]</f>
        <v>9.5075255021463079E-2</v>
      </c>
      <c r="DP172" s="2">
        <f>Table7[[#This Row],[WaistCal Res]]^2</f>
        <v>9.03930411739624E-3</v>
      </c>
      <c r="DQ172">
        <f>Regression!$R$29+(Regression!$R$28*Table83[[#This Row],[Carbs]])</f>
        <v>44.292230700969341</v>
      </c>
      <c r="DR172" s="2">
        <f>Table83[[#This Row],[Waist]]-Table7[[#This Row],[Waist v Carbs]]</f>
        <v>0.20776929903065877</v>
      </c>
      <c r="DS172" s="2">
        <f>Table7[[#This Row],[WaistCarb Res]]^2</f>
        <v>4.3168081619691302E-2</v>
      </c>
      <c r="DT172">
        <f>Regression!$S$29+(Regression!$S$28*Table83[[#This Row],[Fat ]])</f>
        <v>44.524683123701486</v>
      </c>
      <c r="DU172" s="2">
        <f>Table83[[#This Row],[Waist]]-Table7[[#This Row],[Waist v Fat]]</f>
        <v>-2.4683123701485954E-2</v>
      </c>
      <c r="DV172" s="2">
        <f>Table7[[#This Row],[WaistF Res]]^2</f>
        <v>6.0925659566285766E-4</v>
      </c>
      <c r="DW172">
        <f>Regression!$T$29+(Regression!$T$28*Table83[[#This Row],[Protein]])</f>
        <v>44.47970637748233</v>
      </c>
      <c r="DX172" s="2">
        <f>Table83[[#This Row],[Waist]]-Table7[[#This Row],[Waist v Protein]]</f>
        <v>2.0293622517669974E-2</v>
      </c>
      <c r="DY172" s="2">
        <f>Table7[[#This Row],[WaistP Res]]^2</f>
        <v>4.1183111488968179E-4</v>
      </c>
      <c r="DZ172">
        <f>Regression!$U$29+(Regression!$U$28*Table83[[#This Row],[Fiber]])</f>
        <v>44.561841877196791</v>
      </c>
      <c r="EA172" s="2">
        <f>Table83[[#This Row],[Waist]]-Table7[[#This Row],[Waist v Fiber]]</f>
        <v>-6.1841877196791017E-2</v>
      </c>
      <c r="EB172" s="2">
        <f>Table7[[#This Row],[WaistFib Res]]^2</f>
        <v>3.824417775222981E-3</v>
      </c>
      <c r="EC172">
        <f>Regression!$V$29+(Regression!$V$28*Table83[[#This Row],[Sugar]])</f>
        <v>44.108955375064511</v>
      </c>
      <c r="ED172" s="2">
        <f>Table83[[#This Row],[Waist]]-Table7[[#This Row],[Waist v Sugar]]</f>
        <v>0.39104462493548908</v>
      </c>
      <c r="EE172" s="2">
        <f>Table7[[#This Row],[WaistSugar Res]]^2</f>
        <v>0.15291589869093733</v>
      </c>
      <c r="EF172">
        <f>Regression!$W$29+(Regression!$W$28*Table83[[#This Row],[Servings]])</f>
        <v>44.047801936831114</v>
      </c>
      <c r="EG172" s="2">
        <f>Table83[[#This Row],[Waist]]-Table7[[#This Row],[Waist v Servings]]</f>
        <v>0.45219806316888622</v>
      </c>
      <c r="EH172" s="2">
        <f>Table7[[#This Row],[WaistServ Res]]^2</f>
        <v>0.20448308833369203</v>
      </c>
      <c r="EI172">
        <f>Regression!$X$29+(Regression!$X$28*Table83[[#This Row],[Water]])</f>
        <v>44.33031459742935</v>
      </c>
      <c r="EJ172" s="2">
        <f>Table83[[#This Row],[Waist]]-Table7[[#This Row],[Waist v Water]]</f>
        <v>0.16968540257065001</v>
      </c>
      <c r="EK172" s="2">
        <f>Table7[[#This Row],[WaistWat Res]]^2</f>
        <v>2.8793135845563558E-2</v>
      </c>
      <c r="EL172">
        <f>Regression!$Y$29+(Regression!$Y$28*Table83[[#This Row],[Fat Calories]])</f>
        <v>44.527391697780537</v>
      </c>
      <c r="EM172" s="2">
        <f>Table83[[#This Row],[Waist]]-Table7[[#This Row],[Waist v Fat Calories]]</f>
        <v>-2.7391697780537072E-2</v>
      </c>
      <c r="EN172" s="2">
        <f>Table7[[#This Row],[WaistFatCal Res]]^2</f>
        <v>7.503051073002796E-4</v>
      </c>
    </row>
    <row r="173" spans="1:144" x14ac:dyDescent="0.25">
      <c r="A173">
        <f>Regression!$B$10+(Regression!$B$9*Table83[[#This Row],[Waist]])</f>
        <v>255.38023686459636</v>
      </c>
      <c r="B173" s="2">
        <f>Table83[[#This Row],[Weight]]-Table7[[#This Row],[Weight v Waist]]</f>
        <v>-4.7802368645963611</v>
      </c>
      <c r="C173" s="2">
        <f>Table7[[#This Row],[Weight v Waist Res]]^2</f>
        <v>22.850664481646049</v>
      </c>
      <c r="D173">
        <f>Regression!$C$10+(Regression!$C$9*Table83[[#This Row],[Neck]])</f>
        <v>253.29286486487842</v>
      </c>
      <c r="E173" s="2">
        <f>Table83[[#This Row],[Weight]]-Table7[[#This Row],[Weight v Neck]]</f>
        <v>-2.6928648648784304</v>
      </c>
      <c r="F173" s="2">
        <f>Table7[[#This Row],[WN Res]]^2</f>
        <v>7.2515211804967272</v>
      </c>
      <c r="G173">
        <f>Regression!$D$10+(Regression!$D$9*Table83[[#This Row],[Morning Body Temp]])</f>
        <v>255.62275488286326</v>
      </c>
      <c r="H173" s="2">
        <f>Table83[[#This Row],[Weight]]-Table7[[#This Row],[Weight v Morning Temp]]</f>
        <v>-5.0227548828632678</v>
      </c>
      <c r="I173" s="2">
        <f>Table7[[#This Row],[WMT Res]]^2</f>
        <v>25.228066613326799</v>
      </c>
      <c r="J173">
        <f>Regression!$E$10+(Regression!$E$9*Table83[[#This Row],[Morning Systolic Pressure]])</f>
        <v>254.91917781330181</v>
      </c>
      <c r="K173" s="2">
        <f>Table83[[#This Row],[Weight]]-Table7[[#This Row],[Weight v Morning Sys]]</f>
        <v>-4.3191778133018204</v>
      </c>
      <c r="L173" s="2">
        <f>Table7[[#This Row],[WMS Res]]^2</f>
        <v>18.655296982918696</v>
      </c>
      <c r="M173">
        <f>Regression!$F$10+(Regression!$F$9*Table83[[#This Row],[Morning Diastolic Pressure]])</f>
        <v>255.60876114247105</v>
      </c>
      <c r="N173" s="2">
        <f>Table83[[#This Row],[Weight]]-Table7[[#This Row],[Weight v Morning Dia]]</f>
        <v>-5.0087611424710587</v>
      </c>
      <c r="O173" s="2">
        <f>Table7[[#This Row],[WMD Res]]^2</f>
        <v>25.087688182327987</v>
      </c>
      <c r="P173">
        <f>Regression!$G$10+(Regression!$G$9*Table83[[#This Row],[Morning Pulse]])</f>
        <v>255.11181729864128</v>
      </c>
      <c r="Q173" s="2">
        <f>Table83[[#This Row],[Weight]]-Table7[[#This Row],[Weight v Morning Pulse]]</f>
        <v>-4.5118172986412901</v>
      </c>
      <c r="R173" s="2">
        <f>Table7[[#This Row],[WMP Res]]^2</f>
        <v>20.356495336318787</v>
      </c>
      <c r="S173">
        <f>Regression!$H$10+(Regression!$H$9*Table83[[#This Row],[Night Body Temp]])</f>
        <v>254.74879010704339</v>
      </c>
      <c r="T173" s="2">
        <f>Table83[[#This Row],[Weight]]-Table7[[#This Row],[Weight v Night Temp]]</f>
        <v>-4.1487901070433963</v>
      </c>
      <c r="U173" s="2">
        <f>Table7[[#This Row],[WNT Res]]^2</f>
        <v>17.212459352301156</v>
      </c>
      <c r="V173">
        <f>Regression!$I$10+(Regression!$I$9*Table83[[#This Row],[Night Systolic Pressure]])</f>
        <v>255.64916072928111</v>
      </c>
      <c r="W173" s="2">
        <f>Table83[[#This Row],[Weight]]-Table7[[#This Row],[Weight v Night Sys]]</f>
        <v>-5.0491607292811125</v>
      </c>
      <c r="X173" s="2">
        <f>Table7[[#This Row],[WNS Res]]^2</f>
        <v>25.494024070114577</v>
      </c>
      <c r="Y173">
        <f>Regression!$J$10+(Regression!$J$9*Table83[[#This Row],[Night Diastolic Pressure]])</f>
        <v>255.33691158474272</v>
      </c>
      <c r="Z173" s="2">
        <f>Table83[[#This Row],[Weight]]-Table7[[#This Row],[Weight v Night Dia]]</f>
        <v>-4.7369115847427281</v>
      </c>
      <c r="AA173" s="2">
        <f>Table7[[#This Row],[WND Res]]^2</f>
        <v>22.438331361669864</v>
      </c>
      <c r="AB173">
        <f>Regression!$K$10+(Regression!$K$9*Table83[[#This Row],[Night Pulse]])</f>
        <v>255.04872519626778</v>
      </c>
      <c r="AC173" s="2">
        <f>Table83[[#This Row],[Weight]]-Table7[[#This Row],[Weight v Night Pulse]]</f>
        <v>-4.4487251962677874</v>
      </c>
      <c r="AD173" s="2">
        <f>Table7[[#This Row],[WNP Res ]]^2</f>
        <v>19.791155871907865</v>
      </c>
      <c r="AE173">
        <f>Regression!$L$10+(Regression!$L$9*Table83[[#This Row],[Sleep]])</f>
        <v>255.45250391075515</v>
      </c>
      <c r="AF173" s="2">
        <f>Table83[[#This Row],[Weight]]-Table7[[#This Row],[Weight v Sleep]]</f>
        <v>-4.8525039107551606</v>
      </c>
      <c r="AG173" s="2">
        <f>Table7[[#This Row],[WS Res]]^2</f>
        <v>23.546794203894127</v>
      </c>
      <c r="AH173">
        <f>Regression!$M$10+(Regression!$M$9*Table83[[#This Row],[BMI]])</f>
        <v>250.60000000001014</v>
      </c>
      <c r="AI173" s="2">
        <f>Table83[[#This Row],[Weight]]-Table7[[#This Row],[Weight v BMI]]</f>
        <v>-1.0146550266654231E-11</v>
      </c>
      <c r="AJ173" s="2">
        <f>Table7[[#This Row],[WBMI Res]]^2</f>
        <v>1.0295248231374104E-22</v>
      </c>
      <c r="AK173">
        <f>Regression!$N$10+(Regression!$N$9*Table83[[#This Row],[CBF]])</f>
        <v>256.25609762651322</v>
      </c>
      <c r="AL173" s="2">
        <f>Table83[[#This Row],[Weight]]-Table7[[#This Row],[Weight v CBF]]</f>
        <v>-5.6560976265132297</v>
      </c>
      <c r="AM173" s="2">
        <f>Table7[[#This Row],[WCBF Res]]^2</f>
        <v>31.991440360648589</v>
      </c>
      <c r="AN173">
        <f>Regression!$O$10+(Regression!$O$9*Table83[[#This Row],[Gym]])</f>
        <v>254.72962962962998</v>
      </c>
      <c r="AO173" s="2">
        <f>Table83[[#This Row],[Weight]]-Table7[[#This Row],[Weight v Gym]]</f>
        <v>-4.1296296296299886</v>
      </c>
      <c r="AP173" s="2">
        <f>Table7[[#This Row],[WG Res]]^2</f>
        <v>17.053840877917917</v>
      </c>
      <c r="AQ173">
        <f>Regression!$P$10+(Regression!$P$9*Table83[[#This Row],[Cardio]])</f>
        <v>254.19242424242461</v>
      </c>
      <c r="AR173" s="2">
        <f>Table83[[#This Row],[Weight]]-Table7[[#This Row],[Weight v Cardio]]</f>
        <v>-3.5924242424246131</v>
      </c>
      <c r="AS173" s="2">
        <f>Table7[[#This Row],[WC Res]]^2</f>
        <v>12.905511937560055</v>
      </c>
      <c r="AT173">
        <f>Regression!$Q$10+(Regression!$Q$9*Table83[[#This Row],[Calories]])</f>
        <v>255.05704274688904</v>
      </c>
      <c r="AU173" s="2">
        <f>Table83[[#This Row],[Weight]]-Table7[[#This Row],[Weight v Calories]]</f>
        <v>-4.4570427468890443</v>
      </c>
      <c r="AV173" s="2">
        <f>Table7[[#This Row],[WCAL Res]]^2</f>
        <v>19.865230047596238</v>
      </c>
      <c r="AW173">
        <f>Regression!$R$10+(Regression!$R$9*Table83[[#This Row],[Carbs]])</f>
        <v>254.47404487932002</v>
      </c>
      <c r="AX173" s="2">
        <f>Table83[[#This Row],[Weight]]-Table7[[#This Row],[Weight v Carbs]]</f>
        <v>-3.8740448793200244</v>
      </c>
      <c r="AY173" s="2">
        <f>Table7[[#This Row],[Wcarb Res]]^2</f>
        <v>15.008223726985703</v>
      </c>
      <c r="AZ173">
        <f>Regression!$S$10+(Regression!$S$9*Table83[[#This Row],[Fat ]])</f>
        <v>255.44291169856643</v>
      </c>
      <c r="BA173" s="2">
        <f>Table83[[#This Row],[Weight]]-Table7[[#This Row],[Weight v Fat]]</f>
        <v>-4.8429116985664393</v>
      </c>
      <c r="BB173" s="2">
        <f>Table7[[#This Row],[WF Res]]^2</f>
        <v>23.453793720111676</v>
      </c>
      <c r="BC173">
        <f>Regression!$T$10+(Regression!$T$9*Table83[[#This Row],[Protein]])</f>
        <v>255.54300334970654</v>
      </c>
      <c r="BD173" s="2">
        <f>Table83[[#This Row],[Weight]]-Table7[[#This Row],[Weight v Protein]]</f>
        <v>-4.9430033497065438</v>
      </c>
      <c r="BE173" s="2">
        <f>Table7[[#This Row],[WP Res]]^2</f>
        <v>24.433282115210112</v>
      </c>
      <c r="BF173">
        <f>Regression!$U$10+(Regression!$U$9*Table83[[#This Row],[Fiber]])</f>
        <v>255.3786499536204</v>
      </c>
      <c r="BG173" s="2">
        <f>Table83[[#This Row],[Weight]]-Table7[[#This Row],[Weight v Fiber]]</f>
        <v>-4.7786499536204019</v>
      </c>
      <c r="BH173" s="2">
        <f>Table7[[#This Row],[Wfib Res]]^2</f>
        <v>22.835495379236271</v>
      </c>
      <c r="BI173">
        <f>Regression!$V$10+(Regression!$V$9*Table83[[#This Row],[Sugar]])</f>
        <v>253.2381187979197</v>
      </c>
      <c r="BJ173" s="2">
        <f>Table83[[#This Row],[Weight]]-Table7[[#This Row],[Weight v Sugar]]</f>
        <v>-2.6381187979197023</v>
      </c>
      <c r="BK173" s="2">
        <f>Table7[[#This Row],[Wsugar Res]]^2</f>
        <v>6.9596707919372953</v>
      </c>
      <c r="BL173">
        <f>Regression!$W$10+(Regression!$W$9*Table83[[#This Row],[Servings]])</f>
        <v>252.49414601862779</v>
      </c>
      <c r="BM173" s="2">
        <f>Table83[[#This Row],[Weight]]-Table7[[#This Row],[Weight v Servings]]</f>
        <v>-1.8941460186277936</v>
      </c>
      <c r="BN173" s="2">
        <f>Table7[[#This Row],[Wserv Res]]^2</f>
        <v>3.587789139883522</v>
      </c>
      <c r="BO173">
        <f>Regression!$X$10+(Regression!$X$9*Table83[[#This Row],[Water]])</f>
        <v>255.0206340268538</v>
      </c>
      <c r="BP173" s="2">
        <f>Table83[[#This Row],[Weight]]-Table7[[#This Row],[Weight v Water]]</f>
        <v>-4.4206340268538042</v>
      </c>
      <c r="BQ173" s="2">
        <f>Table7[[#This Row],[Wwater Res]]^2</f>
        <v>19.54200519937768</v>
      </c>
      <c r="BR173">
        <f>Regression!$Y$10+(Regression!$Y$9*Table83[[#This Row],[Fat Calories]])</f>
        <v>255.45911609173186</v>
      </c>
      <c r="BS173" s="2">
        <f>Table83[[#This Row],[Weight]]-Table7[[#This Row],[Weight v Fat Calories]]</f>
        <v>-4.8591160917318632</v>
      </c>
      <c r="BT173" s="2">
        <f>Table7[[#This Row],[WFC Res]]^2</f>
        <v>23.611009192927536</v>
      </c>
      <c r="BU173">
        <f>Regression!$B$29+(Regression!$B$28*Table83[[#This Row],[Weight]])</f>
        <v>43.838308558470729</v>
      </c>
      <c r="BV173" s="2">
        <f>Table83[[#This Row],[Waist]]-Table7[[#This Row],[Waist v Weight]]</f>
        <v>0.66169144152927117</v>
      </c>
      <c r="BW173" s="2">
        <f>Table7[[#This Row],[WaistW Res]]^2</f>
        <v>0.43783556379308491</v>
      </c>
      <c r="BX173">
        <f>Regression!$C$29+(Regression!$C$28*Table83[[#This Row],[Neck]])</f>
        <v>44.175585585585594</v>
      </c>
      <c r="BY173" s="2">
        <f>Table83[[#This Row],[Waist]]-Table7[[#This Row],[Waist v Neck]]</f>
        <v>0.32441441441440588</v>
      </c>
      <c r="BZ173" s="2">
        <f>Table7[[#This Row],[WaistN Res]]^2</f>
        <v>0.10524471227984188</v>
      </c>
      <c r="CA173">
        <f>Regression!$D$29+(Regression!$D$28*Table83[[#This Row],[Morning Body Temp]])</f>
        <v>44.591625622988346</v>
      </c>
      <c r="CB173" s="2">
        <f>Table83[[#This Row],[Waist]]-Table7[[#This Row],[Waist v Morning Temp]]</f>
        <v>-9.1625622988345867E-2</v>
      </c>
      <c r="CC173" s="2">
        <f>Table7[[#This Row],[WaistMT Res]]^2</f>
        <v>8.3952547880024944E-3</v>
      </c>
      <c r="CD173">
        <f>Regression!$E$29+(Regression!$E$28*Table83[[#This Row],[Morning Systolic Pressure]])</f>
        <v>44.407523106424492</v>
      </c>
      <c r="CE173" s="2">
        <f>Table83[[#This Row],[Waist]]-Table7[[#This Row],[Waist v Morning Sys]]</f>
        <v>9.2476893575508257E-2</v>
      </c>
      <c r="CF173" s="2">
        <f>Table7[[#This Row],[WaistMS Res]]^2</f>
        <v>8.5519758453758803E-3</v>
      </c>
      <c r="CG173">
        <f>Regression!$F$29+(Regression!$F$28*Table83[[#This Row],[Morning Diastolic Pressure]])</f>
        <v>44.480994771488533</v>
      </c>
      <c r="CH173" s="2">
        <f>Table83[[#This Row],[Waist]]-Table7[[#This Row],[Waist v Morning Dia]]</f>
        <v>1.9005228511467465E-2</v>
      </c>
      <c r="CI173" s="2">
        <f>Table7[[#This Row],[WaistMD Res]]^2</f>
        <v>3.6119871077309584E-4</v>
      </c>
      <c r="CJ173">
        <f>Regression!$G$29+(Regression!$G$28*Table83[[#This Row],[Morning Pulse]])</f>
        <v>44.45205769235897</v>
      </c>
      <c r="CK173" s="2">
        <f>Table83[[#This Row],[Waist]]-Table7[[#This Row],[Waist v Morning Pulse]]</f>
        <v>4.7942307641029913E-2</v>
      </c>
      <c r="CL173" s="2">
        <f>Table7[[#This Row],[WaistMP Res]]^2</f>
        <v>2.2984648619471552E-3</v>
      </c>
      <c r="CM173">
        <f>Regression!$H$29+(Regression!$H$28*Table83[[#This Row],[Night Body Temp]])</f>
        <v>44.424663183244519</v>
      </c>
      <c r="CN173" s="2">
        <f>Table83[[#This Row],[Waist]]-Table7[[#This Row],[Waist v Night Temp]]</f>
        <v>7.5336816755481095E-2</v>
      </c>
      <c r="CO173" s="2">
        <f>Table7[[#This Row],[WaistNT Res]]^2</f>
        <v>5.6756359588489369E-3</v>
      </c>
      <c r="CP173">
        <f>Regression!$I$29+(Regression!$I$28*Table83[[#This Row],[Night Systolic Pressure]])</f>
        <v>44.529199886933277</v>
      </c>
      <c r="CQ173" s="2">
        <f>Table83[[#This Row],[Waist]]-Table7[[#This Row],[Waist v  Night Sys]]</f>
        <v>-2.9199886933277241E-2</v>
      </c>
      <c r="CR173" s="2">
        <f>Table7[[#This Row],[WaistNS Res]]^2</f>
        <v>8.5263339691617494E-4</v>
      </c>
      <c r="CS173">
        <f>Regression!$J$29+(Regression!$J$28*Table83[[#This Row],[Night Diastolic Pressure]])</f>
        <v>44.546431737190943</v>
      </c>
      <c r="CT173" s="2">
        <f>Table83[[#This Row],[Waist]]-Table7[[#This Row],[Waist v Night Dia]]</f>
        <v>-4.6431737190943068E-2</v>
      </c>
      <c r="CU173" s="2">
        <f>Table7[[#This Row],[WaistND Res]]^2</f>
        <v>2.1559062185688058E-3</v>
      </c>
      <c r="CV173">
        <f>Regression!$K$29+(Regression!$K$28*Table83[[#This Row],[Night Pulse]])</f>
        <v>44.459708372565267</v>
      </c>
      <c r="CW173" s="2">
        <f>Table83[[#This Row],[Waist]]-Table7[[#This Row],[Waist v Night Pulse]]</f>
        <v>4.0291627434733357E-2</v>
      </c>
      <c r="CX173" s="2">
        <f>Table7[[#This Row],[WaistNP Res]]^2</f>
        <v>1.6234152413393578E-3</v>
      </c>
      <c r="CY173">
        <f>Regression!$L$29+(Regression!$L$28*Table83[[#This Row],[Sleep]])</f>
        <v>44.504990820853756</v>
      </c>
      <c r="CZ173" s="2">
        <f>Table83[[#This Row],[Waist]]-Table7[[#This Row],[Waist v  Sleep]]</f>
        <v>-4.9908208537559062E-3</v>
      </c>
      <c r="DA173" s="2">
        <f>Table7[[#This Row],[WaistS Res]]^2</f>
        <v>2.4908292794284833E-5</v>
      </c>
      <c r="DB173">
        <f>Regression!$M$29+(Regression!$M$28*Table83[[#This Row],[BMI]])</f>
        <v>43.838308558472683</v>
      </c>
      <c r="DC173" s="2">
        <f>Table83[[#This Row],[Waist]]-Table7[[#This Row],[Waist v BMI]]</f>
        <v>0.66169144152731718</v>
      </c>
      <c r="DD173" s="2">
        <f>Table7[[#This Row],[WaistBMI Res]]^2</f>
        <v>0.43783556379049904</v>
      </c>
      <c r="DE173">
        <f>Regression!$N$29+(Regression!$N$28*Table83[[#This Row],[CBF]])</f>
        <v>44.659010290127611</v>
      </c>
      <c r="DF173" s="2">
        <f>Table83[[#This Row],[Waist]]-Table7[[#This Row],[Waist v  CBF]]</f>
        <v>-0.15901029012761114</v>
      </c>
      <c r="DG173" s="2">
        <f>Table7[[#This Row],[WaistCBF Res]]^2</f>
        <v>2.5284272366467068E-2</v>
      </c>
      <c r="DH173">
        <f>Regression!$O$29+(Regression!$O$28*Table83[[#This Row],[Gym]])</f>
        <v>44.347222222222221</v>
      </c>
      <c r="DI173" s="2">
        <f>Table83[[#This Row],[Waist]]-Table7[[#This Row],[Waist v  Gym]]</f>
        <v>0.15277777777777857</v>
      </c>
      <c r="DJ173" s="2">
        <f>Table7[[#This Row],[WaistGYM Res]]^2</f>
        <v>2.3341049382716292E-2</v>
      </c>
      <c r="DK173">
        <f>Regression!$P$29+(Regression!$P$28*Table83[[#This Row],[Cardio]])</f>
        <v>44.291666666666664</v>
      </c>
      <c r="DL173" s="2">
        <f>Table83[[#This Row],[Waist]]-Table7[[#This Row],[Waist v Cardio]]</f>
        <v>0.2083333333333357</v>
      </c>
      <c r="DM173" s="2">
        <f>Table7[[#This Row],[WaistC Res]]^2</f>
        <v>4.3402777777778762E-2</v>
      </c>
      <c r="DN173">
        <f>Regression!$Q$29+(Regression!$Q$28*Table83[[#This Row],[Calories]])</f>
        <v>44.440508172210642</v>
      </c>
      <c r="DO173" s="2">
        <f>Table83[[#This Row],[Waist]]-Table7[[#This Row],[Waist v Calories]]</f>
        <v>5.9491827789358354E-2</v>
      </c>
      <c r="DP173" s="2">
        <f>Table7[[#This Row],[WaistCal Res]]^2</f>
        <v>3.5392775737186711E-3</v>
      </c>
      <c r="DQ173">
        <f>Regression!$R$29+(Regression!$R$28*Table83[[#This Row],[Carbs]])</f>
        <v>44.320087679819956</v>
      </c>
      <c r="DR173" s="2">
        <f>Table83[[#This Row],[Waist]]-Table7[[#This Row],[Waist v Carbs]]</f>
        <v>0.17991232018004411</v>
      </c>
      <c r="DS173" s="2">
        <f>Table7[[#This Row],[WaistCarb Res]]^2</f>
        <v>3.2368442952566703E-2</v>
      </c>
      <c r="DT173">
        <f>Regression!$S$29+(Regression!$S$28*Table83[[#This Row],[Fat ]])</f>
        <v>44.553761964148023</v>
      </c>
      <c r="DU173" s="2">
        <f>Table83[[#This Row],[Waist]]-Table7[[#This Row],[Waist v Fat]]</f>
        <v>-5.3761964148023367E-2</v>
      </c>
      <c r="DV173" s="2">
        <f>Table7[[#This Row],[WaistF Res]]^2</f>
        <v>2.8903487890533501E-3</v>
      </c>
      <c r="DW173">
        <f>Regression!$T$29+(Regression!$T$28*Table83[[#This Row],[Protein]])</f>
        <v>44.531872235822078</v>
      </c>
      <c r="DX173" s="2">
        <f>Table83[[#This Row],[Waist]]-Table7[[#This Row],[Waist v Protein]]</f>
        <v>-3.187223582207821E-2</v>
      </c>
      <c r="DY173" s="2">
        <f>Table7[[#This Row],[WaistP Res]]^2</f>
        <v>1.0158394162981654E-3</v>
      </c>
      <c r="DZ173">
        <f>Regression!$U$29+(Regression!$U$28*Table83[[#This Row],[Fiber]])</f>
        <v>44.555254708113431</v>
      </c>
      <c r="EA173" s="2">
        <f>Table83[[#This Row],[Waist]]-Table7[[#This Row],[Waist v Fiber]]</f>
        <v>-5.5254708113430695E-2</v>
      </c>
      <c r="EB173" s="2">
        <f>Table7[[#This Row],[WaistFib Res]]^2</f>
        <v>3.053082768700424E-3</v>
      </c>
      <c r="EC173">
        <f>Regression!$V$29+(Regression!$V$28*Table83[[#This Row],[Sugar]])</f>
        <v>44.116371099340107</v>
      </c>
      <c r="ED173" s="2">
        <f>Table83[[#This Row],[Waist]]-Table7[[#This Row],[Waist v Sugar]]</f>
        <v>0.38362890065989319</v>
      </c>
      <c r="EE173" s="2">
        <f>Table7[[#This Row],[WaistSugar Res]]^2</f>
        <v>0.14717113342151819</v>
      </c>
      <c r="EF173">
        <f>Regression!$W$29+(Regression!$W$28*Table83[[#This Row],[Servings]])</f>
        <v>44.053634417391365</v>
      </c>
      <c r="EG173" s="2">
        <f>Table83[[#This Row],[Waist]]-Table7[[#This Row],[Waist v Servings]]</f>
        <v>0.44636558260863524</v>
      </c>
      <c r="EH173" s="2">
        <f>Table7[[#This Row],[WaistServ Res]]^2</f>
        <v>0.19924223333754637</v>
      </c>
      <c r="EI173">
        <f>Regression!$X$29+(Regression!$X$28*Table83[[#This Row],[Water]])</f>
        <v>44.33031459742935</v>
      </c>
      <c r="EJ173" s="2">
        <f>Table83[[#This Row],[Waist]]-Table7[[#This Row],[Waist v Water]]</f>
        <v>0.16968540257065001</v>
      </c>
      <c r="EK173" s="2">
        <f>Table7[[#This Row],[WaistWat Res]]^2</f>
        <v>2.8793135845563558E-2</v>
      </c>
      <c r="EL173">
        <f>Regression!$Y$29+(Regression!$Y$28*Table83[[#This Row],[Fat Calories]])</f>
        <v>44.55818196889026</v>
      </c>
      <c r="EM173" s="2">
        <f>Table83[[#This Row],[Waist]]-Table7[[#This Row],[Waist v Fat Calories]]</f>
        <v>-5.8181968890259839E-2</v>
      </c>
      <c r="EN173" s="2">
        <f>Table7[[#This Row],[WaistFatCal Res]]^2</f>
        <v>3.3851415039471639E-3</v>
      </c>
    </row>
    <row r="174" spans="1:144" x14ac:dyDescent="0.25">
      <c r="A174">
        <f>Regression!$B$10+(Regression!$B$9*Table83[[#This Row],[Waist]])</f>
        <v>255.38023686459636</v>
      </c>
      <c r="B174" s="2">
        <f>Table83[[#This Row],[Weight]]-Table7[[#This Row],[Weight v Waist]]</f>
        <v>-3.3802368645963554</v>
      </c>
      <c r="C174" s="2">
        <f>Table7[[#This Row],[Weight v Waist Res]]^2</f>
        <v>11.4260012607762</v>
      </c>
      <c r="D174">
        <f>Regression!$C$10+(Regression!$C$9*Table83[[#This Row],[Neck]])</f>
        <v>253.29286486487842</v>
      </c>
      <c r="E174" s="2">
        <f>Table83[[#This Row],[Weight]]-Table7[[#This Row],[Weight v Neck]]</f>
        <v>-1.2928648648784247</v>
      </c>
      <c r="F174" s="2">
        <f>Table7[[#This Row],[WN Res]]^2</f>
        <v>1.6714995588371073</v>
      </c>
      <c r="G174">
        <f>Regression!$D$10+(Regression!$D$9*Table83[[#This Row],[Morning Body Temp]])</f>
        <v>255.12996500330669</v>
      </c>
      <c r="H174" s="2">
        <f>Table83[[#This Row],[Weight]]-Table7[[#This Row],[Weight v Morning Temp]]</f>
        <v>-3.1299650033066939</v>
      </c>
      <c r="I174" s="2">
        <f>Table7[[#This Row],[WMT Res]]^2</f>
        <v>9.796680921924672</v>
      </c>
      <c r="J174">
        <f>Regression!$E$10+(Regression!$E$9*Table83[[#This Row],[Morning Systolic Pressure]])</f>
        <v>255.27979544420887</v>
      </c>
      <c r="K174" s="2">
        <f>Table83[[#This Row],[Weight]]-Table7[[#This Row],[Weight v Morning Sys]]</f>
        <v>-3.2797954442088724</v>
      </c>
      <c r="L174" s="2">
        <f>Table7[[#This Row],[WMS Res]]^2</f>
        <v>10.757058155853274</v>
      </c>
      <c r="M174">
        <f>Regression!$F$10+(Regression!$F$9*Table83[[#This Row],[Morning Diastolic Pressure]])</f>
        <v>254.79800715011203</v>
      </c>
      <c r="N174" s="2">
        <f>Table83[[#This Row],[Weight]]-Table7[[#This Row],[Weight v Morning Dia]]</f>
        <v>-2.7980071501120278</v>
      </c>
      <c r="O174" s="2">
        <f>Table7[[#This Row],[WMD Res]]^2</f>
        <v>7.828844012078032</v>
      </c>
      <c r="P174">
        <f>Regression!$G$10+(Regression!$G$9*Table83[[#This Row],[Morning Pulse]])</f>
        <v>255.11181729864128</v>
      </c>
      <c r="Q174" s="2">
        <f>Table83[[#This Row],[Weight]]-Table7[[#This Row],[Weight v Morning Pulse]]</f>
        <v>-3.1118172986412844</v>
      </c>
      <c r="R174" s="2">
        <f>Table7[[#This Row],[WMP Res]]^2</f>
        <v>9.6834069001231402</v>
      </c>
      <c r="S174">
        <f>Regression!$H$10+(Regression!$H$9*Table83[[#This Row],[Night Body Temp]])</f>
        <v>255.57036267089688</v>
      </c>
      <c r="T174" s="2">
        <f>Table83[[#This Row],[Weight]]-Table7[[#This Row],[Weight v Night Temp]]</f>
        <v>-3.5703626708968841</v>
      </c>
      <c r="U174" s="2">
        <f>Table7[[#This Row],[WNT Res]]^2</f>
        <v>12.747489601733932</v>
      </c>
      <c r="V174">
        <f>Regression!$I$10+(Regression!$I$9*Table83[[#This Row],[Night Systolic Pressure]])</f>
        <v>254.52006755496794</v>
      </c>
      <c r="W174" s="2">
        <f>Table83[[#This Row],[Weight]]-Table7[[#This Row],[Weight v Night Sys]]</f>
        <v>-2.5200675549679374</v>
      </c>
      <c r="X174" s="2">
        <f>Table7[[#This Row],[WNS Res]]^2</f>
        <v>6.3507404816020783</v>
      </c>
      <c r="Y174">
        <f>Regression!$J$10+(Regression!$J$9*Table83[[#This Row],[Night Diastolic Pressure]])</f>
        <v>255.05155050582999</v>
      </c>
      <c r="Z174" s="2">
        <f>Table83[[#This Row],[Weight]]-Table7[[#This Row],[Weight v Night Dia]]</f>
        <v>-3.0515505058299937</v>
      </c>
      <c r="AA174" s="2">
        <f>Table7[[#This Row],[WND Res]]^2</f>
        <v>9.3119604896312893</v>
      </c>
      <c r="AB174">
        <f>Regression!$K$10+(Regression!$K$9*Table83[[#This Row],[Night Pulse]])</f>
        <v>254.95658520255759</v>
      </c>
      <c r="AC174" s="2">
        <f>Table83[[#This Row],[Weight]]-Table7[[#This Row],[Weight v Night Pulse]]</f>
        <v>-2.9565852025575907</v>
      </c>
      <c r="AD174" s="2">
        <f>Table7[[#This Row],[WNP Res ]]^2</f>
        <v>8.7413960599825096</v>
      </c>
      <c r="AE174">
        <f>Regression!$L$10+(Regression!$L$9*Table83[[#This Row],[Sleep]])</f>
        <v>255.13702972738133</v>
      </c>
      <c r="AF174" s="2">
        <f>Table83[[#This Row],[Weight]]-Table7[[#This Row],[Weight v Sleep]]</f>
        <v>-3.1370297273813321</v>
      </c>
      <c r="AG174" s="2">
        <f>Table7[[#This Row],[WS Res]]^2</f>
        <v>9.8409555104741955</v>
      </c>
      <c r="AH174">
        <f>Regression!$M$10+(Regression!$M$9*Table83[[#This Row],[BMI]])</f>
        <v>252.00000000000696</v>
      </c>
      <c r="AI174" s="2">
        <f>Table83[[#This Row],[Weight]]-Table7[[#This Row],[Weight v BMI]]</f>
        <v>-6.9633188104489818E-12</v>
      </c>
      <c r="AJ174" s="2">
        <f>Table7[[#This Row],[WBMI Res]]^2</f>
        <v>4.8487808855952623E-23</v>
      </c>
      <c r="AK174">
        <f>Regression!$N$10+(Regression!$N$9*Table83[[#This Row],[CBF]])</f>
        <v>256.25609762651322</v>
      </c>
      <c r="AL174" s="2">
        <f>Table83[[#This Row],[Weight]]-Table7[[#This Row],[Weight v CBF]]</f>
        <v>-4.256097626513224</v>
      </c>
      <c r="AM174" s="2">
        <f>Table7[[#This Row],[WCBF Res]]^2</f>
        <v>18.114367006411499</v>
      </c>
      <c r="AN174">
        <f>Regression!$O$10+(Regression!$O$9*Table83[[#This Row],[Gym]])</f>
        <v>254.72962962962998</v>
      </c>
      <c r="AO174" s="2">
        <f>Table83[[#This Row],[Weight]]-Table7[[#This Row],[Weight v Gym]]</f>
        <v>-2.7296296296299829</v>
      </c>
      <c r="AP174" s="2">
        <f>Table7[[#This Row],[WG Res]]^2</f>
        <v>7.4508779149539173</v>
      </c>
      <c r="AQ174">
        <f>Regression!$P$10+(Regression!$P$9*Table83[[#This Row],[Cardio]])</f>
        <v>254.19242424242461</v>
      </c>
      <c r="AR174" s="2">
        <f>Table83[[#This Row],[Weight]]-Table7[[#This Row],[Weight v Cardio]]</f>
        <v>-2.1924242424246074</v>
      </c>
      <c r="AS174" s="2">
        <f>Table7[[#This Row],[WC Res]]^2</f>
        <v>4.8067240587711142</v>
      </c>
      <c r="AT174">
        <f>Regression!$Q$10+(Regression!$Q$9*Table83[[#This Row],[Calories]])</f>
        <v>253.77153398773507</v>
      </c>
      <c r="AU174" s="2">
        <f>Table83[[#This Row],[Weight]]-Table7[[#This Row],[Weight v Calories]]</f>
        <v>-1.7715339877350686</v>
      </c>
      <c r="AV174" s="2">
        <f>Table7[[#This Row],[WCAL Res]]^2</f>
        <v>3.1383326697005143</v>
      </c>
      <c r="AW174">
        <f>Regression!$R$10+(Regression!$R$9*Table83[[#This Row],[Carbs]])</f>
        <v>253.62203938668407</v>
      </c>
      <c r="AX174" s="2">
        <f>Table83[[#This Row],[Weight]]-Table7[[#This Row],[Weight v Carbs]]</f>
        <v>-1.6220393866840652</v>
      </c>
      <c r="AY174" s="2">
        <f>Table7[[#This Row],[Wcarb Res]]^2</f>
        <v>2.6310117719544186</v>
      </c>
      <c r="AZ174">
        <f>Regression!$S$10+(Regression!$S$9*Table83[[#This Row],[Fat ]])</f>
        <v>254.40122626850729</v>
      </c>
      <c r="BA174" s="2">
        <f>Table83[[#This Row],[Weight]]-Table7[[#This Row],[Weight v Fat]]</f>
        <v>-2.4012262685072869</v>
      </c>
      <c r="BB174" s="2">
        <f>Table7[[#This Row],[WF Res]]^2</f>
        <v>5.7658875925694293</v>
      </c>
      <c r="BC174">
        <f>Regression!$T$10+(Regression!$T$9*Table83[[#This Row],[Protein]])</f>
        <v>253.55907774299638</v>
      </c>
      <c r="BD174" s="2">
        <f>Table83[[#This Row],[Weight]]-Table7[[#This Row],[Weight v Protein]]</f>
        <v>-1.5590777429963794</v>
      </c>
      <c r="BE174" s="2">
        <f>Table7[[#This Row],[WP Res]]^2</f>
        <v>2.4307234087066845</v>
      </c>
      <c r="BF174">
        <f>Regression!$U$10+(Regression!$U$9*Table83[[#This Row],[Fiber]])</f>
        <v>255.21155591058653</v>
      </c>
      <c r="BG174" s="2">
        <f>Table83[[#This Row],[Weight]]-Table7[[#This Row],[Weight v Fiber]]</f>
        <v>-3.2115559105865259</v>
      </c>
      <c r="BH174" s="2">
        <f>Table7[[#This Row],[Wfib Res]]^2</f>
        <v>10.31409136682325</v>
      </c>
      <c r="BI174">
        <f>Regression!$V$10+(Regression!$V$9*Table83[[#This Row],[Sugar]])</f>
        <v>253.18305669977551</v>
      </c>
      <c r="BJ174" s="2">
        <f>Table83[[#This Row],[Weight]]-Table7[[#This Row],[Weight v Sugar]]</f>
        <v>-1.1830566997755056</v>
      </c>
      <c r="BK174" s="2">
        <f>Table7[[#This Row],[Wsugar Res]]^2</f>
        <v>1.3996231548837108</v>
      </c>
      <c r="BL174">
        <f>Regression!$W$10+(Regression!$W$9*Table83[[#This Row],[Servings]])</f>
        <v>254.03269762290526</v>
      </c>
      <c r="BM174" s="2">
        <f>Table83[[#This Row],[Weight]]-Table7[[#This Row],[Weight v Servings]]</f>
        <v>-2.0326976229052605</v>
      </c>
      <c r="BN174" s="2">
        <f>Table7[[#This Row],[Wserv Res]]^2</f>
        <v>4.1318596261646965</v>
      </c>
      <c r="BO174">
        <f>Regression!$X$10+(Regression!$X$9*Table83[[#This Row],[Water]])</f>
        <v>255.10626599365665</v>
      </c>
      <c r="BP174" s="2">
        <f>Table83[[#This Row],[Weight]]-Table7[[#This Row],[Weight v Water]]</f>
        <v>-3.106265993656649</v>
      </c>
      <c r="BQ174" s="2">
        <f>Table7[[#This Row],[Wwater Res]]^2</f>
        <v>9.6488884233477297</v>
      </c>
      <c r="BR174">
        <f>Regression!$Y$10+(Regression!$Y$9*Table83[[#This Row],[Fat Calories]])</f>
        <v>254.35050073873902</v>
      </c>
      <c r="BS174" s="2">
        <f>Table83[[#This Row],[Weight]]-Table7[[#This Row],[Weight v Fat Calories]]</f>
        <v>-2.3505007387390151</v>
      </c>
      <c r="BT174" s="2">
        <f>Table7[[#This Row],[WFC Res]]^2</f>
        <v>5.5248537228126562</v>
      </c>
      <c r="BU174">
        <f>Regression!$B$29+(Regression!$B$28*Table83[[#This Row],[Weight]])</f>
        <v>44.029076073268705</v>
      </c>
      <c r="BV174" s="2">
        <f>Table83[[#This Row],[Waist]]-Table7[[#This Row],[Waist v Weight]]</f>
        <v>0.47092392673129524</v>
      </c>
      <c r="BW174" s="2">
        <f>Table7[[#This Row],[WaistW Res]]^2</f>
        <v>0.22176934476802232</v>
      </c>
      <c r="BX174">
        <f>Regression!$C$29+(Regression!$C$28*Table83[[#This Row],[Neck]])</f>
        <v>44.175585585585594</v>
      </c>
      <c r="BY174" s="2">
        <f>Table83[[#This Row],[Waist]]-Table7[[#This Row],[Waist v Neck]]</f>
        <v>0.32441441441440588</v>
      </c>
      <c r="BZ174" s="2">
        <f>Table7[[#This Row],[WaistN Res]]^2</f>
        <v>0.10524471227984188</v>
      </c>
      <c r="CA174">
        <f>Regression!$D$29+(Regression!$D$28*Table83[[#This Row],[Morning Body Temp]])</f>
        <v>44.457597930757203</v>
      </c>
      <c r="CB174" s="2">
        <f>Table83[[#This Row],[Waist]]-Table7[[#This Row],[Waist v Morning Temp]]</f>
        <v>4.2402069242797324E-2</v>
      </c>
      <c r="CC174" s="2">
        <f>Table7[[#This Row],[WaistMT Res]]^2</f>
        <v>1.7979354760709789E-3</v>
      </c>
      <c r="CD174">
        <f>Regression!$E$29+(Regression!$E$28*Table83[[#This Row],[Morning Systolic Pressure]])</f>
        <v>44.492246348363913</v>
      </c>
      <c r="CE174" s="2">
        <f>Table83[[#This Row],[Waist]]-Table7[[#This Row],[Waist v Morning Sys]]</f>
        <v>7.7536516360865448E-3</v>
      </c>
      <c r="CF174" s="2">
        <f>Table7[[#This Row],[WaistMS Res]]^2</f>
        <v>6.0119113693787551E-5</v>
      </c>
      <c r="CG174">
        <f>Regression!$F$29+(Regression!$F$28*Table83[[#This Row],[Morning Diastolic Pressure]])</f>
        <v>44.435909806137701</v>
      </c>
      <c r="CH174" s="2">
        <f>Table83[[#This Row],[Waist]]-Table7[[#This Row],[Waist v Morning Dia]]</f>
        <v>6.4090193862298861E-2</v>
      </c>
      <c r="CI174" s="2">
        <f>Table7[[#This Row],[WaistMD Res]]^2</f>
        <v>4.1075529493070509E-3</v>
      </c>
      <c r="CJ174">
        <f>Regression!$G$29+(Regression!$G$28*Table83[[#This Row],[Morning Pulse]])</f>
        <v>44.45205769235897</v>
      </c>
      <c r="CK174" s="2">
        <f>Table83[[#This Row],[Waist]]-Table7[[#This Row],[Waist v Morning Pulse]]</f>
        <v>4.7942307641029913E-2</v>
      </c>
      <c r="CL174" s="2">
        <f>Table7[[#This Row],[WaistMP Res]]^2</f>
        <v>2.2984648619471552E-3</v>
      </c>
      <c r="CM174">
        <f>Regression!$H$29+(Regression!$H$28*Table83[[#This Row],[Night Body Temp]])</f>
        <v>44.489438573683607</v>
      </c>
      <c r="CN174" s="2">
        <f>Table83[[#This Row],[Waist]]-Table7[[#This Row],[Waist v Night Temp]]</f>
        <v>1.0561426316392897E-2</v>
      </c>
      <c r="CO174" s="2">
        <f>Table7[[#This Row],[WaistNT Res]]^2</f>
        <v>1.1154372583659643E-4</v>
      </c>
      <c r="CP174">
        <f>Regression!$I$29+(Regression!$I$28*Table83[[#This Row],[Night Systolic Pressure]])</f>
        <v>44.369258629351535</v>
      </c>
      <c r="CQ174" s="2">
        <f>Table83[[#This Row],[Waist]]-Table7[[#This Row],[Waist v  Night Sys]]</f>
        <v>0.13074137064846525</v>
      </c>
      <c r="CR174" s="2">
        <f>Table7[[#This Row],[WaistNS Res]]^2</f>
        <v>1.7093305999039372E-2</v>
      </c>
      <c r="CS174">
        <f>Regression!$J$29+(Regression!$J$28*Table83[[#This Row],[Night Diastolic Pressure]])</f>
        <v>44.426956120738851</v>
      </c>
      <c r="CT174" s="2">
        <f>Table83[[#This Row],[Waist]]-Table7[[#This Row],[Waist v Night Dia]]</f>
        <v>7.3043879261149414E-2</v>
      </c>
      <c r="CU174" s="2">
        <f>Table7[[#This Row],[WaistND Res]]^2</f>
        <v>5.3354082975173734E-3</v>
      </c>
      <c r="CV174">
        <f>Regression!$K$29+(Regression!$K$28*Table83[[#This Row],[Night Pulse]])</f>
        <v>44.468278611498164</v>
      </c>
      <c r="CW174" s="2">
        <f>Table83[[#This Row],[Waist]]-Table7[[#This Row],[Waist v Night Pulse]]</f>
        <v>3.1721388501836145E-2</v>
      </c>
      <c r="CX174" s="2">
        <f>Table7[[#This Row],[WaistNP Res]]^2</f>
        <v>1.0062464884844223E-3</v>
      </c>
      <c r="CY174">
        <f>Regression!$L$29+(Regression!$L$28*Table83[[#This Row],[Sleep]])</f>
        <v>44.456891852858099</v>
      </c>
      <c r="CZ174" s="2">
        <f>Table83[[#This Row],[Waist]]-Table7[[#This Row],[Waist v  Sleep]]</f>
        <v>4.3108147141900588E-2</v>
      </c>
      <c r="DA174" s="2">
        <f>Table7[[#This Row],[WaistS Res]]^2</f>
        <v>1.8583123500077519E-3</v>
      </c>
      <c r="DB174">
        <f>Regression!$M$29+(Regression!$M$28*Table83[[#This Row],[BMI]])</f>
        <v>44.029076073270048</v>
      </c>
      <c r="DC174" s="2">
        <f>Table83[[#This Row],[Waist]]-Table7[[#This Row],[Waist v BMI]]</f>
        <v>0.47092392672995231</v>
      </c>
      <c r="DD174" s="2">
        <f>Table7[[#This Row],[WaistBMI Res]]^2</f>
        <v>0.2217693447667575</v>
      </c>
      <c r="DE174">
        <f>Regression!$N$29+(Regression!$N$28*Table83[[#This Row],[CBF]])</f>
        <v>44.659010290127611</v>
      </c>
      <c r="DF174" s="2">
        <f>Table83[[#This Row],[Waist]]-Table7[[#This Row],[Waist v  CBF]]</f>
        <v>-0.15901029012761114</v>
      </c>
      <c r="DG174" s="2">
        <f>Table7[[#This Row],[WaistCBF Res]]^2</f>
        <v>2.5284272366467068E-2</v>
      </c>
      <c r="DH174">
        <f>Regression!$O$29+(Regression!$O$28*Table83[[#This Row],[Gym]])</f>
        <v>44.347222222222221</v>
      </c>
      <c r="DI174" s="2">
        <f>Table83[[#This Row],[Waist]]-Table7[[#This Row],[Waist v  Gym]]</f>
        <v>0.15277777777777857</v>
      </c>
      <c r="DJ174" s="2">
        <f>Table7[[#This Row],[WaistGYM Res]]^2</f>
        <v>2.3341049382716292E-2</v>
      </c>
      <c r="DK174">
        <f>Regression!$P$29+(Regression!$P$28*Table83[[#This Row],[Cardio]])</f>
        <v>44.291666666666664</v>
      </c>
      <c r="DL174" s="2">
        <f>Table83[[#This Row],[Waist]]-Table7[[#This Row],[Waist v Cardio]]</f>
        <v>0.2083333333333357</v>
      </c>
      <c r="DM174" s="2">
        <f>Table7[[#This Row],[WaistC Res]]^2</f>
        <v>4.3402777777778762E-2</v>
      </c>
      <c r="DN174">
        <f>Regression!$Q$29+(Regression!$Q$28*Table83[[#This Row],[Calories]])</f>
        <v>44.151682866179648</v>
      </c>
      <c r="DO174" s="2">
        <f>Table83[[#This Row],[Waist]]-Table7[[#This Row],[Waist v Calories]]</f>
        <v>0.3483171338203519</v>
      </c>
      <c r="DP174" s="2">
        <f>Table7[[#This Row],[WaistCal Res]]^2</f>
        <v>0.12132482571282494</v>
      </c>
      <c r="DQ174">
        <f>Regression!$R$29+(Regression!$R$28*Table83[[#This Row],[Carbs]])</f>
        <v>44.142705353730037</v>
      </c>
      <c r="DR174" s="2">
        <f>Table83[[#This Row],[Waist]]-Table7[[#This Row],[Waist v Carbs]]</f>
        <v>0.35729464626996332</v>
      </c>
      <c r="DS174" s="2">
        <f>Table7[[#This Row],[WaistCarb Res]]^2</f>
        <v>0.12765946425317823</v>
      </c>
      <c r="DT174">
        <f>Regression!$S$29+(Regression!$S$28*Table83[[#This Row],[Fat ]])</f>
        <v>44.235340773065843</v>
      </c>
      <c r="DU174" s="2">
        <f>Table83[[#This Row],[Waist]]-Table7[[#This Row],[Waist v Fat]]</f>
        <v>0.26465922693415678</v>
      </c>
      <c r="DV174" s="2">
        <f>Table7[[#This Row],[WaistF Res]]^2</f>
        <v>7.0044506401385501E-2</v>
      </c>
      <c r="DW174">
        <f>Regression!$T$29+(Regression!$T$28*Table83[[#This Row],[Protein]])</f>
        <v>44.168740153997412</v>
      </c>
      <c r="DX174" s="2">
        <f>Table83[[#This Row],[Waist]]-Table7[[#This Row],[Waist v Protein]]</f>
        <v>0.33125984600258818</v>
      </c>
      <c r="DY174" s="2">
        <f>Table7[[#This Row],[WaistP Res]]^2</f>
        <v>0.10973308557365843</v>
      </c>
      <c r="DZ174">
        <f>Regression!$U$29+(Regression!$U$28*Table83[[#This Row],[Fiber]])</f>
        <v>44.490779808622278</v>
      </c>
      <c r="EA174" s="2">
        <f>Table83[[#This Row],[Waist]]-Table7[[#This Row],[Waist v Fiber]]</f>
        <v>9.220191377721676E-3</v>
      </c>
      <c r="EB174" s="2">
        <f>Table7[[#This Row],[WaistFib Res]]^2</f>
        <v>8.5011929041813142E-5</v>
      </c>
      <c r="EC174">
        <f>Regression!$V$29+(Regression!$V$28*Table83[[#This Row],[Sugar]])</f>
        <v>44.106479807517566</v>
      </c>
      <c r="ED174" s="2">
        <f>Table83[[#This Row],[Waist]]-Table7[[#This Row],[Waist v Sugar]]</f>
        <v>0.39352019248243408</v>
      </c>
      <c r="EE174" s="2">
        <f>Table7[[#This Row],[WaistSugar Res]]^2</f>
        <v>0.15485814189141198</v>
      </c>
      <c r="EF174">
        <f>Regression!$W$29+(Regression!$W$28*Table83[[#This Row],[Servings]])</f>
        <v>44.288391759941518</v>
      </c>
      <c r="EG174" s="2">
        <f>Table83[[#This Row],[Waist]]-Table7[[#This Row],[Waist v Servings]]</f>
        <v>0.21160824005848156</v>
      </c>
      <c r="EH174" s="2">
        <f>Table7[[#This Row],[WaistServ Res]]^2</f>
        <v>4.4778047260647956E-2</v>
      </c>
      <c r="EI174">
        <f>Regression!$X$29+(Regression!$X$28*Table83[[#This Row],[Water]])</f>
        <v>44.442082352251923</v>
      </c>
      <c r="EJ174" s="2">
        <f>Table83[[#This Row],[Waist]]-Table7[[#This Row],[Waist v Water]]</f>
        <v>5.7917647748077172E-2</v>
      </c>
      <c r="EK174" s="2">
        <f>Table7[[#This Row],[WaistWat Res]]^2</f>
        <v>3.3544539206703488E-3</v>
      </c>
      <c r="EL174">
        <f>Regression!$Y$29+(Regression!$Y$28*Table83[[#This Row],[Fat Calories]])</f>
        <v>44.221020147787819</v>
      </c>
      <c r="EM174" s="2">
        <f>Table83[[#This Row],[Waist]]-Table7[[#This Row],[Waist v Fat Calories]]</f>
        <v>0.27897985221218136</v>
      </c>
      <c r="EN174" s="2">
        <f>Table7[[#This Row],[WaistFatCal Res]]^2</f>
        <v>7.7829757940330549E-2</v>
      </c>
    </row>
    <row r="175" spans="1:144" x14ac:dyDescent="0.25">
      <c r="A175">
        <f>Regression!$B$10+(Regression!$B$9*Table83[[#This Row],[Waist]])</f>
        <v>255.38023686459636</v>
      </c>
      <c r="B175" s="2">
        <f>Table83[[#This Row],[Weight]]-Table7[[#This Row],[Weight v Waist]]</f>
        <v>0.2197631354036389</v>
      </c>
      <c r="C175" s="2">
        <f>Table7[[#This Row],[Weight v Waist Res]]^2</f>
        <v>4.8295835682438122E-2</v>
      </c>
      <c r="D175">
        <f>Regression!$C$10+(Regression!$C$9*Table83[[#This Row],[Neck]])</f>
        <v>253.29286486487842</v>
      </c>
      <c r="E175" s="2">
        <f>Table83[[#This Row],[Weight]]-Table7[[#This Row],[Weight v Neck]]</f>
        <v>2.3071351351215696</v>
      </c>
      <c r="F175" s="2">
        <f>Table7[[#This Row],[WN Res]]^2</f>
        <v>5.3228725317124237</v>
      </c>
      <c r="G175">
        <f>Regression!$D$10+(Regression!$D$9*Table83[[#This Row],[Morning Body Temp]])</f>
        <v>255.4819577744185</v>
      </c>
      <c r="H175" s="2">
        <f>Table83[[#This Row],[Weight]]-Table7[[#This Row],[Weight v Morning Temp]]</f>
        <v>0.11804222558149036</v>
      </c>
      <c r="I175" s="2">
        <f>Table7[[#This Row],[WMT Res]]^2</f>
        <v>1.3933967020231456E-2</v>
      </c>
      <c r="J175">
        <f>Regression!$E$10+(Regression!$E$9*Table83[[#This Row],[Morning Systolic Pressure]])</f>
        <v>255.05440942489196</v>
      </c>
      <c r="K175" s="2">
        <f>Table83[[#This Row],[Weight]]-Table7[[#This Row],[Weight v Morning Sys]]</f>
        <v>0.54559057510803655</v>
      </c>
      <c r="L175" s="2">
        <f>Table7[[#This Row],[WMS Res]]^2</f>
        <v>0.29766907564671807</v>
      </c>
      <c r="M175">
        <f>Regression!$F$10+(Regression!$F$9*Table83[[#This Row],[Morning Diastolic Pressure]])</f>
        <v>255.20338414629154</v>
      </c>
      <c r="N175" s="2">
        <f>Table83[[#This Row],[Weight]]-Table7[[#This Row],[Weight v Morning Dia]]</f>
        <v>0.39661585370845387</v>
      </c>
      <c r="O175" s="2">
        <f>Table7[[#This Row],[WMD Res]]^2</f>
        <v>0.15730413541288568</v>
      </c>
      <c r="P175">
        <f>Regression!$G$10+(Regression!$G$9*Table83[[#This Row],[Morning Pulse]])</f>
        <v>255.10267831985533</v>
      </c>
      <c r="Q175" s="2">
        <f>Table83[[#This Row],[Weight]]-Table7[[#This Row],[Weight v Morning Pulse]]</f>
        <v>0.49732168014466538</v>
      </c>
      <c r="R175" s="2">
        <f>Table7[[#This Row],[WMP Res]]^2</f>
        <v>0.24732885354191286</v>
      </c>
      <c r="S175">
        <f>Regression!$H$10+(Regression!$H$9*Table83[[#This Row],[Night Body Temp]])</f>
        <v>254.74879010704339</v>
      </c>
      <c r="T175" s="2">
        <f>Table83[[#This Row],[Weight]]-Table7[[#This Row],[Weight v Night Temp]]</f>
        <v>0.85120989295660365</v>
      </c>
      <c r="U175" s="2">
        <f>Table7[[#This Row],[WNT Res]]^2</f>
        <v>0.72455828186719262</v>
      </c>
      <c r="V175">
        <f>Regression!$I$10+(Regression!$I$9*Table83[[#This Row],[Night Systolic Pressure]])</f>
        <v>256.16238489942344</v>
      </c>
      <c r="W175" s="2">
        <f>Table83[[#This Row],[Weight]]-Table7[[#This Row],[Weight v Night Sys]]</f>
        <v>-0.56238489942344927</v>
      </c>
      <c r="X175" s="2">
        <f>Table7[[#This Row],[WNS Res]]^2</f>
        <v>0.31627677509952318</v>
      </c>
      <c r="Y175">
        <f>Regression!$J$10+(Regression!$J$9*Table83[[#This Row],[Night Diastolic Pressure]])</f>
        <v>255.2146139794944</v>
      </c>
      <c r="Z175" s="2">
        <f>Table83[[#This Row],[Weight]]-Table7[[#This Row],[Weight v Night Dia]]</f>
        <v>0.38538602050559234</v>
      </c>
      <c r="AA175" s="2">
        <f>Table7[[#This Row],[WND Res]]^2</f>
        <v>0.14852238480113683</v>
      </c>
      <c r="AB175">
        <f>Regression!$K$10+(Regression!$K$9*Table83[[#This Row],[Night Pulse]])</f>
        <v>255.11015185874123</v>
      </c>
      <c r="AC175" s="2">
        <f>Table83[[#This Row],[Weight]]-Table7[[#This Row],[Weight v Night Pulse]]</f>
        <v>0.48984814125876142</v>
      </c>
      <c r="AD175" s="2">
        <f>Table7[[#This Row],[WNP Res ]]^2</f>
        <v>0.23995120149466348</v>
      </c>
      <c r="AE175">
        <f>Regression!$L$10+(Regression!$L$9*Table83[[#This Row],[Sleep]])</f>
        <v>254.50608136063369</v>
      </c>
      <c r="AF175" s="2">
        <f>Table83[[#This Row],[Weight]]-Table7[[#This Row],[Weight v Sleep]]</f>
        <v>1.0939186393663078</v>
      </c>
      <c r="AG175" s="2">
        <f>Table7[[#This Row],[WS Res]]^2</f>
        <v>1.1966579895530343</v>
      </c>
      <c r="AH175">
        <f>Regression!$M$10+(Regression!$M$9*Table83[[#This Row],[BMI]])</f>
        <v>255.59999999999894</v>
      </c>
      <c r="AI175" s="2">
        <f>Table83[[#This Row],[Weight]]-Table7[[#This Row],[Weight v BMI]]</f>
        <v>1.0516032489249483E-12</v>
      </c>
      <c r="AJ175" s="2">
        <f>Table7[[#This Row],[WBMI Res]]^2</f>
        <v>1.1058693931495067E-24</v>
      </c>
      <c r="AK175">
        <f>Regression!$N$10+(Regression!$N$9*Table83[[#This Row],[CBF]])</f>
        <v>256.25609762651322</v>
      </c>
      <c r="AL175" s="2">
        <f>Table83[[#This Row],[Weight]]-Table7[[#This Row],[Weight v CBF]]</f>
        <v>-0.65609762651322967</v>
      </c>
      <c r="AM175" s="2">
        <f>Table7[[#This Row],[WCBF Res]]^2</f>
        <v>0.43046409551629339</v>
      </c>
      <c r="AN175">
        <f>Regression!$O$10+(Regression!$O$9*Table83[[#This Row],[Gym]])</f>
        <v>254.72962962962998</v>
      </c>
      <c r="AO175" s="2">
        <f>Table83[[#This Row],[Weight]]-Table7[[#This Row],[Weight v Gym]]</f>
        <v>0.87037037037001141</v>
      </c>
      <c r="AP175" s="2">
        <f>Table7[[#This Row],[WG Res]]^2</f>
        <v>0.75754458161803084</v>
      </c>
      <c r="AQ175">
        <f>Regression!$P$10+(Regression!$P$9*Table83[[#This Row],[Cardio]])</f>
        <v>254.19242424242461</v>
      </c>
      <c r="AR175" s="2">
        <f>Table83[[#This Row],[Weight]]-Table7[[#This Row],[Weight v Cardio]]</f>
        <v>1.4075757575753869</v>
      </c>
      <c r="AS175" s="2">
        <f>Table7[[#This Row],[WC Res]]^2</f>
        <v>1.9812695133139244</v>
      </c>
      <c r="AT175">
        <f>Regression!$Q$10+(Regression!$Q$9*Table83[[#This Row],[Calories]])</f>
        <v>255.05263869279736</v>
      </c>
      <c r="AU175" s="2">
        <f>Table83[[#This Row],[Weight]]-Table7[[#This Row],[Weight v Calories]]</f>
        <v>0.54736130720263532</v>
      </c>
      <c r="AV175" s="2">
        <f>Table7[[#This Row],[WCAL Res]]^2</f>
        <v>0.2996044006225777</v>
      </c>
      <c r="AW175">
        <f>Regression!$R$10+(Regression!$R$9*Table83[[#This Row],[Carbs]])</f>
        <v>255.00981704021618</v>
      </c>
      <c r="AX175" s="2">
        <f>Table83[[#This Row],[Weight]]-Table7[[#This Row],[Weight v Carbs]]</f>
        <v>0.5901829597838173</v>
      </c>
      <c r="AY175" s="2">
        <f>Table7[[#This Row],[Wcarb Res]]^2</f>
        <v>0.34831592601918693</v>
      </c>
      <c r="AZ175">
        <f>Regression!$S$10+(Regression!$S$9*Table83[[#This Row],[Fat ]])</f>
        <v>255.08944543698027</v>
      </c>
      <c r="BA175" s="2">
        <f>Table83[[#This Row],[Weight]]-Table7[[#This Row],[Weight v Fat]]</f>
        <v>0.51055456301972413</v>
      </c>
      <c r="BB175" s="2">
        <f>Table7[[#This Row],[WF Res]]^2</f>
        <v>0.26066596182026147</v>
      </c>
      <c r="BC175">
        <f>Regression!$T$10+(Regression!$T$9*Table83[[#This Row],[Protein]])</f>
        <v>255.17401231226572</v>
      </c>
      <c r="BD175" s="2">
        <f>Table83[[#This Row],[Weight]]-Table7[[#This Row],[Weight v Protein]]</f>
        <v>0.42598768773427764</v>
      </c>
      <c r="BE175" s="2">
        <f>Table7[[#This Row],[WP Res]]^2</f>
        <v>0.18146551010119644</v>
      </c>
      <c r="BF175">
        <f>Regression!$U$10+(Regression!$U$9*Table83[[#This Row],[Fiber]])</f>
        <v>254.90537380270544</v>
      </c>
      <c r="BG175" s="2">
        <f>Table83[[#This Row],[Weight]]-Table7[[#This Row],[Weight v Fiber]]</f>
        <v>0.69462619729455355</v>
      </c>
      <c r="BH175" s="2">
        <f>Table7[[#This Row],[Wfib Res]]^2</f>
        <v>0.48250555396789202</v>
      </c>
      <c r="BI175">
        <f>Regression!$V$10+(Regression!$V$9*Table83[[#This Row],[Sugar]])</f>
        <v>254.58717901896347</v>
      </c>
      <c r="BJ175" s="2">
        <f>Table83[[#This Row],[Weight]]-Table7[[#This Row],[Weight v Sugar]]</f>
        <v>1.0128209810365263</v>
      </c>
      <c r="BK175" s="2">
        <f>Table7[[#This Row],[Wsugar Res]]^2</f>
        <v>1.0258063396277914</v>
      </c>
      <c r="BL175">
        <f>Regression!$W$10+(Regression!$W$9*Table83[[#This Row],[Servings]])</f>
        <v>255.16988793911037</v>
      </c>
      <c r="BM175" s="2">
        <f>Table83[[#This Row],[Weight]]-Table7[[#This Row],[Weight v Servings]]</f>
        <v>0.43011206088962695</v>
      </c>
      <c r="BN175" s="2">
        <f>Table7[[#This Row],[Wserv Res]]^2</f>
        <v>0.18499638492272216</v>
      </c>
      <c r="BO175">
        <f>Regression!$X$10+(Regression!$X$9*Table83[[#This Row],[Water]])</f>
        <v>255.0206340268538</v>
      </c>
      <c r="BP175" s="2">
        <f>Table83[[#This Row],[Weight]]-Table7[[#This Row],[Weight v Water]]</f>
        <v>0.57936597314619576</v>
      </c>
      <c r="BQ175" s="2">
        <f>Table7[[#This Row],[Wwater Res]]^2</f>
        <v>0.33566493083963844</v>
      </c>
      <c r="BR175">
        <f>Regression!$Y$10+(Regression!$Y$9*Table83[[#This Row],[Fat Calories]])</f>
        <v>255.08293906836965</v>
      </c>
      <c r="BS175" s="2">
        <f>Table83[[#This Row],[Weight]]-Table7[[#This Row],[Weight v Fat Calories]]</f>
        <v>0.51706093163033984</v>
      </c>
      <c r="BT175" s="2">
        <f>Table7[[#This Row],[WFC Res]]^2</f>
        <v>0.26735200701843498</v>
      </c>
      <c r="BU175">
        <f>Regression!$B$29+(Regression!$B$28*Table83[[#This Row],[Weight]])</f>
        <v>44.519621111320639</v>
      </c>
      <c r="BV175" s="2">
        <f>Table83[[#This Row],[Waist]]-Table7[[#This Row],[Waist v Weight]]</f>
        <v>-1.9621111320638818E-2</v>
      </c>
      <c r="BW175" s="2">
        <f>Table7[[#This Row],[WaistW Res]]^2</f>
        <v>3.8498800945690077E-4</v>
      </c>
      <c r="BX175">
        <f>Regression!$C$29+(Regression!$C$28*Table83[[#This Row],[Neck]])</f>
        <v>44.175585585585594</v>
      </c>
      <c r="BY175" s="2">
        <f>Table83[[#This Row],[Waist]]-Table7[[#This Row],[Waist v Neck]]</f>
        <v>0.32441441441440588</v>
      </c>
      <c r="BZ175" s="2">
        <f>Table7[[#This Row],[WaistN Res]]^2</f>
        <v>0.10524471227984188</v>
      </c>
      <c r="CA175">
        <f>Regression!$D$29+(Regression!$D$28*Table83[[#This Row],[Morning Body Temp]])</f>
        <v>44.553331996636587</v>
      </c>
      <c r="CB175" s="2">
        <f>Table83[[#This Row],[Waist]]-Table7[[#This Row],[Waist v Morning Temp]]</f>
        <v>-5.3331996636586609E-2</v>
      </c>
      <c r="CC175" s="2">
        <f>Table7[[#This Row],[WaistMT Res]]^2</f>
        <v>2.8443018652448853E-3</v>
      </c>
      <c r="CD175">
        <f>Regression!$E$29+(Regression!$E$28*Table83[[#This Row],[Morning Systolic Pressure]])</f>
        <v>44.439294322151774</v>
      </c>
      <c r="CE175" s="2">
        <f>Table83[[#This Row],[Waist]]-Table7[[#This Row],[Waist v Morning Sys]]</f>
        <v>6.0705677848226003E-2</v>
      </c>
      <c r="CF175" s="2">
        <f>Table7[[#This Row],[WaistMS Res]]^2</f>
        <v>3.6851793230125974E-3</v>
      </c>
      <c r="CG175">
        <f>Regression!$F$29+(Regression!$F$28*Table83[[#This Row],[Morning Diastolic Pressure]])</f>
        <v>44.458452288813113</v>
      </c>
      <c r="CH175" s="2">
        <f>Table83[[#This Row],[Waist]]-Table7[[#This Row],[Waist v Morning Dia]]</f>
        <v>4.1547711186886715E-2</v>
      </c>
      <c r="CI175" s="2">
        <f>Table7[[#This Row],[WaistMD Res]]^2</f>
        <v>1.7262123048689515E-3</v>
      </c>
      <c r="CJ175">
        <f>Regression!$G$29+(Regression!$G$28*Table83[[#This Row],[Morning Pulse]])</f>
        <v>44.447860179490903</v>
      </c>
      <c r="CK175" s="2">
        <f>Table83[[#This Row],[Waist]]-Table7[[#This Row],[Waist v Morning Pulse]]</f>
        <v>5.213982050909749E-2</v>
      </c>
      <c r="CL175" s="2">
        <f>Table7[[#This Row],[WaistMP Res]]^2</f>
        <v>2.7185608827209034E-3</v>
      </c>
      <c r="CM175">
        <f>Regression!$H$29+(Regression!$H$28*Table83[[#This Row],[Night Body Temp]])</f>
        <v>44.424663183244519</v>
      </c>
      <c r="CN175" s="2">
        <f>Table83[[#This Row],[Waist]]-Table7[[#This Row],[Waist v Night Temp]]</f>
        <v>7.5336816755481095E-2</v>
      </c>
      <c r="CO175" s="2">
        <f>Table7[[#This Row],[WaistNT Res]]^2</f>
        <v>5.6756359588489369E-3</v>
      </c>
      <c r="CP175">
        <f>Regression!$I$29+(Regression!$I$28*Table83[[#This Row],[Night Systolic Pressure]])</f>
        <v>44.601900458561346</v>
      </c>
      <c r="CQ175" s="2">
        <f>Table83[[#This Row],[Waist]]-Table7[[#This Row],[Waist v  Night Sys]]</f>
        <v>-0.10190045856134589</v>
      </c>
      <c r="CR175" s="2">
        <f>Table7[[#This Row],[WaistNS Res]]^2</f>
        <v>1.038370345501257E-2</v>
      </c>
      <c r="CS175">
        <f>Regression!$J$29+(Regression!$J$28*Table83[[#This Row],[Night Diastolic Pressure]])</f>
        <v>44.495227901568619</v>
      </c>
      <c r="CT175" s="2">
        <f>Table83[[#This Row],[Waist]]-Table7[[#This Row],[Waist v Night Dia]]</f>
        <v>4.7720984313812664E-3</v>
      </c>
      <c r="CU175" s="2">
        <f>Table7[[#This Row],[WaistND Res]]^2</f>
        <v>2.2772923438791544E-5</v>
      </c>
      <c r="CV175">
        <f>Regression!$K$29+(Regression!$K$28*Table83[[#This Row],[Night Pulse]])</f>
        <v>44.453994879943338</v>
      </c>
      <c r="CW175" s="2">
        <f>Table83[[#This Row],[Waist]]-Table7[[#This Row],[Waist v Night Pulse]]</f>
        <v>4.6005120056662463E-2</v>
      </c>
      <c r="CX175" s="2">
        <f>Table7[[#This Row],[WaistNP Res]]^2</f>
        <v>2.1164710714279269E-3</v>
      </c>
      <c r="CY175">
        <f>Regression!$L$29+(Regression!$L$28*Table83[[#This Row],[Sleep]])</f>
        <v>44.360693916866794</v>
      </c>
      <c r="CZ175" s="2">
        <f>Table83[[#This Row],[Waist]]-Table7[[#This Row],[Waist v  Sleep]]</f>
        <v>0.13930608313320647</v>
      </c>
      <c r="DA175" s="2">
        <f>Table7[[#This Row],[WaistS Res]]^2</f>
        <v>1.9406184797915834E-2</v>
      </c>
      <c r="DB175">
        <f>Regression!$M$29+(Regression!$M$28*Table83[[#This Row],[BMI]])</f>
        <v>44.519621111320426</v>
      </c>
      <c r="DC175" s="2">
        <f>Table83[[#This Row],[Waist]]-Table7[[#This Row],[Waist v BMI]]</f>
        <v>-1.9621111320425655E-2</v>
      </c>
      <c r="DD175" s="2">
        <f>Table7[[#This Row],[WaistBMI Res]]^2</f>
        <v>3.8498800944853577E-4</v>
      </c>
      <c r="DE175">
        <f>Regression!$N$29+(Regression!$N$28*Table83[[#This Row],[CBF]])</f>
        <v>44.659010290127611</v>
      </c>
      <c r="DF175" s="2">
        <f>Table83[[#This Row],[Waist]]-Table7[[#This Row],[Waist v  CBF]]</f>
        <v>-0.15901029012761114</v>
      </c>
      <c r="DG175" s="2">
        <f>Table7[[#This Row],[WaistCBF Res]]^2</f>
        <v>2.5284272366467068E-2</v>
      </c>
      <c r="DH175">
        <f>Regression!$O$29+(Regression!$O$28*Table83[[#This Row],[Gym]])</f>
        <v>44.347222222222221</v>
      </c>
      <c r="DI175" s="2">
        <f>Table83[[#This Row],[Waist]]-Table7[[#This Row],[Waist v  Gym]]</f>
        <v>0.15277777777777857</v>
      </c>
      <c r="DJ175" s="2">
        <f>Table7[[#This Row],[WaistGYM Res]]^2</f>
        <v>2.3341049382716292E-2</v>
      </c>
      <c r="DK175">
        <f>Regression!$P$29+(Regression!$P$28*Table83[[#This Row],[Cardio]])</f>
        <v>44.291666666666664</v>
      </c>
      <c r="DL175" s="2">
        <f>Table83[[#This Row],[Waist]]-Table7[[#This Row],[Waist v Cardio]]</f>
        <v>0.2083333333333357</v>
      </c>
      <c r="DM175" s="2">
        <f>Table7[[#This Row],[WaistC Res]]^2</f>
        <v>4.3402777777778762E-2</v>
      </c>
      <c r="DN175">
        <f>Regression!$Q$29+(Regression!$Q$28*Table83[[#This Row],[Calories]])</f>
        <v>44.439518678936672</v>
      </c>
      <c r="DO175" s="2">
        <f>Table83[[#This Row],[Waist]]-Table7[[#This Row],[Waist v Calories]]</f>
        <v>6.0481321063328153E-2</v>
      </c>
      <c r="DP175" s="2">
        <f>Table7[[#This Row],[WaistCal Res]]^2</f>
        <v>3.6579901975653819E-3</v>
      </c>
      <c r="DQ175">
        <f>Regression!$R$29+(Regression!$R$28*Table83[[#This Row],[Carbs]])</f>
        <v>44.43163216277857</v>
      </c>
      <c r="DR175" s="2">
        <f>Table83[[#This Row],[Waist]]-Table7[[#This Row],[Waist v Carbs]]</f>
        <v>6.836783722143025E-2</v>
      </c>
      <c r="DS175" s="2">
        <f>Table7[[#This Row],[WaistCarb Res]]^2</f>
        <v>4.6741611663359836E-3</v>
      </c>
      <c r="DT175">
        <f>Regression!$S$29+(Regression!$S$28*Table83[[#This Row],[Fat ]])</f>
        <v>44.445714808285196</v>
      </c>
      <c r="DU175" s="2">
        <f>Table83[[#This Row],[Waist]]-Table7[[#This Row],[Waist v Fat]]</f>
        <v>5.4285191714804171E-2</v>
      </c>
      <c r="DV175" s="2">
        <f>Table7[[#This Row],[WaistF Res]]^2</f>
        <v>2.9468820395130435E-3</v>
      </c>
      <c r="DW175">
        <f>Regression!$T$29+(Regression!$T$28*Table83[[#This Row],[Protein]])</f>
        <v>44.464333169262666</v>
      </c>
      <c r="DX175" s="2">
        <f>Table83[[#This Row],[Waist]]-Table7[[#This Row],[Waist v Protein]]</f>
        <v>3.566683073733401E-2</v>
      </c>
      <c r="DY175" s="2">
        <f>Table7[[#This Row],[WaistP Res]]^2</f>
        <v>1.2721228148456342E-3</v>
      </c>
      <c r="DZ175">
        <f>Regression!$U$29+(Regression!$U$28*Table83[[#This Row],[Fiber]])</f>
        <v>44.372636395049959</v>
      </c>
      <c r="EA175" s="2">
        <f>Table83[[#This Row],[Waist]]-Table7[[#This Row],[Waist v Fiber]]</f>
        <v>0.12736360495004106</v>
      </c>
      <c r="EB175" s="2">
        <f>Table7[[#This Row],[WaistFib Res]]^2</f>
        <v>1.6221487865870125E-2</v>
      </c>
      <c r="EC175">
        <f>Regression!$V$29+(Regression!$V$28*Table83[[#This Row],[Sugar]])</f>
        <v>44.358714721945667</v>
      </c>
      <c r="ED175" s="2">
        <f>Table83[[#This Row],[Waist]]-Table7[[#This Row],[Waist v Sugar]]</f>
        <v>0.14128527805433322</v>
      </c>
      <c r="EE175" s="2">
        <f>Table7[[#This Row],[WaistSugar Res]]^2</f>
        <v>1.9961529794890253E-2</v>
      </c>
      <c r="EF175">
        <f>Regression!$W$29+(Regression!$W$28*Table83[[#This Row],[Servings]])</f>
        <v>44.461908056609026</v>
      </c>
      <c r="EG175" s="2">
        <f>Table83[[#This Row],[Waist]]-Table7[[#This Row],[Waist v Servings]]</f>
        <v>3.8091943390973881E-2</v>
      </c>
      <c r="EH175" s="2">
        <f>Table7[[#This Row],[WaistServ Res]]^2</f>
        <v>1.4509961513011589E-3</v>
      </c>
      <c r="EI175">
        <f>Regression!$X$29+(Regression!$X$28*Table83[[#This Row],[Water]])</f>
        <v>44.33031459742935</v>
      </c>
      <c r="EJ175" s="2">
        <f>Table83[[#This Row],[Waist]]-Table7[[#This Row],[Waist v Water]]</f>
        <v>0.16968540257065001</v>
      </c>
      <c r="EK175" s="2">
        <f>Table7[[#This Row],[WaistWat Res]]^2</f>
        <v>2.8793135845563558E-2</v>
      </c>
      <c r="EL175">
        <f>Regression!$Y$29+(Regression!$Y$28*Table83[[#This Row],[Fat Calories]])</f>
        <v>44.443775714357258</v>
      </c>
      <c r="EM175" s="2">
        <f>Table83[[#This Row],[Waist]]-Table7[[#This Row],[Waist v Fat Calories]]</f>
        <v>5.6224285642741734E-2</v>
      </c>
      <c r="EN175" s="2">
        <f>Table7[[#This Row],[WaistFatCal Res]]^2</f>
        <v>3.1611702960366141E-3</v>
      </c>
    </row>
    <row r="176" spans="1:144" x14ac:dyDescent="0.25">
      <c r="A176">
        <f>Regression!$B$10+(Regression!$B$9*Table83[[#This Row],[Waist]])</f>
        <v>255.38023686459636</v>
      </c>
      <c r="B176" s="2">
        <f>Table83[[#This Row],[Weight]]-Table7[[#This Row],[Weight v Waist]]</f>
        <v>-2.7802368645963611</v>
      </c>
      <c r="C176" s="2">
        <f>Table7[[#This Row],[Weight v Waist Res]]^2</f>
        <v>7.7297170232606049</v>
      </c>
      <c r="D176">
        <f>Regression!$C$10+(Regression!$C$9*Table83[[#This Row],[Neck]])</f>
        <v>253.29286486487842</v>
      </c>
      <c r="E176" s="2">
        <f>Table83[[#This Row],[Weight]]-Table7[[#This Row],[Weight v Neck]]</f>
        <v>-0.69286486487843035</v>
      </c>
      <c r="F176" s="2">
        <f>Table7[[#This Row],[WN Res]]^2</f>
        <v>0.48006172098300554</v>
      </c>
      <c r="G176">
        <f>Regression!$D$10+(Regression!$D$9*Table83[[#This Row],[Morning Body Temp]])</f>
        <v>255.05956644908434</v>
      </c>
      <c r="H176" s="2">
        <f>Table83[[#This Row],[Weight]]-Table7[[#This Row],[Weight v Morning Temp]]</f>
        <v>-2.459566449084349</v>
      </c>
      <c r="I176" s="2">
        <f>Table7[[#This Row],[WMT Res]]^2</f>
        <v>6.0494671174613934</v>
      </c>
      <c r="J176">
        <f>Regression!$E$10+(Regression!$E$9*Table83[[#This Row],[Morning Systolic Pressure]])</f>
        <v>255.09948662875533</v>
      </c>
      <c r="K176" s="2">
        <f>Table83[[#This Row],[Weight]]-Table7[[#This Row],[Weight v Morning Sys]]</f>
        <v>-2.499486628755335</v>
      </c>
      <c r="L176" s="2">
        <f>Table7[[#This Row],[WMS Res]]^2</f>
        <v>6.2474334073267102</v>
      </c>
      <c r="M176">
        <f>Regression!$F$10+(Regression!$F$9*Table83[[#This Row],[Morning Diastolic Pressure]])</f>
        <v>255.40607264438131</v>
      </c>
      <c r="N176" s="2">
        <f>Table83[[#This Row],[Weight]]-Table7[[#This Row],[Weight v Morning Dia]]</f>
        <v>-2.8060726443813166</v>
      </c>
      <c r="O176" s="2">
        <f>Table7[[#This Row],[WMD Res]]^2</f>
        <v>7.8740436855451552</v>
      </c>
      <c r="P176">
        <f>Regression!$G$10+(Regression!$G$9*Table83[[#This Row],[Morning Pulse]])</f>
        <v>255.12826746045599</v>
      </c>
      <c r="Q176" s="2">
        <f>Table83[[#This Row],[Weight]]-Table7[[#This Row],[Weight v Morning Pulse]]</f>
        <v>-2.5282674604559929</v>
      </c>
      <c r="R176" s="2">
        <f>Table7[[#This Row],[WMP Res]]^2</f>
        <v>6.3921363516005956</v>
      </c>
      <c r="S176">
        <f>Regression!$H$10+(Regression!$H$9*Table83[[#This Row],[Night Body Temp]])</f>
        <v>255.67305924137855</v>
      </c>
      <c r="T176" s="2">
        <f>Table83[[#This Row],[Weight]]-Table7[[#This Row],[Weight v Night Temp]]</f>
        <v>-3.0730592413785587</v>
      </c>
      <c r="U176" s="2">
        <f>Table7[[#This Row],[WNT Res]]^2</f>
        <v>9.4436931010221628</v>
      </c>
      <c r="V176">
        <f>Regression!$I$10+(Regression!$I$9*Table83[[#This Row],[Night Systolic Pressure]])</f>
        <v>253.18568471259783</v>
      </c>
      <c r="W176" s="2">
        <f>Table83[[#This Row],[Weight]]-Table7[[#This Row],[Weight v Night Sys]]</f>
        <v>-0.58568471259783905</v>
      </c>
      <c r="X176" s="2">
        <f>Table7[[#This Row],[WNS Res]]^2</f>
        <v>0.34302658257081331</v>
      </c>
      <c r="Y176">
        <f>Regression!$J$10+(Regression!$J$9*Table83[[#This Row],[Night Diastolic Pressure]])</f>
        <v>254.76618942691729</v>
      </c>
      <c r="Z176" s="2">
        <f>Table83[[#This Row],[Weight]]-Table7[[#This Row],[Weight v Night Dia]]</f>
        <v>-2.166189426917299</v>
      </c>
      <c r="AA176" s="2">
        <f>Table7[[#This Row],[WND Res]]^2</f>
        <v>4.6923766332882959</v>
      </c>
      <c r="AB176">
        <f>Regression!$K$10+(Regression!$K$9*Table83[[#This Row],[Night Pulse]])</f>
        <v>255.20229185245142</v>
      </c>
      <c r="AC176" s="2">
        <f>Table83[[#This Row],[Weight]]-Table7[[#This Row],[Weight v Night Pulse]]</f>
        <v>-2.6022918524514296</v>
      </c>
      <c r="AD176" s="2">
        <f>Table7[[#This Row],[WNP Res ]]^2</f>
        <v>6.7719228853350932</v>
      </c>
      <c r="AE176">
        <f>Regression!$L$10+(Regression!$L$9*Table83[[#This Row],[Sleep]])</f>
        <v>255.76797809412898</v>
      </c>
      <c r="AF176" s="2">
        <f>Table83[[#This Row],[Weight]]-Table7[[#This Row],[Weight v Sleep]]</f>
        <v>-3.1679780941289835</v>
      </c>
      <c r="AG176" s="2">
        <f>Table7[[#This Row],[WS Res]]^2</f>
        <v>10.036085204881106</v>
      </c>
      <c r="AH176">
        <f>Regression!$M$10+(Regression!$M$9*Table83[[#This Row],[BMI]])</f>
        <v>252.60000000000565</v>
      </c>
      <c r="AI176" s="2">
        <f>Table83[[#This Row],[Weight]]-Table7[[#This Row],[Weight v BMI]]</f>
        <v>-5.6559201766503975E-12</v>
      </c>
      <c r="AJ176" s="2">
        <f>Table7[[#This Row],[WBMI Res]]^2</f>
        <v>3.1989433044641063E-23</v>
      </c>
      <c r="AK176">
        <f>Regression!$N$10+(Regression!$N$9*Table83[[#This Row],[CBF]])</f>
        <v>256.25609762651322</v>
      </c>
      <c r="AL176" s="2">
        <f>Table83[[#This Row],[Weight]]-Table7[[#This Row],[Weight v CBF]]</f>
        <v>-3.6560976265132297</v>
      </c>
      <c r="AM176" s="2">
        <f>Table7[[#This Row],[WCBF Res]]^2</f>
        <v>13.367049854595672</v>
      </c>
      <c r="AN176">
        <f>Regression!$O$10+(Regression!$O$9*Table83[[#This Row],[Gym]])</f>
        <v>254.72962962962998</v>
      </c>
      <c r="AO176" s="2">
        <f>Table83[[#This Row],[Weight]]-Table7[[#This Row],[Weight v Gym]]</f>
        <v>-2.1296296296299886</v>
      </c>
      <c r="AP176" s="2">
        <f>Table7[[#This Row],[WG Res]]^2</f>
        <v>4.5353223593979628</v>
      </c>
      <c r="AQ176">
        <f>Regression!$P$10+(Regression!$P$9*Table83[[#This Row],[Cardio]])</f>
        <v>254.19242424242461</v>
      </c>
      <c r="AR176" s="2">
        <f>Table83[[#This Row],[Weight]]-Table7[[#This Row],[Weight v Cardio]]</f>
        <v>-1.5924242424246131</v>
      </c>
      <c r="AS176" s="2">
        <f>Table7[[#This Row],[WC Res]]^2</f>
        <v>2.5358149678616031</v>
      </c>
      <c r="AT176">
        <f>Regression!$Q$10+(Regression!$Q$9*Table83[[#This Row],[Calories]])</f>
        <v>255.16347579561005</v>
      </c>
      <c r="AU176" s="2">
        <f>Table83[[#This Row],[Weight]]-Table7[[#This Row],[Weight v Calories]]</f>
        <v>-2.56347579561006</v>
      </c>
      <c r="AV176" s="2">
        <f>Table7[[#This Row],[WCAL Res]]^2</f>
        <v>6.5714081546786298</v>
      </c>
      <c r="AW176">
        <f>Regression!$R$10+(Regression!$R$9*Table83[[#This Row],[Carbs]])</f>
        <v>255.36682029450543</v>
      </c>
      <c r="AX176" s="2">
        <f>Table83[[#This Row],[Weight]]-Table7[[#This Row],[Weight v Carbs]]</f>
        <v>-2.7668202945054361</v>
      </c>
      <c r="AY176" s="2">
        <f>Table7[[#This Row],[Wcarb Res]]^2</f>
        <v>7.6552945420871481</v>
      </c>
      <c r="AZ176">
        <f>Regression!$S$10+(Regression!$S$9*Table83[[#This Row],[Fat ]])</f>
        <v>255.11865409810872</v>
      </c>
      <c r="BA176" s="2">
        <f>Table83[[#This Row],[Weight]]-Table7[[#This Row],[Weight v Fat]]</f>
        <v>-2.5186540981087262</v>
      </c>
      <c r="BB176" s="2">
        <f>Table7[[#This Row],[WF Res]]^2</f>
        <v>6.3436184659198807</v>
      </c>
      <c r="BC176">
        <f>Regression!$T$10+(Regression!$T$9*Table83[[#This Row],[Protein]])</f>
        <v>254.2676090306725</v>
      </c>
      <c r="BD176" s="2">
        <f>Table83[[#This Row],[Weight]]-Table7[[#This Row],[Weight v Protein]]</f>
        <v>-1.6676090306725087</v>
      </c>
      <c r="BE176" s="2">
        <f>Table7[[#This Row],[WP Res]]^2</f>
        <v>2.7809198791805039</v>
      </c>
      <c r="BF176">
        <f>Regression!$U$10+(Regression!$U$9*Table83[[#This Row],[Fiber]])</f>
        <v>255.2325808431716</v>
      </c>
      <c r="BG176" s="2">
        <f>Table83[[#This Row],[Weight]]-Table7[[#This Row],[Weight v Fiber]]</f>
        <v>-2.6325808431716098</v>
      </c>
      <c r="BH176" s="2">
        <f>Table7[[#This Row],[Wfib Res]]^2</f>
        <v>6.9304818958341441</v>
      </c>
      <c r="BI176">
        <f>Regression!$V$10+(Regression!$V$9*Table83[[#This Row],[Sugar]])</f>
        <v>255.40016400781087</v>
      </c>
      <c r="BJ176" s="2">
        <f>Table83[[#This Row],[Weight]]-Table7[[#This Row],[Weight v Sugar]]</f>
        <v>-2.8001640078108778</v>
      </c>
      <c r="BK176" s="2">
        <f>Table7[[#This Row],[Wsugar Res]]^2</f>
        <v>7.8409184706394779</v>
      </c>
      <c r="BL176">
        <f>Regression!$W$10+(Regression!$W$9*Table83[[#This Row],[Servings]])</f>
        <v>254.32473574108366</v>
      </c>
      <c r="BM176" s="2">
        <f>Table83[[#This Row],[Weight]]-Table7[[#This Row],[Weight v Servings]]</f>
        <v>-1.7247357410836628</v>
      </c>
      <c r="BN176" s="2">
        <f>Table7[[#This Row],[Wserv Res]]^2</f>
        <v>2.9747133765714113</v>
      </c>
      <c r="BO176">
        <f>Regression!$X$10+(Regression!$X$9*Table83[[#This Row],[Water]])</f>
        <v>255.06345001025522</v>
      </c>
      <c r="BP176" s="2">
        <f>Table83[[#This Row],[Weight]]-Table7[[#This Row],[Weight v Water]]</f>
        <v>-2.4634500102552295</v>
      </c>
      <c r="BQ176" s="2">
        <f>Table7[[#This Row],[Wwater Res]]^2</f>
        <v>6.0685859530264903</v>
      </c>
      <c r="BR176">
        <f>Regression!$Y$10+(Regression!$Y$9*Table83[[#This Row],[Fat Calories]])</f>
        <v>255.11402443179412</v>
      </c>
      <c r="BS176" s="2">
        <f>Table83[[#This Row],[Weight]]-Table7[[#This Row],[Weight v Fat Calories]]</f>
        <v>-2.5140244317941267</v>
      </c>
      <c r="BT176" s="2">
        <f>Table7[[#This Row],[WFC Res]]^2</f>
        <v>6.3203188436577813</v>
      </c>
      <c r="BU176">
        <f>Regression!$B$29+(Regression!$B$28*Table83[[#This Row],[Weight]])</f>
        <v>44.110833579610691</v>
      </c>
      <c r="BV176" s="2">
        <f>Table83[[#This Row],[Waist]]-Table7[[#This Row],[Waist v Weight]]</f>
        <v>0.3891664203893086</v>
      </c>
      <c r="BW176" s="2">
        <f>Table7[[#This Row],[WaistW Res]]^2</f>
        <v>0.15145050275862806</v>
      </c>
      <c r="BX176">
        <f>Regression!$C$29+(Regression!$C$28*Table83[[#This Row],[Neck]])</f>
        <v>44.175585585585594</v>
      </c>
      <c r="BY176" s="2">
        <f>Table83[[#This Row],[Waist]]-Table7[[#This Row],[Waist v Neck]]</f>
        <v>0.32441441441440588</v>
      </c>
      <c r="BZ176" s="2">
        <f>Table7[[#This Row],[WaistN Res]]^2</f>
        <v>0.10524471227984188</v>
      </c>
      <c r="CA176">
        <f>Regression!$D$29+(Regression!$D$28*Table83[[#This Row],[Morning Body Temp]])</f>
        <v>44.438451117581323</v>
      </c>
      <c r="CB176" s="2">
        <f>Table83[[#This Row],[Waist]]-Table7[[#This Row],[Waist v Morning Temp]]</f>
        <v>6.1548882418676953E-2</v>
      </c>
      <c r="CC176" s="2">
        <f>Table7[[#This Row],[WaistMT Res]]^2</f>
        <v>3.7882649269881208E-3</v>
      </c>
      <c r="CD176">
        <f>Regression!$E$29+(Regression!$E$28*Table83[[#This Row],[Morning Systolic Pressure]])</f>
        <v>44.449884727394206</v>
      </c>
      <c r="CE176" s="2">
        <f>Table83[[#This Row],[Waist]]-Table7[[#This Row],[Waist v Morning Sys]]</f>
        <v>5.0115272605793848E-2</v>
      </c>
      <c r="CF176" s="2">
        <f>Table7[[#This Row],[WaistMS Res]]^2</f>
        <v>2.5115405483530314E-3</v>
      </c>
      <c r="CG176">
        <f>Regression!$F$29+(Regression!$F$28*Table83[[#This Row],[Morning Diastolic Pressure]])</f>
        <v>44.469723530150823</v>
      </c>
      <c r="CH176" s="2">
        <f>Table83[[#This Row],[Waist]]-Table7[[#This Row],[Waist v Morning Dia]]</f>
        <v>3.027646984917709E-2</v>
      </c>
      <c r="CI176" s="2">
        <f>Table7[[#This Row],[WaistMD Res]]^2</f>
        <v>9.1666462652812938E-4</v>
      </c>
      <c r="CJ176">
        <f>Regression!$G$29+(Regression!$G$28*Table83[[#This Row],[Morning Pulse]])</f>
        <v>44.459613215521493</v>
      </c>
      <c r="CK176" s="2">
        <f>Table83[[#This Row],[Waist]]-Table7[[#This Row],[Waist v Morning Pulse]]</f>
        <v>4.0386784478506854E-2</v>
      </c>
      <c r="CL176" s="2">
        <f>Table7[[#This Row],[WaistMP Res]]^2</f>
        <v>1.6310923605133622E-3</v>
      </c>
      <c r="CM176">
        <f>Regression!$H$29+(Regression!$H$28*Table83[[#This Row],[Night Body Temp]])</f>
        <v>44.497535497488492</v>
      </c>
      <c r="CN176" s="2">
        <f>Table83[[#This Row],[Waist]]-Table7[[#This Row],[Waist v Night Temp]]</f>
        <v>2.4645025115077601E-3</v>
      </c>
      <c r="CO176" s="2">
        <f>Table7[[#This Row],[WaistNT Res]]^2</f>
        <v>6.0737726292280576E-6</v>
      </c>
      <c r="CP176">
        <f>Regression!$I$29+(Regression!$I$28*Table83[[#This Row],[Night Systolic Pressure]])</f>
        <v>44.180237143118553</v>
      </c>
      <c r="CQ176" s="2">
        <f>Table83[[#This Row],[Waist]]-Table7[[#This Row],[Waist v  Night Sys]]</f>
        <v>0.31976285688144657</v>
      </c>
      <c r="CR176" s="2">
        <f>Table7[[#This Row],[WaistNS Res]]^2</f>
        <v>0.10224828464098448</v>
      </c>
      <c r="CS176">
        <f>Regression!$J$29+(Regression!$J$28*Table83[[#This Row],[Night Diastolic Pressure]])</f>
        <v>44.307480504286751</v>
      </c>
      <c r="CT176" s="2">
        <f>Table83[[#This Row],[Waist]]-Table7[[#This Row],[Waist v Night Dia]]</f>
        <v>0.192519495713249</v>
      </c>
      <c r="CU176" s="2">
        <f>Table7[[#This Row],[WaistND Res]]^2</f>
        <v>3.7063756229683699E-2</v>
      </c>
      <c r="CV176">
        <f>Regression!$K$29+(Regression!$K$28*Table83[[#This Row],[Night Pulse]])</f>
        <v>44.44542464101044</v>
      </c>
      <c r="CW176" s="2">
        <f>Table83[[#This Row],[Waist]]-Table7[[#This Row],[Waist v Night Pulse]]</f>
        <v>5.4575358989559675E-2</v>
      </c>
      <c r="CX176" s="2">
        <f>Table7[[#This Row],[WaistNP Res]]^2</f>
        <v>2.978469808839312E-3</v>
      </c>
      <c r="CY176">
        <f>Regression!$L$29+(Regression!$L$28*Table83[[#This Row],[Sleep]])</f>
        <v>44.553089788849412</v>
      </c>
      <c r="CZ176" s="2">
        <f>Table83[[#This Row],[Waist]]-Table7[[#This Row],[Waist v  Sleep]]</f>
        <v>-5.30897888494124E-2</v>
      </c>
      <c r="DA176" s="2">
        <f>Table7[[#This Row],[WaistS Res]]^2</f>
        <v>2.8185256800751933E-3</v>
      </c>
      <c r="DB176">
        <f>Regression!$M$29+(Regression!$M$28*Table83[[#This Row],[BMI]])</f>
        <v>44.110833579611779</v>
      </c>
      <c r="DC176" s="2">
        <f>Table83[[#This Row],[Waist]]-Table7[[#This Row],[Waist v BMI]]</f>
        <v>0.38916642038822147</v>
      </c>
      <c r="DD176" s="2">
        <f>Table7[[#This Row],[WaistBMI Res]]^2</f>
        <v>0.15145050275778191</v>
      </c>
      <c r="DE176">
        <f>Regression!$N$29+(Regression!$N$28*Table83[[#This Row],[CBF]])</f>
        <v>44.659010290127611</v>
      </c>
      <c r="DF176" s="2">
        <f>Table83[[#This Row],[Waist]]-Table7[[#This Row],[Waist v  CBF]]</f>
        <v>-0.15901029012761114</v>
      </c>
      <c r="DG176" s="2">
        <f>Table7[[#This Row],[WaistCBF Res]]^2</f>
        <v>2.5284272366467068E-2</v>
      </c>
      <c r="DH176">
        <f>Regression!$O$29+(Regression!$O$28*Table83[[#This Row],[Gym]])</f>
        <v>44.347222222222221</v>
      </c>
      <c r="DI176" s="2">
        <f>Table83[[#This Row],[Waist]]-Table7[[#This Row],[Waist v  Gym]]</f>
        <v>0.15277777777777857</v>
      </c>
      <c r="DJ176" s="2">
        <f>Table7[[#This Row],[WaistGYM Res]]^2</f>
        <v>2.3341049382716292E-2</v>
      </c>
      <c r="DK176">
        <f>Regression!$P$29+(Regression!$P$28*Table83[[#This Row],[Cardio]])</f>
        <v>44.291666666666664</v>
      </c>
      <c r="DL176" s="2">
        <f>Table83[[#This Row],[Waist]]-Table7[[#This Row],[Waist v Cardio]]</f>
        <v>0.2083333333333357</v>
      </c>
      <c r="DM176" s="2">
        <f>Table7[[#This Row],[WaistC Res]]^2</f>
        <v>4.3402777777778762E-2</v>
      </c>
      <c r="DN176">
        <f>Regression!$Q$29+(Regression!$Q$28*Table83[[#This Row],[Calories]])</f>
        <v>44.464421317609109</v>
      </c>
      <c r="DO176" s="2">
        <f>Table83[[#This Row],[Waist]]-Table7[[#This Row],[Waist v Calories]]</f>
        <v>3.5578682390891458E-2</v>
      </c>
      <c r="DP176" s="2">
        <f>Table7[[#This Row],[WaistCal Res]]^2</f>
        <v>1.2658426406719299E-3</v>
      </c>
      <c r="DQ176">
        <f>Regression!$R$29+(Regression!$R$28*Table83[[#This Row],[Carbs]])</f>
        <v>44.505958054119453</v>
      </c>
      <c r="DR176" s="2">
        <f>Table83[[#This Row],[Waist]]-Table7[[#This Row],[Waist v Carbs]]</f>
        <v>-5.9580541194534931E-3</v>
      </c>
      <c r="DS176" s="2">
        <f>Table7[[#This Row],[WaistCarb Res]]^2</f>
        <v>3.5498408890336742E-5</v>
      </c>
      <c r="DT176">
        <f>Regression!$S$29+(Regression!$S$28*Table83[[#This Row],[Fat ]])</f>
        <v>44.454643277857727</v>
      </c>
      <c r="DU176" s="2">
        <f>Table83[[#This Row],[Waist]]-Table7[[#This Row],[Waist v Fat]]</f>
        <v>4.5356722142273043E-2</v>
      </c>
      <c r="DV176" s="2">
        <f>Table7[[#This Row],[WaistF Res]]^2</f>
        <v>2.0572322434913616E-3</v>
      </c>
      <c r="DW176">
        <f>Regression!$T$29+(Regression!$T$28*Table83[[#This Row],[Protein]])</f>
        <v>44.298427699065392</v>
      </c>
      <c r="DX176" s="2">
        <f>Table83[[#This Row],[Waist]]-Table7[[#This Row],[Waist v Protein]]</f>
        <v>0.20157230093460754</v>
      </c>
      <c r="DY176" s="2">
        <f>Table7[[#This Row],[WaistP Res]]^2</f>
        <v>4.0631392504071981E-2</v>
      </c>
      <c r="DZ176">
        <f>Regression!$U$29+(Regression!$U$28*Table83[[#This Row],[Fiber]])</f>
        <v>44.498892488108737</v>
      </c>
      <c r="EA176" s="2">
        <f>Table83[[#This Row],[Waist]]-Table7[[#This Row],[Waist v Fiber]]</f>
        <v>1.1075118912629023E-3</v>
      </c>
      <c r="EB176" s="2">
        <f>Table7[[#This Row],[WaistFib Res]]^2</f>
        <v>1.2265825892887308E-6</v>
      </c>
      <c r="EC176">
        <f>Regression!$V$29+(Regression!$V$28*Table83[[#This Row],[Sugar]])</f>
        <v>44.504758407948628</v>
      </c>
      <c r="ED176" s="2">
        <f>Table83[[#This Row],[Waist]]-Table7[[#This Row],[Waist v Sugar]]</f>
        <v>-4.7584079486284736E-3</v>
      </c>
      <c r="EE176" s="2">
        <f>Table7[[#This Row],[WaistSugar Res]]^2</f>
        <v>2.2642446205570639E-5</v>
      </c>
      <c r="EF176">
        <f>Regression!$W$29+(Regression!$W$28*Table83[[#This Row],[Servings]])</f>
        <v>44.332951911421844</v>
      </c>
      <c r="EG176" s="2">
        <f>Table83[[#This Row],[Waist]]-Table7[[#This Row],[Waist v Servings]]</f>
        <v>0.16704808857815578</v>
      </c>
      <c r="EH176" s="2">
        <f>Table7[[#This Row],[WaistServ Res]]^2</f>
        <v>2.7905063897615382E-2</v>
      </c>
      <c r="EI176">
        <f>Regression!$X$29+(Regression!$X$28*Table83[[#This Row],[Water]])</f>
        <v>44.386198474840633</v>
      </c>
      <c r="EJ176" s="2">
        <f>Table83[[#This Row],[Waist]]-Table7[[#This Row],[Waist v Water]]</f>
        <v>0.11380152515936715</v>
      </c>
      <c r="EK176" s="2">
        <f>Table7[[#This Row],[WaistWat Res]]^2</f>
        <v>1.2950787128598073E-2</v>
      </c>
      <c r="EL176">
        <f>Regression!$Y$29+(Regression!$Y$28*Table83[[#This Row],[Fat Calories]])</f>
        <v>44.453229667627461</v>
      </c>
      <c r="EM176" s="2">
        <f>Table83[[#This Row],[Waist]]-Table7[[#This Row],[Waist v Fat Calories]]</f>
        <v>4.6770332372538803E-2</v>
      </c>
      <c r="EN176" s="2">
        <f>Table7[[#This Row],[WaistFatCal Res]]^2</f>
        <v>2.1874639902377513E-3</v>
      </c>
    </row>
    <row r="177" spans="1:144" x14ac:dyDescent="0.25">
      <c r="A177">
        <f>Regression!$B$10+(Regression!$B$9*Table83[[#This Row],[Waist]])</f>
        <v>255.38023686459636</v>
      </c>
      <c r="B177" s="2">
        <f>Table83[[#This Row],[Weight]]-Table7[[#This Row],[Weight v Waist]]</f>
        <v>-2.9802368645963497</v>
      </c>
      <c r="C177" s="2">
        <f>Table7[[#This Row],[Weight v Waist Res]]^2</f>
        <v>8.8818117690990821</v>
      </c>
      <c r="D177">
        <f>Regression!$C$10+(Regression!$C$9*Table83[[#This Row],[Neck]])</f>
        <v>253.29286486487842</v>
      </c>
      <c r="E177" s="2">
        <f>Table83[[#This Row],[Weight]]-Table7[[#This Row],[Weight v Neck]]</f>
        <v>-0.89286486487841898</v>
      </c>
      <c r="F177" s="2">
        <f>Table7[[#This Row],[WN Res]]^2</f>
        <v>0.79720766693435741</v>
      </c>
      <c r="G177">
        <f>Regression!$D$10+(Regression!$D$9*Table83[[#This Row],[Morning Body Temp]])</f>
        <v>255.83395054553034</v>
      </c>
      <c r="H177" s="2">
        <f>Table83[[#This Row],[Weight]]-Table7[[#This Row],[Weight v Morning Temp]]</f>
        <v>-3.4339505455303367</v>
      </c>
      <c r="I177" s="2">
        <f>Table7[[#This Row],[WMT Res]]^2</f>
        <v>11.792016349148097</v>
      </c>
      <c r="J177">
        <f>Regression!$E$10+(Regression!$E$9*Table83[[#This Row],[Morning Systolic Pressure]])</f>
        <v>254.37825136694121</v>
      </c>
      <c r="K177" s="2">
        <f>Table83[[#This Row],[Weight]]-Table7[[#This Row],[Weight v Morning Sys]]</f>
        <v>-1.9782513669412083</v>
      </c>
      <c r="L177" s="2">
        <f>Table7[[#This Row],[WMS Res]]^2</f>
        <v>3.9134784708047592</v>
      </c>
      <c r="M177">
        <f>Regression!$F$10+(Regression!$F$9*Table83[[#This Row],[Morning Diastolic Pressure]])</f>
        <v>255.71010539151592</v>
      </c>
      <c r="N177" s="2">
        <f>Table83[[#This Row],[Weight]]-Table7[[#This Row],[Weight v Morning Dia]]</f>
        <v>-3.3101053915159184</v>
      </c>
      <c r="O177" s="2">
        <f>Table7[[#This Row],[WMD Res]]^2</f>
        <v>10.956797702942751</v>
      </c>
      <c r="P177">
        <f>Regression!$G$10+(Regression!$G$9*Table83[[#This Row],[Morning Pulse]])</f>
        <v>255.11364509439846</v>
      </c>
      <c r="Q177" s="2">
        <f>Table83[[#This Row],[Weight]]-Table7[[#This Row],[Weight v Morning Pulse]]</f>
        <v>-2.7136450943984585</v>
      </c>
      <c r="R177" s="2">
        <f>Table7[[#This Row],[WMP Res]]^2</f>
        <v>7.3638696983528185</v>
      </c>
      <c r="S177">
        <f>Regression!$H$10+(Regression!$H$9*Table83[[#This Row],[Night Body Temp]])</f>
        <v>254.02991411367159</v>
      </c>
      <c r="T177" s="2">
        <f>Table83[[#This Row],[Weight]]-Table7[[#This Row],[Weight v Night Temp]]</f>
        <v>-1.6299141136715889</v>
      </c>
      <c r="U177" s="2">
        <f>Table7[[#This Row],[WNT Res]]^2</f>
        <v>2.656620017945841</v>
      </c>
      <c r="V177">
        <f>Regression!$I$10+(Regression!$I$9*Table83[[#This Row],[Night Systolic Pressure]])</f>
        <v>256.26502973345191</v>
      </c>
      <c r="W177" s="2">
        <f>Table83[[#This Row],[Weight]]-Table7[[#This Row],[Weight v Night Sys]]</f>
        <v>-3.8650297334519053</v>
      </c>
      <c r="X177" s="2">
        <f>Table7[[#This Row],[WNS Res]]^2</f>
        <v>14.938454840467307</v>
      </c>
      <c r="Y177">
        <f>Regression!$J$10+(Regression!$J$9*Table83[[#This Row],[Night Diastolic Pressure]])</f>
        <v>255.41844332157493</v>
      </c>
      <c r="Z177" s="2">
        <f>Table83[[#This Row],[Weight]]-Table7[[#This Row],[Weight v Night Dia]]</f>
        <v>-3.0184433215749209</v>
      </c>
      <c r="AA177" s="2">
        <f>Table7[[#This Row],[WND Res]]^2</f>
        <v>9.1110000855602422</v>
      </c>
      <c r="AB177">
        <f>Regression!$K$10+(Regression!$K$9*Table83[[#This Row],[Night Pulse]])</f>
        <v>254.92587187132088</v>
      </c>
      <c r="AC177" s="2">
        <f>Table83[[#This Row],[Weight]]-Table7[[#This Row],[Weight v Night Pulse]]</f>
        <v>-2.5258718713208737</v>
      </c>
      <c r="AD177" s="2">
        <f>Table7[[#This Row],[WNP Res ]]^2</f>
        <v>6.380028710330012</v>
      </c>
      <c r="AE177">
        <f>Regression!$L$10+(Regression!$L$9*Table83[[#This Row],[Sleep]])</f>
        <v>255.13702972738133</v>
      </c>
      <c r="AF177" s="2">
        <f>Table83[[#This Row],[Weight]]-Table7[[#This Row],[Weight v Sleep]]</f>
        <v>-2.7370297273813264</v>
      </c>
      <c r="AG177" s="2">
        <f>Table7[[#This Row],[WS Res]]^2</f>
        <v>7.4913317285690981</v>
      </c>
      <c r="AH177">
        <f>Regression!$M$10+(Regression!$M$9*Table83[[#This Row],[BMI]])</f>
        <v>252.40000000000609</v>
      </c>
      <c r="AI177" s="2">
        <f>Table83[[#This Row],[Weight]]-Table7[[#This Row],[Weight v BMI]]</f>
        <v>-6.0822458181064576E-12</v>
      </c>
      <c r="AJ177" s="2">
        <f>Table7[[#This Row],[WBMI Res]]^2</f>
        <v>3.6993714191873492E-23</v>
      </c>
      <c r="AK177">
        <f>Regression!$N$10+(Regression!$N$9*Table83[[#This Row],[CBF]])</f>
        <v>256.25609762651322</v>
      </c>
      <c r="AL177" s="2">
        <f>Table83[[#This Row],[Weight]]-Table7[[#This Row],[Weight v CBF]]</f>
        <v>-3.8560976265132183</v>
      </c>
      <c r="AM177" s="2">
        <f>Table7[[#This Row],[WCBF Res]]^2</f>
        <v>14.869488905200875</v>
      </c>
      <c r="AN177">
        <f>Regression!$O$10+(Regression!$O$9*Table83[[#This Row],[Gym]])</f>
        <v>255.46779661016953</v>
      </c>
      <c r="AO177" s="2">
        <f>Table83[[#This Row],[Weight]]-Table7[[#This Row],[Weight v Gym]]</f>
        <v>-3.0677966101695233</v>
      </c>
      <c r="AP177" s="2">
        <f>Table7[[#This Row],[WG Res]]^2</f>
        <v>9.4113760413676175</v>
      </c>
      <c r="AQ177">
        <f>Regression!$P$10+(Regression!$P$9*Table83[[#This Row],[Cardio]])</f>
        <v>254.19242424242461</v>
      </c>
      <c r="AR177" s="2">
        <f>Table83[[#This Row],[Weight]]-Table7[[#This Row],[Weight v Cardio]]</f>
        <v>-1.7924242424246017</v>
      </c>
      <c r="AS177" s="2">
        <f>Table7[[#This Row],[WC Res]]^2</f>
        <v>3.2127846648314073</v>
      </c>
      <c r="AT177">
        <f>Regression!$Q$10+(Regression!$Q$9*Table83[[#This Row],[Calories]])</f>
        <v>255.28826145592004</v>
      </c>
      <c r="AU177" s="2">
        <f>Table83[[#This Row],[Weight]]-Table7[[#This Row],[Weight v Calories]]</f>
        <v>-2.8882614559200306</v>
      </c>
      <c r="AV177" s="2">
        <f>Table7[[#This Row],[WCAL Res]]^2</f>
        <v>8.3420542377532954</v>
      </c>
      <c r="AW177">
        <f>Regression!$R$10+(Regression!$R$9*Table83[[#This Row],[Carbs]])</f>
        <v>255.42129408139357</v>
      </c>
      <c r="AX177" s="2">
        <f>Table83[[#This Row],[Weight]]-Table7[[#This Row],[Weight v Carbs]]</f>
        <v>-3.0212940813935631</v>
      </c>
      <c r="AY177" s="2">
        <f>Table7[[#This Row],[Wcarb Res]]^2</f>
        <v>9.1282179262637744</v>
      </c>
      <c r="AZ177">
        <f>Regression!$S$10+(Regression!$S$9*Table83[[#This Row],[Fat ]])</f>
        <v>255.16263762390827</v>
      </c>
      <c r="BA177" s="2">
        <f>Table83[[#This Row],[Weight]]-Table7[[#This Row],[Weight v Fat]]</f>
        <v>-2.7626376239082617</v>
      </c>
      <c r="BB177" s="2">
        <f>Table7[[#This Row],[WF Res]]^2</f>
        <v>7.6321666410334865</v>
      </c>
      <c r="BC177">
        <f>Regression!$T$10+(Regression!$T$9*Table83[[#This Row],[Protein]])</f>
        <v>254.96892913502032</v>
      </c>
      <c r="BD177" s="2">
        <f>Table83[[#This Row],[Weight]]-Table7[[#This Row],[Weight v Protein]]</f>
        <v>-2.5689291350203121</v>
      </c>
      <c r="BE177" s="2">
        <f>Table7[[#This Row],[WP Res]]^2</f>
        <v>6.5993969007562088</v>
      </c>
      <c r="BF177">
        <f>Regression!$U$10+(Regression!$U$9*Table83[[#This Row],[Fiber]])</f>
        <v>254.91905590887487</v>
      </c>
      <c r="BG177" s="2">
        <f>Table83[[#This Row],[Weight]]-Table7[[#This Row],[Weight v Fiber]]</f>
        <v>-2.5190559088748614</v>
      </c>
      <c r="BH177" s="2">
        <f>Table7[[#This Row],[Wfib Res]]^2</f>
        <v>6.3456426720373544</v>
      </c>
      <c r="BI177">
        <f>Regression!$V$10+(Regression!$V$9*Table83[[#This Row],[Sugar]])</f>
        <v>255.1364216504949</v>
      </c>
      <c r="BJ177" s="2">
        <f>Table83[[#This Row],[Weight]]-Table7[[#This Row],[Weight v Sugar]]</f>
        <v>-2.7364216504948899</v>
      </c>
      <c r="BK177" s="2">
        <f>Table7[[#This Row],[Wsugar Res]]^2</f>
        <v>7.4880034492971772</v>
      </c>
      <c r="BL177">
        <f>Regression!$W$10+(Regression!$W$9*Table83[[#This Row],[Servings]])</f>
        <v>254.32894047838727</v>
      </c>
      <c r="BM177" s="2">
        <f>Table83[[#This Row],[Weight]]-Table7[[#This Row],[Weight v Servings]]</f>
        <v>-1.9289404783872612</v>
      </c>
      <c r="BN177" s="2">
        <f>Table7[[#This Row],[Wserv Res]]^2</f>
        <v>3.7208113691608764</v>
      </c>
      <c r="BO177">
        <f>Regression!$X$10+(Regression!$X$9*Table83[[#This Row],[Water]])</f>
        <v>255.10626599365665</v>
      </c>
      <c r="BP177" s="2">
        <f>Table83[[#This Row],[Weight]]-Table7[[#This Row],[Weight v Water]]</f>
        <v>-2.7062659936566433</v>
      </c>
      <c r="BQ177" s="2">
        <f>Table7[[#This Row],[Wwater Res]]^2</f>
        <v>7.3238756284223792</v>
      </c>
      <c r="BR177">
        <f>Regression!$Y$10+(Regression!$Y$9*Table83[[#This Row],[Fat Calories]])</f>
        <v>255.16083396812158</v>
      </c>
      <c r="BS177" s="2">
        <f>Table83[[#This Row],[Weight]]-Table7[[#This Row],[Weight v Fat Calories]]</f>
        <v>-2.7608339681215739</v>
      </c>
      <c r="BT177" s="2">
        <f>Table7[[#This Row],[WFC Res]]^2</f>
        <v>7.6222041995339156</v>
      </c>
      <c r="BU177">
        <f>Regression!$B$29+(Regression!$B$28*Table83[[#This Row],[Weight]])</f>
        <v>44.083581077496696</v>
      </c>
      <c r="BV177" s="2">
        <f>Table83[[#This Row],[Waist]]-Table7[[#This Row],[Waist v Weight]]</f>
        <v>0.41641892250330415</v>
      </c>
      <c r="BW177" s="2">
        <f>Table7[[#This Row],[WaistW Res]]^2</f>
        <v>0.17340471901881283</v>
      </c>
      <c r="BX177">
        <f>Regression!$C$29+(Regression!$C$28*Table83[[#This Row],[Neck]])</f>
        <v>44.175585585585594</v>
      </c>
      <c r="BY177" s="2">
        <f>Table83[[#This Row],[Waist]]-Table7[[#This Row],[Waist v Neck]]</f>
        <v>0.32441441441440588</v>
      </c>
      <c r="BZ177" s="2">
        <f>Table7[[#This Row],[WaistN Res]]^2</f>
        <v>0.10524471227984188</v>
      </c>
      <c r="CA177">
        <f>Regression!$D$29+(Regression!$D$28*Table83[[#This Row],[Morning Body Temp]])</f>
        <v>44.649066062515985</v>
      </c>
      <c r="CB177" s="2">
        <f>Table83[[#This Row],[Waist]]-Table7[[#This Row],[Waist v Morning Temp]]</f>
        <v>-0.14906606251598475</v>
      </c>
      <c r="CC177" s="2">
        <f>Table7[[#This Row],[WaistMT Res]]^2</f>
        <v>2.2220690994019476E-2</v>
      </c>
      <c r="CD177">
        <f>Regression!$E$29+(Regression!$E$28*Table83[[#This Row],[Morning Systolic Pressure]])</f>
        <v>44.28043824351537</v>
      </c>
      <c r="CE177" s="2">
        <f>Table83[[#This Row],[Waist]]-Table7[[#This Row],[Waist v Morning Sys]]</f>
        <v>0.21956175648463017</v>
      </c>
      <c r="CF177" s="2">
        <f>Table7[[#This Row],[WaistMS Res]]^2</f>
        <v>4.8207364910616037E-2</v>
      </c>
      <c r="CG177">
        <f>Regression!$F$29+(Regression!$F$28*Table83[[#This Row],[Morning Diastolic Pressure]])</f>
        <v>44.486630392157387</v>
      </c>
      <c r="CH177" s="2">
        <f>Table83[[#This Row],[Waist]]-Table7[[#This Row],[Waist v Morning Dia]]</f>
        <v>1.3369607842612652E-2</v>
      </c>
      <c r="CI177" s="2">
        <f>Table7[[#This Row],[WaistMD Res]]^2</f>
        <v>1.7874641386524971E-4</v>
      </c>
      <c r="CJ177">
        <f>Regression!$G$29+(Regression!$G$28*Table83[[#This Row],[Morning Pulse]])</f>
        <v>44.452897194932582</v>
      </c>
      <c r="CK177" s="2">
        <f>Table83[[#This Row],[Waist]]-Table7[[#This Row],[Waist v Morning Pulse]]</f>
        <v>4.7102805067417819E-2</v>
      </c>
      <c r="CL177" s="2">
        <f>Table7[[#This Row],[WaistMP Res]]^2</f>
        <v>2.2186742452191617E-3</v>
      </c>
      <c r="CM177">
        <f>Regression!$H$29+(Regression!$H$28*Table83[[#This Row],[Night Body Temp]])</f>
        <v>44.367984716610323</v>
      </c>
      <c r="CN177" s="2">
        <f>Table83[[#This Row],[Waist]]-Table7[[#This Row],[Waist v Night Temp]]</f>
        <v>0.13201528338967705</v>
      </c>
      <c r="CO177" s="2">
        <f>Table7[[#This Row],[WaistNT Res]]^2</f>
        <v>1.742803504845674E-2</v>
      </c>
      <c r="CP177">
        <f>Regression!$I$29+(Regression!$I$28*Table83[[#This Row],[Night Systolic Pressure]])</f>
        <v>44.616440572886958</v>
      </c>
      <c r="CQ177" s="2">
        <f>Table83[[#This Row],[Waist]]-Table7[[#This Row],[Waist v  Night Sys]]</f>
        <v>-0.11644057288695819</v>
      </c>
      <c r="CR177" s="2">
        <f>Table7[[#This Row],[WaistNS Res]]^2</f>
        <v>1.3558407014243023E-2</v>
      </c>
      <c r="CS177">
        <f>Regression!$J$29+(Regression!$J$28*Table83[[#This Row],[Night Diastolic Pressure]])</f>
        <v>44.580567627605824</v>
      </c>
      <c r="CT177" s="2">
        <f>Table83[[#This Row],[Waist]]-Table7[[#This Row],[Waist v Night Dia]]</f>
        <v>-8.0567627605823589E-2</v>
      </c>
      <c r="CU177" s="2">
        <f>Table7[[#This Row],[WaistND Res]]^2</f>
        <v>6.4911426180306675E-3</v>
      </c>
      <c r="CV177">
        <f>Regression!$K$29+(Regression!$K$28*Table83[[#This Row],[Night Pulse]])</f>
        <v>44.471135357809125</v>
      </c>
      <c r="CW177" s="2">
        <f>Table83[[#This Row],[Waist]]-Table7[[#This Row],[Waist v Night Pulse]]</f>
        <v>2.8864642190875145E-2</v>
      </c>
      <c r="CX177" s="2">
        <f>Table7[[#This Row],[WaistNP Res]]^2</f>
        <v>8.3316756880724946E-4</v>
      </c>
      <c r="CY177">
        <f>Regression!$L$29+(Regression!$L$28*Table83[[#This Row],[Sleep]])</f>
        <v>44.456891852858099</v>
      </c>
      <c r="CZ177" s="2">
        <f>Table83[[#This Row],[Waist]]-Table7[[#This Row],[Waist v  Sleep]]</f>
        <v>4.3108147141900588E-2</v>
      </c>
      <c r="DA177" s="2">
        <f>Table7[[#This Row],[WaistS Res]]^2</f>
        <v>1.8583123500077519E-3</v>
      </c>
      <c r="DB177">
        <f>Regression!$M$29+(Regression!$M$28*Table83[[#This Row],[BMI]])</f>
        <v>44.083581077497868</v>
      </c>
      <c r="DC177" s="2">
        <f>Table83[[#This Row],[Waist]]-Table7[[#This Row],[Waist v BMI]]</f>
        <v>0.41641892250213175</v>
      </c>
      <c r="DD177" s="2">
        <f>Table7[[#This Row],[WaistBMI Res]]^2</f>
        <v>0.17340471901783641</v>
      </c>
      <c r="DE177">
        <f>Regression!$N$29+(Regression!$N$28*Table83[[#This Row],[CBF]])</f>
        <v>44.659010290127611</v>
      </c>
      <c r="DF177" s="2">
        <f>Table83[[#This Row],[Waist]]-Table7[[#This Row],[Waist v  CBF]]</f>
        <v>-0.15901029012761114</v>
      </c>
      <c r="DG177" s="2">
        <f>Table7[[#This Row],[WaistCBF Res]]^2</f>
        <v>2.5284272366467068E-2</v>
      </c>
      <c r="DH177">
        <f>Regression!$O$29+(Regression!$O$28*Table83[[#This Row],[Gym]])</f>
        <v>44.550847457627107</v>
      </c>
      <c r="DI177" s="2">
        <f>Table83[[#This Row],[Waist]]-Table7[[#This Row],[Waist v  Gym]]</f>
        <v>-5.0847457627106962E-2</v>
      </c>
      <c r="DJ177" s="2">
        <f>Table7[[#This Row],[WaistGYM Res]]^2</f>
        <v>2.5854639471404378E-3</v>
      </c>
      <c r="DK177">
        <f>Regression!$P$29+(Regression!$P$28*Table83[[#This Row],[Cardio]])</f>
        <v>44.291666666666664</v>
      </c>
      <c r="DL177" s="2">
        <f>Table83[[#This Row],[Waist]]-Table7[[#This Row],[Waist v Cardio]]</f>
        <v>0.2083333333333357</v>
      </c>
      <c r="DM177" s="2">
        <f>Table7[[#This Row],[WaistC Res]]^2</f>
        <v>4.3402777777778762E-2</v>
      </c>
      <c r="DN177">
        <f>Regression!$Q$29+(Regression!$Q$28*Table83[[#This Row],[Calories]])</f>
        <v>44.492457887776879</v>
      </c>
      <c r="DO177" s="2">
        <f>Table83[[#This Row],[Waist]]-Table7[[#This Row],[Waist v Calories]]</f>
        <v>7.5421122231205118E-3</v>
      </c>
      <c r="DP177" s="2">
        <f>Table7[[#This Row],[WaistCal Res]]^2</f>
        <v>5.6883456786143826E-5</v>
      </c>
      <c r="DQ177">
        <f>Regression!$R$29+(Regression!$R$28*Table83[[#This Row],[Carbs]])</f>
        <v>44.517299162965188</v>
      </c>
      <c r="DR177" s="2">
        <f>Table83[[#This Row],[Waist]]-Table7[[#This Row],[Waist v Carbs]]</f>
        <v>-1.729916296518752E-2</v>
      </c>
      <c r="DS177" s="2">
        <f>Table7[[#This Row],[WaistCarb Res]]^2</f>
        <v>2.9926103929611545E-4</v>
      </c>
      <c r="DT177">
        <f>Regression!$S$29+(Regression!$S$28*Table83[[#This Row],[Fat ]])</f>
        <v>44.468088110884047</v>
      </c>
      <c r="DU177" s="2">
        <f>Table83[[#This Row],[Waist]]-Table7[[#This Row],[Waist v Fat]]</f>
        <v>3.1911889115953329E-2</v>
      </c>
      <c r="DV177" s="2">
        <f>Table7[[#This Row],[WaistF Res]]^2</f>
        <v>1.0183686669489006E-3</v>
      </c>
      <c r="DW177">
        <f>Regression!$T$29+(Regression!$T$28*Table83[[#This Row],[Protein]])</f>
        <v>44.426795329714423</v>
      </c>
      <c r="DX177" s="2">
        <f>Table83[[#This Row],[Waist]]-Table7[[#This Row],[Waist v Protein]]</f>
        <v>7.3204670285576867E-2</v>
      </c>
      <c r="DY177" s="2">
        <f>Table7[[#This Row],[WaistP Res]]^2</f>
        <v>5.3589237516200204E-3</v>
      </c>
      <c r="DZ177">
        <f>Regression!$U$29+(Regression!$U$28*Table83[[#This Row],[Fiber]])</f>
        <v>44.377915771885206</v>
      </c>
      <c r="EA177" s="2">
        <f>Table83[[#This Row],[Waist]]-Table7[[#This Row],[Waist v Fiber]]</f>
        <v>0.1220842281147938</v>
      </c>
      <c r="EB177" s="2">
        <f>Table7[[#This Row],[WaistFib Res]]^2</f>
        <v>1.4904558754385009E-2</v>
      </c>
      <c r="EC177">
        <f>Regression!$V$29+(Regression!$V$28*Table83[[#This Row],[Sugar]])</f>
        <v>44.457380034982428</v>
      </c>
      <c r="ED177" s="2">
        <f>Table83[[#This Row],[Waist]]-Table7[[#This Row],[Waist v Sugar]]</f>
        <v>4.2619965017571815E-2</v>
      </c>
      <c r="EE177" s="2">
        <f>Table7[[#This Row],[WaistSugar Res]]^2</f>
        <v>1.8164614180990453E-3</v>
      </c>
      <c r="EF177">
        <f>Regression!$W$29+(Regression!$W$28*Table83[[#This Row],[Servings]])</f>
        <v>44.333593484283476</v>
      </c>
      <c r="EG177" s="2">
        <f>Table83[[#This Row],[Waist]]-Table7[[#This Row],[Waist v Servings]]</f>
        <v>0.16640651571652398</v>
      </c>
      <c r="EH177" s="2">
        <f>Table7[[#This Row],[WaistServ Res]]^2</f>
        <v>2.7691128472913745E-2</v>
      </c>
      <c r="EI177">
        <f>Regression!$X$29+(Regression!$X$28*Table83[[#This Row],[Water]])</f>
        <v>44.442082352251923</v>
      </c>
      <c r="EJ177" s="2">
        <f>Table83[[#This Row],[Waist]]-Table7[[#This Row],[Waist v Water]]</f>
        <v>5.7917647748077172E-2</v>
      </c>
      <c r="EK177" s="2">
        <f>Table7[[#This Row],[WaistWat Res]]^2</f>
        <v>3.3544539206703488E-3</v>
      </c>
      <c r="EL177">
        <f>Regression!$Y$29+(Regression!$Y$28*Table83[[#This Row],[Fat Calories]])</f>
        <v>44.467465794224957</v>
      </c>
      <c r="EM177" s="2">
        <f>Table83[[#This Row],[Waist]]-Table7[[#This Row],[Waist v Fat Calories]]</f>
        <v>3.253420577504329E-2</v>
      </c>
      <c r="EN177" s="2">
        <f>Table7[[#This Row],[WaistFatCal Res]]^2</f>
        <v>1.0584745454128601E-3</v>
      </c>
    </row>
    <row r="178" spans="1:144" x14ac:dyDescent="0.25">
      <c r="A178">
        <f>Regression!$B$10+(Regression!$B$9*Table83[[#This Row],[Waist]])</f>
        <v>252.52625917894264</v>
      </c>
      <c r="B178" s="2">
        <f>Table83[[#This Row],[Weight]]-Table7[[#This Row],[Weight v Waist]]</f>
        <v>-1.5262591789426381</v>
      </c>
      <c r="C178" s="2">
        <f>Table7[[#This Row],[Weight v Waist Res]]^2</f>
        <v>2.3294670813066558</v>
      </c>
      <c r="D178">
        <f>Regression!$C$10+(Regression!$C$9*Table83[[#This Row],[Neck]])</f>
        <v>253.29286486487842</v>
      </c>
      <c r="E178" s="2">
        <f>Table83[[#This Row],[Weight]]-Table7[[#This Row],[Weight v Neck]]</f>
        <v>-2.2928648648784247</v>
      </c>
      <c r="F178" s="2">
        <f>Table7[[#This Row],[WN Res]]^2</f>
        <v>5.2572292885939564</v>
      </c>
      <c r="G178">
        <f>Regression!$D$10+(Regression!$D$9*Table83[[#This Row],[Morning Body Temp]])</f>
        <v>255.3411606659738</v>
      </c>
      <c r="H178" s="2">
        <f>Table83[[#This Row],[Weight]]-Table7[[#This Row],[Weight v Morning Temp]]</f>
        <v>-4.3411606659738027</v>
      </c>
      <c r="I178" s="2">
        <f>Table7[[#This Row],[WMT Res]]^2</f>
        <v>18.845675927798109</v>
      </c>
      <c r="J178">
        <f>Regression!$E$10+(Regression!$E$9*Table83[[#This Row],[Morning Systolic Pressure]])</f>
        <v>254.91917781330181</v>
      </c>
      <c r="K178" s="2">
        <f>Table83[[#This Row],[Weight]]-Table7[[#This Row],[Weight v Morning Sys]]</f>
        <v>-3.9191778133018147</v>
      </c>
      <c r="L178" s="2">
        <f>Table7[[#This Row],[WMS Res]]^2</f>
        <v>15.359954732277194</v>
      </c>
      <c r="M178">
        <f>Regression!$F$10+(Regression!$F$9*Table83[[#This Row],[Morning Diastolic Pressure]])</f>
        <v>254.79800715011203</v>
      </c>
      <c r="N178" s="2">
        <f>Table83[[#This Row],[Weight]]-Table7[[#This Row],[Weight v Morning Dia]]</f>
        <v>-3.7980071501120278</v>
      </c>
      <c r="O178" s="2">
        <f>Table7[[#This Row],[WMD Res]]^2</f>
        <v>14.424858312302087</v>
      </c>
      <c r="P178">
        <f>Regression!$G$10+(Regression!$G$9*Table83[[#This Row],[Morning Pulse]])</f>
        <v>255.11912848167003</v>
      </c>
      <c r="Q178" s="2">
        <f>Table83[[#This Row],[Weight]]-Table7[[#This Row],[Weight v Morning Pulse]]</f>
        <v>-4.1191284816700318</v>
      </c>
      <c r="R178" s="2">
        <f>Table7[[#This Row],[WMP Res]]^2</f>
        <v>16.967219448505261</v>
      </c>
      <c r="S178">
        <f>Regression!$H$10+(Regression!$H$9*Table83[[#This Row],[Night Body Temp]])</f>
        <v>254.85148667752509</v>
      </c>
      <c r="T178" s="2">
        <f>Table83[[#This Row],[Weight]]-Table7[[#This Row],[Weight v Night Temp]]</f>
        <v>-3.851486677525088</v>
      </c>
      <c r="U178" s="2">
        <f>Table7[[#This Row],[WNT Res]]^2</f>
        <v>14.833949627153242</v>
      </c>
      <c r="V178">
        <f>Regression!$I$10+(Regression!$I$9*Table83[[#This Row],[Night Systolic Pressure]])</f>
        <v>256.16238489942344</v>
      </c>
      <c r="W178" s="2">
        <f>Table83[[#This Row],[Weight]]-Table7[[#This Row],[Weight v Night Sys]]</f>
        <v>-5.1623848994234436</v>
      </c>
      <c r="X178" s="2">
        <f>Table7[[#This Row],[WNS Res]]^2</f>
        <v>26.650217849795197</v>
      </c>
      <c r="Y178">
        <f>Regression!$J$10+(Regression!$J$9*Table83[[#This Row],[Night Diastolic Pressure]])</f>
        <v>255.54074092682322</v>
      </c>
      <c r="Z178" s="2">
        <f>Table83[[#This Row],[Weight]]-Table7[[#This Row],[Weight v Night Dia]]</f>
        <v>-4.5407409268232186</v>
      </c>
      <c r="AA178" s="2">
        <f>Table7[[#This Row],[WND Res]]^2</f>
        <v>20.618328164527384</v>
      </c>
      <c r="AB178">
        <f>Regression!$K$10+(Regression!$K$9*Table83[[#This Row],[Night Pulse]])</f>
        <v>254.92587187132088</v>
      </c>
      <c r="AC178" s="2">
        <f>Table83[[#This Row],[Weight]]-Table7[[#This Row],[Weight v Night Pulse]]</f>
        <v>-3.9258718713208793</v>
      </c>
      <c r="AD178" s="2">
        <f>Table7[[#This Row],[WNP Res ]]^2</f>
        <v>15.412469950028504</v>
      </c>
      <c r="AE178">
        <f>Regression!$L$10+(Regression!$L$9*Table83[[#This Row],[Sleep]])</f>
        <v>255.13702972738133</v>
      </c>
      <c r="AF178" s="2">
        <f>Table83[[#This Row],[Weight]]-Table7[[#This Row],[Weight v Sleep]]</f>
        <v>-4.1370297273813321</v>
      </c>
      <c r="AG178" s="2">
        <f>Table7[[#This Row],[WS Res]]^2</f>
        <v>17.11501496523686</v>
      </c>
      <c r="AH178">
        <f>Regression!$M$10+(Regression!$M$9*Table83[[#This Row],[BMI]])</f>
        <v>251.00000000000921</v>
      </c>
      <c r="AI178" s="2">
        <f>Table83[[#This Row],[Weight]]-Table7[[#This Row],[Weight v BMI]]</f>
        <v>-9.2086338554508984E-12</v>
      </c>
      <c r="AJ178" s="2">
        <f>Table7[[#This Row],[WBMI Res]]^2</f>
        <v>8.4798937483756478E-23</v>
      </c>
      <c r="AK178">
        <f>Regression!$N$10+(Regression!$N$9*Table83[[#This Row],[CBF]])</f>
        <v>253.17965033701802</v>
      </c>
      <c r="AL178" s="2">
        <f>Table83[[#This Row],[Weight]]-Table7[[#This Row],[Weight v CBF]]</f>
        <v>-2.1796503370180176</v>
      </c>
      <c r="AM178" s="2">
        <f>Table7[[#This Row],[WCBF Res]]^2</f>
        <v>4.7508755916627576</v>
      </c>
      <c r="AN178">
        <f>Regression!$O$10+(Regression!$O$9*Table83[[#This Row],[Gym]])</f>
        <v>255.46779661016953</v>
      </c>
      <c r="AO178" s="2">
        <f>Table83[[#This Row],[Weight]]-Table7[[#This Row],[Weight v Gym]]</f>
        <v>-4.467796610169529</v>
      </c>
      <c r="AP178" s="2">
        <f>Table7[[#This Row],[WG Res]]^2</f>
        <v>19.961206549842334</v>
      </c>
      <c r="AQ178">
        <f>Regression!$P$10+(Regression!$P$9*Table83[[#This Row],[Cardio]])</f>
        <v>254.19242424242461</v>
      </c>
      <c r="AR178" s="2">
        <f>Table83[[#This Row],[Weight]]-Table7[[#This Row],[Weight v Cardio]]</f>
        <v>-3.1924242424246074</v>
      </c>
      <c r="AS178" s="2">
        <f>Table7[[#This Row],[WC Res]]^2</f>
        <v>10.191572543620328</v>
      </c>
      <c r="AT178">
        <f>Regression!$Q$10+(Regression!$Q$9*Table83[[#This Row],[Calories]])</f>
        <v>255.32826701617736</v>
      </c>
      <c r="AU178" s="2">
        <f>Table83[[#This Row],[Weight]]-Table7[[#This Row],[Weight v Calories]]</f>
        <v>-4.3282670161773638</v>
      </c>
      <c r="AV178" s="2">
        <f>Table7[[#This Row],[WCAL Res]]^2</f>
        <v>18.733895363328898</v>
      </c>
      <c r="AW178">
        <f>Regression!$R$10+(Regression!$R$9*Table83[[#This Row],[Carbs]])</f>
        <v>255.52610673644526</v>
      </c>
      <c r="AX178" s="2">
        <f>Table83[[#This Row],[Weight]]-Table7[[#This Row],[Weight v Carbs]]</f>
        <v>-4.5261067364452572</v>
      </c>
      <c r="AY178" s="2">
        <f>Table7[[#This Row],[Wcarb Res]]^2</f>
        <v>20.485642189695138</v>
      </c>
      <c r="AZ178">
        <f>Regression!$S$10+(Regression!$S$9*Table83[[#This Row],[Fat ]])</f>
        <v>255.16491856677712</v>
      </c>
      <c r="BA178" s="2">
        <f>Table83[[#This Row],[Weight]]-Table7[[#This Row],[Weight v Fat]]</f>
        <v>-4.1649185667771178</v>
      </c>
      <c r="BB178" s="2">
        <f>Table7[[#This Row],[WF Res]]^2</f>
        <v>17.346546667884763</v>
      </c>
      <c r="BC178">
        <f>Regression!$T$10+(Regression!$T$9*Table83[[#This Row],[Protein]])</f>
        <v>254.70129823210846</v>
      </c>
      <c r="BD178" s="2">
        <f>Table83[[#This Row],[Weight]]-Table7[[#This Row],[Weight v Protein]]</f>
        <v>-3.7012982321084564</v>
      </c>
      <c r="BE178" s="2">
        <f>Table7[[#This Row],[WP Res]]^2</f>
        <v>13.699608603009185</v>
      </c>
      <c r="BF178">
        <f>Regression!$U$10+(Regression!$U$9*Table83[[#This Row],[Fiber]])</f>
        <v>255.28023873809124</v>
      </c>
      <c r="BG178" s="2">
        <f>Table83[[#This Row],[Weight]]-Table7[[#This Row],[Weight v Fiber]]</f>
        <v>-4.2802387380912421</v>
      </c>
      <c r="BH178" s="2">
        <f>Table7[[#This Row],[Wfib Res]]^2</f>
        <v>18.320443655056909</v>
      </c>
      <c r="BI178">
        <f>Regression!$V$10+(Regression!$V$9*Table83[[#This Row],[Sugar]])</f>
        <v>256.02432087924797</v>
      </c>
      <c r="BJ178" s="2">
        <f>Table83[[#This Row],[Weight]]-Table7[[#This Row],[Weight v Sugar]]</f>
        <v>-5.0243208792479663</v>
      </c>
      <c r="BK178" s="2">
        <f>Table7[[#This Row],[Wsugar Res]]^2</f>
        <v>25.243800297647059</v>
      </c>
      <c r="BL178">
        <f>Regression!$W$10+(Regression!$W$9*Table83[[#This Row],[Servings]])</f>
        <v>255.84646839614669</v>
      </c>
      <c r="BM178" s="2">
        <f>Table83[[#This Row],[Weight]]-Table7[[#This Row],[Weight v Servings]]</f>
        <v>-4.8464683961466903</v>
      </c>
      <c r="BN178" s="2">
        <f>Table7[[#This Row],[Wserv Res]]^2</f>
        <v>23.488255914848672</v>
      </c>
      <c r="BO178">
        <f>Regression!$X$10+(Regression!$X$9*Table83[[#This Row],[Water]])</f>
        <v>255.10626599365665</v>
      </c>
      <c r="BP178" s="2">
        <f>Table83[[#This Row],[Weight]]-Table7[[#This Row],[Weight v Water]]</f>
        <v>-4.106265993656649</v>
      </c>
      <c r="BQ178" s="2">
        <f>Table7[[#This Row],[Wwater Res]]^2</f>
        <v>16.861420410661026</v>
      </c>
      <c r="BR178">
        <f>Regression!$Y$10+(Regression!$Y$9*Table83[[#This Row],[Fat Calories]])</f>
        <v>255.16326146514777</v>
      </c>
      <c r="BS178" s="2">
        <f>Table83[[#This Row],[Weight]]-Table7[[#This Row],[Weight v Fat Calories]]</f>
        <v>-4.1632614651477695</v>
      </c>
      <c r="BT178" s="2">
        <f>Table7[[#This Row],[WFC Res]]^2</f>
        <v>17.332746027184353</v>
      </c>
      <c r="BU178">
        <f>Regression!$B$29+(Regression!$B$28*Table83[[#This Row],[Weight]])</f>
        <v>43.89281356269872</v>
      </c>
      <c r="BV178" s="2">
        <f>Table83[[#This Row],[Waist]]-Table7[[#This Row],[Waist v Weight]]</f>
        <v>0.10718643730128008</v>
      </c>
      <c r="BW178" s="2">
        <f>Table7[[#This Row],[WaistW Res]]^2</f>
        <v>1.1488932341341246E-2</v>
      </c>
      <c r="BX178">
        <f>Regression!$C$29+(Regression!$C$28*Table83[[#This Row],[Neck]])</f>
        <v>44.175585585585594</v>
      </c>
      <c r="BY178" s="2">
        <f>Table83[[#This Row],[Waist]]-Table7[[#This Row],[Waist v Neck]]</f>
        <v>-0.17558558558559412</v>
      </c>
      <c r="BZ178" s="2">
        <f>Table7[[#This Row],[WaistN Res]]^2</f>
        <v>3.0830297865435997E-2</v>
      </c>
      <c r="CA178">
        <f>Regression!$D$29+(Regression!$D$28*Table83[[#This Row],[Morning Body Temp]])</f>
        <v>44.515038370284842</v>
      </c>
      <c r="CB178" s="2">
        <f>Table83[[#This Row],[Waist]]-Table7[[#This Row],[Waist v Morning Temp]]</f>
        <v>-0.51503837028484156</v>
      </c>
      <c r="CC178" s="2">
        <f>Table7[[#This Row],[WaistMT Res]]^2</f>
        <v>0.26526452286566554</v>
      </c>
      <c r="CD178">
        <f>Regression!$E$29+(Regression!$E$28*Table83[[#This Row],[Morning Systolic Pressure]])</f>
        <v>44.407523106424492</v>
      </c>
      <c r="CE178" s="2">
        <f>Table83[[#This Row],[Waist]]-Table7[[#This Row],[Waist v Morning Sys]]</f>
        <v>-0.40752310642449174</v>
      </c>
      <c r="CF178" s="2">
        <f>Table7[[#This Row],[WaistMS Res]]^2</f>
        <v>0.16607508226986761</v>
      </c>
      <c r="CG178">
        <f>Regression!$F$29+(Regression!$F$28*Table83[[#This Row],[Morning Diastolic Pressure]])</f>
        <v>44.435909806137701</v>
      </c>
      <c r="CH178" s="2">
        <f>Table83[[#This Row],[Waist]]-Table7[[#This Row],[Waist v Morning Dia]]</f>
        <v>-0.43590980613770114</v>
      </c>
      <c r="CI178" s="2">
        <f>Table7[[#This Row],[WaistMD Res]]^2</f>
        <v>0.1900173590870082</v>
      </c>
      <c r="CJ178">
        <f>Regression!$G$29+(Regression!$G$28*Table83[[#This Row],[Morning Pulse]])</f>
        <v>44.455415702653426</v>
      </c>
      <c r="CK178" s="2">
        <f>Table83[[#This Row],[Waist]]-Table7[[#This Row],[Waist v Morning Pulse]]</f>
        <v>-0.45541570265342557</v>
      </c>
      <c r="CL178" s="2">
        <f>Table7[[#This Row],[WaistMP Res]]^2</f>
        <v>0.20740346222331332</v>
      </c>
      <c r="CM178">
        <f>Regression!$H$29+(Regression!$H$28*Table83[[#This Row],[Night Body Temp]])</f>
        <v>44.432760107049404</v>
      </c>
      <c r="CN178" s="2">
        <f>Table83[[#This Row],[Waist]]-Table7[[#This Row],[Waist v Night Temp]]</f>
        <v>-0.43276010704940404</v>
      </c>
      <c r="CO178" s="2">
        <f>Table7[[#This Row],[WaistNT Res]]^2</f>
        <v>0.18728131025341166</v>
      </c>
      <c r="CP178">
        <f>Regression!$I$29+(Regression!$I$28*Table83[[#This Row],[Night Systolic Pressure]])</f>
        <v>44.601900458561346</v>
      </c>
      <c r="CQ178" s="2">
        <f>Table83[[#This Row],[Waist]]-Table7[[#This Row],[Waist v  Night Sys]]</f>
        <v>-0.60190045856134589</v>
      </c>
      <c r="CR178" s="2">
        <f>Table7[[#This Row],[WaistNS Res]]^2</f>
        <v>0.36228416201635844</v>
      </c>
      <c r="CS178">
        <f>Regression!$J$29+(Regression!$J$28*Table83[[#This Row],[Night Diastolic Pressure]])</f>
        <v>44.631771463228155</v>
      </c>
      <c r="CT178" s="2">
        <f>Table83[[#This Row],[Waist]]-Table7[[#This Row],[Waist v Night Dia]]</f>
        <v>-0.63177146322815503</v>
      </c>
      <c r="CU178" s="2">
        <f>Table7[[#This Row],[WaistND Res]]^2</f>
        <v>0.39913518174944407</v>
      </c>
      <c r="CV178">
        <f>Regression!$K$29+(Regression!$K$28*Table83[[#This Row],[Night Pulse]])</f>
        <v>44.471135357809125</v>
      </c>
      <c r="CW178" s="2">
        <f>Table83[[#This Row],[Waist]]-Table7[[#This Row],[Waist v Night Pulse]]</f>
        <v>-0.47113535780912486</v>
      </c>
      <c r="CX178" s="2">
        <f>Table7[[#This Row],[WaistNP Res]]^2</f>
        <v>0.2219685253779321</v>
      </c>
      <c r="CY178">
        <f>Regression!$L$29+(Regression!$L$28*Table83[[#This Row],[Sleep]])</f>
        <v>44.456891852858099</v>
      </c>
      <c r="CZ178" s="2">
        <f>Table83[[#This Row],[Waist]]-Table7[[#This Row],[Waist v  Sleep]]</f>
        <v>-0.45689185285809941</v>
      </c>
      <c r="DA178" s="2">
        <f>Table7[[#This Row],[WaistS Res]]^2</f>
        <v>0.20875016520810716</v>
      </c>
      <c r="DB178">
        <f>Regression!$M$29+(Regression!$M$28*Table83[[#This Row],[BMI]])</f>
        <v>43.892813562700496</v>
      </c>
      <c r="DC178" s="2">
        <f>Table83[[#This Row],[Waist]]-Table7[[#This Row],[Waist v BMI]]</f>
        <v>0.10718643729950372</v>
      </c>
      <c r="DD178" s="2">
        <f>Table7[[#This Row],[WaistBMI Res]]^2</f>
        <v>1.1488932340960442E-2</v>
      </c>
      <c r="DE178">
        <f>Regression!$N$29+(Regression!$N$28*Table83[[#This Row],[CBF]])</f>
        <v>44.105031770433015</v>
      </c>
      <c r="DF178" s="2">
        <f>Table83[[#This Row],[Waist]]-Table7[[#This Row],[Waist v  CBF]]</f>
        <v>-0.10503177043301548</v>
      </c>
      <c r="DG178" s="2">
        <f>Table7[[#This Row],[WaistCBF Res]]^2</f>
        <v>1.1031672800293666E-2</v>
      </c>
      <c r="DH178">
        <f>Regression!$O$29+(Regression!$O$28*Table83[[#This Row],[Gym]])</f>
        <v>44.550847457627107</v>
      </c>
      <c r="DI178" s="2">
        <f>Table83[[#This Row],[Waist]]-Table7[[#This Row],[Waist v  Gym]]</f>
        <v>-0.55084745762710696</v>
      </c>
      <c r="DJ178" s="2">
        <f>Table7[[#This Row],[WaistGYM Res]]^2</f>
        <v>0.30343292157424739</v>
      </c>
      <c r="DK178">
        <f>Regression!$P$29+(Regression!$P$28*Table83[[#This Row],[Cardio]])</f>
        <v>44.291666666666664</v>
      </c>
      <c r="DL178" s="2">
        <f>Table83[[#This Row],[Waist]]-Table7[[#This Row],[Waist v Cardio]]</f>
        <v>-0.2916666666666643</v>
      </c>
      <c r="DM178" s="2">
        <f>Table7[[#This Row],[WaistC Res]]^2</f>
        <v>8.506944444444306E-2</v>
      </c>
      <c r="DN178">
        <f>Regression!$Q$29+(Regression!$Q$28*Table83[[#This Row],[Calories]])</f>
        <v>44.501446249856869</v>
      </c>
      <c r="DO178" s="2">
        <f>Table83[[#This Row],[Waist]]-Table7[[#This Row],[Waist v Calories]]</f>
        <v>-0.50144624985686903</v>
      </c>
      <c r="DP178" s="2">
        <f>Table7[[#This Row],[WaistCal Res]]^2</f>
        <v>0.25144834149551754</v>
      </c>
      <c r="DQ178">
        <f>Regression!$R$29+(Regression!$R$28*Table83[[#This Row],[Carbs]])</f>
        <v>44.539120515899434</v>
      </c>
      <c r="DR178" s="2">
        <f>Table83[[#This Row],[Waist]]-Table7[[#This Row],[Waist v Carbs]]</f>
        <v>-0.53912051589943388</v>
      </c>
      <c r="DS178" s="2">
        <f>Table7[[#This Row],[WaistCarb Res]]^2</f>
        <v>0.29065093066367176</v>
      </c>
      <c r="DT178">
        <f>Regression!$S$29+(Regression!$S$28*Table83[[#This Row],[Fat ]])</f>
        <v>44.468785346848115</v>
      </c>
      <c r="DU178" s="2">
        <f>Table83[[#This Row],[Waist]]-Table7[[#This Row],[Waist v Fat]]</f>
        <v>-0.46878534684811513</v>
      </c>
      <c r="DV178" s="2">
        <f>Table7[[#This Row],[WaistF Res]]^2</f>
        <v>0.2197597014195076</v>
      </c>
      <c r="DW178">
        <f>Regression!$T$29+(Regression!$T$28*Table83[[#This Row],[Protein]])</f>
        <v>44.377808932943147</v>
      </c>
      <c r="DX178" s="2">
        <f>Table83[[#This Row],[Waist]]-Table7[[#This Row],[Waist v Protein]]</f>
        <v>-0.37780893294314666</v>
      </c>
      <c r="DY178" s="2">
        <f>Table7[[#This Row],[WaistP Res]]^2</f>
        <v>0.14273958981163909</v>
      </c>
      <c r="DZ178">
        <f>Regression!$U$29+(Regression!$U$28*Table83[[#This Row],[Fiber]])</f>
        <v>44.517281761173855</v>
      </c>
      <c r="EA178" s="2">
        <f>Table83[[#This Row],[Waist]]-Table7[[#This Row],[Waist v Fiber]]</f>
        <v>-0.51728176117385516</v>
      </c>
      <c r="EB178" s="2">
        <f>Table7[[#This Row],[WaistFib Res]]^2</f>
        <v>0.2675804204431253</v>
      </c>
      <c r="EC178">
        <f>Regression!$V$29+(Regression!$V$28*Table83[[#This Row],[Sugar]])</f>
        <v>44.616881228663914</v>
      </c>
      <c r="ED178" s="2">
        <f>Table83[[#This Row],[Waist]]-Table7[[#This Row],[Waist v Sugar]]</f>
        <v>-0.61688122866391382</v>
      </c>
      <c r="EE178" s="2">
        <f>Table7[[#This Row],[WaistSugar Res]]^2</f>
        <v>0.3805424502778999</v>
      </c>
      <c r="EF178">
        <f>Regression!$W$29+(Regression!$W$28*Table83[[#This Row],[Servings]])</f>
        <v>44.565142962525492</v>
      </c>
      <c r="EG178" s="2">
        <f>Table83[[#This Row],[Waist]]-Table7[[#This Row],[Waist v Servings]]</f>
        <v>-0.56514296252549201</v>
      </c>
      <c r="EH178" s="2">
        <f>Table7[[#This Row],[WaistServ Res]]^2</f>
        <v>0.31938656809208965</v>
      </c>
      <c r="EI178">
        <f>Regression!$X$29+(Regression!$X$28*Table83[[#This Row],[Water]])</f>
        <v>44.442082352251923</v>
      </c>
      <c r="EJ178" s="2">
        <f>Table83[[#This Row],[Waist]]-Table7[[#This Row],[Waist v Water]]</f>
        <v>-0.44208235225192283</v>
      </c>
      <c r="EK178" s="2">
        <f>Table7[[#This Row],[WaistWat Res]]^2</f>
        <v>0.19543680617259318</v>
      </c>
      <c r="EL178">
        <f>Regression!$Y$29+(Regression!$Y$28*Table83[[#This Row],[Fat Calories]])</f>
        <v>44.468204065904004</v>
      </c>
      <c r="EM178" s="2">
        <f>Table83[[#This Row],[Waist]]-Table7[[#This Row],[Waist v Fat Calories]]</f>
        <v>-0.4682040659040041</v>
      </c>
      <c r="EN178" s="2">
        <f>Table7[[#This Row],[WaistFatCal Res]]^2</f>
        <v>0.21921504732904101</v>
      </c>
    </row>
    <row r="179" spans="1:144" x14ac:dyDescent="0.25">
      <c r="A179">
        <f>Regression!$B$10+(Regression!$B$9*Table83[[#This Row],[Waist]])</f>
        <v>252.52625917894264</v>
      </c>
      <c r="B179" s="2">
        <f>Table83[[#This Row],[Weight]]-Table7[[#This Row],[Weight v Waist]]</f>
        <v>-1.3262591789426494</v>
      </c>
      <c r="C179" s="2">
        <f>Table7[[#This Row],[Weight v Waist Res]]^2</f>
        <v>1.7589634097296307</v>
      </c>
      <c r="D179">
        <f>Regression!$C$10+(Regression!$C$9*Table83[[#This Row],[Neck]])</f>
        <v>253.29286486487842</v>
      </c>
      <c r="E179" s="2">
        <f>Table83[[#This Row],[Weight]]-Table7[[#This Row],[Weight v Neck]]</f>
        <v>-2.092864864878436</v>
      </c>
      <c r="F179" s="2">
        <f>Table7[[#This Row],[WN Res]]^2</f>
        <v>4.3800833426426342</v>
      </c>
      <c r="G179">
        <f>Regression!$D$10+(Regression!$D$9*Table83[[#This Row],[Morning Body Temp]])</f>
        <v>254.98916789486196</v>
      </c>
      <c r="H179" s="2">
        <f>Table83[[#This Row],[Weight]]-Table7[[#This Row],[Weight v Morning Temp]]</f>
        <v>-3.7891678948619756</v>
      </c>
      <c r="I179" s="2">
        <f>Table7[[#This Row],[WMT Res]]^2</f>
        <v>14.357793335452735</v>
      </c>
      <c r="J179">
        <f>Regression!$E$10+(Regression!$E$9*Table83[[#This Row],[Morning Systolic Pressure]])</f>
        <v>255.7756446867061</v>
      </c>
      <c r="K179" s="2">
        <f>Table83[[#This Row],[Weight]]-Table7[[#This Row],[Weight v Morning Sys]]</f>
        <v>-4.5756446867061129</v>
      </c>
      <c r="L179" s="2">
        <f>Table7[[#This Row],[WMS Res]]^2</f>
        <v>20.936524298981883</v>
      </c>
      <c r="M179">
        <f>Regression!$F$10+(Regression!$F$9*Table83[[#This Row],[Morning Diastolic Pressure]])</f>
        <v>254.18994165584274</v>
      </c>
      <c r="N179" s="2">
        <f>Table83[[#This Row],[Weight]]-Table7[[#This Row],[Weight v Morning Dia]]</f>
        <v>-2.9899416558427561</v>
      </c>
      <c r="O179" s="2">
        <f>Table7[[#This Row],[WMD Res]]^2</f>
        <v>8.9397511053437224</v>
      </c>
      <c r="P179">
        <f>Regression!$G$10+(Regression!$G$9*Table83[[#This Row],[Morning Pulse]])</f>
        <v>255.12278407318442</v>
      </c>
      <c r="Q179" s="2">
        <f>Table83[[#This Row],[Weight]]-Table7[[#This Row],[Weight v Morning Pulse]]</f>
        <v>-3.922784073184431</v>
      </c>
      <c r="R179" s="2">
        <f>Table7[[#This Row],[WMP Res]]^2</f>
        <v>15.388234884829435</v>
      </c>
      <c r="S179">
        <f>Regression!$H$10+(Regression!$H$9*Table83[[#This Row],[Night Body Temp]])</f>
        <v>254.74879010704339</v>
      </c>
      <c r="T179" s="2">
        <f>Table83[[#This Row],[Weight]]-Table7[[#This Row],[Weight v Night Temp]]</f>
        <v>-3.548790107043402</v>
      </c>
      <c r="U179" s="2">
        <f>Table7[[#This Row],[WNT Res]]^2</f>
        <v>12.593911223849121</v>
      </c>
      <c r="V179">
        <f>Regression!$I$10+(Regression!$I$9*Table83[[#This Row],[Night Systolic Pressure]])</f>
        <v>256.98354357165118</v>
      </c>
      <c r="W179" s="2">
        <f>Table83[[#This Row],[Weight]]-Table7[[#This Row],[Weight v Night Sys]]</f>
        <v>-5.7835435716511938</v>
      </c>
      <c r="X179" s="2">
        <f>Table7[[#This Row],[WNS Res]]^2</f>
        <v>33.44937624518785</v>
      </c>
      <c r="Y179">
        <f>Regression!$J$10+(Regression!$J$9*Table83[[#This Row],[Night Diastolic Pressure]])</f>
        <v>255.17384811107831</v>
      </c>
      <c r="Z179" s="2">
        <f>Table83[[#This Row],[Weight]]-Table7[[#This Row],[Weight v Night Dia]]</f>
        <v>-3.9738481110783255</v>
      </c>
      <c r="AA179" s="2">
        <f>Table7[[#This Row],[WND Res]]^2</f>
        <v>15.791468809920776</v>
      </c>
      <c r="AB179">
        <f>Regression!$K$10+(Regression!$K$9*Table83[[#This Row],[Night Pulse]])</f>
        <v>254.92587187132088</v>
      </c>
      <c r="AC179" s="2">
        <f>Table83[[#This Row],[Weight]]-Table7[[#This Row],[Weight v Night Pulse]]</f>
        <v>-3.7258718713208907</v>
      </c>
      <c r="AD179" s="2">
        <f>Table7[[#This Row],[WNP Res ]]^2</f>
        <v>13.882121201500237</v>
      </c>
      <c r="AE179">
        <f>Regression!$L$10+(Regression!$L$9*Table83[[#This Row],[Sleep]])</f>
        <v>254.90042408985096</v>
      </c>
      <c r="AF179" s="2">
        <f>Table83[[#This Row],[Weight]]-Table7[[#This Row],[Weight v Sleep]]</f>
        <v>-3.7004240898509693</v>
      </c>
      <c r="AG179" s="2">
        <f>Table7[[#This Row],[WS Res]]^2</f>
        <v>13.693138444749374</v>
      </c>
      <c r="AH179">
        <f>Regression!$M$10+(Regression!$M$9*Table83[[#This Row],[BMI]])</f>
        <v>251.20000000000874</v>
      </c>
      <c r="AI179" s="2">
        <f>Table83[[#This Row],[Weight]]-Table7[[#This Row],[Weight v BMI]]</f>
        <v>-8.7538865045644343E-12</v>
      </c>
      <c r="AJ179" s="2">
        <f>Table7[[#This Row],[WBMI Res]]^2</f>
        <v>7.6630528934795329E-23</v>
      </c>
      <c r="AK179">
        <f>Regression!$N$10+(Regression!$N$9*Table83[[#This Row],[CBF]])</f>
        <v>253.17965033701802</v>
      </c>
      <c r="AL179" s="2">
        <f>Table83[[#This Row],[Weight]]-Table7[[#This Row],[Weight v CBF]]</f>
        <v>-1.9796503370180289</v>
      </c>
      <c r="AM179" s="2">
        <f>Table7[[#This Row],[WCBF Res]]^2</f>
        <v>3.9190154568555955</v>
      </c>
      <c r="AN179">
        <f>Regression!$O$10+(Regression!$O$9*Table83[[#This Row],[Gym]])</f>
        <v>255.46779661016953</v>
      </c>
      <c r="AO179" s="2">
        <f>Table83[[#This Row],[Weight]]-Table7[[#This Row],[Weight v Gym]]</f>
        <v>-4.2677966101695404</v>
      </c>
      <c r="AP179" s="2">
        <f>Table7[[#This Row],[WG Res]]^2</f>
        <v>18.214087905774619</v>
      </c>
      <c r="AQ179">
        <f>Regression!$P$10+(Regression!$P$9*Table83[[#This Row],[Cardio]])</f>
        <v>256.41063829787231</v>
      </c>
      <c r="AR179" s="2">
        <f>Table83[[#This Row],[Weight]]-Table7[[#This Row],[Weight v Cardio]]</f>
        <v>-5.2106382978723218</v>
      </c>
      <c r="AS179" s="2">
        <f>Table7[[#This Row],[WC Res]]^2</f>
        <v>27.150751471253766</v>
      </c>
      <c r="AT179">
        <f>Regression!$Q$10+(Regression!$Q$9*Table83[[#This Row],[Calories]])</f>
        <v>255.80739174504674</v>
      </c>
      <c r="AU179" s="2">
        <f>Table83[[#This Row],[Weight]]-Table7[[#This Row],[Weight v Calories]]</f>
        <v>-4.6073917450467547</v>
      </c>
      <c r="AV179" s="2">
        <f>Table7[[#This Row],[WCAL Res]]^2</f>
        <v>21.228058692324979</v>
      </c>
      <c r="AW179">
        <f>Regression!$R$10+(Regression!$R$9*Table83[[#This Row],[Carbs]])</f>
        <v>255.65897071848147</v>
      </c>
      <c r="AX179" s="2">
        <f>Table83[[#This Row],[Weight]]-Table7[[#This Row],[Weight v Carbs]]</f>
        <v>-4.4589707184814813</v>
      </c>
      <c r="AY179" s="2">
        <f>Table7[[#This Row],[Wcarb Res]]^2</f>
        <v>19.882419868275257</v>
      </c>
      <c r="AZ179">
        <f>Regression!$S$10+(Regression!$S$9*Table83[[#This Row],[Fat ]])</f>
        <v>255.56656770735609</v>
      </c>
      <c r="BA179" s="2">
        <f>Table83[[#This Row],[Weight]]-Table7[[#This Row],[Weight v Fat]]</f>
        <v>-4.3665677073560971</v>
      </c>
      <c r="BB179" s="2">
        <f>Table7[[#This Row],[WF Res]]^2</f>
        <v>19.066913542925082</v>
      </c>
      <c r="BC179">
        <f>Regression!$T$10+(Regression!$T$9*Table83[[#This Row],[Protein]])</f>
        <v>256.40916902079994</v>
      </c>
      <c r="BD179" s="2">
        <f>Table83[[#This Row],[Weight]]-Table7[[#This Row],[Weight v Protein]]</f>
        <v>-5.2091690207999477</v>
      </c>
      <c r="BE179" s="2">
        <f>Table7[[#This Row],[WP Res]]^2</f>
        <v>27.135441887261887</v>
      </c>
      <c r="BF179">
        <f>Regression!$U$10+(Regression!$U$9*Table83[[#This Row],[Fiber]])</f>
        <v>255.1208330712706</v>
      </c>
      <c r="BG179" s="2">
        <f>Table83[[#This Row],[Weight]]-Table7[[#This Row],[Weight v Fiber]]</f>
        <v>-3.9208330712706072</v>
      </c>
      <c r="BH179" s="2">
        <f>Table7[[#This Row],[Wfib Res]]^2</f>
        <v>15.372931972769303</v>
      </c>
      <c r="BI179">
        <f>Regression!$V$10+(Regression!$V$9*Table83[[#This Row],[Sugar]])</f>
        <v>255.61681342079538</v>
      </c>
      <c r="BJ179" s="2">
        <f>Table83[[#This Row],[Weight]]-Table7[[#This Row],[Weight v Sugar]]</f>
        <v>-4.4168134207953926</v>
      </c>
      <c r="BK179" s="2">
        <f>Table7[[#This Row],[Wsugar Res]]^2</f>
        <v>19.508240794118297</v>
      </c>
      <c r="BL179">
        <f>Regression!$W$10+(Regression!$W$9*Table83[[#This Row],[Servings]])</f>
        <v>254.78763909332716</v>
      </c>
      <c r="BM179" s="2">
        <f>Table83[[#This Row],[Weight]]-Table7[[#This Row],[Weight v Servings]]</f>
        <v>-3.5876390933271693</v>
      </c>
      <c r="BN179" s="2">
        <f>Table7[[#This Row],[Wserv Res]]^2</f>
        <v>12.871154263969395</v>
      </c>
      <c r="BO179">
        <f>Regression!$X$10+(Regression!$X$9*Table83[[#This Row],[Water]])</f>
        <v>255.10626599365665</v>
      </c>
      <c r="BP179" s="2">
        <f>Table83[[#This Row],[Weight]]-Table7[[#This Row],[Weight v Water]]</f>
        <v>-3.9062659936566604</v>
      </c>
      <c r="BQ179" s="2">
        <f>Table7[[#This Row],[Wwater Res]]^2</f>
        <v>15.258914013198456</v>
      </c>
      <c r="BR179">
        <f>Regression!$Y$10+(Regression!$Y$9*Table83[[#This Row],[Fat Calories]])</f>
        <v>255.59071719306073</v>
      </c>
      <c r="BS179" s="2">
        <f>Table83[[#This Row],[Weight]]-Table7[[#This Row],[Weight v Fat Calories]]</f>
        <v>-4.3907171930607376</v>
      </c>
      <c r="BT179" s="2">
        <f>Table7[[#This Row],[WFC Res]]^2</f>
        <v>19.278397469439163</v>
      </c>
      <c r="BU179">
        <f>Regression!$B$29+(Regression!$B$28*Table83[[#This Row],[Weight]])</f>
        <v>43.920066064812715</v>
      </c>
      <c r="BV179" s="2">
        <f>Table83[[#This Row],[Waist]]-Table7[[#This Row],[Waist v Weight]]</f>
        <v>7.9933935187284533E-2</v>
      </c>
      <c r="BW179" s="2">
        <f>Table7[[#This Row],[WaistW Res]]^2</f>
        <v>6.3894339945250039E-3</v>
      </c>
      <c r="BX179">
        <f>Regression!$C$29+(Regression!$C$28*Table83[[#This Row],[Neck]])</f>
        <v>44.175585585585594</v>
      </c>
      <c r="BY179" s="2">
        <f>Table83[[#This Row],[Waist]]-Table7[[#This Row],[Waist v Neck]]</f>
        <v>-0.17558558558559412</v>
      </c>
      <c r="BZ179" s="2">
        <f>Table7[[#This Row],[WaistN Res]]^2</f>
        <v>3.0830297865435997E-2</v>
      </c>
      <c r="CA179">
        <f>Regression!$D$29+(Regression!$D$28*Table83[[#This Row],[Morning Body Temp]])</f>
        <v>44.419304304405451</v>
      </c>
      <c r="CB179" s="2">
        <f>Table83[[#This Row],[Waist]]-Table7[[#This Row],[Waist v Morning Temp]]</f>
        <v>-0.41930430440545052</v>
      </c>
      <c r="CC179" s="2">
        <f>Table7[[#This Row],[WaistMT Res]]^2</f>
        <v>0.17581609969293871</v>
      </c>
      <c r="CD179">
        <f>Regression!$E$29+(Regression!$E$28*Table83[[#This Row],[Morning Systolic Pressure]])</f>
        <v>44.60874080603061</v>
      </c>
      <c r="CE179" s="2">
        <f>Table83[[#This Row],[Waist]]-Table7[[#This Row],[Waist v Morning Sys]]</f>
        <v>-0.60874080603061032</v>
      </c>
      <c r="CF179" s="2">
        <f>Table7[[#This Row],[WaistMS Res]]^2</f>
        <v>0.37056536892679715</v>
      </c>
      <c r="CG179">
        <f>Regression!$F$29+(Regression!$F$28*Table83[[#This Row],[Morning Diastolic Pressure]])</f>
        <v>44.402096082124572</v>
      </c>
      <c r="CH179" s="2">
        <f>Table83[[#This Row],[Waist]]-Table7[[#This Row],[Waist v Morning Dia]]</f>
        <v>-0.40209608212457226</v>
      </c>
      <c r="CI179" s="2">
        <f>Table7[[#This Row],[WaistMD Res]]^2</f>
        <v>0.16168125925993077</v>
      </c>
      <c r="CJ179">
        <f>Regression!$G$29+(Regression!$G$28*Table83[[#This Row],[Morning Pulse]])</f>
        <v>44.45709470780065</v>
      </c>
      <c r="CK179" s="2">
        <f>Table83[[#This Row],[Waist]]-Table7[[#This Row],[Waist v Morning Pulse]]</f>
        <v>-0.45709470780064976</v>
      </c>
      <c r="CL179" s="2">
        <f>Table7[[#This Row],[WaistMP Res]]^2</f>
        <v>0.20893557189936138</v>
      </c>
      <c r="CM179">
        <f>Regression!$H$29+(Regression!$H$28*Table83[[#This Row],[Night Body Temp]])</f>
        <v>44.424663183244519</v>
      </c>
      <c r="CN179" s="2">
        <f>Table83[[#This Row],[Waist]]-Table7[[#This Row],[Waist v Night Temp]]</f>
        <v>-0.4246631832445189</v>
      </c>
      <c r="CO179" s="2">
        <f>Table7[[#This Row],[WaistNT Res]]^2</f>
        <v>0.18033881920336783</v>
      </c>
      <c r="CP179">
        <f>Regression!$I$29+(Regression!$I$28*Table83[[#This Row],[Night Systolic Pressure]])</f>
        <v>44.718221373166251</v>
      </c>
      <c r="CQ179" s="2">
        <f>Table83[[#This Row],[Waist]]-Table7[[#This Row],[Waist v  Night Sys]]</f>
        <v>-0.71822137316625145</v>
      </c>
      <c r="CR179" s="2">
        <f>Table7[[#This Row],[WaistNS Res]]^2</f>
        <v>0.51584194087281587</v>
      </c>
      <c r="CS179">
        <f>Regression!$J$29+(Regression!$J$28*Table83[[#This Row],[Night Diastolic Pressure]])</f>
        <v>44.478159956361175</v>
      </c>
      <c r="CT179" s="2">
        <f>Table83[[#This Row],[Waist]]-Table7[[#This Row],[Waist v Night Dia]]</f>
        <v>-0.47815995636117492</v>
      </c>
      <c r="CU179" s="2">
        <f>Table7[[#This Row],[WaistND Res]]^2</f>
        <v>0.2286369438673207</v>
      </c>
      <c r="CV179">
        <f>Regression!$K$29+(Regression!$K$28*Table83[[#This Row],[Night Pulse]])</f>
        <v>44.471135357809125</v>
      </c>
      <c r="CW179" s="2">
        <f>Table83[[#This Row],[Waist]]-Table7[[#This Row],[Waist v Night Pulse]]</f>
        <v>-0.47113535780912486</v>
      </c>
      <c r="CX179" s="2">
        <f>Table7[[#This Row],[WaistNP Res]]^2</f>
        <v>0.2219685253779321</v>
      </c>
      <c r="CY179">
        <f>Regression!$L$29+(Regression!$L$28*Table83[[#This Row],[Sleep]])</f>
        <v>44.420817626861357</v>
      </c>
      <c r="CZ179" s="2">
        <f>Table83[[#This Row],[Waist]]-Table7[[#This Row],[Waist v  Sleep]]</f>
        <v>-0.42081762686135704</v>
      </c>
      <c r="DA179" s="2">
        <f>Table7[[#This Row],[WaistS Res]]^2</f>
        <v>0.17708747507722433</v>
      </c>
      <c r="DB179">
        <f>Regression!$M$29+(Regression!$M$28*Table83[[#This Row],[BMI]])</f>
        <v>43.920066064814407</v>
      </c>
      <c r="DC179" s="2">
        <f>Table83[[#This Row],[Waist]]-Table7[[#This Row],[Waist v BMI]]</f>
        <v>7.9933935185593441E-2</v>
      </c>
      <c r="DD179" s="2">
        <f>Table7[[#This Row],[WaistBMI Res]]^2</f>
        <v>6.3894339942546534E-3</v>
      </c>
      <c r="DE179">
        <f>Regression!$N$29+(Regression!$N$28*Table83[[#This Row],[CBF]])</f>
        <v>44.105031770433015</v>
      </c>
      <c r="DF179" s="2">
        <f>Table83[[#This Row],[Waist]]-Table7[[#This Row],[Waist v  CBF]]</f>
        <v>-0.10503177043301548</v>
      </c>
      <c r="DG179" s="2">
        <f>Table7[[#This Row],[WaistCBF Res]]^2</f>
        <v>1.1031672800293666E-2</v>
      </c>
      <c r="DH179">
        <f>Regression!$O$29+(Regression!$O$28*Table83[[#This Row],[Gym]])</f>
        <v>44.550847457627107</v>
      </c>
      <c r="DI179" s="2">
        <f>Table83[[#This Row],[Waist]]-Table7[[#This Row],[Waist v  Gym]]</f>
        <v>-0.55084745762710696</v>
      </c>
      <c r="DJ179" s="2">
        <f>Table7[[#This Row],[WaistGYM Res]]^2</f>
        <v>0.30343292157424739</v>
      </c>
      <c r="DK179">
        <f>Regression!$P$29+(Regression!$P$28*Table83[[#This Row],[Cardio]])</f>
        <v>44.680851063829778</v>
      </c>
      <c r="DL179" s="2">
        <f>Table83[[#This Row],[Waist]]-Table7[[#This Row],[Waist v Cardio]]</f>
        <v>-0.68085106382977756</v>
      </c>
      <c r="DM179" s="2">
        <f>Table7[[#This Row],[WaistC Res]]^2</f>
        <v>0.46355817111813985</v>
      </c>
      <c r="DN179">
        <f>Regression!$Q$29+(Regression!$Q$28*Table83[[#This Row],[Calories]])</f>
        <v>44.609094949608846</v>
      </c>
      <c r="DO179" s="2">
        <f>Table83[[#This Row],[Waist]]-Table7[[#This Row],[Waist v Calories]]</f>
        <v>-0.60909494960884558</v>
      </c>
      <c r="DP179" s="2">
        <f>Table7[[#This Row],[WaistCal Res]]^2</f>
        <v>0.37099665763900214</v>
      </c>
      <c r="DQ179">
        <f>Regression!$R$29+(Regression!$R$28*Table83[[#This Row],[Carbs]])</f>
        <v>44.566781983332277</v>
      </c>
      <c r="DR179" s="2">
        <f>Table83[[#This Row],[Waist]]-Table7[[#This Row],[Waist v Carbs]]</f>
        <v>-0.5667819833322767</v>
      </c>
      <c r="DS179" s="2">
        <f>Table7[[#This Row],[WaistCarb Res]]^2</f>
        <v>0.32124181663006918</v>
      </c>
      <c r="DT179">
        <f>Regression!$S$29+(Regression!$S$28*Table83[[#This Row],[Fat ]])</f>
        <v>44.591560989138735</v>
      </c>
      <c r="DU179" s="2">
        <f>Table83[[#This Row],[Waist]]-Table7[[#This Row],[Waist v Fat]]</f>
        <v>-0.59156098913873478</v>
      </c>
      <c r="DV179" s="2">
        <f>Table7[[#This Row],[WaistF Res]]^2</f>
        <v>0.34994440387079828</v>
      </c>
      <c r="DW179">
        <f>Regression!$T$29+(Regression!$T$28*Table83[[#This Row],[Protein]])</f>
        <v>44.690412728613431</v>
      </c>
      <c r="DX179" s="2">
        <f>Table83[[#This Row],[Waist]]-Table7[[#This Row],[Waist v Protein]]</f>
        <v>-0.69041272861343117</v>
      </c>
      <c r="DY179" s="2">
        <f>Table7[[#This Row],[WaistP Res]]^2</f>
        <v>0.47666973583144334</v>
      </c>
      <c r="DZ179">
        <f>Regression!$U$29+(Regression!$U$28*Table83[[#This Row],[Fiber]])</f>
        <v>44.455773498162358</v>
      </c>
      <c r="EA179" s="2">
        <f>Table83[[#This Row],[Waist]]-Table7[[#This Row],[Waist v Fiber]]</f>
        <v>-0.45577349816235824</v>
      </c>
      <c r="EB179" s="2">
        <f>Table7[[#This Row],[WaistFib Res]]^2</f>
        <v>0.20772948162715316</v>
      </c>
      <c r="EC179">
        <f>Regression!$V$29+(Regression!$V$28*Table83[[#This Row],[Sugar]])</f>
        <v>44.543677058694563</v>
      </c>
      <c r="ED179" s="2">
        <f>Table83[[#This Row],[Waist]]-Table7[[#This Row],[Waist v Sugar]]</f>
        <v>-0.54367705869456273</v>
      </c>
      <c r="EE179" s="2">
        <f>Table7[[#This Row],[WaistSugar Res]]^2</f>
        <v>0.29558474415077102</v>
      </c>
      <c r="EF179">
        <f>Regression!$W$29+(Regression!$W$28*Table83[[#This Row],[Servings]])</f>
        <v>44.403583251006502</v>
      </c>
      <c r="EG179" s="2">
        <f>Table83[[#This Row],[Waist]]-Table7[[#This Row],[Waist v Servings]]</f>
        <v>-0.40358325100650205</v>
      </c>
      <c r="EH179" s="2">
        <f>Table7[[#This Row],[WaistServ Res]]^2</f>
        <v>0.16287944049297723</v>
      </c>
      <c r="EI179">
        <f>Regression!$X$29+(Regression!$X$28*Table83[[#This Row],[Water]])</f>
        <v>44.442082352251923</v>
      </c>
      <c r="EJ179" s="2">
        <f>Table83[[#This Row],[Waist]]-Table7[[#This Row],[Waist v Water]]</f>
        <v>-0.44208235225192283</v>
      </c>
      <c r="EK179" s="2">
        <f>Table7[[#This Row],[WaistWat Res]]^2</f>
        <v>0.19543680617259318</v>
      </c>
      <c r="EL179">
        <f>Regression!$Y$29+(Regression!$Y$28*Table83[[#This Row],[Fat Calories]])</f>
        <v>44.598205649658659</v>
      </c>
      <c r="EM179" s="2">
        <f>Table83[[#This Row],[Waist]]-Table7[[#This Row],[Waist v Fat Calories]]</f>
        <v>-0.59820564965865941</v>
      </c>
      <c r="EN179" s="2">
        <f>Table7[[#This Row],[WaistFatCal Res]]^2</f>
        <v>0.35784999928353878</v>
      </c>
    </row>
    <row r="180" spans="1:144" x14ac:dyDescent="0.25">
      <c r="A180">
        <f>Regression!$B$10+(Regression!$B$9*Table83[[#This Row],[Waist]])</f>
        <v>252.52625917894264</v>
      </c>
      <c r="B180" s="2">
        <f>Table83[[#This Row],[Weight]]-Table7[[#This Row],[Weight v Waist]]</f>
        <v>-0.12625917894263239</v>
      </c>
      <c r="C180" s="2">
        <f>Table7[[#This Row],[Weight v Waist Res]]^2</f>
        <v>1.5941380267267664E-2</v>
      </c>
      <c r="D180">
        <f>Regression!$C$10+(Regression!$C$9*Table83[[#This Row],[Neck]])</f>
        <v>253.29286486487842</v>
      </c>
      <c r="E180" s="2">
        <f>Table83[[#This Row],[Weight]]-Table7[[#This Row],[Weight v Neck]]</f>
        <v>-0.89286486487841898</v>
      </c>
      <c r="F180" s="2">
        <f>Table7[[#This Row],[WN Res]]^2</f>
        <v>0.79720766693435741</v>
      </c>
      <c r="G180">
        <f>Regression!$D$10+(Regression!$D$9*Table83[[#This Row],[Morning Body Temp]])</f>
        <v>255.3411606659738</v>
      </c>
      <c r="H180" s="2">
        <f>Table83[[#This Row],[Weight]]-Table7[[#This Row],[Weight v Morning Temp]]</f>
        <v>-2.941160665973797</v>
      </c>
      <c r="I180" s="2">
        <f>Table7[[#This Row],[WMT Res]]^2</f>
        <v>8.6504260630714285</v>
      </c>
      <c r="J180">
        <f>Regression!$E$10+(Regression!$E$9*Table83[[#This Row],[Morning Systolic Pressure]])</f>
        <v>254.6937917939849</v>
      </c>
      <c r="K180" s="2">
        <f>Table83[[#This Row],[Weight]]-Table7[[#This Row],[Weight v Morning Sys]]</f>
        <v>-2.2937917939848944</v>
      </c>
      <c r="L180" s="2">
        <f>Table7[[#This Row],[WMS Res]]^2</f>
        <v>5.2614807941524404</v>
      </c>
      <c r="M180">
        <f>Regression!$F$10+(Regression!$F$9*Table83[[#This Row],[Morning Diastolic Pressure]])</f>
        <v>255.40607264438131</v>
      </c>
      <c r="N180" s="2">
        <f>Table83[[#This Row],[Weight]]-Table7[[#This Row],[Weight v Morning Dia]]</f>
        <v>-3.0060726443813053</v>
      </c>
      <c r="O180" s="2">
        <f>Table7[[#This Row],[WMD Res]]^2</f>
        <v>9.0364727432976135</v>
      </c>
      <c r="P180">
        <f>Regression!$G$10+(Regression!$G$9*Table83[[#This Row],[Morning Pulse]])</f>
        <v>255.12095627742721</v>
      </c>
      <c r="Q180" s="2">
        <f>Table83[[#This Row],[Weight]]-Table7[[#This Row],[Weight v Morning Pulse]]</f>
        <v>-2.7209562774272058</v>
      </c>
      <c r="R180" s="2">
        <f>Table7[[#This Row],[WMP Res]]^2</f>
        <v>7.4036030636705172</v>
      </c>
      <c r="S180">
        <f>Regression!$H$10+(Regression!$H$9*Table83[[#This Row],[Night Body Temp]])</f>
        <v>256.18654209378701</v>
      </c>
      <c r="T180" s="2">
        <f>Table83[[#This Row],[Weight]]-Table7[[#This Row],[Weight v Night Temp]]</f>
        <v>-3.7865420937870056</v>
      </c>
      <c r="U180" s="2">
        <f>Table7[[#This Row],[WNT Res]]^2</f>
        <v>14.33790102802088</v>
      </c>
      <c r="V180">
        <f>Regression!$I$10+(Regression!$I$9*Table83[[#This Row],[Night Systolic Pressure]])</f>
        <v>254.72535722302487</v>
      </c>
      <c r="W180" s="2">
        <f>Table83[[#This Row],[Weight]]-Table7[[#This Row],[Weight v Night Sys]]</f>
        <v>-2.3253572230248665</v>
      </c>
      <c r="X180" s="2">
        <f>Table7[[#This Row],[WNS Res]]^2</f>
        <v>5.4072862146739187</v>
      </c>
      <c r="Y180">
        <f>Regression!$J$10+(Regression!$J$9*Table83[[#This Row],[Night Diastolic Pressure]])</f>
        <v>255.17384811107831</v>
      </c>
      <c r="Z180" s="2">
        <f>Table83[[#This Row],[Weight]]-Table7[[#This Row],[Weight v Night Dia]]</f>
        <v>-2.7738481110783084</v>
      </c>
      <c r="AA180" s="2">
        <f>Table7[[#This Row],[WND Res]]^2</f>
        <v>7.6942333433326997</v>
      </c>
      <c r="AB180">
        <f>Regression!$K$10+(Regression!$K$9*Table83[[#This Row],[Night Pulse]])</f>
        <v>255.44799850234523</v>
      </c>
      <c r="AC180" s="2">
        <f>Table83[[#This Row],[Weight]]-Table7[[#This Row],[Weight v Night Pulse]]</f>
        <v>-3.047998502345223</v>
      </c>
      <c r="AD180" s="2">
        <f>Table7[[#This Row],[WNP Res ]]^2</f>
        <v>9.2902948702987214</v>
      </c>
      <c r="AE180">
        <f>Regression!$L$10+(Regression!$L$9*Table83[[#This Row],[Sleep]])</f>
        <v>255.29476681906823</v>
      </c>
      <c r="AF180" s="2">
        <f>Table83[[#This Row],[Weight]]-Table7[[#This Row],[Weight v Sleep]]</f>
        <v>-2.8947668190682236</v>
      </c>
      <c r="AG180" s="2">
        <f>Table7[[#This Row],[WS Res]]^2</f>
        <v>8.3796749367783612</v>
      </c>
      <c r="AH180">
        <f>Regression!$M$10+(Regression!$M$9*Table83[[#This Row],[BMI]])</f>
        <v>252.40000000000609</v>
      </c>
      <c r="AI180" s="2">
        <f>Table83[[#This Row],[Weight]]-Table7[[#This Row],[Weight v BMI]]</f>
        <v>-6.0822458181064576E-12</v>
      </c>
      <c r="AJ180" s="2">
        <f>Table7[[#This Row],[WBMI Res]]^2</f>
        <v>3.6993714191873492E-23</v>
      </c>
      <c r="AK180">
        <f>Regression!$N$10+(Regression!$N$9*Table83[[#This Row],[CBF]])</f>
        <v>253.17965033701802</v>
      </c>
      <c r="AL180" s="2">
        <f>Table83[[#This Row],[Weight]]-Table7[[#This Row],[Weight v CBF]]</f>
        <v>-0.7796503370180119</v>
      </c>
      <c r="AM180" s="2">
        <f>Table7[[#This Row],[WCBF Res]]^2</f>
        <v>0.60785464801229949</v>
      </c>
      <c r="AN180">
        <f>Regression!$O$10+(Regression!$O$9*Table83[[#This Row],[Gym]])</f>
        <v>254.72962962962998</v>
      </c>
      <c r="AO180" s="2">
        <f>Table83[[#This Row],[Weight]]-Table7[[#This Row],[Weight v Gym]]</f>
        <v>-2.3296296296299772</v>
      </c>
      <c r="AP180" s="2">
        <f>Table7[[#This Row],[WG Res]]^2</f>
        <v>5.4271742112499046</v>
      </c>
      <c r="AQ180">
        <f>Regression!$P$10+(Regression!$P$9*Table83[[#This Row],[Cardio]])</f>
        <v>254.19242424242461</v>
      </c>
      <c r="AR180" s="2">
        <f>Table83[[#This Row],[Weight]]-Table7[[#This Row],[Weight v Cardio]]</f>
        <v>-1.7924242424246017</v>
      </c>
      <c r="AS180" s="2">
        <f>Table7[[#This Row],[WC Res]]^2</f>
        <v>3.2127846648314073</v>
      </c>
      <c r="AT180">
        <f>Regression!$Q$10+(Regression!$Q$9*Table83[[#This Row],[Calories]])</f>
        <v>254.30591134857454</v>
      </c>
      <c r="AU180" s="2">
        <f>Table83[[#This Row],[Weight]]-Table7[[#This Row],[Weight v Calories]]</f>
        <v>-1.9059113485745343</v>
      </c>
      <c r="AV180" s="2">
        <f>Table7[[#This Row],[WCAL Res]]^2</f>
        <v>3.6324980686251997</v>
      </c>
      <c r="AW180">
        <f>Regression!$R$10+(Regression!$R$9*Table83[[#This Row],[Carbs]])</f>
        <v>253.80968376566216</v>
      </c>
      <c r="AX180" s="2">
        <f>Table83[[#This Row],[Weight]]-Table7[[#This Row],[Weight v Carbs]]</f>
        <v>-1.4096837656621517</v>
      </c>
      <c r="AY180" s="2">
        <f>Table7[[#This Row],[Wcarb Res]]^2</f>
        <v>1.9872083191714243</v>
      </c>
      <c r="AZ180">
        <f>Regression!$S$10+(Regression!$S$9*Table83[[#This Row],[Fat ]])</f>
        <v>254.87325551828388</v>
      </c>
      <c r="BA180" s="2">
        <f>Table83[[#This Row],[Weight]]-Table7[[#This Row],[Weight v Fat]]</f>
        <v>-2.473255518283878</v>
      </c>
      <c r="BB180" s="2">
        <f>Table7[[#This Row],[WF Res]]^2</f>
        <v>6.1169928587216544</v>
      </c>
      <c r="BC180">
        <f>Regression!$T$10+(Regression!$T$9*Table83[[#This Row],[Protein]])</f>
        <v>254.81954504045959</v>
      </c>
      <c r="BD180" s="2">
        <f>Table83[[#This Row],[Weight]]-Table7[[#This Row],[Weight v Protein]]</f>
        <v>-2.4195450404595817</v>
      </c>
      <c r="BE180" s="2">
        <f>Table7[[#This Row],[WP Res]]^2</f>
        <v>5.854198202812559</v>
      </c>
      <c r="BF180">
        <f>Regression!$U$10+(Regression!$U$9*Table83[[#This Row],[Fiber]])</f>
        <v>254.96826151663944</v>
      </c>
      <c r="BG180" s="2">
        <f>Table83[[#This Row],[Weight]]-Table7[[#This Row],[Weight v Fiber]]</f>
        <v>-2.5682615166394385</v>
      </c>
      <c r="BH180" s="2">
        <f>Table7[[#This Row],[Wfib Res]]^2</f>
        <v>6.5959672178511086</v>
      </c>
      <c r="BI180">
        <f>Regression!$V$10+(Regression!$V$9*Table83[[#This Row],[Sugar]])</f>
        <v>252.46504111963836</v>
      </c>
      <c r="BJ180" s="2">
        <f>Table83[[#This Row],[Weight]]-Table7[[#This Row],[Weight v Sugar]]</f>
        <v>-6.5041119638351574E-2</v>
      </c>
      <c r="BK180" s="2">
        <f>Table7[[#This Row],[Wsugar Res]]^2</f>
        <v>4.2303472438103631E-3</v>
      </c>
      <c r="BL180">
        <f>Regression!$W$10+(Regression!$W$9*Table83[[#This Row],[Servings]])</f>
        <v>254.10914739206191</v>
      </c>
      <c r="BM180" s="2">
        <f>Table83[[#This Row],[Weight]]-Table7[[#This Row],[Weight v Servings]]</f>
        <v>-1.709147392061908</v>
      </c>
      <c r="BN180" s="2">
        <f>Table7[[#This Row],[Wserv Res]]^2</f>
        <v>2.9211848077920215</v>
      </c>
      <c r="BO180">
        <f>Regression!$X$10+(Regression!$X$9*Table83[[#This Row],[Water]])</f>
        <v>255.10626599365665</v>
      </c>
      <c r="BP180" s="2">
        <f>Table83[[#This Row],[Weight]]-Table7[[#This Row],[Weight v Water]]</f>
        <v>-2.7062659936566433</v>
      </c>
      <c r="BQ180" s="2">
        <f>Table7[[#This Row],[Wwater Res]]^2</f>
        <v>7.3238756284223792</v>
      </c>
      <c r="BR180">
        <f>Regression!$Y$10+(Regression!$Y$9*Table83[[#This Row],[Fat Calories]])</f>
        <v>254.85285860826809</v>
      </c>
      <c r="BS180" s="2">
        <f>Table83[[#This Row],[Weight]]-Table7[[#This Row],[Weight v Fat Calories]]</f>
        <v>-2.4528586082680874</v>
      </c>
      <c r="BT180" s="2">
        <f>Table7[[#This Row],[WFC Res]]^2</f>
        <v>6.0165153521548591</v>
      </c>
      <c r="BU180">
        <f>Regression!$B$29+(Regression!$B$28*Table83[[#This Row],[Weight]])</f>
        <v>44.083581077496696</v>
      </c>
      <c r="BV180" s="2">
        <f>Table83[[#This Row],[Waist]]-Table7[[#This Row],[Waist v Weight]]</f>
        <v>-8.3581077496695855E-2</v>
      </c>
      <c r="BW180" s="2">
        <f>Table7[[#This Row],[WaistW Res]]^2</f>
        <v>6.9857965155086781E-3</v>
      </c>
      <c r="BX180">
        <f>Regression!$C$29+(Regression!$C$28*Table83[[#This Row],[Neck]])</f>
        <v>44.175585585585594</v>
      </c>
      <c r="BY180" s="2">
        <f>Table83[[#This Row],[Waist]]-Table7[[#This Row],[Waist v Neck]]</f>
        <v>-0.17558558558559412</v>
      </c>
      <c r="BZ180" s="2">
        <f>Table7[[#This Row],[WaistN Res]]^2</f>
        <v>3.0830297865435997E-2</v>
      </c>
      <c r="CA180">
        <f>Regression!$D$29+(Regression!$D$28*Table83[[#This Row],[Morning Body Temp]])</f>
        <v>44.515038370284842</v>
      </c>
      <c r="CB180" s="2">
        <f>Table83[[#This Row],[Waist]]-Table7[[#This Row],[Waist v Morning Temp]]</f>
        <v>-0.51503837028484156</v>
      </c>
      <c r="CC180" s="2">
        <f>Table7[[#This Row],[WaistMT Res]]^2</f>
        <v>0.26526452286566554</v>
      </c>
      <c r="CD180">
        <f>Regression!$E$29+(Regression!$E$28*Table83[[#This Row],[Morning Systolic Pressure]])</f>
        <v>44.354571080212359</v>
      </c>
      <c r="CE180" s="2">
        <f>Table83[[#This Row],[Waist]]-Table7[[#This Row],[Waist v Morning Sys]]</f>
        <v>-0.35457108021235939</v>
      </c>
      <c r="CF180" s="2">
        <f>Table7[[#This Row],[WaistMS Res]]^2</f>
        <v>0.12572065092295939</v>
      </c>
      <c r="CG180">
        <f>Regression!$F$29+(Regression!$F$28*Table83[[#This Row],[Morning Diastolic Pressure]])</f>
        <v>44.469723530150823</v>
      </c>
      <c r="CH180" s="2">
        <f>Table83[[#This Row],[Waist]]-Table7[[#This Row],[Waist v Morning Dia]]</f>
        <v>-0.46972353015082291</v>
      </c>
      <c r="CI180" s="2">
        <f>Table7[[#This Row],[WaistMD Res]]^2</f>
        <v>0.22064019477735103</v>
      </c>
      <c r="CJ180">
        <f>Regression!$G$29+(Regression!$G$28*Table83[[#This Row],[Morning Pulse]])</f>
        <v>44.456255205227038</v>
      </c>
      <c r="CK180" s="2">
        <f>Table83[[#This Row],[Waist]]-Table7[[#This Row],[Waist v Morning Pulse]]</f>
        <v>-0.45625520522703766</v>
      </c>
      <c r="CL180" s="2">
        <f>Table7[[#This Row],[WaistMP Res]]^2</f>
        <v>0.20816881229676626</v>
      </c>
      <c r="CM180">
        <f>Regression!$H$29+(Regression!$H$28*Table83[[#This Row],[Night Body Temp]])</f>
        <v>44.538020116512925</v>
      </c>
      <c r="CN180" s="2">
        <f>Table83[[#This Row],[Waist]]-Table7[[#This Row],[Waist v Night Temp]]</f>
        <v>-0.53802011651292503</v>
      </c>
      <c r="CO180" s="2">
        <f>Table7[[#This Row],[WaistNT Res]]^2</f>
        <v>0.28946564577258144</v>
      </c>
      <c r="CP180">
        <f>Regression!$I$29+(Regression!$I$28*Table83[[#This Row],[Night Systolic Pressure]])</f>
        <v>44.398338858002759</v>
      </c>
      <c r="CQ180" s="2">
        <f>Table83[[#This Row],[Waist]]-Table7[[#This Row],[Waist v  Night Sys]]</f>
        <v>-0.39833885800275937</v>
      </c>
      <c r="CR180" s="2">
        <f>Table7[[#This Row],[WaistNS Res]]^2</f>
        <v>0.15867384579494248</v>
      </c>
      <c r="CS180">
        <f>Regression!$J$29+(Regression!$J$28*Table83[[#This Row],[Night Diastolic Pressure]])</f>
        <v>44.478159956361175</v>
      </c>
      <c r="CT180" s="2">
        <f>Table83[[#This Row],[Waist]]-Table7[[#This Row],[Waist v Night Dia]]</f>
        <v>-0.47815995636117492</v>
      </c>
      <c r="CU180" s="2">
        <f>Table7[[#This Row],[WaistND Res]]^2</f>
        <v>0.2286369438673207</v>
      </c>
      <c r="CV180">
        <f>Regression!$K$29+(Regression!$K$28*Table83[[#This Row],[Night Pulse]])</f>
        <v>44.422570670522724</v>
      </c>
      <c r="CW180" s="2">
        <f>Table83[[#This Row],[Waist]]-Table7[[#This Row],[Waist v Night Pulse]]</f>
        <v>-0.4225706705227239</v>
      </c>
      <c r="CX180" s="2">
        <f>Table7[[#This Row],[WaistNP Res]]^2</f>
        <v>0.17856597158602447</v>
      </c>
      <c r="CY180">
        <f>Regression!$L$29+(Regression!$L$28*Table83[[#This Row],[Sleep]])</f>
        <v>44.480941336855928</v>
      </c>
      <c r="CZ180" s="2">
        <f>Table83[[#This Row],[Waist]]-Table7[[#This Row],[Waist v  Sleep]]</f>
        <v>-0.48094133685592766</v>
      </c>
      <c r="DA180" s="2">
        <f>Table7[[#This Row],[WaistS Res]]^2</f>
        <v>0.23130456949676689</v>
      </c>
      <c r="DB180">
        <f>Regression!$M$29+(Regression!$M$28*Table83[[#This Row],[BMI]])</f>
        <v>44.083581077497868</v>
      </c>
      <c r="DC180" s="2">
        <f>Table83[[#This Row],[Waist]]-Table7[[#This Row],[Waist v BMI]]</f>
        <v>-8.358107749786825E-2</v>
      </c>
      <c r="DD180" s="2">
        <f>Table7[[#This Row],[WaistBMI Res]]^2</f>
        <v>6.9857965157046585E-3</v>
      </c>
      <c r="DE180">
        <f>Regression!$N$29+(Regression!$N$28*Table83[[#This Row],[CBF]])</f>
        <v>44.105031770433015</v>
      </c>
      <c r="DF180" s="2">
        <f>Table83[[#This Row],[Waist]]-Table7[[#This Row],[Waist v  CBF]]</f>
        <v>-0.10503177043301548</v>
      </c>
      <c r="DG180" s="2">
        <f>Table7[[#This Row],[WaistCBF Res]]^2</f>
        <v>1.1031672800293666E-2</v>
      </c>
      <c r="DH180">
        <f>Regression!$O$29+(Regression!$O$28*Table83[[#This Row],[Gym]])</f>
        <v>44.347222222222221</v>
      </c>
      <c r="DI180" s="2">
        <f>Table83[[#This Row],[Waist]]-Table7[[#This Row],[Waist v  Gym]]</f>
        <v>-0.34722222222222143</v>
      </c>
      <c r="DJ180" s="2">
        <f>Table7[[#This Row],[WaistGYM Res]]^2</f>
        <v>0.12056327160493772</v>
      </c>
      <c r="DK180">
        <f>Regression!$P$29+(Regression!$P$28*Table83[[#This Row],[Cardio]])</f>
        <v>44.291666666666664</v>
      </c>
      <c r="DL180" s="2">
        <f>Table83[[#This Row],[Waist]]-Table7[[#This Row],[Waist v Cardio]]</f>
        <v>-0.2916666666666643</v>
      </c>
      <c r="DM180" s="2">
        <f>Table7[[#This Row],[WaistC Res]]^2</f>
        <v>8.506944444444306E-2</v>
      </c>
      <c r="DN180">
        <f>Regression!$Q$29+(Regression!$Q$28*Table83[[#This Row],[Calories]])</f>
        <v>44.271745606850565</v>
      </c>
      <c r="DO180" s="2">
        <f>Table83[[#This Row],[Waist]]-Table7[[#This Row],[Waist v Calories]]</f>
        <v>-0.27174560685056548</v>
      </c>
      <c r="DP180" s="2">
        <f>Table7[[#This Row],[WaistCal Res]]^2</f>
        <v>7.3845674842582101E-2</v>
      </c>
      <c r="DQ180">
        <f>Regression!$R$29+(Regression!$R$28*Table83[[#This Row],[Carbs]])</f>
        <v>44.181771764344191</v>
      </c>
      <c r="DR180" s="2">
        <f>Table83[[#This Row],[Waist]]-Table7[[#This Row],[Waist v Carbs]]</f>
        <v>-0.18177176434419096</v>
      </c>
      <c r="DS180" s="2">
        <f>Table7[[#This Row],[WaistCarb Res]]^2</f>
        <v>3.3040974312800092E-2</v>
      </c>
      <c r="DT180">
        <f>Regression!$S$29+(Regression!$S$28*Table83[[#This Row],[Fat ]])</f>
        <v>44.37963012530431</v>
      </c>
      <c r="DU180" s="2">
        <f>Table83[[#This Row],[Waist]]-Table7[[#This Row],[Waist v Fat]]</f>
        <v>-0.37963012530430973</v>
      </c>
      <c r="DV180" s="2">
        <f>Table7[[#This Row],[WaistF Res]]^2</f>
        <v>0.14411903203856591</v>
      </c>
      <c r="DW180">
        <f>Regression!$T$29+(Regression!$T$28*Table83[[#This Row],[Protein]])</f>
        <v>44.399452491320751</v>
      </c>
      <c r="DX180" s="2">
        <f>Table83[[#This Row],[Waist]]-Table7[[#This Row],[Waist v Protein]]</f>
        <v>-0.39945249132075134</v>
      </c>
      <c r="DY180" s="2">
        <f>Table7[[#This Row],[WaistP Res]]^2</f>
        <v>0.15956229282235493</v>
      </c>
      <c r="DZ180">
        <f>Regression!$U$29+(Regression!$U$28*Table83[[#This Row],[Fiber]])</f>
        <v>44.396902245354994</v>
      </c>
      <c r="EA180" s="2">
        <f>Table83[[#This Row],[Waist]]-Table7[[#This Row],[Waist v Fiber]]</f>
        <v>-0.39690224535499397</v>
      </c>
      <c r="EB180" s="2">
        <f>Table7[[#This Row],[WaistFib Res]]^2</f>
        <v>0.15753139236783584</v>
      </c>
      <c r="EC180">
        <f>Regression!$V$29+(Regression!$V$28*Table83[[#This Row],[Sugar]])</f>
        <v>43.977496316593026</v>
      </c>
      <c r="ED180" s="2">
        <f>Table83[[#This Row],[Waist]]-Table7[[#This Row],[Waist v Sugar]]</f>
        <v>2.2503683406974062E-2</v>
      </c>
      <c r="EE180" s="2">
        <f>Table7[[#This Row],[WaistSugar Res]]^2</f>
        <v>5.064157668813197E-4</v>
      </c>
      <c r="EF180">
        <f>Regression!$W$29+(Regression!$W$28*Table83[[#This Row],[Servings]])</f>
        <v>44.300056721062028</v>
      </c>
      <c r="EG180" s="2">
        <f>Table83[[#This Row],[Waist]]-Table7[[#This Row],[Waist v Servings]]</f>
        <v>-0.30005672106202752</v>
      </c>
      <c r="EH180" s="2">
        <f>Table7[[#This Row],[WaistServ Res]]^2</f>
        <v>9.0034035854495389E-2</v>
      </c>
      <c r="EI180">
        <f>Regression!$X$29+(Regression!$X$28*Table83[[#This Row],[Water]])</f>
        <v>44.442082352251923</v>
      </c>
      <c r="EJ180" s="2">
        <f>Table83[[#This Row],[Waist]]-Table7[[#This Row],[Waist v Water]]</f>
        <v>-0.44208235225192283</v>
      </c>
      <c r="EK180" s="2">
        <f>Table7[[#This Row],[WaistWat Res]]^2</f>
        <v>0.19543680617259318</v>
      </c>
      <c r="EL180">
        <f>Regression!$Y$29+(Regression!$Y$28*Table83[[#This Row],[Fat Calories]])</f>
        <v>44.373801627566465</v>
      </c>
      <c r="EM180" s="2">
        <f>Table83[[#This Row],[Waist]]-Table7[[#This Row],[Waist v Fat Calories]]</f>
        <v>-0.37380162756646484</v>
      </c>
      <c r="EN180" s="2">
        <f>Table7[[#This Row],[WaistFatCal Res]]^2</f>
        <v>0.13972765677133808</v>
      </c>
    </row>
    <row r="181" spans="1:144" x14ac:dyDescent="0.25">
      <c r="A181">
        <f>Regression!$B$10+(Regression!$B$9*Table83[[#This Row],[Waist]])</f>
        <v>255.38023686459636</v>
      </c>
      <c r="B181" s="2">
        <f>Table83[[#This Row],[Weight]]-Table7[[#This Row],[Weight v Waist]]</f>
        <v>-1.3802368645963554</v>
      </c>
      <c r="C181" s="2">
        <f>Table7[[#This Row],[Weight v Waist Res]]^2</f>
        <v>1.9050538023907779</v>
      </c>
      <c r="D181">
        <f>Regression!$C$10+(Regression!$C$9*Table83[[#This Row],[Neck]])</f>
        <v>253.29286486487842</v>
      </c>
      <c r="E181" s="2">
        <f>Table83[[#This Row],[Weight]]-Table7[[#This Row],[Weight v Neck]]</f>
        <v>0.70713513512157533</v>
      </c>
      <c r="F181" s="2">
        <f>Table7[[#This Row],[WN Res]]^2</f>
        <v>0.50004009932340865</v>
      </c>
      <c r="G181">
        <f>Regression!$D$10+(Regression!$D$9*Table83[[#This Row],[Morning Body Temp]])</f>
        <v>255.05956644908434</v>
      </c>
      <c r="H181" s="2">
        <f>Table83[[#This Row],[Weight]]-Table7[[#This Row],[Weight v Morning Temp]]</f>
        <v>-1.0595664490843433</v>
      </c>
      <c r="I181" s="2">
        <f>Table7[[#This Row],[WMT Res]]^2</f>
        <v>1.1226810600252042</v>
      </c>
      <c r="J181">
        <f>Regression!$E$10+(Regression!$E$9*Table83[[#This Row],[Morning Systolic Pressure]])</f>
        <v>254.6487145901215</v>
      </c>
      <c r="K181" s="2">
        <f>Table83[[#This Row],[Weight]]-Table7[[#This Row],[Weight v Morning Sys]]</f>
        <v>-0.64871459012150012</v>
      </c>
      <c r="L181" s="2">
        <f>Table7[[#This Row],[WMS Res]]^2</f>
        <v>0.4208306194365059</v>
      </c>
      <c r="M181">
        <f>Regression!$F$10+(Regression!$F$9*Table83[[#This Row],[Morning Diastolic Pressure]])</f>
        <v>255.50741689342618</v>
      </c>
      <c r="N181" s="2">
        <f>Table83[[#This Row],[Weight]]-Table7[[#This Row],[Weight v Morning Dia]]</f>
        <v>-1.507416893426182</v>
      </c>
      <c r="O181" s="2">
        <f>Table7[[#This Row],[WMD Res]]^2</f>
        <v>2.2723056905866414</v>
      </c>
      <c r="P181">
        <f>Regression!$G$10+(Regression!$G$9*Table83[[#This Row],[Morning Pulse]])</f>
        <v>255.11912848167003</v>
      </c>
      <c r="Q181" s="2">
        <f>Table83[[#This Row],[Weight]]-Table7[[#This Row],[Weight v Morning Pulse]]</f>
        <v>-1.1191284816700318</v>
      </c>
      <c r="R181" s="2">
        <f>Table7[[#This Row],[WMP Res]]^2</f>
        <v>1.2524485584850706</v>
      </c>
      <c r="S181">
        <f>Regression!$H$10+(Regression!$H$9*Table83[[#This Row],[Night Body Temp]])</f>
        <v>255.15957638897012</v>
      </c>
      <c r="T181" s="2">
        <f>Table83[[#This Row],[Weight]]-Table7[[#This Row],[Weight v Night Temp]]</f>
        <v>-1.1595763889701232</v>
      </c>
      <c r="U181" s="2">
        <f>Table7[[#This Row],[WNT Res]]^2</f>
        <v>1.3446174018569903</v>
      </c>
      <c r="V181">
        <f>Regression!$I$10+(Regression!$I$9*Table83[[#This Row],[Night Systolic Pressure]])</f>
        <v>255.03329172511027</v>
      </c>
      <c r="W181" s="2">
        <f>Table83[[#This Row],[Weight]]-Table7[[#This Row],[Weight v Night Sys]]</f>
        <v>-1.0332917251102742</v>
      </c>
      <c r="X181" s="2">
        <f>Table7[[#This Row],[WNS Res]]^2</f>
        <v>1.0676917891813664</v>
      </c>
      <c r="Y181">
        <f>Regression!$J$10+(Regression!$J$9*Table83[[#This Row],[Night Diastolic Pressure]])</f>
        <v>254.8477211637495</v>
      </c>
      <c r="Z181" s="2">
        <f>Table83[[#This Row],[Weight]]-Table7[[#This Row],[Weight v Night Dia]]</f>
        <v>-0.84772116374949746</v>
      </c>
      <c r="AA181" s="2">
        <f>Table7[[#This Row],[WND Res]]^2</f>
        <v>0.71863117146880229</v>
      </c>
      <c r="AB181">
        <f>Regression!$K$10+(Regression!$K$9*Table83[[#This Row],[Night Pulse]])</f>
        <v>255.20229185245142</v>
      </c>
      <c r="AC181" s="2">
        <f>Table83[[#This Row],[Weight]]-Table7[[#This Row],[Weight v Night Pulse]]</f>
        <v>-1.2022918524514239</v>
      </c>
      <c r="AD181" s="2">
        <f>Table7[[#This Row],[WNP Res ]]^2</f>
        <v>1.4455056984710764</v>
      </c>
      <c r="AE181">
        <f>Regression!$L$10+(Regression!$L$9*Table83[[#This Row],[Sleep]])</f>
        <v>255.05816118153788</v>
      </c>
      <c r="AF181" s="2">
        <f>Table83[[#This Row],[Weight]]-Table7[[#This Row],[Weight v Sleep]]</f>
        <v>-1.0581611815378835</v>
      </c>
      <c r="AG181" s="2">
        <f>Table7[[#This Row],[WS Res]]^2</f>
        <v>1.1197050861136497</v>
      </c>
      <c r="AH181">
        <f>Regression!$M$10+(Regression!$M$9*Table83[[#This Row],[BMI]])</f>
        <v>254.0000000000025</v>
      </c>
      <c r="AI181" s="2">
        <f>Table83[[#This Row],[Weight]]-Table7[[#This Row],[Weight v BMI]]</f>
        <v>-2.5011104298755527E-12</v>
      </c>
      <c r="AJ181" s="2">
        <f>Table7[[#This Row],[WBMI Res]]^2</f>
        <v>6.2555533824322718E-24</v>
      </c>
      <c r="AK181">
        <f>Regression!$N$10+(Regression!$N$9*Table83[[#This Row],[CBF]])</f>
        <v>256.25609762651322</v>
      </c>
      <c r="AL181" s="2">
        <f>Table83[[#This Row],[Weight]]-Table7[[#This Row],[Weight v CBF]]</f>
        <v>-2.256097626513224</v>
      </c>
      <c r="AM181" s="2">
        <f>Table7[[#This Row],[WCBF Res]]^2</f>
        <v>5.0899765003586026</v>
      </c>
      <c r="AN181">
        <f>Regression!$O$10+(Regression!$O$9*Table83[[#This Row],[Gym]])</f>
        <v>255.46779661016953</v>
      </c>
      <c r="AO181" s="2">
        <f>Table83[[#This Row],[Weight]]-Table7[[#This Row],[Weight v Gym]]</f>
        <v>-1.467796610169529</v>
      </c>
      <c r="AP181" s="2">
        <f>Table7[[#This Row],[WG Res]]^2</f>
        <v>2.1544268888251601</v>
      </c>
      <c r="AQ181">
        <f>Regression!$P$10+(Regression!$P$9*Table83[[#This Row],[Cardio]])</f>
        <v>254.19242424242461</v>
      </c>
      <c r="AR181" s="2">
        <f>Table83[[#This Row],[Weight]]-Table7[[#This Row],[Weight v Cardio]]</f>
        <v>-0.19242424242460743</v>
      </c>
      <c r="AS181" s="2">
        <f>Table7[[#This Row],[WC Res]]^2</f>
        <v>3.7027089072684087E-2</v>
      </c>
      <c r="AT181">
        <f>Regression!$Q$10+(Regression!$Q$9*Table83[[#This Row],[Calories]])</f>
        <v>255.15298991835905</v>
      </c>
      <c r="AU181" s="2">
        <f>Table83[[#This Row],[Weight]]-Table7[[#This Row],[Weight v Calories]]</f>
        <v>-1.1529899183590544</v>
      </c>
      <c r="AV181" s="2">
        <f>Table7[[#This Row],[WCAL Res]]^2</f>
        <v>1.3293857518376189</v>
      </c>
      <c r="AW181">
        <f>Regression!$R$10+(Regression!$R$9*Table83[[#This Row],[Carbs]])</f>
        <v>254.83753445983771</v>
      </c>
      <c r="AX181" s="2">
        <f>Table83[[#This Row],[Weight]]-Table7[[#This Row],[Weight v Carbs]]</f>
        <v>-0.83753445983771257</v>
      </c>
      <c r="AY181" s="2">
        <f>Table7[[#This Row],[Wcarb Res]]^2</f>
        <v>0.70146397141564898</v>
      </c>
      <c r="AZ181">
        <f>Regression!$S$10+(Regression!$S$9*Table83[[#This Row],[Fat ]])</f>
        <v>255.35793441358149</v>
      </c>
      <c r="BA181" s="2">
        <f>Table83[[#This Row],[Weight]]-Table7[[#This Row],[Weight v Fat]]</f>
        <v>-1.3579344135814893</v>
      </c>
      <c r="BB181" s="2">
        <f>Table7[[#This Row],[WF Res]]^2</f>
        <v>1.843985871588903</v>
      </c>
      <c r="BC181">
        <f>Regression!$T$10+(Regression!$T$9*Table83[[#This Row],[Protein]])</f>
        <v>255.22239538067853</v>
      </c>
      <c r="BD181" s="2">
        <f>Table83[[#This Row],[Weight]]-Table7[[#This Row],[Weight v Protein]]</f>
        <v>-1.2223953806785346</v>
      </c>
      <c r="BE181" s="2">
        <f>Table7[[#This Row],[WP Res]]^2</f>
        <v>1.4942504667042196</v>
      </c>
      <c r="BF181">
        <f>Regression!$U$10+(Regression!$U$9*Table83[[#This Row],[Fiber]])</f>
        <v>254.9426824110158</v>
      </c>
      <c r="BG181" s="2">
        <f>Table83[[#This Row],[Weight]]-Table7[[#This Row],[Weight v Fiber]]</f>
        <v>-0.9426824110157952</v>
      </c>
      <c r="BH181" s="2">
        <f>Table7[[#This Row],[Wfib Res]]^2</f>
        <v>0.88865012803855259</v>
      </c>
      <c r="BI181">
        <f>Regression!$V$10+(Regression!$V$9*Table83[[#This Row],[Sugar]])</f>
        <v>254.72239883853578</v>
      </c>
      <c r="BJ181" s="2">
        <f>Table83[[#This Row],[Weight]]-Table7[[#This Row],[Weight v Sugar]]</f>
        <v>-0.72239883853578135</v>
      </c>
      <c r="BK181" s="2">
        <f>Table7[[#This Row],[Wsugar Res]]^2</f>
        <v>0.52186008191784594</v>
      </c>
      <c r="BL181">
        <f>Regression!$W$10+(Regression!$W$9*Table83[[#This Row],[Servings]])</f>
        <v>254.09959117091734</v>
      </c>
      <c r="BM181" s="2">
        <f>Table83[[#This Row],[Weight]]-Table7[[#This Row],[Weight v Servings]]</f>
        <v>-9.9591170917335603E-2</v>
      </c>
      <c r="BN181" s="2">
        <f>Table7[[#This Row],[Wserv Res]]^2</f>
        <v>9.918401324685952E-3</v>
      </c>
      <c r="BO181">
        <f>Regression!$X$10+(Regression!$X$9*Table83[[#This Row],[Water]])</f>
        <v>255.10626599365665</v>
      </c>
      <c r="BP181" s="2">
        <f>Table83[[#This Row],[Weight]]-Table7[[#This Row],[Weight v Water]]</f>
        <v>-1.106265993656649</v>
      </c>
      <c r="BQ181" s="2">
        <f>Table7[[#This Row],[Wwater Res]]^2</f>
        <v>1.2238244487211329</v>
      </c>
      <c r="BR181">
        <f>Regression!$Y$10+(Regression!$Y$9*Table83[[#This Row],[Fat Calories]])</f>
        <v>255.368678882886</v>
      </c>
      <c r="BS181" s="2">
        <f>Table83[[#This Row],[Weight]]-Table7[[#This Row],[Weight v Fat Calories]]</f>
        <v>-1.3686788828860017</v>
      </c>
      <c r="BT181" s="2">
        <f>Table7[[#This Row],[WFC Res]]^2</f>
        <v>1.8732818844580736</v>
      </c>
      <c r="BU181">
        <f>Regression!$B$29+(Regression!$B$28*Table83[[#This Row],[Weight]])</f>
        <v>44.301601094408667</v>
      </c>
      <c r="BV181" s="2">
        <f>Table83[[#This Row],[Waist]]-Table7[[#This Row],[Waist v Weight]]</f>
        <v>0.19839890559133266</v>
      </c>
      <c r="BW181" s="2">
        <f>Table7[[#This Row],[WaistW Res]]^2</f>
        <v>3.9362125739838529E-2</v>
      </c>
      <c r="BX181">
        <f>Regression!$C$29+(Regression!$C$28*Table83[[#This Row],[Neck]])</f>
        <v>44.175585585585594</v>
      </c>
      <c r="BY181" s="2">
        <f>Table83[[#This Row],[Waist]]-Table7[[#This Row],[Waist v Neck]]</f>
        <v>0.32441441441440588</v>
      </c>
      <c r="BZ181" s="2">
        <f>Table7[[#This Row],[WaistN Res]]^2</f>
        <v>0.10524471227984188</v>
      </c>
      <c r="CA181">
        <f>Regression!$D$29+(Regression!$D$28*Table83[[#This Row],[Morning Body Temp]])</f>
        <v>44.438451117581323</v>
      </c>
      <c r="CB181" s="2">
        <f>Table83[[#This Row],[Waist]]-Table7[[#This Row],[Waist v Morning Temp]]</f>
        <v>6.1548882418676953E-2</v>
      </c>
      <c r="CC181" s="2">
        <f>Table7[[#This Row],[WaistMT Res]]^2</f>
        <v>3.7882649269881208E-3</v>
      </c>
      <c r="CD181">
        <f>Regression!$E$29+(Regression!$E$28*Table83[[#This Row],[Morning Systolic Pressure]])</f>
        <v>44.343980674969934</v>
      </c>
      <c r="CE181" s="2">
        <f>Table83[[#This Row],[Waist]]-Table7[[#This Row],[Waist v Morning Sys]]</f>
        <v>0.15601932503006566</v>
      </c>
      <c r="CF181" s="2">
        <f>Table7[[#This Row],[WaistMS Res]]^2</f>
        <v>2.4342029782837272E-2</v>
      </c>
      <c r="CG181">
        <f>Regression!$F$29+(Regression!$F$28*Table83[[#This Row],[Morning Diastolic Pressure]])</f>
        <v>44.475359150819678</v>
      </c>
      <c r="CH181" s="2">
        <f>Table83[[#This Row],[Waist]]-Table7[[#This Row],[Waist v Morning Dia]]</f>
        <v>2.4640849180322277E-2</v>
      </c>
      <c r="CI181" s="2">
        <f>Table7[[#This Row],[WaistMD Res]]^2</f>
        <v>6.0717144832738909E-4</v>
      </c>
      <c r="CJ181">
        <f>Regression!$G$29+(Regression!$G$28*Table83[[#This Row],[Morning Pulse]])</f>
        <v>44.455415702653426</v>
      </c>
      <c r="CK181" s="2">
        <f>Table83[[#This Row],[Waist]]-Table7[[#This Row],[Waist v Morning Pulse]]</f>
        <v>4.4584297346574431E-2</v>
      </c>
      <c r="CL181" s="2">
        <f>Table7[[#This Row],[WaistMP Res]]^2</f>
        <v>1.9877595698877637E-3</v>
      </c>
      <c r="CM181">
        <f>Regression!$H$29+(Regression!$H$28*Table83[[#This Row],[Night Body Temp]])</f>
        <v>44.457050878464067</v>
      </c>
      <c r="CN181" s="2">
        <f>Table83[[#This Row],[Waist]]-Table7[[#This Row],[Waist v Night Temp]]</f>
        <v>4.2949121535933443E-2</v>
      </c>
      <c r="CO181" s="2">
        <f>Table7[[#This Row],[WaistNT Res]]^2</f>
        <v>1.8446270407083819E-3</v>
      </c>
      <c r="CP181">
        <f>Regression!$I$29+(Regression!$I$28*Table83[[#This Row],[Night Systolic Pressure]])</f>
        <v>44.441959200979596</v>
      </c>
      <c r="CQ181" s="2">
        <f>Table83[[#This Row],[Waist]]-Table7[[#This Row],[Waist v  Night Sys]]</f>
        <v>5.8040799020403711E-2</v>
      </c>
      <c r="CR181" s="2">
        <f>Table7[[#This Row],[WaistNS Res]]^2</f>
        <v>3.3687343509268964E-3</v>
      </c>
      <c r="CS181">
        <f>Regression!$J$29+(Regression!$J$28*Table83[[#This Row],[Night Diastolic Pressure]])</f>
        <v>44.341616394701639</v>
      </c>
      <c r="CT181" s="2">
        <f>Table83[[#This Row],[Waist]]-Table7[[#This Row],[Waist v Night Dia]]</f>
        <v>0.15838360529836137</v>
      </c>
      <c r="CU181" s="2">
        <f>Table7[[#This Row],[WaistND Res]]^2</f>
        <v>2.5085366427307125E-2</v>
      </c>
      <c r="CV181">
        <f>Regression!$K$29+(Regression!$K$28*Table83[[#This Row],[Night Pulse]])</f>
        <v>44.44542464101044</v>
      </c>
      <c r="CW181" s="2">
        <f>Table83[[#This Row],[Waist]]-Table7[[#This Row],[Waist v Night Pulse]]</f>
        <v>5.4575358989559675E-2</v>
      </c>
      <c r="CX181" s="2">
        <f>Table7[[#This Row],[WaistNP Res]]^2</f>
        <v>2.978469808839312E-3</v>
      </c>
      <c r="CY181">
        <f>Regression!$L$29+(Regression!$L$28*Table83[[#This Row],[Sleep]])</f>
        <v>44.444867110859185</v>
      </c>
      <c r="CZ181" s="2">
        <f>Table83[[#This Row],[Waist]]-Table7[[#This Row],[Waist v  Sleep]]</f>
        <v>5.5132889140814711E-2</v>
      </c>
      <c r="DA181" s="2">
        <f>Table7[[#This Row],[WaistS Res]]^2</f>
        <v>3.0396354650133648E-3</v>
      </c>
      <c r="DB181">
        <f>Regression!$M$29+(Regression!$M$28*Table83[[#This Row],[BMI]])</f>
        <v>44.301601094409143</v>
      </c>
      <c r="DC181" s="2">
        <f>Table83[[#This Row],[Waist]]-Table7[[#This Row],[Waist v BMI]]</f>
        <v>0.1983989055908566</v>
      </c>
      <c r="DD181" s="2">
        <f>Table7[[#This Row],[WaistBMI Res]]^2</f>
        <v>3.9362125739649631E-2</v>
      </c>
      <c r="DE181">
        <f>Regression!$N$29+(Regression!$N$28*Table83[[#This Row],[CBF]])</f>
        <v>44.659010290127611</v>
      </c>
      <c r="DF181" s="2">
        <f>Table83[[#This Row],[Waist]]-Table7[[#This Row],[Waist v  CBF]]</f>
        <v>-0.15901029012761114</v>
      </c>
      <c r="DG181" s="2">
        <f>Table7[[#This Row],[WaistCBF Res]]^2</f>
        <v>2.5284272366467068E-2</v>
      </c>
      <c r="DH181">
        <f>Regression!$O$29+(Regression!$O$28*Table83[[#This Row],[Gym]])</f>
        <v>44.550847457627107</v>
      </c>
      <c r="DI181" s="2">
        <f>Table83[[#This Row],[Waist]]-Table7[[#This Row],[Waist v  Gym]]</f>
        <v>-5.0847457627106962E-2</v>
      </c>
      <c r="DJ181" s="2">
        <f>Table7[[#This Row],[WaistGYM Res]]^2</f>
        <v>2.5854639471404378E-3</v>
      </c>
      <c r="DK181">
        <f>Regression!$P$29+(Regression!$P$28*Table83[[#This Row],[Cardio]])</f>
        <v>44.291666666666664</v>
      </c>
      <c r="DL181" s="2">
        <f>Table83[[#This Row],[Waist]]-Table7[[#This Row],[Waist v Cardio]]</f>
        <v>0.2083333333333357</v>
      </c>
      <c r="DM181" s="2">
        <f>Table7[[#This Row],[WaistC Res]]^2</f>
        <v>4.3402777777778762E-2</v>
      </c>
      <c r="DN181">
        <f>Regression!$Q$29+(Regression!$Q$28*Table83[[#This Row],[Calories]])</f>
        <v>44.462065373564037</v>
      </c>
      <c r="DO181" s="2">
        <f>Table83[[#This Row],[Waist]]-Table7[[#This Row],[Waist v Calories]]</f>
        <v>3.7934626435962571E-2</v>
      </c>
      <c r="DP181" s="2">
        <f>Table7[[#This Row],[WaistCal Res]]^2</f>
        <v>1.4390358828360304E-3</v>
      </c>
      <c r="DQ181">
        <f>Regression!$R$29+(Regression!$R$28*Table83[[#This Row],[Carbs]])</f>
        <v>44.395763984560894</v>
      </c>
      <c r="DR181" s="2">
        <f>Table83[[#This Row],[Waist]]-Table7[[#This Row],[Waist v Carbs]]</f>
        <v>0.10423601543910621</v>
      </c>
      <c r="DS181" s="2">
        <f>Table7[[#This Row],[WaistCarb Res]]^2</f>
        <v>1.0865146914621588E-2</v>
      </c>
      <c r="DT181">
        <f>Regression!$S$29+(Regression!$S$28*Table83[[#This Row],[Fat ]])</f>
        <v>44.527786206477785</v>
      </c>
      <c r="DU181" s="2">
        <f>Table83[[#This Row],[Waist]]-Table7[[#This Row],[Waist v Fat]]</f>
        <v>-2.7786206477784958E-2</v>
      </c>
      <c r="DV181" s="2">
        <f>Table7[[#This Row],[WaistF Res]]^2</f>
        <v>7.720732704260988E-4</v>
      </c>
      <c r="DW181">
        <f>Regression!$T$29+(Regression!$T$28*Table83[[#This Row],[Protein]])</f>
        <v>44.47318906804152</v>
      </c>
      <c r="DX181" s="2">
        <f>Table83[[#This Row],[Waist]]-Table7[[#This Row],[Waist v Protein]]</f>
        <v>2.68109319584795E-2</v>
      </c>
      <c r="DY181" s="2">
        <f>Table7[[#This Row],[WaistP Res]]^2</f>
        <v>7.1882607248221738E-4</v>
      </c>
      <c r="DZ181">
        <f>Regression!$U$29+(Regression!$U$28*Table83[[#This Row],[Fiber]])</f>
        <v>44.387032292876654</v>
      </c>
      <c r="EA181" s="2">
        <f>Table83[[#This Row],[Waist]]-Table7[[#This Row],[Waist v Fiber]]</f>
        <v>0.11296770712334592</v>
      </c>
      <c r="EB181" s="2">
        <f>Table7[[#This Row],[WaistFib Res]]^2</f>
        <v>1.276170285270606E-2</v>
      </c>
      <c r="EC181">
        <f>Regression!$V$29+(Regression!$V$28*Table83[[#This Row],[Sugar]])</f>
        <v>44.383005454421536</v>
      </c>
      <c r="ED181" s="2">
        <f>Table83[[#This Row],[Waist]]-Table7[[#This Row],[Waist v Sugar]]</f>
        <v>0.11699454557846423</v>
      </c>
      <c r="EE181" s="2">
        <f>Table7[[#This Row],[WaistSugar Res]]^2</f>
        <v>1.3687723695111344E-2</v>
      </c>
      <c r="EF181">
        <f>Regression!$W$29+(Regression!$W$28*Table83[[#This Row],[Servings]])</f>
        <v>44.298598600921963</v>
      </c>
      <c r="EG181" s="2">
        <f>Table83[[#This Row],[Waist]]-Table7[[#This Row],[Waist v Servings]]</f>
        <v>0.201401399078037</v>
      </c>
      <c r="EH181" s="2">
        <f>Table7[[#This Row],[WaistServ Res]]^2</f>
        <v>4.0562523550590722E-2</v>
      </c>
      <c r="EI181">
        <f>Regression!$X$29+(Regression!$X$28*Table83[[#This Row],[Water]])</f>
        <v>44.442082352251923</v>
      </c>
      <c r="EJ181" s="2">
        <f>Table83[[#This Row],[Waist]]-Table7[[#This Row],[Waist v Water]]</f>
        <v>5.7917647748077172E-2</v>
      </c>
      <c r="EK181" s="2">
        <f>Table7[[#This Row],[WaistWat Res]]^2</f>
        <v>3.3544539206703488E-3</v>
      </c>
      <c r="EL181">
        <f>Regression!$Y$29+(Regression!$Y$28*Table83[[#This Row],[Fat Calories]])</f>
        <v>44.530677412014356</v>
      </c>
      <c r="EM181" s="2">
        <f>Table83[[#This Row],[Waist]]-Table7[[#This Row],[Waist v Fat Calories]]</f>
        <v>-3.0677412014355809E-2</v>
      </c>
      <c r="EN181" s="2">
        <f>Table7[[#This Row],[WaistFatCal Res]]^2</f>
        <v>9.4110360789854215E-4</v>
      </c>
    </row>
    <row r="182" spans="1:144" x14ac:dyDescent="0.25">
      <c r="A182">
        <f>Regression!$B$10+(Regression!$B$9*Table83[[#This Row],[Waist]])</f>
        <v>255.38023686459636</v>
      </c>
      <c r="B182" s="2">
        <f>Table83[[#This Row],[Weight]]-Table7[[#This Row],[Weight v Waist]]</f>
        <v>-1.580236864596344</v>
      </c>
      <c r="C182" s="2">
        <f>Table7[[#This Row],[Weight v Waist Res]]^2</f>
        <v>2.4971485482292843</v>
      </c>
      <c r="D182">
        <f>Regression!$C$10+(Regression!$C$9*Table83[[#This Row],[Neck]])</f>
        <v>253.29286486487842</v>
      </c>
      <c r="E182" s="2">
        <f>Table83[[#This Row],[Weight]]-Table7[[#This Row],[Weight v Neck]]</f>
        <v>0.5071351351215867</v>
      </c>
      <c r="F182" s="2">
        <f>Table7[[#This Row],[WN Res]]^2</f>
        <v>0.25718604527479</v>
      </c>
      <c r="G182">
        <f>Regression!$D$10+(Regression!$D$9*Table83[[#This Row],[Morning Body Temp]])</f>
        <v>255.41155922019615</v>
      </c>
      <c r="H182" s="2">
        <f>Table83[[#This Row],[Weight]]-Table7[[#This Row],[Weight v Morning Temp]]</f>
        <v>-1.611559220196142</v>
      </c>
      <c r="I182" s="2">
        <f>Table7[[#This Row],[WMT Res]]^2</f>
        <v>2.5971231201991971</v>
      </c>
      <c r="J182">
        <f>Regression!$E$10+(Regression!$E$9*Table83[[#This Row],[Morning Systolic Pressure]])</f>
        <v>255.2347182403455</v>
      </c>
      <c r="K182" s="2">
        <f>Table83[[#This Row],[Weight]]-Table7[[#This Row],[Weight v Morning Sys]]</f>
        <v>-1.4347182403454894</v>
      </c>
      <c r="L182" s="2">
        <f>Table7[[#This Row],[WMS Res]]^2</f>
        <v>2.0584164291800575</v>
      </c>
      <c r="M182">
        <f>Regression!$F$10+(Regression!$F$9*Table83[[#This Row],[Morning Diastolic Pressure]])</f>
        <v>255.00069564820177</v>
      </c>
      <c r="N182" s="2">
        <f>Table83[[#This Row],[Weight]]-Table7[[#This Row],[Weight v Morning Dia]]</f>
        <v>-1.2006956482017586</v>
      </c>
      <c r="O182" s="2">
        <f>Table7[[#This Row],[WMD Res]]^2</f>
        <v>1.4416700396106412</v>
      </c>
      <c r="P182">
        <f>Regression!$G$10+(Regression!$G$9*Table83[[#This Row],[Morning Pulse]])</f>
        <v>255.12826746045599</v>
      </c>
      <c r="Q182" s="2">
        <f>Table83[[#This Row],[Weight]]-Table7[[#This Row],[Weight v Morning Pulse]]</f>
        <v>-1.3282674604559759</v>
      </c>
      <c r="R182" s="2">
        <f>Table7[[#This Row],[WMP Res]]^2</f>
        <v>1.7642944465061674</v>
      </c>
      <c r="S182">
        <f>Regression!$H$10+(Regression!$H$9*Table83[[#This Row],[Night Body Temp]])</f>
        <v>255.77575581186025</v>
      </c>
      <c r="T182" s="2">
        <f>Table83[[#This Row],[Weight]]-Table7[[#This Row],[Weight v Night Temp]]</f>
        <v>-1.975755811860239</v>
      </c>
      <c r="U182" s="2">
        <f>Table7[[#This Row],[WNT Res]]^2</f>
        <v>3.9036110280995118</v>
      </c>
      <c r="V182">
        <f>Regression!$I$10+(Regression!$I$9*Table83[[#This Row],[Night Systolic Pressure]])</f>
        <v>256.26502973345191</v>
      </c>
      <c r="W182" s="2">
        <f>Table83[[#This Row],[Weight]]-Table7[[#This Row],[Weight v Night Sys]]</f>
        <v>-2.4650297334518996</v>
      </c>
      <c r="X182" s="2">
        <f>Table7[[#This Row],[WNS Res]]^2</f>
        <v>6.076371586801943</v>
      </c>
      <c r="Y182">
        <f>Regression!$J$10+(Regression!$J$9*Table83[[#This Row],[Night Diastolic Pressure]])</f>
        <v>255.25537984791052</v>
      </c>
      <c r="Z182" s="2">
        <f>Table83[[#This Row],[Weight]]-Table7[[#This Row],[Weight v Night Dia]]</f>
        <v>-1.4553798479105069</v>
      </c>
      <c r="AA182" s="2">
        <f>Table7[[#This Row],[WND Res]]^2</f>
        <v>2.1181305017040102</v>
      </c>
      <c r="AB182">
        <f>Regression!$K$10+(Regression!$K$9*Table83[[#This Row],[Night Pulse]])</f>
        <v>255.26371851492488</v>
      </c>
      <c r="AC182" s="2">
        <f>Table83[[#This Row],[Weight]]-Table7[[#This Row],[Weight v Night Pulse]]</f>
        <v>-1.4637185149248637</v>
      </c>
      <c r="AD182" s="2">
        <f>Table7[[#This Row],[WNP Res ]]^2</f>
        <v>2.1424718909338485</v>
      </c>
      <c r="AE182">
        <f>Regression!$L$10+(Regression!$L$9*Table83[[#This Row],[Sleep]])</f>
        <v>255.45250391075515</v>
      </c>
      <c r="AF182" s="2">
        <f>Table83[[#This Row],[Weight]]-Table7[[#This Row],[Weight v Sleep]]</f>
        <v>-1.6525039107551436</v>
      </c>
      <c r="AG182" s="2">
        <f>Table7[[#This Row],[WS Res]]^2</f>
        <v>2.7307691750610434</v>
      </c>
      <c r="AH182">
        <f>Regression!$M$10+(Regression!$M$9*Table83[[#This Row],[BMI]])</f>
        <v>253.80000000000297</v>
      </c>
      <c r="AI182" s="2">
        <f>Table83[[#This Row],[Weight]]-Table7[[#This Row],[Weight v BMI]]</f>
        <v>-2.9558577807620168E-12</v>
      </c>
      <c r="AJ182" s="2">
        <f>Table7[[#This Row],[WBMI Res]]^2</f>
        <v>8.7370952200913548E-24</v>
      </c>
      <c r="AK182">
        <f>Regression!$N$10+(Regression!$N$9*Table83[[#This Row],[CBF]])</f>
        <v>256.25609762651322</v>
      </c>
      <c r="AL182" s="2">
        <f>Table83[[#This Row],[Weight]]-Table7[[#This Row],[Weight v CBF]]</f>
        <v>-2.4560976265132126</v>
      </c>
      <c r="AM182" s="2">
        <f>Table7[[#This Row],[WCBF Res]]^2</f>
        <v>6.0324155509638366</v>
      </c>
      <c r="AN182">
        <f>Regression!$O$10+(Regression!$O$9*Table83[[#This Row],[Gym]])</f>
        <v>254.72962962962998</v>
      </c>
      <c r="AO182" s="2">
        <f>Table83[[#This Row],[Weight]]-Table7[[#This Row],[Weight v Gym]]</f>
        <v>-0.92962962962997153</v>
      </c>
      <c r="AP182" s="2">
        <f>Table7[[#This Row],[WG Res]]^2</f>
        <v>0.86421124828595808</v>
      </c>
      <c r="AQ182">
        <f>Regression!$P$10+(Regression!$P$9*Table83[[#This Row],[Cardio]])</f>
        <v>254.19242424242461</v>
      </c>
      <c r="AR182" s="2">
        <f>Table83[[#This Row],[Weight]]-Table7[[#This Row],[Weight v Cardio]]</f>
        <v>-0.39242424242459606</v>
      </c>
      <c r="AS182" s="2">
        <f>Table7[[#This Row],[WC Res]]^2</f>
        <v>0.15399678604251812</v>
      </c>
      <c r="AT182">
        <f>Regression!$Q$10+(Regression!$Q$9*Table83[[#This Row],[Calories]])</f>
        <v>255.14001219635489</v>
      </c>
      <c r="AU182" s="2">
        <f>Table83[[#This Row],[Weight]]-Table7[[#This Row],[Weight v Calories]]</f>
        <v>-1.340012196354877</v>
      </c>
      <c r="AV182" s="2">
        <f>Table7[[#This Row],[WCAL Res]]^2</f>
        <v>1.7956326863798215</v>
      </c>
      <c r="AW182">
        <f>Regression!$R$10+(Regression!$R$9*Table83[[#This Row],[Carbs]])</f>
        <v>255.0803652772924</v>
      </c>
      <c r="AX182" s="2">
        <f>Table83[[#This Row],[Weight]]-Table7[[#This Row],[Weight v Carbs]]</f>
        <v>-1.2803652772923897</v>
      </c>
      <c r="AY182" s="2">
        <f>Table7[[#This Row],[Wcarb Res]]^2</f>
        <v>1.639335243296018</v>
      </c>
      <c r="AZ182">
        <f>Regression!$S$10+(Regression!$S$9*Table83[[#This Row],[Fat ]])</f>
        <v>255.11716901684593</v>
      </c>
      <c r="BA182" s="2">
        <f>Table83[[#This Row],[Weight]]-Table7[[#This Row],[Weight v Fat]]</f>
        <v>-1.3171690168459236</v>
      </c>
      <c r="BB182" s="2">
        <f>Table7[[#This Row],[WF Res]]^2</f>
        <v>1.734934218938857</v>
      </c>
      <c r="BC182">
        <f>Regression!$T$10+(Regression!$T$9*Table83[[#This Row],[Protein]])</f>
        <v>255.02933172630469</v>
      </c>
      <c r="BD182" s="2">
        <f>Table83[[#This Row],[Weight]]-Table7[[#This Row],[Weight v Protein]]</f>
        <v>-1.2293317263046788</v>
      </c>
      <c r="BE182" s="2">
        <f>Table7[[#This Row],[WP Res]]^2</f>
        <v>1.5112564932992416</v>
      </c>
      <c r="BF182">
        <f>Regression!$U$10+(Regression!$U$9*Table83[[#This Row],[Fiber]])</f>
        <v>255.31919317757155</v>
      </c>
      <c r="BG182" s="2">
        <f>Table83[[#This Row],[Weight]]-Table7[[#This Row],[Weight v Fiber]]</f>
        <v>-1.5191931775715375</v>
      </c>
      <c r="BH182" s="2">
        <f>Table7[[#This Row],[Wfib Res]]^2</f>
        <v>2.3079479107799052</v>
      </c>
      <c r="BI182">
        <f>Regression!$V$10+(Regression!$V$9*Table83[[#This Row],[Sugar]])</f>
        <v>255.09812725797241</v>
      </c>
      <c r="BJ182" s="2">
        <f>Table83[[#This Row],[Weight]]-Table7[[#This Row],[Weight v Sugar]]</f>
        <v>-1.2981272579723964</v>
      </c>
      <c r="BK182" s="2">
        <f>Table7[[#This Row],[Wsugar Res]]^2</f>
        <v>1.6851343778909325</v>
      </c>
      <c r="BL182">
        <f>Regression!$W$10+(Regression!$W$9*Table83[[#This Row],[Servings]])</f>
        <v>254.25249070923061</v>
      </c>
      <c r="BM182" s="2">
        <f>Table83[[#This Row],[Weight]]-Table7[[#This Row],[Weight v Servings]]</f>
        <v>-0.45249070923060231</v>
      </c>
      <c r="BN182" s="2">
        <f>Table7[[#This Row],[Wserv Res]]^2</f>
        <v>0.20474784194001347</v>
      </c>
      <c r="BO182">
        <f>Regression!$X$10+(Regression!$X$9*Table83[[#This Row],[Water]])</f>
        <v>255.19189796045953</v>
      </c>
      <c r="BP182" s="2">
        <f>Table83[[#This Row],[Weight]]-Table7[[#This Row],[Weight v Water]]</f>
        <v>-1.3918979604595165</v>
      </c>
      <c r="BQ182" s="2">
        <f>Table7[[#This Row],[Wwater Res]]^2</f>
        <v>1.9373799323313619</v>
      </c>
      <c r="BR182">
        <f>Regression!$Y$10+(Regression!$Y$9*Table83[[#This Row],[Fat Calories]])</f>
        <v>255.11244393173064</v>
      </c>
      <c r="BS182" s="2">
        <f>Table83[[#This Row],[Weight]]-Table7[[#This Row],[Weight v Fat Calories]]</f>
        <v>-1.3124439317306269</v>
      </c>
      <c r="BT182" s="2">
        <f>Table7[[#This Row],[WFC Res]]^2</f>
        <v>1.7225090739365465</v>
      </c>
      <c r="BU182">
        <f>Regression!$B$29+(Regression!$B$28*Table83[[#This Row],[Weight]])</f>
        <v>44.274348592294672</v>
      </c>
      <c r="BV182" s="2">
        <f>Table83[[#This Row],[Waist]]-Table7[[#This Row],[Waist v Weight]]</f>
        <v>0.22565140770532821</v>
      </c>
      <c r="BW182" s="2">
        <f>Table7[[#This Row],[WaistW Res]]^2</f>
        <v>5.0918557799396254E-2</v>
      </c>
      <c r="BX182">
        <f>Regression!$C$29+(Regression!$C$28*Table83[[#This Row],[Neck]])</f>
        <v>44.175585585585594</v>
      </c>
      <c r="BY182" s="2">
        <f>Table83[[#This Row],[Waist]]-Table7[[#This Row],[Waist v Neck]]</f>
        <v>0.32441441441440588</v>
      </c>
      <c r="BZ182" s="2">
        <f>Table7[[#This Row],[WaistN Res]]^2</f>
        <v>0.10524471227984188</v>
      </c>
      <c r="CA182">
        <f>Regression!$D$29+(Regression!$D$28*Table83[[#This Row],[Morning Body Temp]])</f>
        <v>44.534185183460714</v>
      </c>
      <c r="CB182" s="2">
        <f>Table83[[#This Row],[Waist]]-Table7[[#This Row],[Waist v Morning Temp]]</f>
        <v>-3.4185183460714086E-2</v>
      </c>
      <c r="CC182" s="2">
        <f>Table7[[#This Row],[WaistMT Res]]^2</f>
        <v>1.1686267682426798E-3</v>
      </c>
      <c r="CD182">
        <f>Regression!$E$29+(Regression!$E$28*Table83[[#This Row],[Morning Systolic Pressure]])</f>
        <v>44.481655943121481</v>
      </c>
      <c r="CE182" s="2">
        <f>Table83[[#This Row],[Waist]]-Table7[[#This Row],[Waist v Morning Sys]]</f>
        <v>1.83440568785187E-2</v>
      </c>
      <c r="CF182" s="2">
        <f>Table7[[#This Row],[WaistMS Res]]^2</f>
        <v>3.3650442276232922E-4</v>
      </c>
      <c r="CG182">
        <f>Regression!$F$29+(Regression!$F$28*Table83[[#This Row],[Morning Diastolic Pressure]])</f>
        <v>44.447181047475404</v>
      </c>
      <c r="CH182" s="2">
        <f>Table83[[#This Row],[Waist]]-Table7[[#This Row],[Waist v Morning Dia]]</f>
        <v>5.2818952524596341E-2</v>
      </c>
      <c r="CI182" s="2">
        <f>Table7[[#This Row],[WaistMD Res]]^2</f>
        <v>2.789841745795562E-3</v>
      </c>
      <c r="CJ182">
        <f>Regression!$G$29+(Regression!$G$28*Table83[[#This Row],[Morning Pulse]])</f>
        <v>44.459613215521493</v>
      </c>
      <c r="CK182" s="2">
        <f>Table83[[#This Row],[Waist]]-Table7[[#This Row],[Waist v Morning Pulse]]</f>
        <v>4.0386784478506854E-2</v>
      </c>
      <c r="CL182" s="2">
        <f>Table7[[#This Row],[WaistMP Res]]^2</f>
        <v>1.6310923605133622E-3</v>
      </c>
      <c r="CM182">
        <f>Regression!$H$29+(Regression!$H$28*Table83[[#This Row],[Night Body Temp]])</f>
        <v>44.505632421293377</v>
      </c>
      <c r="CN182" s="2">
        <f>Table83[[#This Row],[Waist]]-Table7[[#This Row],[Waist v Night Temp]]</f>
        <v>-5.6324212933773765E-3</v>
      </c>
      <c r="CO182" s="2">
        <f>Table7[[#This Row],[WaistNT Res]]^2</f>
        <v>3.172416962609088E-5</v>
      </c>
      <c r="CP182">
        <f>Regression!$I$29+(Regression!$I$28*Table83[[#This Row],[Night Systolic Pressure]])</f>
        <v>44.616440572886958</v>
      </c>
      <c r="CQ182" s="2">
        <f>Table83[[#This Row],[Waist]]-Table7[[#This Row],[Waist v  Night Sys]]</f>
        <v>-0.11644057288695819</v>
      </c>
      <c r="CR182" s="2">
        <f>Table7[[#This Row],[WaistNS Res]]^2</f>
        <v>1.3558407014243023E-2</v>
      </c>
      <c r="CS182">
        <f>Regression!$J$29+(Regression!$J$28*Table83[[#This Row],[Night Diastolic Pressure]])</f>
        <v>44.512295846776055</v>
      </c>
      <c r="CT182" s="2">
        <f>Table83[[#This Row],[Waist]]-Table7[[#This Row],[Waist v Night Dia]]</f>
        <v>-1.2295846776055441E-2</v>
      </c>
      <c r="CU182" s="2">
        <f>Table7[[#This Row],[WaistND Res]]^2</f>
        <v>1.5118784794023298E-4</v>
      </c>
      <c r="CV182">
        <f>Regression!$K$29+(Regression!$K$28*Table83[[#This Row],[Night Pulse]])</f>
        <v>44.439711148388511</v>
      </c>
      <c r="CW182" s="2">
        <f>Table83[[#This Row],[Waist]]-Table7[[#This Row],[Waist v Night Pulse]]</f>
        <v>6.0288851611488781E-2</v>
      </c>
      <c r="CX182" s="2">
        <f>Table7[[#This Row],[WaistNP Res]]^2</f>
        <v>3.6347456286321134E-3</v>
      </c>
      <c r="CY182">
        <f>Regression!$L$29+(Regression!$L$28*Table83[[#This Row],[Sleep]])</f>
        <v>44.504990820853756</v>
      </c>
      <c r="CZ182" s="2">
        <f>Table83[[#This Row],[Waist]]-Table7[[#This Row],[Waist v  Sleep]]</f>
        <v>-4.9908208537559062E-3</v>
      </c>
      <c r="DA182" s="2">
        <f>Table7[[#This Row],[WaistS Res]]^2</f>
        <v>2.4908292794284833E-5</v>
      </c>
      <c r="DB182">
        <f>Regression!$M$29+(Regression!$M$28*Table83[[#This Row],[BMI]])</f>
        <v>44.27434859229524</v>
      </c>
      <c r="DC182" s="2">
        <f>Table83[[#This Row],[Waist]]-Table7[[#This Row],[Waist v BMI]]</f>
        <v>0.22565140770475978</v>
      </c>
      <c r="DD182" s="2">
        <f>Table7[[#This Row],[WaistBMI Res]]^2</f>
        <v>5.0918557799139723E-2</v>
      </c>
      <c r="DE182">
        <f>Regression!$N$29+(Regression!$N$28*Table83[[#This Row],[CBF]])</f>
        <v>44.659010290127611</v>
      </c>
      <c r="DF182" s="2">
        <f>Table83[[#This Row],[Waist]]-Table7[[#This Row],[Waist v  CBF]]</f>
        <v>-0.15901029012761114</v>
      </c>
      <c r="DG182" s="2">
        <f>Table7[[#This Row],[WaistCBF Res]]^2</f>
        <v>2.5284272366467068E-2</v>
      </c>
      <c r="DH182">
        <f>Regression!$O$29+(Regression!$O$28*Table83[[#This Row],[Gym]])</f>
        <v>44.347222222222221</v>
      </c>
      <c r="DI182" s="2">
        <f>Table83[[#This Row],[Waist]]-Table7[[#This Row],[Waist v  Gym]]</f>
        <v>0.15277777777777857</v>
      </c>
      <c r="DJ182" s="2">
        <f>Table7[[#This Row],[WaistGYM Res]]^2</f>
        <v>2.3341049382716292E-2</v>
      </c>
      <c r="DK182">
        <f>Regression!$P$29+(Regression!$P$28*Table83[[#This Row],[Cardio]])</f>
        <v>44.291666666666664</v>
      </c>
      <c r="DL182" s="2">
        <f>Table83[[#This Row],[Waist]]-Table7[[#This Row],[Waist v Cardio]]</f>
        <v>0.2083333333333357</v>
      </c>
      <c r="DM182" s="2">
        <f>Table7[[#This Row],[WaistC Res]]^2</f>
        <v>4.3402777777778762E-2</v>
      </c>
      <c r="DN182">
        <f>Regression!$Q$29+(Regression!$Q$28*Table83[[#This Row],[Calories]])</f>
        <v>44.459149567271197</v>
      </c>
      <c r="DO182" s="2">
        <f>Table83[[#This Row],[Waist]]-Table7[[#This Row],[Waist v Calories]]</f>
        <v>4.0850432728802843E-2</v>
      </c>
      <c r="DP182" s="2">
        <f>Table7[[#This Row],[WaistCal Res]]^2</f>
        <v>1.6687578541304466E-3</v>
      </c>
      <c r="DQ182">
        <f>Regression!$R$29+(Regression!$R$28*Table83[[#This Row],[Carbs]])</f>
        <v>44.446319873717385</v>
      </c>
      <c r="DR182" s="2">
        <f>Table83[[#This Row],[Waist]]-Table7[[#This Row],[Waist v Carbs]]</f>
        <v>5.3680126282614538E-2</v>
      </c>
      <c r="DS182" s="2">
        <f>Table7[[#This Row],[WaistCarb Res]]^2</f>
        <v>2.881555957717444E-3</v>
      </c>
      <c r="DT182">
        <f>Regression!$S$29+(Regression!$S$28*Table83[[#This Row],[Fat ]])</f>
        <v>44.454189319944042</v>
      </c>
      <c r="DU182" s="2">
        <f>Table83[[#This Row],[Waist]]-Table7[[#This Row],[Waist v Fat]]</f>
        <v>4.5810680055957675E-2</v>
      </c>
      <c r="DV182" s="2">
        <f>Table7[[#This Row],[WaistF Res]]^2</f>
        <v>2.0986184071893183E-3</v>
      </c>
      <c r="DW182">
        <f>Regression!$T$29+(Regression!$T$28*Table83[[#This Row],[Protein]])</f>
        <v>44.437851247661399</v>
      </c>
      <c r="DX182" s="2">
        <f>Table83[[#This Row],[Waist]]-Table7[[#This Row],[Waist v Protein]]</f>
        <v>6.2148752338600843E-2</v>
      </c>
      <c r="DY182" s="2">
        <f>Table7[[#This Row],[WaistP Res]]^2</f>
        <v>3.8624674172447436E-3</v>
      </c>
      <c r="DZ182">
        <f>Regression!$U$29+(Regression!$U$28*Table83[[#This Row],[Fiber]])</f>
        <v>44.532312719337433</v>
      </c>
      <c r="EA182" s="2">
        <f>Table83[[#This Row],[Waist]]-Table7[[#This Row],[Waist v Fiber]]</f>
        <v>-3.2312719337433293E-2</v>
      </c>
      <c r="EB182" s="2">
        <f>Table7[[#This Row],[WaistFib Res]]^2</f>
        <v>1.0441118309797355E-3</v>
      </c>
      <c r="EC182">
        <f>Regression!$V$29+(Regression!$V$28*Table83[[#This Row],[Sugar]])</f>
        <v>44.450500874464154</v>
      </c>
      <c r="ED182" s="2">
        <f>Table83[[#This Row],[Waist]]-Table7[[#This Row],[Waist v Sugar]]</f>
        <v>4.9499125535845678E-2</v>
      </c>
      <c r="EE182" s="2">
        <f>Table7[[#This Row],[WaistSugar Res]]^2</f>
        <v>2.4501634288134097E-3</v>
      </c>
      <c r="EF182">
        <f>Regression!$W$29+(Regression!$W$28*Table83[[#This Row],[Servings]])</f>
        <v>44.321928523162967</v>
      </c>
      <c r="EG182" s="2">
        <f>Table83[[#This Row],[Waist]]-Table7[[#This Row],[Waist v Servings]]</f>
        <v>0.17807147683703306</v>
      </c>
      <c r="EH182" s="2">
        <f>Table7[[#This Row],[WaistServ Res]]^2</f>
        <v>3.1709450862922005E-2</v>
      </c>
      <c r="EI182">
        <f>Regression!$X$29+(Regression!$X$28*Table83[[#This Row],[Water]])</f>
        <v>44.553850107074496</v>
      </c>
      <c r="EJ182" s="2">
        <f>Table83[[#This Row],[Waist]]-Table7[[#This Row],[Waist v Water]]</f>
        <v>-5.3850107074495668E-2</v>
      </c>
      <c r="EK182" s="2">
        <f>Table7[[#This Row],[WaistWat Res]]^2</f>
        <v>2.8998340319346485E-3</v>
      </c>
      <c r="EL182">
        <f>Regression!$Y$29+(Regression!$Y$28*Table83[[#This Row],[Fat Calories]])</f>
        <v>44.452748992090882</v>
      </c>
      <c r="EM182" s="2">
        <f>Table83[[#This Row],[Waist]]-Table7[[#This Row],[Waist v Fat Calories]]</f>
        <v>4.7251007909117959E-2</v>
      </c>
      <c r="EN182" s="2">
        <f>Table7[[#This Row],[WaistFatCal Res]]^2</f>
        <v>2.2326577484275277E-3</v>
      </c>
    </row>
    <row r="183" spans="1:144" x14ac:dyDescent="0.25">
      <c r="A183">
        <f>Regression!$B$10+(Regression!$B$9*Table83[[#This Row],[Waist]])</f>
        <v>258.23421455025004</v>
      </c>
      <c r="B183" s="2">
        <f>Table83[[#This Row],[Weight]]-Table7[[#This Row],[Weight v Waist]]</f>
        <v>-3.434214550250033</v>
      </c>
      <c r="C183" s="2">
        <f>Table7[[#This Row],[Weight v Waist Res]]^2</f>
        <v>11.793829577149037</v>
      </c>
      <c r="D183">
        <f>Regression!$C$10+(Regression!$C$9*Table83[[#This Row],[Neck]])</f>
        <v>253.29286486487842</v>
      </c>
      <c r="E183" s="2">
        <f>Table83[[#This Row],[Weight]]-Table7[[#This Row],[Weight v Neck]]</f>
        <v>1.5071351351215867</v>
      </c>
      <c r="F183" s="2">
        <f>Table7[[#This Row],[WN Res]]^2</f>
        <v>2.2714563155179635</v>
      </c>
      <c r="G183">
        <f>Regression!$D$10+(Regression!$D$9*Table83[[#This Row],[Morning Body Temp]])</f>
        <v>256.1155447624198</v>
      </c>
      <c r="H183" s="2">
        <f>Table83[[#This Row],[Weight]]-Table7[[#This Row],[Weight v Morning Temp]]</f>
        <v>-1.3155447624197905</v>
      </c>
      <c r="I183" s="2">
        <f>Table7[[#This Row],[WMT Res]]^2</f>
        <v>1.7306580219301428</v>
      </c>
      <c r="J183">
        <f>Regression!$E$10+(Regression!$E$9*Table83[[#This Row],[Morning Systolic Pressure]])</f>
        <v>255.41502705579902</v>
      </c>
      <c r="K183" s="2">
        <f>Table83[[#This Row],[Weight]]-Table7[[#This Row],[Weight v Morning Sys]]</f>
        <v>-0.61502705579900407</v>
      </c>
      <c r="L183" s="2">
        <f>Table7[[#This Row],[WMS Res]]^2</f>
        <v>0.37825827936479128</v>
      </c>
      <c r="M183">
        <f>Regression!$F$10+(Regression!$F$9*Table83[[#This Row],[Morning Diastolic Pressure]])</f>
        <v>255.30472839533641</v>
      </c>
      <c r="N183" s="2">
        <f>Table83[[#This Row],[Weight]]-Table7[[#This Row],[Weight v Morning Dia]]</f>
        <v>-0.50472839533640013</v>
      </c>
      <c r="O183" s="2">
        <f>Table7[[#This Row],[WMD Res]]^2</f>
        <v>0.25475075305885742</v>
      </c>
      <c r="P183">
        <f>Regression!$G$10+(Regression!$G$9*Table83[[#This Row],[Morning Pulse]])</f>
        <v>255.10633391136972</v>
      </c>
      <c r="Q183" s="2">
        <f>Table83[[#This Row],[Weight]]-Table7[[#This Row],[Weight v Morning Pulse]]</f>
        <v>-0.30633391136970545</v>
      </c>
      <c r="R183" s="2">
        <f>Table7[[#This Row],[WMP Res]]^2</f>
        <v>9.3840465255062552E-2</v>
      </c>
      <c r="S183">
        <f>Regression!$H$10+(Regression!$H$9*Table83[[#This Row],[Night Body Temp]])</f>
        <v>255.46766610041516</v>
      </c>
      <c r="T183" s="2">
        <f>Table83[[#This Row],[Weight]]-Table7[[#This Row],[Weight v Night Temp]]</f>
        <v>-0.66766610041514696</v>
      </c>
      <c r="U183" s="2">
        <f>Table7[[#This Row],[WNT Res]]^2</f>
        <v>0.44577802164356911</v>
      </c>
      <c r="V183">
        <f>Regression!$I$10+(Regression!$I$9*Table83[[#This Row],[Night Systolic Pressure]])</f>
        <v>255.64916072928111</v>
      </c>
      <c r="W183" s="2">
        <f>Table83[[#This Row],[Weight]]-Table7[[#This Row],[Weight v Night Sys]]</f>
        <v>-0.84916072928109543</v>
      </c>
      <c r="X183" s="2">
        <f>Table7[[#This Row],[WNS Res]]^2</f>
        <v>0.72107394415320181</v>
      </c>
      <c r="Y183">
        <f>Regression!$J$10+(Regression!$J$9*Table83[[#This Row],[Night Diastolic Pressure]])</f>
        <v>255.33691158474272</v>
      </c>
      <c r="Z183" s="2">
        <f>Table83[[#This Row],[Weight]]-Table7[[#This Row],[Weight v Night Dia]]</f>
        <v>-0.53691158474271106</v>
      </c>
      <c r="AA183" s="2">
        <f>Table7[[#This Row],[WND Res]]^2</f>
        <v>0.28827404983092941</v>
      </c>
      <c r="AB183">
        <f>Regression!$K$10+(Regression!$K$9*Table83[[#This Row],[Night Pulse]])</f>
        <v>255.07943852750452</v>
      </c>
      <c r="AC183" s="2">
        <f>Table83[[#This Row],[Weight]]-Table7[[#This Row],[Weight v Night Pulse]]</f>
        <v>-0.27943852750451015</v>
      </c>
      <c r="AD183" s="2">
        <f>Table7[[#This Row],[WNP Res ]]^2</f>
        <v>7.8085890653888879E-2</v>
      </c>
      <c r="AE183">
        <f>Regression!$L$10+(Regression!$L$9*Table83[[#This Row],[Sleep]])</f>
        <v>255.61024100244205</v>
      </c>
      <c r="AF183" s="2">
        <f>Table83[[#This Row],[Weight]]-Table7[[#This Row],[Weight v Sleep]]</f>
        <v>-0.81024100244204078</v>
      </c>
      <c r="AG183" s="2">
        <f>Table7[[#This Row],[WS Res]]^2</f>
        <v>0.65649048203828309</v>
      </c>
      <c r="AH183">
        <f>Regression!$M$10+(Regression!$M$9*Table83[[#This Row],[BMI]])</f>
        <v>254.80000000000075</v>
      </c>
      <c r="AI183" s="2">
        <f>Table83[[#This Row],[Weight]]-Table7[[#This Row],[Weight v BMI]]</f>
        <v>-7.3896444519050419E-13</v>
      </c>
      <c r="AJ183" s="2">
        <f>Table7[[#This Row],[WBMI Res]]^2</f>
        <v>5.4606845125570968E-25</v>
      </c>
      <c r="AK183">
        <f>Regression!$N$10+(Regression!$N$9*Table83[[#This Row],[CBF]])</f>
        <v>259.27809165285294</v>
      </c>
      <c r="AL183" s="2">
        <f>Table83[[#This Row],[Weight]]-Table7[[#This Row],[Weight v CBF]]</f>
        <v>-4.4780916528529247</v>
      </c>
      <c r="AM183" s="2">
        <f>Table7[[#This Row],[WCBF Res]]^2</f>
        <v>20.05330485135104</v>
      </c>
      <c r="AN183">
        <f>Regression!$O$10+(Regression!$O$9*Table83[[#This Row],[Gym]])</f>
        <v>255.46779661016953</v>
      </c>
      <c r="AO183" s="2">
        <f>Table83[[#This Row],[Weight]]-Table7[[#This Row],[Weight v Gym]]</f>
        <v>-0.66779661016951763</v>
      </c>
      <c r="AP183" s="2">
        <f>Table7[[#This Row],[WG Res]]^2</f>
        <v>0.44595231255389872</v>
      </c>
      <c r="AQ183">
        <f>Regression!$P$10+(Regression!$P$9*Table83[[#This Row],[Cardio]])</f>
        <v>254.19242424242461</v>
      </c>
      <c r="AR183" s="2">
        <f>Table83[[#This Row],[Weight]]-Table7[[#This Row],[Weight v Cardio]]</f>
        <v>0.60757575757540394</v>
      </c>
      <c r="AS183" s="2">
        <f>Table7[[#This Row],[WC Res]]^2</f>
        <v>0.36914830119332603</v>
      </c>
      <c r="AT183">
        <f>Regression!$Q$10+(Regression!$Q$9*Table83[[#This Row],[Calories]])</f>
        <v>255.64191605814821</v>
      </c>
      <c r="AU183" s="2">
        <f>Table83[[#This Row],[Weight]]-Table7[[#This Row],[Weight v Calories]]</f>
        <v>-0.84191605814820036</v>
      </c>
      <c r="AV183" s="2">
        <f>Table7[[#This Row],[WCAL Res]]^2</f>
        <v>0.70882264896780389</v>
      </c>
      <c r="AW183">
        <f>Regression!$R$10+(Regression!$R$9*Table83[[#This Row],[Carbs]])</f>
        <v>255.9064650203523</v>
      </c>
      <c r="AX183" s="2">
        <f>Table83[[#This Row],[Weight]]-Table7[[#This Row],[Weight v Carbs]]</f>
        <v>-1.1064650203522888</v>
      </c>
      <c r="AY183" s="2">
        <f>Table7[[#This Row],[Wcarb Res]]^2</f>
        <v>1.2242648412631909</v>
      </c>
      <c r="AZ183">
        <f>Regression!$S$10+(Regression!$S$9*Table83[[#This Row],[Fat ]])</f>
        <v>255.22414724073201</v>
      </c>
      <c r="BA183" s="2">
        <f>Table83[[#This Row],[Weight]]-Table7[[#This Row],[Weight v Fat]]</f>
        <v>-0.4241472407319975</v>
      </c>
      <c r="BB183" s="2">
        <f>Table7[[#This Row],[WF Res]]^2</f>
        <v>0.17990088182056704</v>
      </c>
      <c r="BC183">
        <f>Regression!$T$10+(Regression!$T$9*Table83[[#This Row],[Protein]])</f>
        <v>255.3551812425103</v>
      </c>
      <c r="BD183" s="2">
        <f>Table83[[#This Row],[Weight]]-Table7[[#This Row],[Weight v Protein]]</f>
        <v>-0.55518124251028667</v>
      </c>
      <c r="BE183" s="2">
        <f>Table7[[#This Row],[WP Res]]^2</f>
        <v>0.30822621203526573</v>
      </c>
      <c r="BF183">
        <f>Regression!$U$10+(Regression!$U$9*Table83[[#This Row],[Fiber]])</f>
        <v>255.28741455589025</v>
      </c>
      <c r="BG183" s="2">
        <f>Table83[[#This Row],[Weight]]-Table7[[#This Row],[Weight v Fiber]]</f>
        <v>-0.48741455589023985</v>
      </c>
      <c r="BH183" s="2">
        <f>Table7[[#This Row],[Wfib Res]]^2</f>
        <v>0.23757294929367975</v>
      </c>
      <c r="BI183">
        <f>Regression!$V$10+(Regression!$V$9*Table83[[#This Row],[Sugar]])</f>
        <v>256.59037602443527</v>
      </c>
      <c r="BJ183" s="2">
        <f>Table83[[#This Row],[Weight]]-Table7[[#This Row],[Weight v Sugar]]</f>
        <v>-1.7903760244352611</v>
      </c>
      <c r="BK183" s="2">
        <f>Table7[[#This Row],[Wsugar Res]]^2</f>
        <v>3.2054463088726108</v>
      </c>
      <c r="BL183">
        <f>Regression!$W$10+(Regression!$W$9*Table83[[#This Row],[Servings]])</f>
        <v>256.31663447646002</v>
      </c>
      <c r="BM183" s="2">
        <f>Table83[[#This Row],[Weight]]-Table7[[#This Row],[Weight v Servings]]</f>
        <v>-1.5166344764600126</v>
      </c>
      <c r="BN183" s="2">
        <f>Table7[[#This Row],[Wserv Res]]^2</f>
        <v>2.3001801351871367</v>
      </c>
      <c r="BO183">
        <f>Regression!$X$10+(Regression!$X$9*Table83[[#This Row],[Water]])</f>
        <v>255.19189796045953</v>
      </c>
      <c r="BP183" s="2">
        <f>Table83[[#This Row],[Weight]]-Table7[[#This Row],[Weight v Water]]</f>
        <v>-0.39189796045951653</v>
      </c>
      <c r="BQ183" s="2">
        <f>Table7[[#This Row],[Wwater Res]]^2</f>
        <v>0.15358401141232877</v>
      </c>
      <c r="BR183">
        <f>Regression!$Y$10+(Regression!$Y$9*Table83[[#This Row],[Fat Calories]])</f>
        <v>255.22629567431406</v>
      </c>
      <c r="BS183" s="2">
        <f>Table83[[#This Row],[Weight]]-Table7[[#This Row],[Weight v Fat Calories]]</f>
        <v>-0.4262956743140478</v>
      </c>
      <c r="BT183" s="2">
        <f>Table7[[#This Row],[WFC Res]]^2</f>
        <v>0.18172800193886871</v>
      </c>
      <c r="BU183">
        <f>Regression!$B$29+(Regression!$B$28*Table83[[#This Row],[Weight]])</f>
        <v>44.41061110286465</v>
      </c>
      <c r="BV183" s="2">
        <f>Table83[[#This Row],[Waist]]-Table7[[#This Row],[Waist v Weight]]</f>
        <v>0.58938889713535048</v>
      </c>
      <c r="BW183" s="2">
        <f>Table7[[#This Row],[WaistW Res]]^2</f>
        <v>0.34737927206642477</v>
      </c>
      <c r="BX183">
        <f>Regression!$C$29+(Regression!$C$28*Table83[[#This Row],[Neck]])</f>
        <v>44.175585585585594</v>
      </c>
      <c r="BY183" s="2">
        <f>Table83[[#This Row],[Waist]]-Table7[[#This Row],[Waist v Neck]]</f>
        <v>0.82441441441440588</v>
      </c>
      <c r="BZ183" s="2">
        <f>Table7[[#This Row],[WaistN Res]]^2</f>
        <v>0.67965912669424777</v>
      </c>
      <c r="CA183">
        <f>Regression!$D$29+(Regression!$D$28*Table83[[#This Row],[Morning Body Temp]])</f>
        <v>44.725653315219489</v>
      </c>
      <c r="CB183" s="2">
        <f>Table83[[#This Row],[Waist]]-Table7[[#This Row],[Waist v Morning Temp]]</f>
        <v>0.27434668478051094</v>
      </c>
      <c r="CC183" s="2">
        <f>Table7[[#This Row],[WaistMT Res]]^2</f>
        <v>7.5266103450057034E-2</v>
      </c>
      <c r="CD183">
        <f>Regression!$E$29+(Regression!$E$28*Table83[[#This Row],[Morning Systolic Pressure]])</f>
        <v>44.524017564091196</v>
      </c>
      <c r="CE183" s="2">
        <f>Table83[[#This Row],[Waist]]-Table7[[#This Row],[Waist v Morning Sys]]</f>
        <v>0.47598243590880429</v>
      </c>
      <c r="CF183" s="2">
        <f>Table7[[#This Row],[WaistMS Res]]^2</f>
        <v>0.22655927929367897</v>
      </c>
      <c r="CG183">
        <f>Regression!$F$29+(Regression!$F$28*Table83[[#This Row],[Morning Diastolic Pressure]])</f>
        <v>44.464087909481968</v>
      </c>
      <c r="CH183" s="2">
        <f>Table83[[#This Row],[Waist]]-Table7[[#This Row],[Waist v Morning Dia]]</f>
        <v>0.5359120905180319</v>
      </c>
      <c r="CI183" s="2">
        <f>Table7[[#This Row],[WaistMD Res]]^2</f>
        <v>0.28720176876340719</v>
      </c>
      <c r="CJ183">
        <f>Regression!$G$29+(Regression!$G$28*Table83[[#This Row],[Morning Pulse]])</f>
        <v>44.449539184638127</v>
      </c>
      <c r="CK183" s="2">
        <f>Table83[[#This Row],[Waist]]-Table7[[#This Row],[Waist v Morning Pulse]]</f>
        <v>0.5504608153618733</v>
      </c>
      <c r="CL183" s="2">
        <f>Table7[[#This Row],[WaistMP Res]]^2</f>
        <v>0.30300710924885838</v>
      </c>
      <c r="CM183">
        <f>Regression!$H$29+(Regression!$H$28*Table83[[#This Row],[Night Body Temp]])</f>
        <v>44.481341649878722</v>
      </c>
      <c r="CN183" s="2">
        <f>Table83[[#This Row],[Waist]]-Table7[[#This Row],[Waist v Night Temp]]</f>
        <v>0.51865835012127803</v>
      </c>
      <c r="CO183" s="2">
        <f>Table7[[#This Row],[WaistNT Res]]^2</f>
        <v>0.26900648415052625</v>
      </c>
      <c r="CP183">
        <f>Regression!$I$29+(Regression!$I$28*Table83[[#This Row],[Night Systolic Pressure]])</f>
        <v>44.529199886933277</v>
      </c>
      <c r="CQ183" s="2">
        <f>Table83[[#This Row],[Waist]]-Table7[[#This Row],[Waist v  Night Sys]]</f>
        <v>0.47080011306672276</v>
      </c>
      <c r="CR183" s="2">
        <f>Table7[[#This Row],[WaistNS Res]]^2</f>
        <v>0.22165274646363894</v>
      </c>
      <c r="CS183">
        <f>Regression!$J$29+(Regression!$J$28*Table83[[#This Row],[Night Diastolic Pressure]])</f>
        <v>44.546431737190943</v>
      </c>
      <c r="CT183" s="2">
        <f>Table83[[#This Row],[Waist]]-Table7[[#This Row],[Waist v Night Dia]]</f>
        <v>0.45356826280905693</v>
      </c>
      <c r="CU183" s="2">
        <f>Table7[[#This Row],[WaistND Res]]^2</f>
        <v>0.20572416902762575</v>
      </c>
      <c r="CV183">
        <f>Regression!$K$29+(Regression!$K$28*Table83[[#This Row],[Night Pulse]])</f>
        <v>44.456851626254306</v>
      </c>
      <c r="CW183" s="2">
        <f>Table83[[#This Row],[Waist]]-Table7[[#This Row],[Waist v Night Pulse]]</f>
        <v>0.54314837374569436</v>
      </c>
      <c r="CX183" s="2">
        <f>Table7[[#This Row],[WaistNP Res]]^2</f>
        <v>0.2950101559025925</v>
      </c>
      <c r="CY183">
        <f>Regression!$L$29+(Regression!$L$28*Table83[[#This Row],[Sleep]])</f>
        <v>44.529040304851584</v>
      </c>
      <c r="CZ183" s="2">
        <f>Table83[[#This Row],[Waist]]-Table7[[#This Row],[Waist v  Sleep]]</f>
        <v>0.47095969514841585</v>
      </c>
      <c r="DA183" s="2">
        <f>Table7[[#This Row],[WaistS Res]]^2</f>
        <v>0.22180303445428878</v>
      </c>
      <c r="DB183">
        <f>Regression!$M$29+(Regression!$M$28*Table83[[#This Row],[BMI]])</f>
        <v>44.410611102864792</v>
      </c>
      <c r="DC183" s="2">
        <f>Table83[[#This Row],[Waist]]-Table7[[#This Row],[Waist v BMI]]</f>
        <v>0.58938889713520837</v>
      </c>
      <c r="DD183" s="2">
        <f>Table7[[#This Row],[WaistBMI Res]]^2</f>
        <v>0.34737927206625724</v>
      </c>
      <c r="DE183">
        <f>Regression!$N$29+(Regression!$N$28*Table83[[#This Row],[CBF]])</f>
        <v>45.203183363709613</v>
      </c>
      <c r="DF183" s="2">
        <f>Table83[[#This Row],[Waist]]-Table7[[#This Row],[Waist v  CBF]]</f>
        <v>-0.20318336370961276</v>
      </c>
      <c r="DG183" s="2">
        <f>Table7[[#This Row],[WaistCBF Res]]^2</f>
        <v>4.1283479288352784E-2</v>
      </c>
      <c r="DH183">
        <f>Regression!$O$29+(Regression!$O$28*Table83[[#This Row],[Gym]])</f>
        <v>44.550847457627107</v>
      </c>
      <c r="DI183" s="2">
        <f>Table83[[#This Row],[Waist]]-Table7[[#This Row],[Waist v  Gym]]</f>
        <v>0.44915254237289304</v>
      </c>
      <c r="DJ183" s="2">
        <f>Table7[[#This Row],[WaistGYM Res]]^2</f>
        <v>0.20173800632003347</v>
      </c>
      <c r="DK183">
        <f>Regression!$P$29+(Regression!$P$28*Table83[[#This Row],[Cardio]])</f>
        <v>44.291666666666664</v>
      </c>
      <c r="DL183" s="2">
        <f>Table83[[#This Row],[Waist]]-Table7[[#This Row],[Waist v Cardio]]</f>
        <v>0.7083333333333357</v>
      </c>
      <c r="DM183" s="2">
        <f>Table7[[#This Row],[WaistC Res]]^2</f>
        <v>0.50173611111111449</v>
      </c>
      <c r="DN183">
        <f>Regression!$Q$29+(Regression!$Q$28*Table83[[#This Row],[Calories]])</f>
        <v>44.571916232957697</v>
      </c>
      <c r="DO183" s="2">
        <f>Table83[[#This Row],[Waist]]-Table7[[#This Row],[Waist v Calories]]</f>
        <v>0.42808376704230255</v>
      </c>
      <c r="DP183" s="2">
        <f>Table7[[#This Row],[WaistCal Res]]^2</f>
        <v>0.18325571160512835</v>
      </c>
      <c r="DQ183">
        <f>Regression!$R$29+(Regression!$R$28*Table83[[#This Row],[Carbs]])</f>
        <v>44.618308781386155</v>
      </c>
      <c r="DR183" s="2">
        <f>Table83[[#This Row],[Waist]]-Table7[[#This Row],[Waist v Carbs]]</f>
        <v>0.38169121861384525</v>
      </c>
      <c r="DS183" s="2">
        <f>Table7[[#This Row],[WaistCarb Res]]^2</f>
        <v>0.14568818636692221</v>
      </c>
      <c r="DT183">
        <f>Regression!$S$29+(Regression!$S$28*Table83[[#This Row],[Fat ]])</f>
        <v>44.486890299036865</v>
      </c>
      <c r="DU183" s="2">
        <f>Table83[[#This Row],[Waist]]-Table7[[#This Row],[Waist v Fat]]</f>
        <v>0.51310970096313469</v>
      </c>
      <c r="DV183" s="2">
        <f>Table7[[#This Row],[WaistF Res]]^2</f>
        <v>0.26328156522247748</v>
      </c>
      <c r="DW183">
        <f>Regression!$T$29+(Regression!$T$28*Table83[[#This Row],[Protein]])</f>
        <v>44.497493813280336</v>
      </c>
      <c r="DX183" s="2">
        <f>Table83[[#This Row],[Waist]]-Table7[[#This Row],[Waist v Protein]]</f>
        <v>0.50250618671966407</v>
      </c>
      <c r="DY183" s="2">
        <f>Table7[[#This Row],[WaistP Res]]^2</f>
        <v>0.2525124676915379</v>
      </c>
      <c r="DZ183">
        <f>Regression!$U$29+(Regression!$U$28*Table83[[#This Row],[Fiber]])</f>
        <v>44.520050621888196</v>
      </c>
      <c r="EA183" s="2">
        <f>Table83[[#This Row],[Waist]]-Table7[[#This Row],[Waist v Fiber]]</f>
        <v>0.47994937811180449</v>
      </c>
      <c r="EB183" s="2">
        <f>Table7[[#This Row],[WaistFib Res]]^2</f>
        <v>0.23035140554990788</v>
      </c>
      <c r="EC183">
        <f>Regression!$V$29+(Regression!$V$28*Table83[[#This Row],[Sugar]])</f>
        <v>44.718566722268541</v>
      </c>
      <c r="ED183" s="2">
        <f>Table83[[#This Row],[Waist]]-Table7[[#This Row],[Waist v Sugar]]</f>
        <v>0.28143327773145899</v>
      </c>
      <c r="EE183" s="2">
        <f>Table7[[#This Row],[WaistSugar Res]]^2</f>
        <v>7.9204689814672533E-2</v>
      </c>
      <c r="EF183">
        <f>Regression!$W$29+(Regression!$W$28*Table83[[#This Row],[Servings]])</f>
        <v>44.636882473416591</v>
      </c>
      <c r="EG183" s="2">
        <f>Table83[[#This Row],[Waist]]-Table7[[#This Row],[Waist v Servings]]</f>
        <v>0.36311752658340879</v>
      </c>
      <c r="EH183" s="2">
        <f>Table7[[#This Row],[WaistServ Res]]^2</f>
        <v>0.13185433811205258</v>
      </c>
      <c r="EI183">
        <f>Regression!$X$29+(Regression!$X$28*Table83[[#This Row],[Water]])</f>
        <v>44.553850107074496</v>
      </c>
      <c r="EJ183" s="2">
        <f>Table83[[#This Row],[Waist]]-Table7[[#This Row],[Waist v Water]]</f>
        <v>0.44614989292550433</v>
      </c>
      <c r="EK183" s="2">
        <f>Table7[[#This Row],[WaistWat Res]]^2</f>
        <v>0.19904972695743897</v>
      </c>
      <c r="EL183">
        <f>Regression!$Y$29+(Regression!$Y$28*Table83[[#This Row],[Fat Calories]])</f>
        <v>44.487374582257466</v>
      </c>
      <c r="EM183" s="2">
        <f>Table83[[#This Row],[Waist]]-Table7[[#This Row],[Waist v Fat Calories]]</f>
        <v>0.51262541774253378</v>
      </c>
      <c r="EN183" s="2">
        <f>Table7[[#This Row],[WaistFatCal Res]]^2</f>
        <v>0.26278481891570726</v>
      </c>
    </row>
    <row r="184" spans="1:144" x14ac:dyDescent="0.25">
      <c r="A184">
        <f>Regression!$B$10+(Regression!$B$9*Table83[[#This Row],[Waist]])</f>
        <v>258.23421455025004</v>
      </c>
      <c r="B184" s="2">
        <f>Table83[[#This Row],[Weight]]-Table7[[#This Row],[Weight v Waist]]</f>
        <v>-4.434214550250033</v>
      </c>
      <c r="C184" s="2">
        <f>Table7[[#This Row],[Weight v Waist Res]]^2</f>
        <v>19.662258677649103</v>
      </c>
      <c r="D184">
        <f>Regression!$C$10+(Regression!$C$9*Table83[[#This Row],[Neck]])</f>
        <v>253.29286486487842</v>
      </c>
      <c r="E184" s="2">
        <f>Table83[[#This Row],[Weight]]-Table7[[#This Row],[Weight v Neck]]</f>
        <v>0.5071351351215867</v>
      </c>
      <c r="F184" s="2">
        <f>Table7[[#This Row],[WN Res]]^2</f>
        <v>0.25718604527479</v>
      </c>
      <c r="G184">
        <f>Regression!$D$10+(Regression!$D$9*Table83[[#This Row],[Morning Body Temp]])</f>
        <v>256.46753753353164</v>
      </c>
      <c r="H184" s="2">
        <f>Table83[[#This Row],[Weight]]-Table7[[#This Row],[Weight v Morning Temp]]</f>
        <v>-2.6675375335316289</v>
      </c>
      <c r="I184" s="2">
        <f>Table7[[#This Row],[WMT Res]]^2</f>
        <v>7.1157564928000063</v>
      </c>
      <c r="J184">
        <f>Regression!$E$10+(Regression!$E$9*Table83[[#This Row],[Morning Systolic Pressure]])</f>
        <v>255.00933222102856</v>
      </c>
      <c r="K184" s="2">
        <f>Table83[[#This Row],[Weight]]-Table7[[#This Row],[Weight v Morning Sys]]</f>
        <v>-1.2093322210285464</v>
      </c>
      <c r="L184" s="2">
        <f>Table7[[#This Row],[WMS Res]]^2</f>
        <v>1.4624844208178371</v>
      </c>
      <c r="M184">
        <f>Regression!$F$10+(Regression!$F$9*Table83[[#This Row],[Morning Diastolic Pressure]])</f>
        <v>255.50741689342618</v>
      </c>
      <c r="N184" s="2">
        <f>Table83[[#This Row],[Weight]]-Table7[[#This Row],[Weight v Morning Dia]]</f>
        <v>-1.7074168934261706</v>
      </c>
      <c r="O184" s="2">
        <f>Table7[[#This Row],[WMD Res]]^2</f>
        <v>2.9152724479570753</v>
      </c>
      <c r="P184">
        <f>Regression!$G$10+(Regression!$G$9*Table83[[#This Row],[Morning Pulse]])</f>
        <v>255.09353934106937</v>
      </c>
      <c r="Q184" s="2">
        <f>Table83[[#This Row],[Weight]]-Table7[[#This Row],[Weight v Morning Pulse]]</f>
        <v>-1.2935393410693621</v>
      </c>
      <c r="R184" s="2">
        <f>Table7[[#This Row],[WMP Res]]^2</f>
        <v>1.6732440268941595</v>
      </c>
      <c r="S184">
        <f>Regression!$H$10+(Regression!$H$9*Table83[[#This Row],[Night Body Temp]])</f>
        <v>255.26227295945182</v>
      </c>
      <c r="T184" s="2">
        <f>Table83[[#This Row],[Weight]]-Table7[[#This Row],[Weight v Night Temp]]</f>
        <v>-1.4622729594518091</v>
      </c>
      <c r="U184" s="2">
        <f>Table7[[#This Row],[WNT Res]]^2</f>
        <v>2.1382422079439523</v>
      </c>
      <c r="V184">
        <f>Regression!$I$10+(Regression!$I$9*Table83[[#This Row],[Night Systolic Pressure]])</f>
        <v>256.57296423553731</v>
      </c>
      <c r="W184" s="2">
        <f>Table83[[#This Row],[Weight]]-Table7[[#This Row],[Weight v Night Sys]]</f>
        <v>-2.7729642355373016</v>
      </c>
      <c r="X184" s="2">
        <f>Table7[[#This Row],[WNS Res]]^2</f>
        <v>7.6893306515689721</v>
      </c>
      <c r="Y184">
        <f>Regression!$J$10+(Regression!$J$9*Table83[[#This Row],[Night Diastolic Pressure]])</f>
        <v>255.58150679523933</v>
      </c>
      <c r="Z184" s="2">
        <f>Table83[[#This Row],[Weight]]-Table7[[#This Row],[Weight v Night Dia]]</f>
        <v>-1.7815067952393235</v>
      </c>
      <c r="AA184" s="2">
        <f>Table7[[#This Row],[WND Res]]^2</f>
        <v>3.173766461483885</v>
      </c>
      <c r="AB184">
        <f>Regression!$K$10+(Regression!$K$9*Table83[[#This Row],[Night Pulse]])</f>
        <v>255.07943852750452</v>
      </c>
      <c r="AC184" s="2">
        <f>Table83[[#This Row],[Weight]]-Table7[[#This Row],[Weight v Night Pulse]]</f>
        <v>-1.2794385275045101</v>
      </c>
      <c r="AD184" s="2">
        <f>Table7[[#This Row],[WNP Res ]]^2</f>
        <v>1.6369629456629091</v>
      </c>
      <c r="AE184">
        <f>Regression!$L$10+(Regression!$L$9*Table83[[#This Row],[Sleep]])</f>
        <v>254.97929263569441</v>
      </c>
      <c r="AF184" s="2">
        <f>Table83[[#This Row],[Weight]]-Table7[[#This Row],[Weight v Sleep]]</f>
        <v>-1.1792926356943951</v>
      </c>
      <c r="AG184" s="2">
        <f>Table7[[#This Row],[WS Res]]^2</f>
        <v>1.3907311206030333</v>
      </c>
      <c r="AH184">
        <f>Regression!$M$10+(Regression!$M$9*Table83[[#This Row],[BMI]])</f>
        <v>253.80000000000297</v>
      </c>
      <c r="AI184" s="2">
        <f>Table83[[#This Row],[Weight]]-Table7[[#This Row],[Weight v BMI]]</f>
        <v>-2.9558577807620168E-12</v>
      </c>
      <c r="AJ184" s="2">
        <f>Table7[[#This Row],[WBMI Res]]^2</f>
        <v>8.7370952200913548E-24</v>
      </c>
      <c r="AK184">
        <f>Regression!$N$10+(Regression!$N$9*Table83[[#This Row],[CBF]])</f>
        <v>259.27809165285294</v>
      </c>
      <c r="AL184" s="2">
        <f>Table83[[#This Row],[Weight]]-Table7[[#This Row],[Weight v CBF]]</f>
        <v>-5.4780916528529247</v>
      </c>
      <c r="AM184" s="2">
        <f>Table7[[#This Row],[WCBF Res]]^2</f>
        <v>30.009488157056889</v>
      </c>
      <c r="AN184">
        <f>Regression!$O$10+(Regression!$O$9*Table83[[#This Row],[Gym]])</f>
        <v>255.46779661016953</v>
      </c>
      <c r="AO184" s="2">
        <f>Table83[[#This Row],[Weight]]-Table7[[#This Row],[Weight v Gym]]</f>
        <v>-1.6677966101695176</v>
      </c>
      <c r="AP184" s="2">
        <f>Table7[[#This Row],[WG Res]]^2</f>
        <v>2.7815455328929342</v>
      </c>
      <c r="AQ184">
        <f>Regression!$P$10+(Regression!$P$9*Table83[[#This Row],[Cardio]])</f>
        <v>254.19242424242461</v>
      </c>
      <c r="AR184" s="2">
        <f>Table83[[#This Row],[Weight]]-Table7[[#This Row],[Weight v Cardio]]</f>
        <v>-0.39242424242459606</v>
      </c>
      <c r="AS184" s="2">
        <f>Table7[[#This Row],[WC Res]]^2</f>
        <v>0.15399678604251812</v>
      </c>
      <c r="AT184">
        <f>Regression!$Q$10+(Regression!$Q$9*Table83[[#This Row],[Calories]])</f>
        <v>254.70360683231664</v>
      </c>
      <c r="AU184" s="2">
        <f>Table83[[#This Row],[Weight]]-Table7[[#This Row],[Weight v Calories]]</f>
        <v>-0.9036068323166262</v>
      </c>
      <c r="AV184" s="2">
        <f>Table7[[#This Row],[WCAL Res]]^2</f>
        <v>0.8165053074092874</v>
      </c>
      <c r="AW184">
        <f>Regression!$R$10+(Regression!$R$9*Table83[[#This Row],[Carbs]])</f>
        <v>254.88757716864754</v>
      </c>
      <c r="AX184" s="2">
        <f>Table83[[#This Row],[Weight]]-Table7[[#This Row],[Weight v Carbs]]</f>
        <v>-1.0875771686475275</v>
      </c>
      <c r="AY184" s="2">
        <f>Table7[[#This Row],[Wcarb Res]]^2</f>
        <v>1.1828240977633726</v>
      </c>
      <c r="AZ184">
        <f>Regression!$S$10+(Regression!$S$9*Table83[[#This Row],[Fat ]])</f>
        <v>254.76549978479443</v>
      </c>
      <c r="BA184" s="2">
        <f>Table83[[#This Row],[Weight]]-Table7[[#This Row],[Weight v Fat]]</f>
        <v>-0.96549978479441734</v>
      </c>
      <c r="BB184" s="2">
        <f>Table7[[#This Row],[WF Res]]^2</f>
        <v>0.93218983443806624</v>
      </c>
      <c r="BC184">
        <f>Regression!$T$10+(Regression!$T$9*Table83[[#This Row],[Protein]])</f>
        <v>253.93255326724417</v>
      </c>
      <c r="BD184" s="2">
        <f>Table83[[#This Row],[Weight]]-Table7[[#This Row],[Weight v Protein]]</f>
        <v>-0.1325532672441625</v>
      </c>
      <c r="BE184" s="2">
        <f>Table7[[#This Row],[WP Res]]^2</f>
        <v>1.7570368657102362E-2</v>
      </c>
      <c r="BF184">
        <f>Regression!$U$10+(Regression!$U$9*Table83[[#This Row],[Fiber]])</f>
        <v>255.39931978695648</v>
      </c>
      <c r="BG184" s="2">
        <f>Table83[[#This Row],[Weight]]-Table7[[#This Row],[Weight v Fiber]]</f>
        <v>-1.599319786956471</v>
      </c>
      <c r="BH184" s="2">
        <f>Table7[[#This Row],[Wfib Res]]^2</f>
        <v>2.5578237809504918</v>
      </c>
      <c r="BI184">
        <f>Regression!$V$10+(Regression!$V$9*Table83[[#This Row],[Sugar]])</f>
        <v>255.09645023063067</v>
      </c>
      <c r="BJ184" s="2">
        <f>Table83[[#This Row],[Weight]]-Table7[[#This Row],[Weight v Sugar]]</f>
        <v>-1.2964502306306542</v>
      </c>
      <c r="BK184" s="2">
        <f>Table7[[#This Row],[Wsugar Res]]^2</f>
        <v>1.6807832005022765</v>
      </c>
      <c r="BL184">
        <f>Regression!$W$10+(Regression!$W$9*Table83[[#This Row],[Servings]])</f>
        <v>254.17604094007399</v>
      </c>
      <c r="BM184" s="2">
        <f>Table83[[#This Row],[Weight]]-Table7[[#This Row],[Weight v Servings]]</f>
        <v>-0.37604094007397748</v>
      </c>
      <c r="BN184" s="2">
        <f>Table7[[#This Row],[Wserv Res]]^2</f>
        <v>0.14140678861172074</v>
      </c>
      <c r="BO184">
        <f>Regression!$X$10+(Regression!$X$9*Table83[[#This Row],[Water]])</f>
        <v>255.19189796045953</v>
      </c>
      <c r="BP184" s="2">
        <f>Table83[[#This Row],[Weight]]-Table7[[#This Row],[Weight v Water]]</f>
        <v>-1.3918979604595165</v>
      </c>
      <c r="BQ184" s="2">
        <f>Table7[[#This Row],[Wwater Res]]^2</f>
        <v>1.9373799323313619</v>
      </c>
      <c r="BR184">
        <f>Regression!$Y$10+(Regression!$Y$9*Table83[[#This Row],[Fat Calories]])</f>
        <v>254.73817939986964</v>
      </c>
      <c r="BS184" s="2">
        <f>Table83[[#This Row],[Weight]]-Table7[[#This Row],[Weight v Fat Calories]]</f>
        <v>-0.93817939986962529</v>
      </c>
      <c r="BT184" s="2">
        <f>Table7[[#This Row],[WFC Res]]^2</f>
        <v>0.88018058633973029</v>
      </c>
      <c r="BU184">
        <f>Regression!$B$29+(Regression!$B$28*Table83[[#This Row],[Weight]])</f>
        <v>44.274348592294672</v>
      </c>
      <c r="BV184" s="2">
        <f>Table83[[#This Row],[Waist]]-Table7[[#This Row],[Waist v Weight]]</f>
        <v>0.72565140770532821</v>
      </c>
      <c r="BW184" s="2">
        <f>Table7[[#This Row],[WaistW Res]]^2</f>
        <v>0.52656996550472446</v>
      </c>
      <c r="BX184">
        <f>Regression!$C$29+(Regression!$C$28*Table83[[#This Row],[Neck]])</f>
        <v>44.175585585585594</v>
      </c>
      <c r="BY184" s="2">
        <f>Table83[[#This Row],[Waist]]-Table7[[#This Row],[Waist v Neck]]</f>
        <v>0.82441441441440588</v>
      </c>
      <c r="BZ184" s="2">
        <f>Table7[[#This Row],[WaistN Res]]^2</f>
        <v>0.67965912669424777</v>
      </c>
      <c r="CA184">
        <f>Regression!$D$29+(Regression!$D$28*Table83[[#This Row],[Morning Body Temp]])</f>
        <v>44.82138738109888</v>
      </c>
      <c r="CB184" s="2">
        <f>Table83[[#This Row],[Waist]]-Table7[[#This Row],[Waist v Morning Temp]]</f>
        <v>0.1786126189011199</v>
      </c>
      <c r="CC184" s="2">
        <f>Table7[[#This Row],[WaistMT Res]]^2</f>
        <v>3.1902467630716691E-2</v>
      </c>
      <c r="CD184">
        <f>Regression!$E$29+(Regression!$E$28*Table83[[#This Row],[Morning Systolic Pressure]])</f>
        <v>44.428703916909349</v>
      </c>
      <c r="CE184" s="2">
        <f>Table83[[#This Row],[Waist]]-Table7[[#This Row],[Waist v Morning Sys]]</f>
        <v>0.57129608309065105</v>
      </c>
      <c r="CF184" s="2">
        <f>Table7[[#This Row],[WaistMS Res]]^2</f>
        <v>0.32637921455472008</v>
      </c>
      <c r="CG184">
        <f>Regression!$F$29+(Regression!$F$28*Table83[[#This Row],[Morning Diastolic Pressure]])</f>
        <v>44.475359150819678</v>
      </c>
      <c r="CH184" s="2">
        <f>Table83[[#This Row],[Waist]]-Table7[[#This Row],[Waist v Morning Dia]]</f>
        <v>0.52464084918032228</v>
      </c>
      <c r="CI184" s="2">
        <f>Table7[[#This Row],[WaistMD Res]]^2</f>
        <v>0.27524802062864967</v>
      </c>
      <c r="CJ184">
        <f>Regression!$G$29+(Regression!$G$28*Table83[[#This Row],[Morning Pulse]])</f>
        <v>44.443662666622828</v>
      </c>
      <c r="CK184" s="2">
        <f>Table83[[#This Row],[Waist]]-Table7[[#This Row],[Waist v Morning Pulse]]</f>
        <v>0.55633733337717217</v>
      </c>
      <c r="CL184" s="2">
        <f>Table7[[#This Row],[WaistMP Res]]^2</f>
        <v>0.3095112285092228</v>
      </c>
      <c r="CM184">
        <f>Regression!$H$29+(Regression!$H$28*Table83[[#This Row],[Night Body Temp]])</f>
        <v>44.465147802268952</v>
      </c>
      <c r="CN184" s="2">
        <f>Table83[[#This Row],[Waist]]-Table7[[#This Row],[Waist v Night Temp]]</f>
        <v>0.53485219773104831</v>
      </c>
      <c r="CO184" s="2">
        <f>Table7[[#This Row],[WaistNT Res]]^2</f>
        <v>0.2860668734177324</v>
      </c>
      <c r="CP184">
        <f>Regression!$I$29+(Regression!$I$28*Table83[[#This Row],[Night Systolic Pressure]])</f>
        <v>44.660060915863802</v>
      </c>
      <c r="CQ184" s="2">
        <f>Table83[[#This Row],[Waist]]-Table7[[#This Row],[Waist v  Night Sys]]</f>
        <v>0.33993908413619778</v>
      </c>
      <c r="CR184" s="2">
        <f>Table7[[#This Row],[WaistNS Res]]^2</f>
        <v>0.11555858092335695</v>
      </c>
      <c r="CS184">
        <f>Regression!$J$29+(Regression!$J$28*Table83[[#This Row],[Night Diastolic Pressure]])</f>
        <v>44.648839408435592</v>
      </c>
      <c r="CT184" s="2">
        <f>Table83[[#This Row],[Waist]]-Table7[[#This Row],[Waist v Night Dia]]</f>
        <v>0.35116059156440826</v>
      </c>
      <c r="CU184" s="2">
        <f>Table7[[#This Row],[WaistND Res]]^2</f>
        <v>0.12331376106786517</v>
      </c>
      <c r="CV184">
        <f>Regression!$K$29+(Regression!$K$28*Table83[[#This Row],[Night Pulse]])</f>
        <v>44.456851626254306</v>
      </c>
      <c r="CW184" s="2">
        <f>Table83[[#This Row],[Waist]]-Table7[[#This Row],[Waist v Night Pulse]]</f>
        <v>0.54314837374569436</v>
      </c>
      <c r="CX184" s="2">
        <f>Table7[[#This Row],[WaistNP Res]]^2</f>
        <v>0.2950101559025925</v>
      </c>
      <c r="CY184">
        <f>Regression!$L$29+(Regression!$L$28*Table83[[#This Row],[Sleep]])</f>
        <v>44.432842368860271</v>
      </c>
      <c r="CZ184" s="2">
        <f>Table83[[#This Row],[Waist]]-Table7[[#This Row],[Waist v  Sleep]]</f>
        <v>0.56715763113972884</v>
      </c>
      <c r="DA184" s="2">
        <f>Table7[[#This Row],[WaistS Res]]^2</f>
        <v>0.32166777856002871</v>
      </c>
      <c r="DB184">
        <f>Regression!$M$29+(Regression!$M$28*Table83[[#This Row],[BMI]])</f>
        <v>44.27434859229524</v>
      </c>
      <c r="DC184" s="2">
        <f>Table83[[#This Row],[Waist]]-Table7[[#This Row],[Waist v BMI]]</f>
        <v>0.72565140770475978</v>
      </c>
      <c r="DD184" s="2">
        <f>Table7[[#This Row],[WaistBMI Res]]^2</f>
        <v>0.52656996550389945</v>
      </c>
      <c r="DE184">
        <f>Regression!$N$29+(Regression!$N$28*Table83[[#This Row],[CBF]])</f>
        <v>45.203183363709613</v>
      </c>
      <c r="DF184" s="2">
        <f>Table83[[#This Row],[Waist]]-Table7[[#This Row],[Waist v  CBF]]</f>
        <v>-0.20318336370961276</v>
      </c>
      <c r="DG184" s="2">
        <f>Table7[[#This Row],[WaistCBF Res]]^2</f>
        <v>4.1283479288352784E-2</v>
      </c>
      <c r="DH184">
        <f>Regression!$O$29+(Regression!$O$28*Table83[[#This Row],[Gym]])</f>
        <v>44.550847457627107</v>
      </c>
      <c r="DI184" s="2">
        <f>Table83[[#This Row],[Waist]]-Table7[[#This Row],[Waist v  Gym]]</f>
        <v>0.44915254237289304</v>
      </c>
      <c r="DJ184" s="2">
        <f>Table7[[#This Row],[WaistGYM Res]]^2</f>
        <v>0.20173800632003347</v>
      </c>
      <c r="DK184">
        <f>Regression!$P$29+(Regression!$P$28*Table83[[#This Row],[Cardio]])</f>
        <v>44.291666666666664</v>
      </c>
      <c r="DL184" s="2">
        <f>Table83[[#This Row],[Waist]]-Table7[[#This Row],[Waist v Cardio]]</f>
        <v>0.7083333333333357</v>
      </c>
      <c r="DM184" s="2">
        <f>Table7[[#This Row],[WaistC Res]]^2</f>
        <v>0.50173611111111449</v>
      </c>
      <c r="DN184">
        <f>Regression!$Q$29+(Regression!$Q$28*Table83[[#This Row],[Calories]])</f>
        <v>44.361098961295653</v>
      </c>
      <c r="DO184" s="2">
        <f>Table83[[#This Row],[Waist]]-Table7[[#This Row],[Waist v Calories]]</f>
        <v>0.638901038704347</v>
      </c>
      <c r="DP184" s="2">
        <f>Table7[[#This Row],[WaistCal Res]]^2</f>
        <v>0.40819453725749349</v>
      </c>
      <c r="DQ184">
        <f>Regression!$R$29+(Regression!$R$28*Table83[[#This Row],[Carbs]])</f>
        <v>44.406182570085576</v>
      </c>
      <c r="DR184" s="2">
        <f>Table83[[#This Row],[Waist]]-Table7[[#This Row],[Waist v Carbs]]</f>
        <v>0.59381742991442366</v>
      </c>
      <c r="DS184" s="2">
        <f>Table7[[#This Row],[WaistCarb Res]]^2</f>
        <v>0.35261914007017148</v>
      </c>
      <c r="DT184">
        <f>Regression!$S$29+(Regression!$S$28*Table83[[#This Row],[Fat ]])</f>
        <v>44.346691477979952</v>
      </c>
      <c r="DU184" s="2">
        <f>Table83[[#This Row],[Waist]]-Table7[[#This Row],[Waist v Fat]]</f>
        <v>0.65330852202004763</v>
      </c>
      <c r="DV184" s="2">
        <f>Table7[[#This Row],[WaistF Res]]^2</f>
        <v>0.42681202494401904</v>
      </c>
      <c r="DW184">
        <f>Regression!$T$29+(Regression!$T$28*Table83[[#This Row],[Protein]])</f>
        <v>44.23710004822528</v>
      </c>
      <c r="DX184" s="2">
        <f>Table83[[#This Row],[Waist]]-Table7[[#This Row],[Waist v Protein]]</f>
        <v>0.76289995177472036</v>
      </c>
      <c r="DY184" s="2">
        <f>Table7[[#This Row],[WaistP Res]]^2</f>
        <v>0.58201633641787065</v>
      </c>
      <c r="DZ184">
        <f>Regression!$U$29+(Regression!$U$28*Table83[[#This Row],[Fiber]])</f>
        <v>44.563230369020573</v>
      </c>
      <c r="EA184" s="2">
        <f>Table83[[#This Row],[Waist]]-Table7[[#This Row],[Waist v Fiber]]</f>
        <v>0.43676963097942689</v>
      </c>
      <c r="EB184" s="2">
        <f>Table7[[#This Row],[WaistFib Res]]^2</f>
        <v>0.19076771054590475</v>
      </c>
      <c r="EC184">
        <f>Regression!$V$29+(Regression!$V$28*Table83[[#This Row],[Sugar]])</f>
        <v>44.450199615206138</v>
      </c>
      <c r="ED184" s="2">
        <f>Table83[[#This Row],[Waist]]-Table7[[#This Row],[Waist v Sugar]]</f>
        <v>0.54980038479386195</v>
      </c>
      <c r="EE184" s="2">
        <f>Table7[[#This Row],[WaistSugar Res]]^2</f>
        <v>0.30228046311947865</v>
      </c>
      <c r="EF184">
        <f>Regression!$W$29+(Regression!$W$28*Table83[[#This Row],[Servings]])</f>
        <v>44.310263562042465</v>
      </c>
      <c r="EG184" s="2">
        <f>Table83[[#This Row],[Waist]]-Table7[[#This Row],[Waist v Servings]]</f>
        <v>0.68973643795753503</v>
      </c>
      <c r="EH184" s="2">
        <f>Table7[[#This Row],[WaistServ Res]]^2</f>
        <v>0.47573635384634855</v>
      </c>
      <c r="EI184">
        <f>Regression!$X$29+(Regression!$X$28*Table83[[#This Row],[Water]])</f>
        <v>44.553850107074496</v>
      </c>
      <c r="EJ184" s="2">
        <f>Table83[[#This Row],[Waist]]-Table7[[#This Row],[Waist v Water]]</f>
        <v>0.44614989292550433</v>
      </c>
      <c r="EK184" s="2">
        <f>Table7[[#This Row],[WaistWat Res]]^2</f>
        <v>0.19904972695743897</v>
      </c>
      <c r="EL184">
        <f>Regression!$Y$29+(Regression!$Y$28*Table83[[#This Row],[Fat Calories]])</f>
        <v>44.338924381241277</v>
      </c>
      <c r="EM184" s="2">
        <f>Table83[[#This Row],[Waist]]-Table7[[#This Row],[Waist v Fat Calories]]</f>
        <v>0.66107561875872278</v>
      </c>
      <c r="EN184" s="2">
        <f>Table7[[#This Row],[WaistFatCal Res]]^2</f>
        <v>0.4370209737172282</v>
      </c>
    </row>
    <row r="185" spans="1:144" x14ac:dyDescent="0.25">
      <c r="A185">
        <f>Regression!$B$10+(Regression!$B$9*Table83[[#This Row],[Waist]])</f>
        <v>258.23421455025004</v>
      </c>
      <c r="B185" s="2">
        <f>Table83[[#This Row],[Weight]]-Table7[[#This Row],[Weight v Waist]]</f>
        <v>-5.2342145502500443</v>
      </c>
      <c r="C185" s="2">
        <f>Table7[[#This Row],[Weight v Waist Res]]^2</f>
        <v>27.397001958049273</v>
      </c>
      <c r="D185">
        <f>Regression!$C$10+(Regression!$C$9*Table83[[#This Row],[Neck]])</f>
        <v>253.29286486487842</v>
      </c>
      <c r="E185" s="2">
        <f>Table83[[#This Row],[Weight]]-Table7[[#This Row],[Weight v Neck]]</f>
        <v>-0.29286486487842467</v>
      </c>
      <c r="F185" s="2">
        <f>Table7[[#This Row],[WN Res]]^2</f>
        <v>8.5769829080257945E-2</v>
      </c>
      <c r="G185">
        <f>Regression!$D$10+(Regression!$D$9*Table83[[#This Row],[Morning Body Temp]])</f>
        <v>256.1155447624198</v>
      </c>
      <c r="H185" s="2">
        <f>Table83[[#This Row],[Weight]]-Table7[[#This Row],[Weight v Morning Temp]]</f>
        <v>-3.1155447624198018</v>
      </c>
      <c r="I185" s="2">
        <f>Table7[[#This Row],[WMT Res]]^2</f>
        <v>9.7066191666414596</v>
      </c>
      <c r="J185">
        <f>Regression!$E$10+(Regression!$E$9*Table83[[#This Row],[Morning Systolic Pressure]])</f>
        <v>255.68549027897933</v>
      </c>
      <c r="K185" s="2">
        <f>Table83[[#This Row],[Weight]]-Table7[[#This Row],[Weight v Morning Sys]]</f>
        <v>-2.68549027897933</v>
      </c>
      <c r="L185" s="2">
        <f>Table7[[#This Row],[WMS Res]]^2</f>
        <v>7.2118580384924797</v>
      </c>
      <c r="M185">
        <f>Regression!$F$10+(Regression!$F$9*Table83[[#This Row],[Morning Diastolic Pressure]])</f>
        <v>254.79800715011203</v>
      </c>
      <c r="N185" s="2">
        <f>Table83[[#This Row],[Weight]]-Table7[[#This Row],[Weight v Morning Dia]]</f>
        <v>-1.7980071501120278</v>
      </c>
      <c r="O185" s="2">
        <f>Table7[[#This Row],[WMD Res]]^2</f>
        <v>3.2328297118539764</v>
      </c>
      <c r="P185">
        <f>Regression!$G$10+(Regression!$G$9*Table83[[#This Row],[Morning Pulse]])</f>
        <v>255.1081617071269</v>
      </c>
      <c r="Q185" s="2">
        <f>Table83[[#This Row],[Weight]]-Table7[[#This Row],[Weight v Morning Pulse]]</f>
        <v>-2.1081617071268965</v>
      </c>
      <c r="R185" s="2">
        <f>Table7[[#This Row],[WMP Res]]^2</f>
        <v>4.4443457833961908</v>
      </c>
      <c r="S185">
        <f>Regression!$H$10+(Regression!$H$9*Table83[[#This Row],[Night Body Temp]])</f>
        <v>255.46766610041516</v>
      </c>
      <c r="T185" s="2">
        <f>Table83[[#This Row],[Weight]]-Table7[[#This Row],[Weight v Night Temp]]</f>
        <v>-2.4676661004151583</v>
      </c>
      <c r="U185" s="2">
        <f>Table7[[#This Row],[WNT Res]]^2</f>
        <v>6.0893759831381544</v>
      </c>
      <c r="V185">
        <f>Regression!$I$10+(Regression!$I$9*Table83[[#This Row],[Night Systolic Pressure]])</f>
        <v>256.05974006539498</v>
      </c>
      <c r="W185" s="2">
        <f>Table83[[#This Row],[Weight]]-Table7[[#This Row],[Weight v Night Sys]]</f>
        <v>-3.0597400653949762</v>
      </c>
      <c r="X185" s="2">
        <f>Table7[[#This Row],[WNS Res]]^2</f>
        <v>9.3620092677832538</v>
      </c>
      <c r="Y185">
        <f>Regression!$J$10+(Regression!$J$9*Table83[[#This Row],[Night Diastolic Pressure]])</f>
        <v>255.25537984791052</v>
      </c>
      <c r="Z185" s="2">
        <f>Table83[[#This Row],[Weight]]-Table7[[#This Row],[Weight v Night Dia]]</f>
        <v>-2.2553798479105183</v>
      </c>
      <c r="AA185" s="2">
        <f>Table7[[#This Row],[WND Res]]^2</f>
        <v>5.0867382583608727</v>
      </c>
      <c r="AB185">
        <f>Regression!$K$10+(Regression!$K$9*Table83[[#This Row],[Night Pulse]])</f>
        <v>255.04872519626778</v>
      </c>
      <c r="AC185" s="2">
        <f>Table83[[#This Row],[Weight]]-Table7[[#This Row],[Weight v Night Pulse]]</f>
        <v>-2.0487251962677817</v>
      </c>
      <c r="AD185" s="2">
        <f>Table7[[#This Row],[WNP Res ]]^2</f>
        <v>4.197274929822461</v>
      </c>
      <c r="AE185">
        <f>Regression!$L$10+(Regression!$L$9*Table83[[#This Row],[Sleep]])</f>
        <v>255.29476681906823</v>
      </c>
      <c r="AF185" s="2">
        <f>Table83[[#This Row],[Weight]]-Table7[[#This Row],[Weight v Sleep]]</f>
        <v>-2.2947668190682293</v>
      </c>
      <c r="AG185" s="2">
        <f>Table7[[#This Row],[WS Res]]^2</f>
        <v>5.2659547538965192</v>
      </c>
      <c r="AH185">
        <f>Regression!$M$10+(Regression!$M$9*Table83[[#This Row],[BMI]])</f>
        <v>253.00000000000475</v>
      </c>
      <c r="AI185" s="2">
        <f>Table83[[#This Row],[Weight]]-Table7[[#This Row],[Weight v BMI]]</f>
        <v>-4.7464254748774692E-12</v>
      </c>
      <c r="AJ185" s="2">
        <f>Table7[[#This Row],[WBMI Res]]^2</f>
        <v>2.2528554788565809E-23</v>
      </c>
      <c r="AK185">
        <f>Regression!$N$10+(Regression!$N$9*Table83[[#This Row],[CBF]])</f>
        <v>259.27809165285294</v>
      </c>
      <c r="AL185" s="2">
        <f>Table83[[#This Row],[Weight]]-Table7[[#This Row],[Weight v CBF]]</f>
        <v>-6.278091652852936</v>
      </c>
      <c r="AM185" s="2">
        <f>Table7[[#This Row],[WCBF Res]]^2</f>
        <v>39.414434801621709</v>
      </c>
      <c r="AN185">
        <f>Regression!$O$10+(Regression!$O$9*Table83[[#This Row],[Gym]])</f>
        <v>255.46779661016953</v>
      </c>
      <c r="AO185" s="2">
        <f>Table83[[#This Row],[Weight]]-Table7[[#This Row],[Weight v Gym]]</f>
        <v>-2.467796610169529</v>
      </c>
      <c r="AP185" s="2">
        <f>Table7[[#This Row],[WG Res]]^2</f>
        <v>6.0900201091642181</v>
      </c>
      <c r="AQ185">
        <f>Regression!$P$10+(Regression!$P$9*Table83[[#This Row],[Cardio]])</f>
        <v>254.19242424242461</v>
      </c>
      <c r="AR185" s="2">
        <f>Table83[[#This Row],[Weight]]-Table7[[#This Row],[Weight v Cardio]]</f>
        <v>-1.1924242424246074</v>
      </c>
      <c r="AS185" s="2">
        <f>Table7[[#This Row],[WC Res]]^2</f>
        <v>1.4218755739218989</v>
      </c>
      <c r="AT185">
        <f>Regression!$Q$10+(Regression!$Q$9*Table83[[#This Row],[Calories]])</f>
        <v>255.15329778162973</v>
      </c>
      <c r="AU185" s="2">
        <f>Table83[[#This Row],[Weight]]-Table7[[#This Row],[Weight v Calories]]</f>
        <v>-2.1532977816297318</v>
      </c>
      <c r="AV185" s="2">
        <f>Table7[[#This Row],[WCAL Res]]^2</f>
        <v>4.6366913363715243</v>
      </c>
      <c r="AW185">
        <f>Regression!$R$10+(Regression!$R$9*Table83[[#This Row],[Carbs]])</f>
        <v>255.11017747231438</v>
      </c>
      <c r="AX185" s="2">
        <f>Table83[[#This Row],[Weight]]-Table7[[#This Row],[Weight v Carbs]]</f>
        <v>-2.1101774723143762</v>
      </c>
      <c r="AY185" s="2">
        <f>Table7[[#This Row],[Wcarb Res]]^2</f>
        <v>4.4528489646630902</v>
      </c>
      <c r="AZ185">
        <f>Regression!$S$10+(Regression!$S$9*Table83[[#This Row],[Fat ]])</f>
        <v>255.12421049783248</v>
      </c>
      <c r="BA185" s="2">
        <f>Table83[[#This Row],[Weight]]-Table7[[#This Row],[Weight v Fat]]</f>
        <v>-2.1242104978324789</v>
      </c>
      <c r="BB185" s="2">
        <f>Table7[[#This Row],[WF Res]]^2</f>
        <v>4.5122702391017082</v>
      </c>
      <c r="BC185">
        <f>Regression!$T$10+(Regression!$T$9*Table83[[#This Row],[Protein]])</f>
        <v>254.98893577740057</v>
      </c>
      <c r="BD185" s="2">
        <f>Table83[[#This Row],[Weight]]-Table7[[#This Row],[Weight v Protein]]</f>
        <v>-1.9889357774005703</v>
      </c>
      <c r="BE185" s="2">
        <f>Table7[[#This Row],[WP Res]]^2</f>
        <v>3.9558655266240108</v>
      </c>
      <c r="BF185">
        <f>Regression!$U$10+(Regression!$U$9*Table83[[#This Row],[Fiber]])</f>
        <v>255.26450639826496</v>
      </c>
      <c r="BG185" s="2">
        <f>Table83[[#This Row],[Weight]]-Table7[[#This Row],[Weight v Fiber]]</f>
        <v>-2.264506398264956</v>
      </c>
      <c r="BH185" s="2">
        <f>Table7[[#This Row],[Wfib Res]]^2</f>
        <v>5.1279892277829235</v>
      </c>
      <c r="BI185">
        <f>Regression!$V$10+(Regression!$V$9*Table83[[#This Row],[Sugar]])</f>
        <v>255.06763070449591</v>
      </c>
      <c r="BJ185" s="2">
        <f>Table83[[#This Row],[Weight]]-Table7[[#This Row],[Weight v Sugar]]</f>
        <v>-2.0676307044959117</v>
      </c>
      <c r="BK185" s="2">
        <f>Table7[[#This Row],[Wsugar Res]]^2</f>
        <v>4.2750967301742602</v>
      </c>
      <c r="BL185">
        <f>Regression!$W$10+(Regression!$W$9*Table83[[#This Row],[Servings]])</f>
        <v>254.13781605549565</v>
      </c>
      <c r="BM185" s="2">
        <f>Table83[[#This Row],[Weight]]-Table7[[#This Row],[Weight v Servings]]</f>
        <v>-1.137816055495648</v>
      </c>
      <c r="BN185" s="2">
        <f>Table7[[#This Row],[Wserv Res]]^2</f>
        <v>1.2946253761436755</v>
      </c>
      <c r="BO185">
        <f>Regression!$X$10+(Regression!$X$9*Table83[[#This Row],[Water]])</f>
        <v>255.1490819770581</v>
      </c>
      <c r="BP185" s="2">
        <f>Table83[[#This Row],[Weight]]-Table7[[#This Row],[Weight v Water]]</f>
        <v>-2.1490819770581027</v>
      </c>
      <c r="BQ185" s="2">
        <f>Table7[[#This Row],[Wwater Res]]^2</f>
        <v>4.6185533441159636</v>
      </c>
      <c r="BR185">
        <f>Regression!$Y$10+(Regression!$Y$9*Table83[[#This Row],[Fat Calories]])</f>
        <v>255.11993783891626</v>
      </c>
      <c r="BS185" s="2">
        <f>Table83[[#This Row],[Weight]]-Table7[[#This Row],[Weight v Fat Calories]]</f>
        <v>-2.1199378389162575</v>
      </c>
      <c r="BT185" s="2">
        <f>Table7[[#This Row],[WFC Res]]^2</f>
        <v>4.4941364408689326</v>
      </c>
      <c r="BU185">
        <f>Regression!$B$29+(Regression!$B$28*Table83[[#This Row],[Weight]])</f>
        <v>44.165338583838682</v>
      </c>
      <c r="BV185" s="2">
        <f>Table83[[#This Row],[Waist]]-Table7[[#This Row],[Waist v Weight]]</f>
        <v>0.8346614161613175</v>
      </c>
      <c r="BW185" s="2">
        <f>Table7[[#This Row],[WaistW Res]]^2</f>
        <v>0.69665967962841602</v>
      </c>
      <c r="BX185">
        <f>Regression!$C$29+(Regression!$C$28*Table83[[#This Row],[Neck]])</f>
        <v>44.175585585585594</v>
      </c>
      <c r="BY185" s="2">
        <f>Table83[[#This Row],[Waist]]-Table7[[#This Row],[Waist v Neck]]</f>
        <v>0.82441441441440588</v>
      </c>
      <c r="BZ185" s="2">
        <f>Table7[[#This Row],[WaistN Res]]^2</f>
        <v>0.67965912669424777</v>
      </c>
      <c r="CA185">
        <f>Regression!$D$29+(Regression!$D$28*Table83[[#This Row],[Morning Body Temp]])</f>
        <v>44.725653315219489</v>
      </c>
      <c r="CB185" s="2">
        <f>Table83[[#This Row],[Waist]]-Table7[[#This Row],[Waist v Morning Temp]]</f>
        <v>0.27434668478051094</v>
      </c>
      <c r="CC185" s="2">
        <f>Table7[[#This Row],[WaistMT Res]]^2</f>
        <v>7.5266103450057034E-2</v>
      </c>
      <c r="CD185">
        <f>Regression!$E$29+(Regression!$E$28*Table83[[#This Row],[Morning Systolic Pressure]])</f>
        <v>44.587559995545753</v>
      </c>
      <c r="CE185" s="2">
        <f>Table83[[#This Row],[Waist]]-Table7[[#This Row],[Waist v Morning Sys]]</f>
        <v>0.41244000445424689</v>
      </c>
      <c r="CF185" s="2">
        <f>Table7[[#This Row],[WaistMS Res]]^2</f>
        <v>0.1701067572742192</v>
      </c>
      <c r="CG185">
        <f>Regression!$F$29+(Regression!$F$28*Table83[[#This Row],[Morning Diastolic Pressure]])</f>
        <v>44.435909806137701</v>
      </c>
      <c r="CH185" s="2">
        <f>Table83[[#This Row],[Waist]]-Table7[[#This Row],[Waist v Morning Dia]]</f>
        <v>0.56409019386229886</v>
      </c>
      <c r="CI185" s="2">
        <f>Table7[[#This Row],[WaistMD Res]]^2</f>
        <v>0.3181977468116059</v>
      </c>
      <c r="CJ185">
        <f>Regression!$G$29+(Regression!$G$28*Table83[[#This Row],[Morning Pulse]])</f>
        <v>44.450378687211739</v>
      </c>
      <c r="CK185" s="2">
        <f>Table83[[#This Row],[Waist]]-Table7[[#This Row],[Waist v Morning Pulse]]</f>
        <v>0.54962131278826121</v>
      </c>
      <c r="CL185" s="2">
        <f>Table7[[#This Row],[WaistMP Res]]^2</f>
        <v>0.30208358747109165</v>
      </c>
      <c r="CM185">
        <f>Regression!$H$29+(Regression!$H$28*Table83[[#This Row],[Night Body Temp]])</f>
        <v>44.481341649878722</v>
      </c>
      <c r="CN185" s="2">
        <f>Table83[[#This Row],[Waist]]-Table7[[#This Row],[Waist v Night Temp]]</f>
        <v>0.51865835012127803</v>
      </c>
      <c r="CO185" s="2">
        <f>Table7[[#This Row],[WaistNT Res]]^2</f>
        <v>0.26900648415052625</v>
      </c>
      <c r="CP185">
        <f>Regression!$I$29+(Regression!$I$28*Table83[[#This Row],[Night Systolic Pressure]])</f>
        <v>44.587360344235734</v>
      </c>
      <c r="CQ185" s="2">
        <f>Table83[[#This Row],[Waist]]-Table7[[#This Row],[Waist v  Night Sys]]</f>
        <v>0.41263965576426642</v>
      </c>
      <c r="CR185" s="2">
        <f>Table7[[#This Row],[WaistNS Res]]^2</f>
        <v>0.17027148550925228</v>
      </c>
      <c r="CS185">
        <f>Regression!$J$29+(Regression!$J$28*Table83[[#This Row],[Night Diastolic Pressure]])</f>
        <v>44.512295846776055</v>
      </c>
      <c r="CT185" s="2">
        <f>Table83[[#This Row],[Waist]]-Table7[[#This Row],[Waist v Night Dia]]</f>
        <v>0.48770415322394456</v>
      </c>
      <c r="CU185" s="2">
        <f>Table7[[#This Row],[WaistND Res]]^2</f>
        <v>0.2378553410718848</v>
      </c>
      <c r="CV185">
        <f>Regression!$K$29+(Regression!$K$28*Table83[[#This Row],[Night Pulse]])</f>
        <v>44.459708372565267</v>
      </c>
      <c r="CW185" s="2">
        <f>Table83[[#This Row],[Waist]]-Table7[[#This Row],[Waist v Night Pulse]]</f>
        <v>0.54029162743473336</v>
      </c>
      <c r="CX185" s="2">
        <f>Table7[[#This Row],[WaistNP Res]]^2</f>
        <v>0.29191504267607271</v>
      </c>
      <c r="CY185">
        <f>Regression!$L$29+(Regression!$L$28*Table83[[#This Row],[Sleep]])</f>
        <v>44.480941336855928</v>
      </c>
      <c r="CZ185" s="2">
        <f>Table83[[#This Row],[Waist]]-Table7[[#This Row],[Waist v  Sleep]]</f>
        <v>0.51905866314407234</v>
      </c>
      <c r="DA185" s="2">
        <f>Table7[[#This Row],[WaistS Res]]^2</f>
        <v>0.26942189578491155</v>
      </c>
      <c r="DB185">
        <f>Regression!$M$29+(Regression!$M$28*Table83[[#This Row],[BMI]])</f>
        <v>44.165338583839599</v>
      </c>
      <c r="DC185" s="2">
        <f>Table83[[#This Row],[Waist]]-Table7[[#This Row],[Waist v BMI]]</f>
        <v>0.8346614161604009</v>
      </c>
      <c r="DD185" s="2">
        <f>Table7[[#This Row],[WaistBMI Res]]^2</f>
        <v>0.69665967962688591</v>
      </c>
      <c r="DE185">
        <f>Regression!$N$29+(Regression!$N$28*Table83[[#This Row],[CBF]])</f>
        <v>45.203183363709613</v>
      </c>
      <c r="DF185" s="2">
        <f>Table83[[#This Row],[Waist]]-Table7[[#This Row],[Waist v  CBF]]</f>
        <v>-0.20318336370961276</v>
      </c>
      <c r="DG185" s="2">
        <f>Table7[[#This Row],[WaistCBF Res]]^2</f>
        <v>4.1283479288352784E-2</v>
      </c>
      <c r="DH185">
        <f>Regression!$O$29+(Regression!$O$28*Table83[[#This Row],[Gym]])</f>
        <v>44.550847457627107</v>
      </c>
      <c r="DI185" s="2">
        <f>Table83[[#This Row],[Waist]]-Table7[[#This Row],[Waist v  Gym]]</f>
        <v>0.44915254237289304</v>
      </c>
      <c r="DJ185" s="2">
        <f>Table7[[#This Row],[WaistGYM Res]]^2</f>
        <v>0.20173800632003347</v>
      </c>
      <c r="DK185">
        <f>Regression!$P$29+(Regression!$P$28*Table83[[#This Row],[Cardio]])</f>
        <v>44.291666666666664</v>
      </c>
      <c r="DL185" s="2">
        <f>Table83[[#This Row],[Waist]]-Table7[[#This Row],[Waist v Cardio]]</f>
        <v>0.7083333333333357</v>
      </c>
      <c r="DM185" s="2">
        <f>Table7[[#This Row],[WaistC Res]]^2</f>
        <v>0.50173611111111449</v>
      </c>
      <c r="DN185">
        <f>Regression!$Q$29+(Regression!$Q$28*Table83[[#This Row],[Calories]])</f>
        <v>44.462134543612649</v>
      </c>
      <c r="DO185" s="2">
        <f>Table83[[#This Row],[Waist]]-Table7[[#This Row],[Waist v Calories]]</f>
        <v>0.53786545638735106</v>
      </c>
      <c r="DP185" s="2">
        <f>Table7[[#This Row],[WaistCal Res]]^2</f>
        <v>0.28929924917477345</v>
      </c>
      <c r="DQ185">
        <f>Regression!$R$29+(Regression!$R$28*Table83[[#This Row],[Carbs]])</f>
        <v>44.45252659015825</v>
      </c>
      <c r="DR185" s="2">
        <f>Table83[[#This Row],[Waist]]-Table7[[#This Row],[Waist v Carbs]]</f>
        <v>0.54747340984174997</v>
      </c>
      <c r="DS185" s="2">
        <f>Table7[[#This Row],[WaistCarb Res]]^2</f>
        <v>0.29972713448375271</v>
      </c>
      <c r="DT185">
        <f>Regression!$S$29+(Regression!$S$28*Table83[[#This Row],[Fat ]])</f>
        <v>44.456341751664809</v>
      </c>
      <c r="DU185" s="2">
        <f>Table83[[#This Row],[Waist]]-Table7[[#This Row],[Waist v Fat]]</f>
        <v>0.54365824833519127</v>
      </c>
      <c r="DV185" s="2">
        <f>Table7[[#This Row],[WaistF Res]]^2</f>
        <v>0.2955642909828885</v>
      </c>
      <c r="DW185">
        <f>Regression!$T$29+(Regression!$T$28*Table83[[#This Row],[Protein]])</f>
        <v>44.43045728844578</v>
      </c>
      <c r="DX185" s="2">
        <f>Table83[[#This Row],[Waist]]-Table7[[#This Row],[Waist v Protein]]</f>
        <v>0.5695427115542202</v>
      </c>
      <c r="DY185" s="2">
        <f>Table7[[#This Row],[WaistP Res]]^2</f>
        <v>0.3243789002845337</v>
      </c>
      <c r="DZ185">
        <f>Regression!$U$29+(Regression!$U$28*Table83[[#This Row],[Fiber]])</f>
        <v>44.511211281277362</v>
      </c>
      <c r="EA185" s="2">
        <f>Table83[[#This Row],[Waist]]-Table7[[#This Row],[Waist v Fiber]]</f>
        <v>0.48878871872263829</v>
      </c>
      <c r="EB185" s="2">
        <f>Table7[[#This Row],[WaistFib Res]]^2</f>
        <v>0.2389144115505184</v>
      </c>
      <c r="EC185">
        <f>Regression!$V$29+(Regression!$V$28*Table83[[#This Row],[Sugar]])</f>
        <v>44.445022508760978</v>
      </c>
      <c r="ED185" s="2">
        <f>Table83[[#This Row],[Waist]]-Table7[[#This Row],[Waist v Sugar]]</f>
        <v>0.55497749123902196</v>
      </c>
      <c r="EE185" s="2">
        <f>Table7[[#This Row],[WaistSugar Res]]^2</f>
        <v>0.30800001578195868</v>
      </c>
      <c r="EF185">
        <f>Regression!$W$29+(Regression!$W$28*Table83[[#This Row],[Servings]])</f>
        <v>44.304431081482214</v>
      </c>
      <c r="EG185" s="2">
        <f>Table83[[#This Row],[Waist]]-Table7[[#This Row],[Waist v Servings]]</f>
        <v>0.69556891851778602</v>
      </c>
      <c r="EH185" s="2">
        <f>Table7[[#This Row],[WaistServ Res]]^2</f>
        <v>0.48381612040800243</v>
      </c>
      <c r="EI185">
        <f>Regression!$X$29+(Regression!$X$28*Table83[[#This Row],[Water]])</f>
        <v>44.497966229663206</v>
      </c>
      <c r="EJ185" s="2">
        <f>Table83[[#This Row],[Waist]]-Table7[[#This Row],[Waist v Water]]</f>
        <v>0.5020337703367943</v>
      </c>
      <c r="EK185" s="2">
        <f>Table7[[#This Row],[WaistWat Res]]^2</f>
        <v>0.25203790655857711</v>
      </c>
      <c r="EL185">
        <f>Regression!$Y$29+(Regression!$Y$28*Table83[[#This Row],[Fat Calories]])</f>
        <v>44.455028104848125</v>
      </c>
      <c r="EM185" s="2">
        <f>Table83[[#This Row],[Waist]]-Table7[[#This Row],[Waist v Fat Calories]]</f>
        <v>0.54497189515187472</v>
      </c>
      <c r="EN185" s="2">
        <f>Table7[[#This Row],[WaistFatCal Res]]^2</f>
        <v>0.29699436650542593</v>
      </c>
    </row>
    <row r="186" spans="1:144" x14ac:dyDescent="0.25">
      <c r="A186">
        <f>Regression!$B$10+(Regression!$B$9*Table83[[#This Row],[Waist]])</f>
        <v>258.23421455025004</v>
      </c>
      <c r="B186" s="2">
        <f>Table83[[#This Row],[Weight]]-Table7[[#This Row],[Weight v Waist]]</f>
        <v>-5.8342145502500387</v>
      </c>
      <c r="C186" s="2">
        <f>Table7[[#This Row],[Weight v Waist Res]]^2</f>
        <v>34.038059418349263</v>
      </c>
      <c r="D186">
        <f>Regression!$C$10+(Regression!$C$9*Table83[[#This Row],[Neck]])</f>
        <v>253.29286486487842</v>
      </c>
      <c r="E186" s="2">
        <f>Table83[[#This Row],[Weight]]-Table7[[#This Row],[Weight v Neck]]</f>
        <v>-0.89286486487841898</v>
      </c>
      <c r="F186" s="2">
        <f>Table7[[#This Row],[WN Res]]^2</f>
        <v>0.79720766693435741</v>
      </c>
      <c r="G186">
        <f>Regression!$D$10+(Regression!$D$9*Table83[[#This Row],[Morning Body Temp]])</f>
        <v>255.4819577744185</v>
      </c>
      <c r="H186" s="2">
        <f>Table83[[#This Row],[Weight]]-Table7[[#This Row],[Weight v Morning Temp]]</f>
        <v>-3.0819577744184983</v>
      </c>
      <c r="I186" s="2">
        <f>Table7[[#This Row],[WMT Res]]^2</f>
        <v>9.4984637232986238</v>
      </c>
      <c r="J186">
        <f>Regression!$E$10+(Regression!$E$9*Table83[[#This Row],[Morning Systolic Pressure]])</f>
        <v>254.96425501716519</v>
      </c>
      <c r="K186" s="2">
        <f>Table83[[#This Row],[Weight]]-Table7[[#This Row],[Weight v Morning Sys]]</f>
        <v>-2.5642550171651806</v>
      </c>
      <c r="L186" s="2">
        <f>Table7[[#This Row],[WMS Res]]^2</f>
        <v>6.5754037930568003</v>
      </c>
      <c r="M186">
        <f>Regression!$F$10+(Regression!$F$9*Table83[[#This Row],[Morning Diastolic Pressure]])</f>
        <v>255.20338414629154</v>
      </c>
      <c r="N186" s="2">
        <f>Table83[[#This Row],[Weight]]-Table7[[#This Row],[Weight v Morning Dia]]</f>
        <v>-2.8033841462915348</v>
      </c>
      <c r="O186" s="2">
        <f>Table7[[#This Row],[WMD Res]]^2</f>
        <v>7.8589626716787171</v>
      </c>
      <c r="P186">
        <f>Regression!$G$10+(Regression!$G$9*Table83[[#This Row],[Morning Pulse]])</f>
        <v>255.11912848167003</v>
      </c>
      <c r="Q186" s="2">
        <f>Table83[[#This Row],[Weight]]-Table7[[#This Row],[Weight v Morning Pulse]]</f>
        <v>-2.7191284816700261</v>
      </c>
      <c r="R186" s="2">
        <f>Table7[[#This Row],[WMP Res]]^2</f>
        <v>7.3936596998291417</v>
      </c>
      <c r="S186">
        <f>Regression!$H$10+(Regression!$H$9*Table83[[#This Row],[Night Body Temp]])</f>
        <v>254.44070039559833</v>
      </c>
      <c r="T186" s="2">
        <f>Table83[[#This Row],[Weight]]-Table7[[#This Row],[Weight v Night Temp]]</f>
        <v>-2.0407003955983214</v>
      </c>
      <c r="U186" s="2">
        <f>Table7[[#This Row],[WNT Res]]^2</f>
        <v>4.1644581045951456</v>
      </c>
      <c r="V186">
        <f>Regression!$I$10+(Regression!$I$9*Table83[[#This Row],[Night Systolic Pressure]])</f>
        <v>257.18883323970812</v>
      </c>
      <c r="W186" s="2">
        <f>Table83[[#This Row],[Weight]]-Table7[[#This Row],[Weight v Night Sys]]</f>
        <v>-4.7888332397081115</v>
      </c>
      <c r="X186" s="2">
        <f>Table7[[#This Row],[WNS Res]]^2</f>
        <v>22.932923797733288</v>
      </c>
      <c r="Y186">
        <f>Regression!$J$10+(Regression!$J$9*Table83[[#This Row],[Night Diastolic Pressure]])</f>
        <v>255.37767745315881</v>
      </c>
      <c r="Z186" s="2">
        <f>Table83[[#This Row],[Weight]]-Table7[[#This Row],[Weight v Night Dia]]</f>
        <v>-2.9776774531588046</v>
      </c>
      <c r="AA186" s="2">
        <f>Table7[[#This Row],[WND Res]]^2</f>
        <v>8.8665630150503052</v>
      </c>
      <c r="AB186">
        <f>Regression!$K$10+(Regression!$K$9*Table83[[#This Row],[Night Pulse]])</f>
        <v>254.68016522142707</v>
      </c>
      <c r="AC186" s="2">
        <f>Table83[[#This Row],[Weight]]-Table7[[#This Row],[Weight v Night Pulse]]</f>
        <v>-2.2801652214270689</v>
      </c>
      <c r="AD186" s="2">
        <f>Table7[[#This Row],[WNP Res ]]^2</f>
        <v>5.1991534370055543</v>
      </c>
      <c r="AE186">
        <f>Regression!$L$10+(Regression!$L$9*Table83[[#This Row],[Sleep]])</f>
        <v>255.05816118153788</v>
      </c>
      <c r="AF186" s="2">
        <f>Table83[[#This Row],[Weight]]-Table7[[#This Row],[Weight v Sleep]]</f>
        <v>-2.6581611815378778</v>
      </c>
      <c r="AG186" s="2">
        <f>Table7[[#This Row],[WS Res]]^2</f>
        <v>7.065820867034847</v>
      </c>
      <c r="AH186">
        <f>Regression!$M$10+(Regression!$M$9*Table83[[#This Row],[BMI]])</f>
        <v>252.40000000000609</v>
      </c>
      <c r="AI186" s="2">
        <f>Table83[[#This Row],[Weight]]-Table7[[#This Row],[Weight v BMI]]</f>
        <v>-6.0822458181064576E-12</v>
      </c>
      <c r="AJ186" s="2">
        <f>Table7[[#This Row],[WBMI Res]]^2</f>
        <v>3.6993714191873492E-23</v>
      </c>
      <c r="AK186">
        <f>Regression!$N$10+(Regression!$N$9*Table83[[#This Row],[CBF]])</f>
        <v>259.27809165285294</v>
      </c>
      <c r="AL186" s="2">
        <f>Table83[[#This Row],[Weight]]-Table7[[#This Row],[Weight v CBF]]</f>
        <v>-6.8780916528529303</v>
      </c>
      <c r="AM186" s="2">
        <f>Table7[[#This Row],[WCBF Res]]^2</f>
        <v>47.308144785045158</v>
      </c>
      <c r="AN186">
        <f>Regression!$O$10+(Regression!$O$9*Table83[[#This Row],[Gym]])</f>
        <v>255.46779661016953</v>
      </c>
      <c r="AO186" s="2">
        <f>Table83[[#This Row],[Weight]]-Table7[[#This Row],[Weight v Gym]]</f>
        <v>-3.0677966101695233</v>
      </c>
      <c r="AP186" s="2">
        <f>Table7[[#This Row],[WG Res]]^2</f>
        <v>9.4113760413676175</v>
      </c>
      <c r="AQ186">
        <f>Regression!$P$10+(Regression!$P$9*Table83[[#This Row],[Cardio]])</f>
        <v>254.19242424242461</v>
      </c>
      <c r="AR186" s="2">
        <f>Table83[[#This Row],[Weight]]-Table7[[#This Row],[Weight v Cardio]]</f>
        <v>-1.7924242424246017</v>
      </c>
      <c r="AS186" s="2">
        <f>Table7[[#This Row],[WC Res]]^2</f>
        <v>3.2127846648314073</v>
      </c>
      <c r="AT186">
        <f>Regression!$Q$10+(Regression!$Q$9*Table83[[#This Row],[Calories]])</f>
        <v>255.61371461965982</v>
      </c>
      <c r="AU186" s="2">
        <f>Table83[[#This Row],[Weight]]-Table7[[#This Row],[Weight v Calories]]</f>
        <v>-3.213714619659811</v>
      </c>
      <c r="AV186" s="2">
        <f>Table7[[#This Row],[WCAL Res]]^2</f>
        <v>10.327961656615203</v>
      </c>
      <c r="AW186">
        <f>Regression!$R$10+(Regression!$R$9*Table83[[#This Row],[Carbs]])</f>
        <v>255.84526662003802</v>
      </c>
      <c r="AX186" s="2">
        <f>Table83[[#This Row],[Weight]]-Table7[[#This Row],[Weight v Carbs]]</f>
        <v>-3.4452666200380122</v>
      </c>
      <c r="AY186" s="2">
        <f>Table7[[#This Row],[Wcarb Res]]^2</f>
        <v>11.869862083148149</v>
      </c>
      <c r="AZ186">
        <f>Regression!$S$10+(Regression!$S$9*Table83[[#This Row],[Fat ]])</f>
        <v>255.19650118287382</v>
      </c>
      <c r="BA186" s="2">
        <f>Table83[[#This Row],[Weight]]-Table7[[#This Row],[Weight v Fat]]</f>
        <v>-2.7965011828738113</v>
      </c>
      <c r="BB186" s="2">
        <f>Table7[[#This Row],[WF Res]]^2</f>
        <v>7.8204188658146263</v>
      </c>
      <c r="BC186">
        <f>Regression!$T$10+(Regression!$T$9*Table83[[#This Row],[Protein]])</f>
        <v>255.56746390320185</v>
      </c>
      <c r="BD186" s="2">
        <f>Table83[[#This Row],[Weight]]-Table7[[#This Row],[Weight v Protein]]</f>
        <v>-3.167463903201849</v>
      </c>
      <c r="BE186" s="2">
        <f>Table7[[#This Row],[WP Res]]^2</f>
        <v>10.032827578086692</v>
      </c>
      <c r="BF186">
        <f>Regression!$U$10+(Regression!$U$9*Table83[[#This Row],[Fiber]])</f>
        <v>255.27921362126281</v>
      </c>
      <c r="BG186" s="2">
        <f>Table83[[#This Row],[Weight]]-Table7[[#This Row],[Weight v Fiber]]</f>
        <v>-2.8792136212628066</v>
      </c>
      <c r="BH186" s="2">
        <f>Table7[[#This Row],[Wfib Res]]^2</f>
        <v>8.2898710768652837</v>
      </c>
      <c r="BI186">
        <f>Regression!$V$10+(Regression!$V$9*Table83[[#This Row],[Sugar]])</f>
        <v>256.63603143116637</v>
      </c>
      <c r="BJ186" s="2">
        <f>Table83[[#This Row],[Weight]]-Table7[[#This Row],[Weight v Sugar]]</f>
        <v>-4.2360314311663672</v>
      </c>
      <c r="BK186" s="2">
        <f>Table7[[#This Row],[Wsugar Res]]^2</f>
        <v>17.943962285829382</v>
      </c>
      <c r="BL186">
        <f>Regression!$W$10+(Regression!$W$9*Table83[[#This Row],[Servings]])</f>
        <v>256.27840959188171</v>
      </c>
      <c r="BM186" s="2">
        <f>Table83[[#This Row],[Weight]]-Table7[[#This Row],[Weight v Servings]]</f>
        <v>-3.8784095918817059</v>
      </c>
      <c r="BN186" s="2">
        <f>Table7[[#This Row],[Wserv Res]]^2</f>
        <v>15.04206096240002</v>
      </c>
      <c r="BO186">
        <f>Regression!$X$10+(Regression!$X$9*Table83[[#This Row],[Water]])</f>
        <v>255.23471394386095</v>
      </c>
      <c r="BP186" s="2">
        <f>Table83[[#This Row],[Weight]]-Table7[[#This Row],[Weight v Water]]</f>
        <v>-2.8347139438609474</v>
      </c>
      <c r="BQ186" s="2">
        <f>Table7[[#This Row],[Wwater Res]]^2</f>
        <v>8.0356031435196869</v>
      </c>
      <c r="BR186">
        <f>Regression!$Y$10+(Regression!$Y$9*Table83[[#This Row],[Fat Calories]])</f>
        <v>255.19687331387115</v>
      </c>
      <c r="BS186" s="2">
        <f>Table83[[#This Row],[Weight]]-Table7[[#This Row],[Weight v Fat Calories]]</f>
        <v>-2.7968733138711457</v>
      </c>
      <c r="BT186" s="2">
        <f>Table7[[#This Row],[WFC Res]]^2</f>
        <v>7.8225003338445642</v>
      </c>
      <c r="BU186">
        <f>Regression!$B$29+(Regression!$B$28*Table83[[#This Row],[Weight]])</f>
        <v>44.083581077496696</v>
      </c>
      <c r="BV186" s="2">
        <f>Table83[[#This Row],[Waist]]-Table7[[#This Row],[Waist v Weight]]</f>
        <v>0.91641892250330415</v>
      </c>
      <c r="BW186" s="2">
        <f>Table7[[#This Row],[WaistW Res]]^2</f>
        <v>0.83982364152211697</v>
      </c>
      <c r="BX186">
        <f>Regression!$C$29+(Regression!$C$28*Table83[[#This Row],[Neck]])</f>
        <v>44.175585585585594</v>
      </c>
      <c r="BY186" s="2">
        <f>Table83[[#This Row],[Waist]]-Table7[[#This Row],[Waist v Neck]]</f>
        <v>0.82441441441440588</v>
      </c>
      <c r="BZ186" s="2">
        <f>Table7[[#This Row],[WaistN Res]]^2</f>
        <v>0.67965912669424777</v>
      </c>
      <c r="CA186">
        <f>Regression!$D$29+(Regression!$D$28*Table83[[#This Row],[Morning Body Temp]])</f>
        <v>44.553331996636587</v>
      </c>
      <c r="CB186" s="2">
        <f>Table83[[#This Row],[Waist]]-Table7[[#This Row],[Waist v Morning Temp]]</f>
        <v>0.44666800336341339</v>
      </c>
      <c r="CC186" s="2">
        <f>Table7[[#This Row],[WaistMT Res]]^2</f>
        <v>0.19951230522865829</v>
      </c>
      <c r="CD186">
        <f>Regression!$E$29+(Regression!$E$28*Table83[[#This Row],[Morning Systolic Pressure]])</f>
        <v>44.418113511666924</v>
      </c>
      <c r="CE186" s="2">
        <f>Table83[[#This Row],[Waist]]-Table7[[#This Row],[Waist v Morning Sys]]</f>
        <v>0.5818864883330761</v>
      </c>
      <c r="CF186" s="2">
        <f>Table7[[#This Row],[WaistMS Res]]^2</f>
        <v>0.33859188530459911</v>
      </c>
      <c r="CG186">
        <f>Regression!$F$29+(Regression!$F$28*Table83[[#This Row],[Morning Diastolic Pressure]])</f>
        <v>44.458452288813113</v>
      </c>
      <c r="CH186" s="2">
        <f>Table83[[#This Row],[Waist]]-Table7[[#This Row],[Waist v Morning Dia]]</f>
        <v>0.54154771118688672</v>
      </c>
      <c r="CI186" s="2">
        <f>Table7[[#This Row],[WaistMD Res]]^2</f>
        <v>0.29327392349175568</v>
      </c>
      <c r="CJ186">
        <f>Regression!$G$29+(Regression!$G$28*Table83[[#This Row],[Morning Pulse]])</f>
        <v>44.455415702653426</v>
      </c>
      <c r="CK186" s="2">
        <f>Table83[[#This Row],[Waist]]-Table7[[#This Row],[Waist v Morning Pulse]]</f>
        <v>0.54458429734657443</v>
      </c>
      <c r="CL186" s="2">
        <f>Table7[[#This Row],[WaistMP Res]]^2</f>
        <v>0.29657205691646221</v>
      </c>
      <c r="CM186">
        <f>Regression!$H$29+(Regression!$H$28*Table83[[#This Row],[Night Body Temp]])</f>
        <v>44.400372411829863</v>
      </c>
      <c r="CN186" s="2">
        <f>Table83[[#This Row],[Waist]]-Table7[[#This Row],[Waist v Night Temp]]</f>
        <v>0.59962758817013651</v>
      </c>
      <c r="CO186" s="2">
        <f>Table7[[#This Row],[WaistNT Res]]^2</f>
        <v>0.3595532444947348</v>
      </c>
      <c r="CP186">
        <f>Regression!$I$29+(Regression!$I$28*Table83[[#This Row],[Night Systolic Pressure]])</f>
        <v>44.747301601817483</v>
      </c>
      <c r="CQ186" s="2">
        <f>Table83[[#This Row],[Waist]]-Table7[[#This Row],[Waist v  Night Sys]]</f>
        <v>0.25269839818251683</v>
      </c>
      <c r="CR186" s="2">
        <f>Table7[[#This Row],[WaistNS Res]]^2</f>
        <v>6.3856480444009822E-2</v>
      </c>
      <c r="CS186">
        <f>Regression!$J$29+(Regression!$J$28*Table83[[#This Row],[Night Diastolic Pressure]])</f>
        <v>44.563499682398387</v>
      </c>
      <c r="CT186" s="2">
        <f>Table83[[#This Row],[Waist]]-Table7[[#This Row],[Waist v Night Dia]]</f>
        <v>0.43650031760161312</v>
      </c>
      <c r="CU186" s="2">
        <f>Table7[[#This Row],[WaistND Res]]^2</f>
        <v>0.19053252726630912</v>
      </c>
      <c r="CV186">
        <f>Regression!$K$29+(Regression!$K$28*Table83[[#This Row],[Night Pulse]])</f>
        <v>44.493989328296848</v>
      </c>
      <c r="CW186" s="2">
        <f>Table83[[#This Row],[Waist]]-Table7[[#This Row],[Waist v Night Pulse]]</f>
        <v>0.50601067170315162</v>
      </c>
      <c r="CX186" s="2">
        <f>Table7[[#This Row],[WaistNP Res]]^2</f>
        <v>0.2560467998774747</v>
      </c>
      <c r="CY186">
        <f>Regression!$L$29+(Regression!$L$28*Table83[[#This Row],[Sleep]])</f>
        <v>44.444867110859185</v>
      </c>
      <c r="CZ186" s="2">
        <f>Table83[[#This Row],[Waist]]-Table7[[#This Row],[Waist v  Sleep]]</f>
        <v>0.55513288914081471</v>
      </c>
      <c r="DA186" s="2">
        <f>Table7[[#This Row],[WaistS Res]]^2</f>
        <v>0.30817252460582806</v>
      </c>
      <c r="DB186">
        <f>Regression!$M$29+(Regression!$M$28*Table83[[#This Row],[BMI]])</f>
        <v>44.083581077497868</v>
      </c>
      <c r="DC186" s="2">
        <f>Table83[[#This Row],[Waist]]-Table7[[#This Row],[Waist v BMI]]</f>
        <v>0.91641892250213175</v>
      </c>
      <c r="DD186" s="2">
        <f>Table7[[#This Row],[WaistBMI Res]]^2</f>
        <v>0.83982364151996813</v>
      </c>
      <c r="DE186">
        <f>Regression!$N$29+(Regression!$N$28*Table83[[#This Row],[CBF]])</f>
        <v>45.203183363709613</v>
      </c>
      <c r="DF186" s="2">
        <f>Table83[[#This Row],[Waist]]-Table7[[#This Row],[Waist v  CBF]]</f>
        <v>-0.20318336370961276</v>
      </c>
      <c r="DG186" s="2">
        <f>Table7[[#This Row],[WaistCBF Res]]^2</f>
        <v>4.1283479288352784E-2</v>
      </c>
      <c r="DH186">
        <f>Regression!$O$29+(Regression!$O$28*Table83[[#This Row],[Gym]])</f>
        <v>44.550847457627107</v>
      </c>
      <c r="DI186" s="2">
        <f>Table83[[#This Row],[Waist]]-Table7[[#This Row],[Waist v  Gym]]</f>
        <v>0.44915254237289304</v>
      </c>
      <c r="DJ186" s="2">
        <f>Table7[[#This Row],[WaistGYM Res]]^2</f>
        <v>0.20173800632003347</v>
      </c>
      <c r="DK186">
        <f>Regression!$P$29+(Regression!$P$28*Table83[[#This Row],[Cardio]])</f>
        <v>44.291666666666664</v>
      </c>
      <c r="DL186" s="2">
        <f>Table83[[#This Row],[Waist]]-Table7[[#This Row],[Waist v Cardio]]</f>
        <v>0.7083333333333357</v>
      </c>
      <c r="DM186" s="2">
        <f>Table7[[#This Row],[WaistC Res]]^2</f>
        <v>0.50173611111111449</v>
      </c>
      <c r="DN186">
        <f>Regression!$Q$29+(Regression!$Q$28*Table83[[#This Row],[Calories]])</f>
        <v>44.565579995227758</v>
      </c>
      <c r="DO186" s="2">
        <f>Table83[[#This Row],[Waist]]-Table7[[#This Row],[Waist v Calories]]</f>
        <v>0.43442000477224241</v>
      </c>
      <c r="DP186" s="2">
        <f>Table7[[#This Row],[WaistCal Res]]^2</f>
        <v>0.1887207405463151</v>
      </c>
      <c r="DQ186">
        <f>Regression!$R$29+(Regression!$R$28*Table83[[#This Row],[Carbs]])</f>
        <v>44.605567649205021</v>
      </c>
      <c r="DR186" s="2">
        <f>Table83[[#This Row],[Waist]]-Table7[[#This Row],[Waist v Carbs]]</f>
        <v>0.39443235079497896</v>
      </c>
      <c r="DS186" s="2">
        <f>Table7[[#This Row],[WaistCarb Res]]^2</f>
        <v>0.15557687935365333</v>
      </c>
      <c r="DT186">
        <f>Regression!$S$29+(Regression!$S$28*Table83[[#This Row],[Fat ]])</f>
        <v>44.478439484215123</v>
      </c>
      <c r="DU186" s="2">
        <f>Table83[[#This Row],[Waist]]-Table7[[#This Row],[Waist v Fat]]</f>
        <v>0.52156051578487705</v>
      </c>
      <c r="DV186" s="2">
        <f>Table7[[#This Row],[WaistF Res]]^2</f>
        <v>0.27202537162578699</v>
      </c>
      <c r="DW186">
        <f>Regression!$T$29+(Regression!$T$28*Table83[[#This Row],[Protein]])</f>
        <v>44.536349425734493</v>
      </c>
      <c r="DX186" s="2">
        <f>Table83[[#This Row],[Waist]]-Table7[[#This Row],[Waist v Protein]]</f>
        <v>0.46365057426550749</v>
      </c>
      <c r="DY186" s="2">
        <f>Table7[[#This Row],[WaistP Res]]^2</f>
        <v>0.21497185501673488</v>
      </c>
      <c r="DZ186">
        <f>Regression!$U$29+(Regression!$U$28*Table83[[#This Row],[Fiber]])</f>
        <v>44.516886209643232</v>
      </c>
      <c r="EA186" s="2">
        <f>Table83[[#This Row],[Waist]]-Table7[[#This Row],[Waist v Fiber]]</f>
        <v>0.48311379035676794</v>
      </c>
      <c r="EB186" s="2">
        <f>Table7[[#This Row],[WaistFib Res]]^2</f>
        <v>0.23339893443288312</v>
      </c>
      <c r="EC186">
        <f>Regression!$V$29+(Regression!$V$28*Table83[[#This Row],[Sugar]])</f>
        <v>44.726768206891798</v>
      </c>
      <c r="ED186" s="2">
        <f>Table83[[#This Row],[Waist]]-Table7[[#This Row],[Waist v Sugar]]</f>
        <v>0.27323179310820223</v>
      </c>
      <c r="EE186" s="2">
        <f>Table7[[#This Row],[WaistSugar Res]]^2</f>
        <v>7.4655612765123419E-2</v>
      </c>
      <c r="EF186">
        <f>Regression!$W$29+(Regression!$W$28*Table83[[#This Row],[Servings]])</f>
        <v>44.63104999285634</v>
      </c>
      <c r="EG186" s="2">
        <f>Table83[[#This Row],[Waist]]-Table7[[#This Row],[Waist v Servings]]</f>
        <v>0.36895000714365978</v>
      </c>
      <c r="EH186" s="2">
        <f>Table7[[#This Row],[WaistServ Res]]^2</f>
        <v>0.1361241077713066</v>
      </c>
      <c r="EI186">
        <f>Regression!$X$29+(Regression!$X$28*Table83[[#This Row],[Water]])</f>
        <v>44.609733984485779</v>
      </c>
      <c r="EJ186" s="2">
        <f>Table83[[#This Row],[Waist]]-Table7[[#This Row],[Waist v Water]]</f>
        <v>0.39026601551422146</v>
      </c>
      <c r="EK186" s="2">
        <f>Table7[[#This Row],[WaistWat Res]]^2</f>
        <v>0.15230756286534655</v>
      </c>
      <c r="EL186">
        <f>Regression!$Y$29+(Regression!$Y$28*Table83[[#This Row],[Fat Calories]])</f>
        <v>44.478426396034642</v>
      </c>
      <c r="EM186" s="2">
        <f>Table83[[#This Row],[Waist]]-Table7[[#This Row],[Waist v Fat Calories]]</f>
        <v>0.52157360396535779</v>
      </c>
      <c r="EN186" s="2">
        <f>Table7[[#This Row],[WaistFatCal Res]]^2</f>
        <v>0.27203902435341187</v>
      </c>
    </row>
    <row r="187" spans="1:144" x14ac:dyDescent="0.25">
      <c r="A187">
        <f>Regression!$B$10+(Regression!$B$9*Table83[[#This Row],[Waist]])</f>
        <v>255.38023686459636</v>
      </c>
      <c r="B187" s="2">
        <f>Table83[[#This Row],[Weight]]-Table7[[#This Row],[Weight v Waist]]</f>
        <v>-1.3802368645963554</v>
      </c>
      <c r="C187" s="2">
        <f>Table7[[#This Row],[Weight v Waist Res]]^2</f>
        <v>1.9050538023907779</v>
      </c>
      <c r="D187">
        <f>Regression!$C$10+(Regression!$C$9*Table83[[#This Row],[Neck]])</f>
        <v>253.29286486487842</v>
      </c>
      <c r="E187" s="2">
        <f>Table83[[#This Row],[Weight]]-Table7[[#This Row],[Weight v Neck]]</f>
        <v>0.70713513512157533</v>
      </c>
      <c r="F187" s="2">
        <f>Table7[[#This Row],[WN Res]]^2</f>
        <v>0.50004009932340865</v>
      </c>
      <c r="G187">
        <f>Regression!$D$10+(Regression!$D$9*Table83[[#This Row],[Morning Body Temp]])</f>
        <v>255.12996500330669</v>
      </c>
      <c r="H187" s="2">
        <f>Table83[[#This Row],[Weight]]-Table7[[#This Row],[Weight v Morning Temp]]</f>
        <v>-1.1299650033066939</v>
      </c>
      <c r="I187" s="2">
        <f>Table7[[#This Row],[WMT Res]]^2</f>
        <v>1.2768209086978968</v>
      </c>
      <c r="J187">
        <f>Regression!$E$10+(Regression!$E$9*Table83[[#This Row],[Morning Systolic Pressure]])</f>
        <v>254.55856018239473</v>
      </c>
      <c r="K187" s="2">
        <f>Table83[[#This Row],[Weight]]-Table7[[#This Row],[Weight v Morning Sys]]</f>
        <v>-0.5585601823947286</v>
      </c>
      <c r="L187" s="2">
        <f>Table7[[#This Row],[WMS Res]]^2</f>
        <v>0.31198947735683247</v>
      </c>
      <c r="M187">
        <f>Regression!$F$10+(Regression!$F$9*Table83[[#This Row],[Morning Diastolic Pressure]])</f>
        <v>255.30472839533641</v>
      </c>
      <c r="N187" s="2">
        <f>Table83[[#This Row],[Weight]]-Table7[[#This Row],[Weight v Morning Dia]]</f>
        <v>-1.3047283953364115</v>
      </c>
      <c r="O187" s="2">
        <f>Table7[[#This Row],[WMD Res]]^2</f>
        <v>1.7023161855971274</v>
      </c>
      <c r="P187">
        <f>Regression!$G$10+(Regression!$G$9*Table83[[#This Row],[Morning Pulse]])</f>
        <v>255.11181729864128</v>
      </c>
      <c r="Q187" s="2">
        <f>Table83[[#This Row],[Weight]]-Table7[[#This Row],[Weight v Morning Pulse]]</f>
        <v>-1.1118172986412844</v>
      </c>
      <c r="R187" s="2">
        <f>Table7[[#This Row],[WMP Res]]^2</f>
        <v>1.236137705558003</v>
      </c>
      <c r="S187">
        <f>Regression!$H$10+(Regression!$H$9*Table83[[#This Row],[Night Body Temp]])</f>
        <v>255.46766610041516</v>
      </c>
      <c r="T187" s="2">
        <f>Table83[[#This Row],[Weight]]-Table7[[#This Row],[Weight v Night Temp]]</f>
        <v>-1.4676661004151583</v>
      </c>
      <c r="U187" s="2">
        <f>Table7[[#This Row],[WNT Res]]^2</f>
        <v>2.1540437823078378</v>
      </c>
      <c r="V187">
        <f>Regression!$I$10+(Regression!$I$9*Table83[[#This Row],[Night Systolic Pressure]])</f>
        <v>253.9041985507971</v>
      </c>
      <c r="W187" s="2">
        <f>Table83[[#This Row],[Weight]]-Table7[[#This Row],[Weight v Night Sys]]</f>
        <v>9.5801449202895128E-2</v>
      </c>
      <c r="X187" s="2">
        <f>Table7[[#This Row],[WNS Res]]^2</f>
        <v>9.1779176693748948E-3</v>
      </c>
      <c r="Y187">
        <f>Regression!$J$10+(Regression!$J$9*Table83[[#This Row],[Night Diastolic Pressure]])</f>
        <v>255.05155050582999</v>
      </c>
      <c r="Z187" s="2">
        <f>Table83[[#This Row],[Weight]]-Table7[[#This Row],[Weight v Night Dia]]</f>
        <v>-1.0515505058299937</v>
      </c>
      <c r="AA187" s="2">
        <f>Table7[[#This Row],[WND Res]]^2</f>
        <v>1.1057584663113156</v>
      </c>
      <c r="AB187">
        <f>Regression!$K$10+(Regression!$K$9*Table83[[#This Row],[Night Pulse]])</f>
        <v>255.11015185874123</v>
      </c>
      <c r="AC187" s="2">
        <f>Table83[[#This Row],[Weight]]-Table7[[#This Row],[Weight v Night Pulse]]</f>
        <v>-1.1101518587412329</v>
      </c>
      <c r="AD187" s="2">
        <f>Table7[[#This Row],[WNP Res ]]^2</f>
        <v>1.2324371494666144</v>
      </c>
      <c r="AE187">
        <f>Regression!$L$10+(Regression!$L$9*Table83[[#This Row],[Sleep]])</f>
        <v>255.13702972738133</v>
      </c>
      <c r="AF187" s="2">
        <f>Table83[[#This Row],[Weight]]-Table7[[#This Row],[Weight v Sleep]]</f>
        <v>-1.1370297273813321</v>
      </c>
      <c r="AG187" s="2">
        <f>Table7[[#This Row],[WS Res]]^2</f>
        <v>1.2928366009488665</v>
      </c>
      <c r="AH187">
        <f>Regression!$M$10+(Regression!$M$9*Table83[[#This Row],[BMI]])</f>
        <v>254.0000000000025</v>
      </c>
      <c r="AI187" s="2">
        <f>Table83[[#This Row],[Weight]]-Table7[[#This Row],[Weight v BMI]]</f>
        <v>-2.5011104298755527E-12</v>
      </c>
      <c r="AJ187" s="2">
        <f>Table7[[#This Row],[WBMI Res]]^2</f>
        <v>6.2555533824322718E-24</v>
      </c>
      <c r="AK187">
        <f>Regression!$N$10+(Regression!$N$9*Table83[[#This Row],[CBF]])</f>
        <v>256.25609762651322</v>
      </c>
      <c r="AL187" s="2">
        <f>Table83[[#This Row],[Weight]]-Table7[[#This Row],[Weight v CBF]]</f>
        <v>-2.256097626513224</v>
      </c>
      <c r="AM187" s="2">
        <f>Table7[[#This Row],[WCBF Res]]^2</f>
        <v>5.0899765003586026</v>
      </c>
      <c r="AN187">
        <f>Regression!$O$10+(Regression!$O$9*Table83[[#This Row],[Gym]])</f>
        <v>255.46779661016953</v>
      </c>
      <c r="AO187" s="2">
        <f>Table83[[#This Row],[Weight]]-Table7[[#This Row],[Weight v Gym]]</f>
        <v>-1.467796610169529</v>
      </c>
      <c r="AP187" s="2">
        <f>Table7[[#This Row],[WG Res]]^2</f>
        <v>2.1544268888251601</v>
      </c>
      <c r="AQ187">
        <f>Regression!$P$10+(Regression!$P$9*Table83[[#This Row],[Cardio]])</f>
        <v>254.19242424242461</v>
      </c>
      <c r="AR187" s="2">
        <f>Table83[[#This Row],[Weight]]-Table7[[#This Row],[Weight v Cardio]]</f>
        <v>-0.19242424242460743</v>
      </c>
      <c r="AS187" s="2">
        <f>Table7[[#This Row],[WC Res]]^2</f>
        <v>3.7027089072684087E-2</v>
      </c>
      <c r="AT187">
        <f>Regression!$Q$10+(Regression!$Q$9*Table83[[#This Row],[Calories]])</f>
        <v>255.91248638103679</v>
      </c>
      <c r="AU187" s="2">
        <f>Table83[[#This Row],[Weight]]-Table7[[#This Row],[Weight v Calories]]</f>
        <v>-1.9124863810367856</v>
      </c>
      <c r="AV187" s="2">
        <f>Table7[[#This Row],[WCAL Res]]^2</f>
        <v>3.6576041576511811</v>
      </c>
      <c r="AW187">
        <f>Regression!$R$10+(Regression!$R$9*Table83[[#This Row],[Carbs]])</f>
        <v>256.01171368310361</v>
      </c>
      <c r="AX187" s="2">
        <f>Table83[[#This Row],[Weight]]-Table7[[#This Row],[Weight v Carbs]]</f>
        <v>-2.0117136831036078</v>
      </c>
      <c r="AY187" s="2">
        <f>Table7[[#This Row],[Wcarb Res]]^2</f>
        <v>4.046991942786283</v>
      </c>
      <c r="AZ187">
        <f>Regression!$S$10+(Regression!$S$9*Table83[[#This Row],[Fat ]])</f>
        <v>255.53786989729676</v>
      </c>
      <c r="BA187" s="2">
        <f>Table83[[#This Row],[Weight]]-Table7[[#This Row],[Weight v Fat]]</f>
        <v>-1.5378698972967584</v>
      </c>
      <c r="BB187" s="2">
        <f>Table7[[#This Row],[WF Res]]^2</f>
        <v>2.3650438210115423</v>
      </c>
      <c r="BC187">
        <f>Regression!$T$10+(Regression!$T$9*Table83[[#This Row],[Protein]])</f>
        <v>255.728204683314</v>
      </c>
      <c r="BD187" s="2">
        <f>Table83[[#This Row],[Weight]]-Table7[[#This Row],[Weight v Protein]]</f>
        <v>-1.7282046833140043</v>
      </c>
      <c r="BE187" s="2">
        <f>Table7[[#This Row],[WP Res]]^2</f>
        <v>2.9866914274284579</v>
      </c>
      <c r="BF187">
        <f>Regression!$U$10+(Regression!$U$9*Table83[[#This Row],[Fiber]])</f>
        <v>255.20643032644438</v>
      </c>
      <c r="BG187" s="2">
        <f>Table83[[#This Row],[Weight]]-Table7[[#This Row],[Weight v Fiber]]</f>
        <v>-1.2064303264443765</v>
      </c>
      <c r="BH187" s="2">
        <f>Table7[[#This Row],[Wfib Res]]^2</f>
        <v>1.4554741325646849</v>
      </c>
      <c r="BI187">
        <f>Regression!$V$10+(Regression!$V$9*Table83[[#This Row],[Sugar]])</f>
        <v>256.67629446702369</v>
      </c>
      <c r="BJ187" s="2">
        <f>Table83[[#This Row],[Weight]]-Table7[[#This Row],[Weight v Sugar]]</f>
        <v>-2.6762944670236948</v>
      </c>
      <c r="BK187" s="2">
        <f>Table7[[#This Row],[Wsugar Res]]^2</f>
        <v>7.1625520742216429</v>
      </c>
      <c r="BL187">
        <f>Regression!$W$10+(Regression!$W$9*Table83[[#This Row],[Servings]])</f>
        <v>256.54598378393001</v>
      </c>
      <c r="BM187" s="2">
        <f>Table83[[#This Row],[Weight]]-Table7[[#This Row],[Weight v Servings]]</f>
        <v>-2.5459837839300121</v>
      </c>
      <c r="BN187" s="2">
        <f>Table7[[#This Row],[Wserv Res]]^2</f>
        <v>6.4820334280345824</v>
      </c>
      <c r="BO187">
        <f>Regression!$X$10+(Regression!$X$9*Table83[[#This Row],[Water]])</f>
        <v>255.1490819770581</v>
      </c>
      <c r="BP187" s="2">
        <f>Table83[[#This Row],[Weight]]-Table7[[#This Row],[Weight v Water]]</f>
        <v>-1.1490819770581027</v>
      </c>
      <c r="BQ187" s="2">
        <f>Table7[[#This Row],[Wwater Res]]^2</f>
        <v>1.3203893899997581</v>
      </c>
      <c r="BR187">
        <f>Regression!$Y$10+(Regression!$Y$9*Table83[[#This Row],[Fat Calories]])</f>
        <v>255.56017550368793</v>
      </c>
      <c r="BS187" s="2">
        <f>Table83[[#This Row],[Weight]]-Table7[[#This Row],[Weight v Fat Calories]]</f>
        <v>-1.5601755036879297</v>
      </c>
      <c r="BT187" s="2">
        <f>Table7[[#This Row],[WFC Res]]^2</f>
        <v>2.4341476023078852</v>
      </c>
      <c r="BU187">
        <f>Regression!$B$29+(Regression!$B$28*Table83[[#This Row],[Weight]])</f>
        <v>44.301601094408667</v>
      </c>
      <c r="BV187" s="2">
        <f>Table83[[#This Row],[Waist]]-Table7[[#This Row],[Waist v Weight]]</f>
        <v>0.19839890559133266</v>
      </c>
      <c r="BW187" s="2">
        <f>Table7[[#This Row],[WaistW Res]]^2</f>
        <v>3.9362125739838529E-2</v>
      </c>
      <c r="BX187">
        <f>Regression!$C$29+(Regression!$C$28*Table83[[#This Row],[Neck]])</f>
        <v>44.175585585585594</v>
      </c>
      <c r="BY187" s="2">
        <f>Table83[[#This Row],[Waist]]-Table7[[#This Row],[Waist v Neck]]</f>
        <v>0.32441441441440588</v>
      </c>
      <c r="BZ187" s="2">
        <f>Table7[[#This Row],[WaistN Res]]^2</f>
        <v>0.10524471227984188</v>
      </c>
      <c r="CA187">
        <f>Regression!$D$29+(Regression!$D$28*Table83[[#This Row],[Morning Body Temp]])</f>
        <v>44.457597930757203</v>
      </c>
      <c r="CB187" s="2">
        <f>Table83[[#This Row],[Waist]]-Table7[[#This Row],[Waist v Morning Temp]]</f>
        <v>4.2402069242797324E-2</v>
      </c>
      <c r="CC187" s="2">
        <f>Table7[[#This Row],[WaistMT Res]]^2</f>
        <v>1.7979354760709789E-3</v>
      </c>
      <c r="CD187">
        <f>Regression!$E$29+(Regression!$E$28*Table83[[#This Row],[Morning Systolic Pressure]])</f>
        <v>44.322799864485077</v>
      </c>
      <c r="CE187" s="2">
        <f>Table83[[#This Row],[Waist]]-Table7[[#This Row],[Waist v Morning Sys]]</f>
        <v>0.17720013551492286</v>
      </c>
      <c r="CF187" s="2">
        <f>Table7[[#This Row],[WaistMS Res]]^2</f>
        <v>3.1399888026507027E-2</v>
      </c>
      <c r="CG187">
        <f>Regression!$F$29+(Regression!$F$28*Table83[[#This Row],[Morning Diastolic Pressure]])</f>
        <v>44.464087909481968</v>
      </c>
      <c r="CH187" s="2">
        <f>Table83[[#This Row],[Waist]]-Table7[[#This Row],[Waist v Morning Dia]]</f>
        <v>3.5912090518031903E-2</v>
      </c>
      <c r="CI187" s="2">
        <f>Table7[[#This Row],[WaistMD Res]]^2</f>
        <v>1.2896782453753169E-3</v>
      </c>
      <c r="CJ187">
        <f>Regression!$G$29+(Regression!$G$28*Table83[[#This Row],[Morning Pulse]])</f>
        <v>44.45205769235897</v>
      </c>
      <c r="CK187" s="2">
        <f>Table83[[#This Row],[Waist]]-Table7[[#This Row],[Waist v Morning Pulse]]</f>
        <v>4.7942307641029913E-2</v>
      </c>
      <c r="CL187" s="2">
        <f>Table7[[#This Row],[WaistMP Res]]^2</f>
        <v>2.2984648619471552E-3</v>
      </c>
      <c r="CM187">
        <f>Regression!$H$29+(Regression!$H$28*Table83[[#This Row],[Night Body Temp]])</f>
        <v>44.481341649878722</v>
      </c>
      <c r="CN187" s="2">
        <f>Table83[[#This Row],[Waist]]-Table7[[#This Row],[Waist v Night Temp]]</f>
        <v>1.8658350121278033E-2</v>
      </c>
      <c r="CO187" s="2">
        <f>Table7[[#This Row],[WaistNT Res]]^2</f>
        <v>3.4813402924819599E-4</v>
      </c>
      <c r="CP187">
        <f>Regression!$I$29+(Regression!$I$28*Table83[[#This Row],[Night Systolic Pressure]])</f>
        <v>44.282017943397847</v>
      </c>
      <c r="CQ187" s="2">
        <f>Table83[[#This Row],[Waist]]-Table7[[#This Row],[Waist v  Night Sys]]</f>
        <v>0.21798205660215331</v>
      </c>
      <c r="CR187" s="2">
        <f>Table7[[#This Row],[WaistNS Res]]^2</f>
        <v>4.7516177000504367E-2</v>
      </c>
      <c r="CS187">
        <f>Regression!$J$29+(Regression!$J$28*Table83[[#This Row],[Night Diastolic Pressure]])</f>
        <v>44.426956120738851</v>
      </c>
      <c r="CT187" s="2">
        <f>Table83[[#This Row],[Waist]]-Table7[[#This Row],[Waist v Night Dia]]</f>
        <v>7.3043879261149414E-2</v>
      </c>
      <c r="CU187" s="2">
        <f>Table7[[#This Row],[WaistND Res]]^2</f>
        <v>5.3354082975173734E-3</v>
      </c>
      <c r="CV187">
        <f>Regression!$K$29+(Regression!$K$28*Table83[[#This Row],[Night Pulse]])</f>
        <v>44.453994879943338</v>
      </c>
      <c r="CW187" s="2">
        <f>Table83[[#This Row],[Waist]]-Table7[[#This Row],[Waist v Night Pulse]]</f>
        <v>4.6005120056662463E-2</v>
      </c>
      <c r="CX187" s="2">
        <f>Table7[[#This Row],[WaistNP Res]]^2</f>
        <v>2.1164710714279269E-3</v>
      </c>
      <c r="CY187">
        <f>Regression!$L$29+(Regression!$L$28*Table83[[#This Row],[Sleep]])</f>
        <v>44.456891852858099</v>
      </c>
      <c r="CZ187" s="2">
        <f>Table83[[#This Row],[Waist]]-Table7[[#This Row],[Waist v  Sleep]]</f>
        <v>4.3108147141900588E-2</v>
      </c>
      <c r="DA187" s="2">
        <f>Table7[[#This Row],[WaistS Res]]^2</f>
        <v>1.8583123500077519E-3</v>
      </c>
      <c r="DB187">
        <f>Regression!$M$29+(Regression!$M$28*Table83[[#This Row],[BMI]])</f>
        <v>44.301601094409143</v>
      </c>
      <c r="DC187" s="2">
        <f>Table83[[#This Row],[Waist]]-Table7[[#This Row],[Waist v BMI]]</f>
        <v>0.1983989055908566</v>
      </c>
      <c r="DD187" s="2">
        <f>Table7[[#This Row],[WaistBMI Res]]^2</f>
        <v>3.9362125739649631E-2</v>
      </c>
      <c r="DE187">
        <f>Regression!$N$29+(Regression!$N$28*Table83[[#This Row],[CBF]])</f>
        <v>44.659010290127611</v>
      </c>
      <c r="DF187" s="2">
        <f>Table83[[#This Row],[Waist]]-Table7[[#This Row],[Waist v  CBF]]</f>
        <v>-0.15901029012761114</v>
      </c>
      <c r="DG187" s="2">
        <f>Table7[[#This Row],[WaistCBF Res]]^2</f>
        <v>2.5284272366467068E-2</v>
      </c>
      <c r="DH187">
        <f>Regression!$O$29+(Regression!$O$28*Table83[[#This Row],[Gym]])</f>
        <v>44.550847457627107</v>
      </c>
      <c r="DI187" s="2">
        <f>Table83[[#This Row],[Waist]]-Table7[[#This Row],[Waist v  Gym]]</f>
        <v>-5.0847457627106962E-2</v>
      </c>
      <c r="DJ187" s="2">
        <f>Table7[[#This Row],[WaistGYM Res]]^2</f>
        <v>2.5854639471404378E-3</v>
      </c>
      <c r="DK187">
        <f>Regression!$P$29+(Regression!$P$28*Table83[[#This Row],[Cardio]])</f>
        <v>44.291666666666664</v>
      </c>
      <c r="DL187" s="2">
        <f>Table83[[#This Row],[Waist]]-Table7[[#This Row],[Waist v Cardio]]</f>
        <v>0.2083333333333357</v>
      </c>
      <c r="DM187" s="2">
        <f>Table7[[#This Row],[WaistC Res]]^2</f>
        <v>4.3402777777778762E-2</v>
      </c>
      <c r="DN187">
        <f>Regression!$Q$29+(Regression!$Q$28*Table83[[#This Row],[Calories]])</f>
        <v>44.632707383352219</v>
      </c>
      <c r="DO187" s="2">
        <f>Table83[[#This Row],[Waist]]-Table7[[#This Row],[Waist v Calories]]</f>
        <v>-0.13270738335221921</v>
      </c>
      <c r="DP187" s="2">
        <f>Table7[[#This Row],[WaistCal Res]]^2</f>
        <v>1.7611249596192868E-2</v>
      </c>
      <c r="DQ187">
        <f>Regression!$R$29+(Regression!$R$28*Table83[[#This Row],[Carbs]])</f>
        <v>44.640220908453458</v>
      </c>
      <c r="DR187" s="2">
        <f>Table83[[#This Row],[Waist]]-Table7[[#This Row],[Waist v Carbs]]</f>
        <v>-0.14022090845345758</v>
      </c>
      <c r="DS187" s="2">
        <f>Table7[[#This Row],[WaistCarb Res]]^2</f>
        <v>1.9661903167512932E-2</v>
      </c>
      <c r="DT187">
        <f>Regression!$S$29+(Regression!$S$28*Table83[[#This Row],[Fat ]])</f>
        <v>44.582788675927041</v>
      </c>
      <c r="DU187" s="2">
        <f>Table83[[#This Row],[Waist]]-Table7[[#This Row],[Waist v Fat]]</f>
        <v>-8.2788675927041311E-2</v>
      </c>
      <c r="DV187" s="2">
        <f>Table7[[#This Row],[WaistF Res]]^2</f>
        <v>6.8539648617526698E-3</v>
      </c>
      <c r="DW187">
        <f>Regression!$T$29+(Regression!$T$28*Table83[[#This Row],[Protein]])</f>
        <v>44.565770959444642</v>
      </c>
      <c r="DX187" s="2">
        <f>Table83[[#This Row],[Waist]]-Table7[[#This Row],[Waist v Protein]]</f>
        <v>-6.5770959444641619E-2</v>
      </c>
      <c r="DY187" s="2">
        <f>Table7[[#This Row],[WaistP Res]]^2</f>
        <v>4.3258191062686925E-3</v>
      </c>
      <c r="DZ187">
        <f>Regression!$U$29+(Regression!$U$28*Table83[[#This Row],[Fiber]])</f>
        <v>44.48880205096917</v>
      </c>
      <c r="EA187" s="2">
        <f>Table83[[#This Row],[Waist]]-Table7[[#This Row],[Waist v Fiber]]</f>
        <v>1.1197949030830046E-2</v>
      </c>
      <c r="EB187" s="2">
        <f>Table7[[#This Row],[WaistFib Res]]^2</f>
        <v>1.2539406249706755E-4</v>
      </c>
      <c r="EC187">
        <f>Regression!$V$29+(Regression!$V$28*Table83[[#This Row],[Sugar]])</f>
        <v>44.734001012228852</v>
      </c>
      <c r="ED187" s="2">
        <f>Table83[[#This Row],[Waist]]-Table7[[#This Row],[Waist v Sugar]]</f>
        <v>-0.23400101222885183</v>
      </c>
      <c r="EE187" s="2">
        <f>Table7[[#This Row],[WaistSugar Res]]^2</f>
        <v>5.4756473724127265E-2</v>
      </c>
      <c r="EF187">
        <f>Regression!$W$29+(Regression!$W$28*Table83[[#This Row],[Servings]])</f>
        <v>44.671877356778111</v>
      </c>
      <c r="EG187" s="2">
        <f>Table83[[#This Row],[Waist]]-Table7[[#This Row],[Waist v Servings]]</f>
        <v>-0.17187735677811133</v>
      </c>
      <c r="EH187" s="2">
        <f>Table7[[#This Row],[WaistServ Res]]^2</f>
        <v>2.9541825773030175E-2</v>
      </c>
      <c r="EI187">
        <f>Regression!$X$29+(Regression!$X$28*Table83[[#This Row],[Water]])</f>
        <v>44.497966229663206</v>
      </c>
      <c r="EJ187" s="2">
        <f>Table83[[#This Row],[Waist]]-Table7[[#This Row],[Waist v Water]]</f>
        <v>2.033770336794305E-3</v>
      </c>
      <c r="EK187" s="2">
        <f>Table7[[#This Row],[WaistWat Res]]^2</f>
        <v>4.1362217828244205E-6</v>
      </c>
      <c r="EL187">
        <f>Regression!$Y$29+(Regression!$Y$28*Table83[[#This Row],[Fat Calories]])</f>
        <v>44.588917043307788</v>
      </c>
      <c r="EM187" s="2">
        <f>Table83[[#This Row],[Waist]]-Table7[[#This Row],[Waist v Fat Calories]]</f>
        <v>-8.8917043307787935E-2</v>
      </c>
      <c r="EN187" s="2">
        <f>Table7[[#This Row],[WaistFatCal Res]]^2</f>
        <v>7.9062405905990351E-3</v>
      </c>
    </row>
    <row r="188" spans="1:144" x14ac:dyDescent="0.25">
      <c r="A188">
        <f>Regression!$B$10+(Regression!$B$9*Table83[[#This Row],[Waist]])</f>
        <v>255.38023686459636</v>
      </c>
      <c r="B188" s="2">
        <f>Table83[[#This Row],[Weight]]-Table7[[#This Row],[Weight v Waist]]</f>
        <v>-2.9802368645963497</v>
      </c>
      <c r="C188" s="2">
        <f>Table7[[#This Row],[Weight v Waist Res]]^2</f>
        <v>8.8818117690990821</v>
      </c>
      <c r="D188">
        <f>Regression!$C$10+(Regression!$C$9*Table83[[#This Row],[Neck]])</f>
        <v>253.29286486487842</v>
      </c>
      <c r="E188" s="2">
        <f>Table83[[#This Row],[Weight]]-Table7[[#This Row],[Weight v Neck]]</f>
        <v>-0.89286486487841898</v>
      </c>
      <c r="F188" s="2">
        <f>Table7[[#This Row],[WN Res]]^2</f>
        <v>0.79720766693435741</v>
      </c>
      <c r="G188">
        <f>Regression!$D$10+(Regression!$D$9*Table83[[#This Row],[Morning Body Temp]])</f>
        <v>255.3411606659738</v>
      </c>
      <c r="H188" s="2">
        <f>Table83[[#This Row],[Weight]]-Table7[[#This Row],[Weight v Morning Temp]]</f>
        <v>-2.941160665973797</v>
      </c>
      <c r="I188" s="2">
        <f>Table7[[#This Row],[WMT Res]]^2</f>
        <v>8.6504260630714285</v>
      </c>
      <c r="J188">
        <f>Regression!$E$10+(Regression!$E$9*Table83[[#This Row],[Morning Systolic Pressure]])</f>
        <v>254.73886899784827</v>
      </c>
      <c r="K188" s="2">
        <f>Table83[[#This Row],[Weight]]-Table7[[#This Row],[Weight v Morning Sys]]</f>
        <v>-2.338868997848266</v>
      </c>
      <c r="L188" s="2">
        <f>Table7[[#This Row],[WMS Res]]^2</f>
        <v>5.4703081890957517</v>
      </c>
      <c r="M188">
        <f>Regression!$F$10+(Regression!$F$9*Table83[[#This Row],[Morning Diastolic Pressure]])</f>
        <v>255.50741689342618</v>
      </c>
      <c r="N188" s="2">
        <f>Table83[[#This Row],[Weight]]-Table7[[#This Row],[Weight v Morning Dia]]</f>
        <v>-3.1074168934261763</v>
      </c>
      <c r="O188" s="2">
        <f>Table7[[#This Row],[WMD Res]]^2</f>
        <v>9.6560397495503878</v>
      </c>
      <c r="P188">
        <f>Regression!$G$10+(Regression!$G$9*Table83[[#This Row],[Morning Pulse]])</f>
        <v>255.10998950288408</v>
      </c>
      <c r="Q188" s="2">
        <f>Table83[[#This Row],[Weight]]-Table7[[#This Row],[Weight v Morning Pulse]]</f>
        <v>-2.7099895028840706</v>
      </c>
      <c r="R188" s="2">
        <f>Table7[[#This Row],[WMP Res]]^2</f>
        <v>7.3440431057418518</v>
      </c>
      <c r="S188">
        <f>Regression!$H$10+(Regression!$H$9*Table83[[#This Row],[Night Body Temp]])</f>
        <v>255.46766610041516</v>
      </c>
      <c r="T188" s="2">
        <f>Table83[[#This Row],[Weight]]-Table7[[#This Row],[Weight v Night Temp]]</f>
        <v>-3.0676661004151526</v>
      </c>
      <c r="U188" s="2">
        <f>Table7[[#This Row],[WNT Res]]^2</f>
        <v>9.4105753036363087</v>
      </c>
      <c r="V188">
        <f>Regression!$I$10+(Regression!$I$9*Table83[[#This Row],[Night Systolic Pressure]])</f>
        <v>255.64916072928111</v>
      </c>
      <c r="W188" s="2">
        <f>Table83[[#This Row],[Weight]]-Table7[[#This Row],[Weight v Night Sys]]</f>
        <v>-3.2491607292811011</v>
      </c>
      <c r="X188" s="2">
        <f>Table7[[#This Row],[WNS Res]]^2</f>
        <v>10.557045444702498</v>
      </c>
      <c r="Y188">
        <f>Regression!$J$10+(Regression!$J$9*Table83[[#This Row],[Night Diastolic Pressure]])</f>
        <v>255.29614571632661</v>
      </c>
      <c r="Z188" s="2">
        <f>Table83[[#This Row],[Weight]]-Table7[[#This Row],[Weight v Night Dia]]</f>
        <v>-2.8961457163266004</v>
      </c>
      <c r="AA188" s="2">
        <f>Table7[[#This Row],[WND Res]]^2</f>
        <v>8.3876600101969174</v>
      </c>
      <c r="AB188">
        <f>Regression!$K$10+(Regression!$K$9*Table83[[#This Row],[Night Pulse]])</f>
        <v>255.14086518997797</v>
      </c>
      <c r="AC188" s="2">
        <f>Table83[[#This Row],[Weight]]-Table7[[#This Row],[Weight v Night Pulse]]</f>
        <v>-2.740865189977967</v>
      </c>
      <c r="AD188" s="2">
        <f>Table7[[#This Row],[WNP Res ]]^2</f>
        <v>7.5123419896329571</v>
      </c>
      <c r="AE188">
        <f>Regression!$L$10+(Regression!$L$9*Table83[[#This Row],[Sleep]])</f>
        <v>253.87513299388604</v>
      </c>
      <c r="AF188" s="2">
        <f>Table83[[#This Row],[Weight]]-Table7[[#This Row],[Weight v Sleep]]</f>
        <v>-1.4751329938860351</v>
      </c>
      <c r="AG188" s="2">
        <f>Table7[[#This Row],[WS Res]]^2</f>
        <v>2.1760173496511772</v>
      </c>
      <c r="AH188">
        <f>Regression!$M$10+(Regression!$M$9*Table83[[#This Row],[BMI]])</f>
        <v>252.40000000000609</v>
      </c>
      <c r="AI188" s="2">
        <f>Table83[[#This Row],[Weight]]-Table7[[#This Row],[Weight v BMI]]</f>
        <v>-6.0822458181064576E-12</v>
      </c>
      <c r="AJ188" s="2">
        <f>Table7[[#This Row],[WBMI Res]]^2</f>
        <v>3.6993714191873492E-23</v>
      </c>
      <c r="AK188">
        <f>Regression!$N$10+(Regression!$N$9*Table83[[#This Row],[CBF]])</f>
        <v>256.25609762651322</v>
      </c>
      <c r="AL188" s="2">
        <f>Table83[[#This Row],[Weight]]-Table7[[#This Row],[Weight v CBF]]</f>
        <v>-3.8560976265132183</v>
      </c>
      <c r="AM188" s="2">
        <f>Table7[[#This Row],[WCBF Res]]^2</f>
        <v>14.869488905200875</v>
      </c>
      <c r="AN188">
        <f>Regression!$O$10+(Regression!$O$9*Table83[[#This Row],[Gym]])</f>
        <v>254.72962962962998</v>
      </c>
      <c r="AO188" s="2">
        <f>Table83[[#This Row],[Weight]]-Table7[[#This Row],[Weight v Gym]]</f>
        <v>-2.3296296296299772</v>
      </c>
      <c r="AP188" s="2">
        <f>Table7[[#This Row],[WG Res]]^2</f>
        <v>5.4271742112499046</v>
      </c>
      <c r="AQ188">
        <f>Regression!$P$10+(Regression!$P$9*Table83[[#This Row],[Cardio]])</f>
        <v>256.41063829787231</v>
      </c>
      <c r="AR188" s="2">
        <f>Table83[[#This Row],[Weight]]-Table7[[#This Row],[Weight v Cardio]]</f>
        <v>-4.0106382978723047</v>
      </c>
      <c r="AS188" s="2">
        <f>Table7[[#This Row],[WC Res]]^2</f>
        <v>16.085219556360059</v>
      </c>
      <c r="AT188">
        <f>Regression!$Q$10+(Regression!$Q$9*Table83[[#This Row],[Calories]])</f>
        <v>255.25793079909442</v>
      </c>
      <c r="AU188" s="2">
        <f>Table83[[#This Row],[Weight]]-Table7[[#This Row],[Weight v Calories]]</f>
        <v>-2.8579307990944187</v>
      </c>
      <c r="AV188" s="2">
        <f>Table7[[#This Row],[WCAL Res]]^2</f>
        <v>8.1677684524124619</v>
      </c>
      <c r="AW188">
        <f>Regression!$R$10+(Regression!$R$9*Table83[[#This Row],[Carbs]])</f>
        <v>254.96613425660539</v>
      </c>
      <c r="AX188" s="2">
        <f>Table83[[#This Row],[Weight]]-Table7[[#This Row],[Weight v Carbs]]</f>
        <v>-2.5661342566053804</v>
      </c>
      <c r="AY188" s="2">
        <f>Table7[[#This Row],[Wcarb Res]]^2</f>
        <v>6.5850450229236488</v>
      </c>
      <c r="AZ188">
        <f>Regression!$S$10+(Regression!$S$9*Table83[[#This Row],[Fat ]])</f>
        <v>255.31981376237331</v>
      </c>
      <c r="BA188" s="2">
        <f>Table83[[#This Row],[Weight]]-Table7[[#This Row],[Weight v Fat]]</f>
        <v>-2.9198137623733089</v>
      </c>
      <c r="BB188" s="2">
        <f>Table7[[#This Row],[WF Res]]^2</f>
        <v>8.5253124069445771</v>
      </c>
      <c r="BC188">
        <f>Regression!$T$10+(Regression!$T$9*Table83[[#This Row],[Protein]])</f>
        <v>255.98067253903361</v>
      </c>
      <c r="BD188" s="2">
        <f>Table83[[#This Row],[Weight]]-Table7[[#This Row],[Weight v Protein]]</f>
        <v>-3.5806725390335998</v>
      </c>
      <c r="BE188" s="2">
        <f>Table7[[#This Row],[WP Res]]^2</f>
        <v>12.821215831789326</v>
      </c>
      <c r="BF188">
        <f>Regression!$U$10+(Regression!$U$9*Table83[[#This Row],[Fiber]])</f>
        <v>254.892598131684</v>
      </c>
      <c r="BG188" s="2">
        <f>Table83[[#This Row],[Weight]]-Table7[[#This Row],[Weight v Fiber]]</f>
        <v>-2.4925981316839909</v>
      </c>
      <c r="BH188" s="2">
        <f>Table7[[#This Row],[Wfib Res]]^2</f>
        <v>6.2130454460745224</v>
      </c>
      <c r="BI188">
        <f>Regression!$V$10+(Regression!$V$9*Table83[[#This Row],[Sugar]])</f>
        <v>254.5742883852034</v>
      </c>
      <c r="BJ188" s="2">
        <f>Table83[[#This Row],[Weight]]-Table7[[#This Row],[Weight v Sugar]]</f>
        <v>-2.174288385203397</v>
      </c>
      <c r="BK188" s="2">
        <f>Table7[[#This Row],[Wsugar Res]]^2</f>
        <v>4.7275299820303953</v>
      </c>
      <c r="BL188">
        <f>Regression!$W$10+(Regression!$W$9*Table83[[#This Row],[Servings]])</f>
        <v>255.32278747742367</v>
      </c>
      <c r="BM188" s="2">
        <f>Table83[[#This Row],[Weight]]-Table7[[#This Row],[Weight v Servings]]</f>
        <v>-2.9227874774236682</v>
      </c>
      <c r="BN188" s="2">
        <f>Table7[[#This Row],[Wserv Res]]^2</f>
        <v>8.5426866381846089</v>
      </c>
      <c r="BO188">
        <f>Regression!$X$10+(Regression!$X$9*Table83[[#This Row],[Water]])</f>
        <v>255.10626599365665</v>
      </c>
      <c r="BP188" s="2">
        <f>Table83[[#This Row],[Weight]]-Table7[[#This Row],[Weight v Water]]</f>
        <v>-2.7062659936566433</v>
      </c>
      <c r="BQ188" s="2">
        <f>Table7[[#This Row],[Wwater Res]]^2</f>
        <v>7.3238756284223792</v>
      </c>
      <c r="BR188">
        <f>Regression!$Y$10+(Regression!$Y$9*Table83[[#This Row],[Fat Calories]])</f>
        <v>255.32810892003926</v>
      </c>
      <c r="BS188" s="2">
        <f>Table83[[#This Row],[Weight]]-Table7[[#This Row],[Weight v Fat Calories]]</f>
        <v>-2.9281089200392501</v>
      </c>
      <c r="BT188" s="2">
        <f>Table7[[#This Row],[WFC Res]]^2</f>
        <v>8.5738218476134236</v>
      </c>
      <c r="BU188">
        <f>Regression!$B$29+(Regression!$B$28*Table83[[#This Row],[Weight]])</f>
        <v>44.083581077496696</v>
      </c>
      <c r="BV188" s="2">
        <f>Table83[[#This Row],[Waist]]-Table7[[#This Row],[Waist v Weight]]</f>
        <v>0.41641892250330415</v>
      </c>
      <c r="BW188" s="2">
        <f>Table7[[#This Row],[WaistW Res]]^2</f>
        <v>0.17340471901881283</v>
      </c>
      <c r="BX188">
        <f>Regression!$C$29+(Regression!$C$28*Table83[[#This Row],[Neck]])</f>
        <v>44.175585585585594</v>
      </c>
      <c r="BY188" s="2">
        <f>Table83[[#This Row],[Waist]]-Table7[[#This Row],[Waist v Neck]]</f>
        <v>0.32441441441440588</v>
      </c>
      <c r="BZ188" s="2">
        <f>Table7[[#This Row],[WaistN Res]]^2</f>
        <v>0.10524471227984188</v>
      </c>
      <c r="CA188">
        <f>Regression!$D$29+(Regression!$D$28*Table83[[#This Row],[Morning Body Temp]])</f>
        <v>44.515038370284842</v>
      </c>
      <c r="CB188" s="2">
        <f>Table83[[#This Row],[Waist]]-Table7[[#This Row],[Waist v Morning Temp]]</f>
        <v>-1.5038370284841562E-2</v>
      </c>
      <c r="CC188" s="2">
        <f>Table7[[#This Row],[WaistMT Res]]^2</f>
        <v>2.261525808240057E-4</v>
      </c>
      <c r="CD188">
        <f>Regression!$E$29+(Regression!$E$28*Table83[[#This Row],[Morning Systolic Pressure]])</f>
        <v>44.365161485454784</v>
      </c>
      <c r="CE188" s="2">
        <f>Table83[[#This Row],[Waist]]-Table7[[#This Row],[Waist v Morning Sys]]</f>
        <v>0.13483851454521556</v>
      </c>
      <c r="CF188" s="2">
        <f>Table7[[#This Row],[WaistMS Res]]^2</f>
        <v>1.8181425004760308E-2</v>
      </c>
      <c r="CG188">
        <f>Regression!$F$29+(Regression!$F$28*Table83[[#This Row],[Morning Diastolic Pressure]])</f>
        <v>44.475359150819678</v>
      </c>
      <c r="CH188" s="2">
        <f>Table83[[#This Row],[Waist]]-Table7[[#This Row],[Waist v Morning Dia]]</f>
        <v>2.4640849180322277E-2</v>
      </c>
      <c r="CI188" s="2">
        <f>Table7[[#This Row],[WaistMD Res]]^2</f>
        <v>6.0717144832738909E-4</v>
      </c>
      <c r="CJ188">
        <f>Regression!$G$29+(Regression!$G$28*Table83[[#This Row],[Morning Pulse]])</f>
        <v>44.451218189785358</v>
      </c>
      <c r="CK188" s="2">
        <f>Table83[[#This Row],[Waist]]-Table7[[#This Row],[Waist v Morning Pulse]]</f>
        <v>4.8781810214642007E-2</v>
      </c>
      <c r="CL188" s="2">
        <f>Table7[[#This Row],[WaistMP Res]]^2</f>
        <v>2.3796650078173514E-3</v>
      </c>
      <c r="CM188">
        <f>Regression!$H$29+(Regression!$H$28*Table83[[#This Row],[Night Body Temp]])</f>
        <v>44.481341649878722</v>
      </c>
      <c r="CN188" s="2">
        <f>Table83[[#This Row],[Waist]]-Table7[[#This Row],[Waist v Night Temp]]</f>
        <v>1.8658350121278033E-2</v>
      </c>
      <c r="CO188" s="2">
        <f>Table7[[#This Row],[WaistNT Res]]^2</f>
        <v>3.4813402924819599E-4</v>
      </c>
      <c r="CP188">
        <f>Regression!$I$29+(Regression!$I$28*Table83[[#This Row],[Night Systolic Pressure]])</f>
        <v>44.529199886933277</v>
      </c>
      <c r="CQ188" s="2">
        <f>Table83[[#This Row],[Waist]]-Table7[[#This Row],[Waist v  Night Sys]]</f>
        <v>-2.9199886933277241E-2</v>
      </c>
      <c r="CR188" s="2">
        <f>Table7[[#This Row],[WaistNS Res]]^2</f>
        <v>8.5263339691617494E-4</v>
      </c>
      <c r="CS188">
        <f>Regression!$J$29+(Regression!$J$28*Table83[[#This Row],[Night Diastolic Pressure]])</f>
        <v>44.529363791983499</v>
      </c>
      <c r="CT188" s="2">
        <f>Table83[[#This Row],[Waist]]-Table7[[#This Row],[Waist v Night Dia]]</f>
        <v>-2.9363791983499254E-2</v>
      </c>
      <c r="CU188" s="2">
        <f>Table7[[#This Row],[WaistND Res]]^2</f>
        <v>8.6223227965021509E-4</v>
      </c>
      <c r="CV188">
        <f>Regression!$K$29+(Regression!$K$28*Table83[[#This Row],[Night Pulse]])</f>
        <v>44.451138133632369</v>
      </c>
      <c r="CW188" s="2">
        <f>Table83[[#This Row],[Waist]]-Table7[[#This Row],[Waist v Night Pulse]]</f>
        <v>4.8861866367630569E-2</v>
      </c>
      <c r="CX188" s="2">
        <f>Table7[[#This Row],[WaistNP Res]]^2</f>
        <v>2.3874819849281875E-3</v>
      </c>
      <c r="CY188">
        <f>Regression!$L$29+(Regression!$L$28*Table83[[#This Row],[Sleep]])</f>
        <v>44.264495980875481</v>
      </c>
      <c r="CZ188" s="2">
        <f>Table83[[#This Row],[Waist]]-Table7[[#This Row],[Waist v  Sleep]]</f>
        <v>0.23550401912451946</v>
      </c>
      <c r="DA188" s="2">
        <f>Table7[[#This Row],[WaistS Res]]^2</f>
        <v>5.5462143023802028E-2</v>
      </c>
      <c r="DB188">
        <f>Regression!$M$29+(Regression!$M$28*Table83[[#This Row],[BMI]])</f>
        <v>44.083581077497868</v>
      </c>
      <c r="DC188" s="2">
        <f>Table83[[#This Row],[Waist]]-Table7[[#This Row],[Waist v BMI]]</f>
        <v>0.41641892250213175</v>
      </c>
      <c r="DD188" s="2">
        <f>Table7[[#This Row],[WaistBMI Res]]^2</f>
        <v>0.17340471901783641</v>
      </c>
      <c r="DE188">
        <f>Regression!$N$29+(Regression!$N$28*Table83[[#This Row],[CBF]])</f>
        <v>44.659010290127611</v>
      </c>
      <c r="DF188" s="2">
        <f>Table83[[#This Row],[Waist]]-Table7[[#This Row],[Waist v  CBF]]</f>
        <v>-0.15901029012761114</v>
      </c>
      <c r="DG188" s="2">
        <f>Table7[[#This Row],[WaistCBF Res]]^2</f>
        <v>2.5284272366467068E-2</v>
      </c>
      <c r="DH188">
        <f>Regression!$O$29+(Regression!$O$28*Table83[[#This Row],[Gym]])</f>
        <v>44.347222222222221</v>
      </c>
      <c r="DI188" s="2">
        <f>Table83[[#This Row],[Waist]]-Table7[[#This Row],[Waist v  Gym]]</f>
        <v>0.15277777777777857</v>
      </c>
      <c r="DJ188" s="2">
        <f>Table7[[#This Row],[WaistGYM Res]]^2</f>
        <v>2.3341049382716292E-2</v>
      </c>
      <c r="DK188">
        <f>Regression!$P$29+(Regression!$P$28*Table83[[#This Row],[Cardio]])</f>
        <v>44.680851063829778</v>
      </c>
      <c r="DL188" s="2">
        <f>Table83[[#This Row],[Waist]]-Table7[[#This Row],[Waist v Cardio]]</f>
        <v>-0.18085106382977756</v>
      </c>
      <c r="DM188" s="2">
        <f>Table7[[#This Row],[WaistC Res]]^2</f>
        <v>3.2707107288362278E-2</v>
      </c>
      <c r="DN188">
        <f>Regression!$Q$29+(Regression!$Q$28*Table83[[#This Row],[Calories]])</f>
        <v>44.48564326191191</v>
      </c>
      <c r="DO188" s="2">
        <f>Table83[[#This Row],[Waist]]-Table7[[#This Row],[Waist v Calories]]</f>
        <v>1.4356738088089571E-2</v>
      </c>
      <c r="DP188" s="2">
        <f>Table7[[#This Row],[WaistCal Res]]^2</f>
        <v>2.0611592853000179E-4</v>
      </c>
      <c r="DQ188">
        <f>Regression!$R$29+(Regression!$R$28*Table83[[#This Row],[Carbs]])</f>
        <v>44.422537674733675</v>
      </c>
      <c r="DR188" s="2">
        <f>Table83[[#This Row],[Waist]]-Table7[[#This Row],[Waist v Carbs]]</f>
        <v>7.7462325266324683E-2</v>
      </c>
      <c r="DS188" s="2">
        <f>Table7[[#This Row],[WaistCarb Res]]^2</f>
        <v>6.0004118356658835E-3</v>
      </c>
      <c r="DT188">
        <f>Regression!$S$29+(Regression!$S$28*Table83[[#This Row],[Fat ]])</f>
        <v>44.516133530139733</v>
      </c>
      <c r="DU188" s="2">
        <f>Table83[[#This Row],[Waist]]-Table7[[#This Row],[Waist v Fat]]</f>
        <v>-1.6133530139732954E-2</v>
      </c>
      <c r="DV188" s="2">
        <f>Table7[[#This Row],[WaistF Res]]^2</f>
        <v>2.6029079476967167E-4</v>
      </c>
      <c r="DW188">
        <f>Regression!$T$29+(Regression!$T$28*Table83[[#This Row],[Protein]])</f>
        <v>44.611981955326335</v>
      </c>
      <c r="DX188" s="2">
        <f>Table83[[#This Row],[Waist]]-Table7[[#This Row],[Waist v Protein]]</f>
        <v>-0.11198195532633548</v>
      </c>
      <c r="DY188" s="2">
        <f>Table7[[#This Row],[WaistP Res]]^2</f>
        <v>1.2539958318709396E-2</v>
      </c>
      <c r="DZ188">
        <f>Regression!$U$29+(Regression!$U$28*Table83[[#This Row],[Fiber]])</f>
        <v>44.367706775237764</v>
      </c>
      <c r="EA188" s="2">
        <f>Table83[[#This Row],[Waist]]-Table7[[#This Row],[Waist v Fiber]]</f>
        <v>0.13229322476223615</v>
      </c>
      <c r="EB188" s="2">
        <f>Table7[[#This Row],[WaistFib Res]]^2</f>
        <v>1.7501497317991534E-2</v>
      </c>
      <c r="EC188">
        <f>Regression!$V$29+(Regression!$V$28*Table83[[#This Row],[Sugar]])</f>
        <v>44.35639906336025</v>
      </c>
      <c r="ED188" s="2">
        <f>Table83[[#This Row],[Waist]]-Table7[[#This Row],[Waist v Sugar]]</f>
        <v>0.14360093663974993</v>
      </c>
      <c r="EE188" s="2">
        <f>Table7[[#This Row],[WaistSugar Res]]^2</f>
        <v>2.0621229003813475E-2</v>
      </c>
      <c r="EF188">
        <f>Regression!$W$29+(Regression!$W$28*Table83[[#This Row],[Servings]])</f>
        <v>44.485237978850037</v>
      </c>
      <c r="EG188" s="2">
        <f>Table83[[#This Row],[Waist]]-Table7[[#This Row],[Waist v Servings]]</f>
        <v>1.4762021149962834E-2</v>
      </c>
      <c r="EH188" s="2">
        <f>Table7[[#This Row],[WaistServ Res]]^2</f>
        <v>2.1791726843195004E-4</v>
      </c>
      <c r="EI188">
        <f>Regression!$X$29+(Regression!$X$28*Table83[[#This Row],[Water]])</f>
        <v>44.442082352251923</v>
      </c>
      <c r="EJ188" s="2">
        <f>Table83[[#This Row],[Waist]]-Table7[[#This Row],[Waist v Water]]</f>
        <v>5.7917647748077172E-2</v>
      </c>
      <c r="EK188" s="2">
        <f>Table7[[#This Row],[WaistWat Res]]^2</f>
        <v>3.3544539206703488E-3</v>
      </c>
      <c r="EL188">
        <f>Regression!$Y$29+(Regression!$Y$28*Table83[[#This Row],[Fat Calories]])</f>
        <v>44.518338919210208</v>
      </c>
      <c r="EM188" s="2">
        <f>Table83[[#This Row],[Waist]]-Table7[[#This Row],[Waist v Fat Calories]]</f>
        <v>-1.833891921020836E-2</v>
      </c>
      <c r="EN188" s="2">
        <f>Table7[[#This Row],[WaistFatCal Res]]^2</f>
        <v>3.3631595779854919E-4</v>
      </c>
    </row>
    <row r="189" spans="1:144" x14ac:dyDescent="0.25">
      <c r="A189">
        <f>Regression!$B$10+(Regression!$B$9*Table83[[#This Row],[Waist]])</f>
        <v>255.38023686459636</v>
      </c>
      <c r="B189" s="2">
        <f>Table83[[#This Row],[Weight]]-Table7[[#This Row],[Weight v Waist]]</f>
        <v>-3.3802368645963554</v>
      </c>
      <c r="C189" s="2">
        <f>Table7[[#This Row],[Weight v Waist Res]]^2</f>
        <v>11.4260012607762</v>
      </c>
      <c r="D189">
        <f>Regression!$C$10+(Regression!$C$9*Table83[[#This Row],[Neck]])</f>
        <v>253.29286486487842</v>
      </c>
      <c r="E189" s="2">
        <f>Table83[[#This Row],[Weight]]-Table7[[#This Row],[Weight v Neck]]</f>
        <v>-1.2928648648784247</v>
      </c>
      <c r="F189" s="2">
        <f>Table7[[#This Row],[WN Res]]^2</f>
        <v>1.6714995588371073</v>
      </c>
      <c r="G189">
        <f>Regression!$D$10+(Regression!$D$9*Table83[[#This Row],[Morning Body Temp]])</f>
        <v>255.62275488286326</v>
      </c>
      <c r="H189" s="2">
        <f>Table83[[#This Row],[Weight]]-Table7[[#This Row],[Weight v Morning Temp]]</f>
        <v>-3.6227548828632621</v>
      </c>
      <c r="I189" s="2">
        <f>Table7[[#This Row],[WMT Res]]^2</f>
        <v>13.124352941309608</v>
      </c>
      <c r="J189">
        <f>Regression!$E$10+(Regression!$E$9*Table83[[#This Row],[Morning Systolic Pressure]])</f>
        <v>255.09948662875533</v>
      </c>
      <c r="K189" s="2">
        <f>Table83[[#This Row],[Weight]]-Table7[[#This Row],[Weight v Morning Sys]]</f>
        <v>-3.0994866287553293</v>
      </c>
      <c r="L189" s="2">
        <f>Table7[[#This Row],[WMS Res]]^2</f>
        <v>9.6068173618330768</v>
      </c>
      <c r="M189">
        <f>Regression!$F$10+(Regression!$F$9*Table83[[#This Row],[Morning Diastolic Pressure]])</f>
        <v>255.20338414629154</v>
      </c>
      <c r="N189" s="2">
        <f>Table83[[#This Row],[Weight]]-Table7[[#This Row],[Weight v Morning Dia]]</f>
        <v>-3.2033841462915404</v>
      </c>
      <c r="O189" s="2">
        <f>Table7[[#This Row],[WMD Res]]^2</f>
        <v>10.261669988711981</v>
      </c>
      <c r="P189">
        <f>Regression!$G$10+(Regression!$G$9*Table83[[#This Row],[Morning Pulse]])</f>
        <v>255.11181729864128</v>
      </c>
      <c r="Q189" s="2">
        <f>Table83[[#This Row],[Weight]]-Table7[[#This Row],[Weight v Morning Pulse]]</f>
        <v>-3.1118172986412844</v>
      </c>
      <c r="R189" s="2">
        <f>Table7[[#This Row],[WMP Res]]^2</f>
        <v>9.6834069001231402</v>
      </c>
      <c r="S189">
        <f>Regression!$H$10+(Regression!$H$9*Table83[[#This Row],[Night Body Temp]])</f>
        <v>255.05687981848845</v>
      </c>
      <c r="T189" s="2">
        <f>Table83[[#This Row],[Weight]]-Table7[[#This Row],[Weight v Night Temp]]</f>
        <v>-3.0568798184884542</v>
      </c>
      <c r="U189" s="2">
        <f>Table7[[#This Row],[WNT Res]]^2</f>
        <v>9.3445142246820048</v>
      </c>
      <c r="V189">
        <f>Regression!$I$10+(Regression!$I$9*Table83[[#This Row],[Night Systolic Pressure]])</f>
        <v>254.00684338482557</v>
      </c>
      <c r="W189" s="2">
        <f>Table83[[#This Row],[Weight]]-Table7[[#This Row],[Weight v Night Sys]]</f>
        <v>-2.0068433848255722</v>
      </c>
      <c r="X189" s="2">
        <f>Table7[[#This Row],[WNS Res]]^2</f>
        <v>4.0274203712181595</v>
      </c>
      <c r="Y189">
        <f>Regression!$J$10+(Regression!$J$9*Table83[[#This Row],[Night Diastolic Pressure]])</f>
        <v>255.25537984791052</v>
      </c>
      <c r="Z189" s="2">
        <f>Table83[[#This Row],[Weight]]-Table7[[#This Row],[Weight v Night Dia]]</f>
        <v>-3.2553798479105183</v>
      </c>
      <c r="AA189" s="2">
        <f>Table7[[#This Row],[WND Res]]^2</f>
        <v>10.597497954181909</v>
      </c>
      <c r="AB189">
        <f>Regression!$K$10+(Regression!$K$9*Table83[[#This Row],[Night Pulse]])</f>
        <v>255.20229185245142</v>
      </c>
      <c r="AC189" s="2">
        <f>Table83[[#This Row],[Weight]]-Table7[[#This Row],[Weight v Night Pulse]]</f>
        <v>-3.2022918524514239</v>
      </c>
      <c r="AD189" s="2">
        <f>Table7[[#This Row],[WNP Res ]]^2</f>
        <v>10.254673108276773</v>
      </c>
      <c r="AE189">
        <f>Regression!$L$10+(Regression!$L$9*Table83[[#This Row],[Sleep]])</f>
        <v>255.05816118153788</v>
      </c>
      <c r="AF189" s="2">
        <f>Table83[[#This Row],[Weight]]-Table7[[#This Row],[Weight v Sleep]]</f>
        <v>-3.0581611815378835</v>
      </c>
      <c r="AG189" s="2">
        <f>Table7[[#This Row],[WS Res]]^2</f>
        <v>9.3523498122651834</v>
      </c>
      <c r="AH189">
        <f>Regression!$M$10+(Regression!$M$9*Table83[[#This Row],[BMI]])</f>
        <v>252.00000000000696</v>
      </c>
      <c r="AI189" s="2">
        <f>Table83[[#This Row],[Weight]]-Table7[[#This Row],[Weight v BMI]]</f>
        <v>-6.9633188104489818E-12</v>
      </c>
      <c r="AJ189" s="2">
        <f>Table7[[#This Row],[WBMI Res]]^2</f>
        <v>4.8487808855952623E-23</v>
      </c>
      <c r="AK189">
        <f>Regression!$N$10+(Regression!$N$9*Table83[[#This Row],[CBF]])</f>
        <v>256.25609762651322</v>
      </c>
      <c r="AL189" s="2">
        <f>Table83[[#This Row],[Weight]]-Table7[[#This Row],[Weight v CBF]]</f>
        <v>-4.256097626513224</v>
      </c>
      <c r="AM189" s="2">
        <f>Table7[[#This Row],[WCBF Res]]^2</f>
        <v>18.114367006411499</v>
      </c>
      <c r="AN189">
        <f>Regression!$O$10+(Regression!$O$9*Table83[[#This Row],[Gym]])</f>
        <v>254.72962962962998</v>
      </c>
      <c r="AO189" s="2">
        <f>Table83[[#This Row],[Weight]]-Table7[[#This Row],[Weight v Gym]]</f>
        <v>-2.7296296296299829</v>
      </c>
      <c r="AP189" s="2">
        <f>Table7[[#This Row],[WG Res]]^2</f>
        <v>7.4508779149539173</v>
      </c>
      <c r="AQ189">
        <f>Regression!$P$10+(Regression!$P$9*Table83[[#This Row],[Cardio]])</f>
        <v>256.41063829787231</v>
      </c>
      <c r="AR189" s="2">
        <f>Table83[[#This Row],[Weight]]-Table7[[#This Row],[Weight v Cardio]]</f>
        <v>-4.4106382978723104</v>
      </c>
      <c r="AS189" s="2">
        <f>Table7[[#This Row],[WC Res]]^2</f>
        <v>19.45373019465795</v>
      </c>
      <c r="AT189">
        <f>Regression!$Q$10+(Regression!$Q$9*Table83[[#This Row],[Calories]])</f>
        <v>254.77370100651524</v>
      </c>
      <c r="AU189" s="2">
        <f>Table83[[#This Row],[Weight]]-Table7[[#This Row],[Weight v Calories]]</f>
        <v>-2.773701006515239</v>
      </c>
      <c r="AV189" s="2">
        <f>Table7[[#This Row],[WCAL Res]]^2</f>
        <v>7.6934172735436501</v>
      </c>
      <c r="AW189">
        <f>Regression!$R$10+(Regression!$R$9*Table83[[#This Row],[Carbs]])</f>
        <v>254.51738344534013</v>
      </c>
      <c r="AX189" s="2">
        <f>Table83[[#This Row],[Weight]]-Table7[[#This Row],[Weight v Carbs]]</f>
        <v>-2.5173834453401298</v>
      </c>
      <c r="AY189" s="2">
        <f>Table7[[#This Row],[Wcarb Res]]^2</f>
        <v>6.3372194108725424</v>
      </c>
      <c r="AZ189">
        <f>Regression!$S$10+(Regression!$S$9*Table83[[#This Row],[Fat ]])</f>
        <v>255.01235869035403</v>
      </c>
      <c r="BA189" s="2">
        <f>Table83[[#This Row],[Weight]]-Table7[[#This Row],[Weight v Fat]]</f>
        <v>-3.0123586903540343</v>
      </c>
      <c r="BB189" s="2">
        <f>Table7[[#This Row],[WF Res]]^2</f>
        <v>9.0743048793514731</v>
      </c>
      <c r="BC189">
        <f>Regression!$T$10+(Regression!$T$9*Table83[[#This Row],[Protein]])</f>
        <v>255.07301128611778</v>
      </c>
      <c r="BD189" s="2">
        <f>Table83[[#This Row],[Weight]]-Table7[[#This Row],[Weight v Protein]]</f>
        <v>-3.0730112861177759</v>
      </c>
      <c r="BE189" s="2">
        <f>Table7[[#This Row],[WP Res]]^2</f>
        <v>9.4433983646072264</v>
      </c>
      <c r="BF189">
        <f>Regression!$U$10+(Regression!$U$9*Table83[[#This Row],[Fiber]])</f>
        <v>254.97241079904023</v>
      </c>
      <c r="BG189" s="2">
        <f>Table83[[#This Row],[Weight]]-Table7[[#This Row],[Weight v Fiber]]</f>
        <v>-2.9724107990402331</v>
      </c>
      <c r="BH189" s="2">
        <f>Table7[[#This Row],[Wfib Res]]^2</f>
        <v>8.8352259582509962</v>
      </c>
      <c r="BI189">
        <f>Regression!$V$10+(Regression!$V$9*Table83[[#This Row],[Sugar]])</f>
        <v>253.96243403672838</v>
      </c>
      <c r="BJ189" s="2">
        <f>Table83[[#This Row],[Weight]]-Table7[[#This Row],[Weight v Sugar]]</f>
        <v>-1.9624340367283821</v>
      </c>
      <c r="BK189" s="2">
        <f>Table7[[#This Row],[Wsugar Res]]^2</f>
        <v>3.8511473485100529</v>
      </c>
      <c r="BL189">
        <f>Regression!$W$10+(Regression!$W$9*Table83[[#This Row],[Servings]])</f>
        <v>252.79994509525437</v>
      </c>
      <c r="BM189" s="2">
        <f>Table83[[#This Row],[Weight]]-Table7[[#This Row],[Weight v Servings]]</f>
        <v>-0.79994509525437252</v>
      </c>
      <c r="BN189" s="2">
        <f>Table7[[#This Row],[Wserv Res]]^2</f>
        <v>0.63991215542152713</v>
      </c>
      <c r="BO189">
        <f>Regression!$X$10+(Regression!$X$9*Table83[[#This Row],[Water]])</f>
        <v>255.10626599365665</v>
      </c>
      <c r="BP189" s="2">
        <f>Table83[[#This Row],[Weight]]-Table7[[#This Row],[Weight v Water]]</f>
        <v>-3.106265993656649</v>
      </c>
      <c r="BQ189" s="2">
        <f>Table7[[#This Row],[Wwater Res]]^2</f>
        <v>9.6488884233477297</v>
      </c>
      <c r="BR189">
        <f>Regression!$Y$10+(Regression!$Y$9*Table83[[#This Row],[Fat Calories]])</f>
        <v>255.00089937734964</v>
      </c>
      <c r="BS189" s="2">
        <f>Table83[[#This Row],[Weight]]-Table7[[#This Row],[Weight v Fat Calories]]</f>
        <v>-3.00089937734964</v>
      </c>
      <c r="BT189" s="2">
        <f>Table7[[#This Row],[WFC Res]]^2</f>
        <v>9.0053970729774573</v>
      </c>
      <c r="BU189">
        <f>Regression!$B$29+(Regression!$B$28*Table83[[#This Row],[Weight]])</f>
        <v>44.029076073268705</v>
      </c>
      <c r="BV189" s="2">
        <f>Table83[[#This Row],[Waist]]-Table7[[#This Row],[Waist v Weight]]</f>
        <v>0.47092392673129524</v>
      </c>
      <c r="BW189" s="2">
        <f>Table7[[#This Row],[WaistW Res]]^2</f>
        <v>0.22176934476802232</v>
      </c>
      <c r="BX189">
        <f>Regression!$C$29+(Regression!$C$28*Table83[[#This Row],[Neck]])</f>
        <v>44.175585585585594</v>
      </c>
      <c r="BY189" s="2">
        <f>Table83[[#This Row],[Waist]]-Table7[[#This Row],[Waist v Neck]]</f>
        <v>0.32441441441440588</v>
      </c>
      <c r="BZ189" s="2">
        <f>Table7[[#This Row],[WaistN Res]]^2</f>
        <v>0.10524471227984188</v>
      </c>
      <c r="CA189">
        <f>Regression!$D$29+(Regression!$D$28*Table83[[#This Row],[Morning Body Temp]])</f>
        <v>44.591625622988346</v>
      </c>
      <c r="CB189" s="2">
        <f>Table83[[#This Row],[Waist]]-Table7[[#This Row],[Waist v Morning Temp]]</f>
        <v>-9.1625622988345867E-2</v>
      </c>
      <c r="CC189" s="2">
        <f>Table7[[#This Row],[WaistMT Res]]^2</f>
        <v>8.3952547880024944E-3</v>
      </c>
      <c r="CD189">
        <f>Regression!$E$29+(Regression!$E$28*Table83[[#This Row],[Morning Systolic Pressure]])</f>
        <v>44.449884727394206</v>
      </c>
      <c r="CE189" s="2">
        <f>Table83[[#This Row],[Waist]]-Table7[[#This Row],[Waist v Morning Sys]]</f>
        <v>5.0115272605793848E-2</v>
      </c>
      <c r="CF189" s="2">
        <f>Table7[[#This Row],[WaistMS Res]]^2</f>
        <v>2.5115405483530314E-3</v>
      </c>
      <c r="CG189">
        <f>Regression!$F$29+(Regression!$F$28*Table83[[#This Row],[Morning Diastolic Pressure]])</f>
        <v>44.458452288813113</v>
      </c>
      <c r="CH189" s="2">
        <f>Table83[[#This Row],[Waist]]-Table7[[#This Row],[Waist v Morning Dia]]</f>
        <v>4.1547711186886715E-2</v>
      </c>
      <c r="CI189" s="2">
        <f>Table7[[#This Row],[WaistMD Res]]^2</f>
        <v>1.7262123048689515E-3</v>
      </c>
      <c r="CJ189">
        <f>Regression!$G$29+(Regression!$G$28*Table83[[#This Row],[Morning Pulse]])</f>
        <v>44.45205769235897</v>
      </c>
      <c r="CK189" s="2">
        <f>Table83[[#This Row],[Waist]]-Table7[[#This Row],[Waist v Morning Pulse]]</f>
        <v>4.7942307641029913E-2</v>
      </c>
      <c r="CL189" s="2">
        <f>Table7[[#This Row],[WaistMP Res]]^2</f>
        <v>2.2984648619471552E-3</v>
      </c>
      <c r="CM189">
        <f>Regression!$H$29+(Regression!$H$28*Table83[[#This Row],[Night Body Temp]])</f>
        <v>44.448953954659181</v>
      </c>
      <c r="CN189" s="2">
        <f>Table83[[#This Row],[Waist]]-Table7[[#This Row],[Waist v Night Temp]]</f>
        <v>5.104604534081858E-2</v>
      </c>
      <c r="CO189" s="2">
        <f>Table7[[#This Row],[WaistNT Res]]^2</f>
        <v>2.605698744936906E-3</v>
      </c>
      <c r="CP189">
        <f>Regression!$I$29+(Regression!$I$28*Table83[[#This Row],[Night Systolic Pressure]])</f>
        <v>44.296558057723466</v>
      </c>
      <c r="CQ189" s="2">
        <f>Table83[[#This Row],[Waist]]-Table7[[#This Row],[Waist v  Night Sys]]</f>
        <v>0.20344194227653389</v>
      </c>
      <c r="CR189" s="2">
        <f>Table7[[#This Row],[WaistNS Res]]^2</f>
        <v>4.1388623877248551E-2</v>
      </c>
      <c r="CS189">
        <f>Regression!$J$29+(Regression!$J$28*Table83[[#This Row],[Night Diastolic Pressure]])</f>
        <v>44.512295846776055</v>
      </c>
      <c r="CT189" s="2">
        <f>Table83[[#This Row],[Waist]]-Table7[[#This Row],[Waist v Night Dia]]</f>
        <v>-1.2295846776055441E-2</v>
      </c>
      <c r="CU189" s="2">
        <f>Table7[[#This Row],[WaistND Res]]^2</f>
        <v>1.5118784794023298E-4</v>
      </c>
      <c r="CV189">
        <f>Regression!$K$29+(Regression!$K$28*Table83[[#This Row],[Night Pulse]])</f>
        <v>44.44542464101044</v>
      </c>
      <c r="CW189" s="2">
        <f>Table83[[#This Row],[Waist]]-Table7[[#This Row],[Waist v Night Pulse]]</f>
        <v>5.4575358989559675E-2</v>
      </c>
      <c r="CX189" s="2">
        <f>Table7[[#This Row],[WaistNP Res]]^2</f>
        <v>2.978469808839312E-3</v>
      </c>
      <c r="CY189">
        <f>Regression!$L$29+(Regression!$L$28*Table83[[#This Row],[Sleep]])</f>
        <v>44.444867110859185</v>
      </c>
      <c r="CZ189" s="2">
        <f>Table83[[#This Row],[Waist]]-Table7[[#This Row],[Waist v  Sleep]]</f>
        <v>5.5132889140814711E-2</v>
      </c>
      <c r="DA189" s="2">
        <f>Table7[[#This Row],[WaistS Res]]^2</f>
        <v>3.0396354650133648E-3</v>
      </c>
      <c r="DB189">
        <f>Regression!$M$29+(Regression!$M$28*Table83[[#This Row],[BMI]])</f>
        <v>44.029076073270048</v>
      </c>
      <c r="DC189" s="2">
        <f>Table83[[#This Row],[Waist]]-Table7[[#This Row],[Waist v BMI]]</f>
        <v>0.47092392672995231</v>
      </c>
      <c r="DD189" s="2">
        <f>Table7[[#This Row],[WaistBMI Res]]^2</f>
        <v>0.2217693447667575</v>
      </c>
      <c r="DE189">
        <f>Regression!$N$29+(Regression!$N$28*Table83[[#This Row],[CBF]])</f>
        <v>44.659010290127611</v>
      </c>
      <c r="DF189" s="2">
        <f>Table83[[#This Row],[Waist]]-Table7[[#This Row],[Waist v  CBF]]</f>
        <v>-0.15901029012761114</v>
      </c>
      <c r="DG189" s="2">
        <f>Table7[[#This Row],[WaistCBF Res]]^2</f>
        <v>2.5284272366467068E-2</v>
      </c>
      <c r="DH189">
        <f>Regression!$O$29+(Regression!$O$28*Table83[[#This Row],[Gym]])</f>
        <v>44.347222222222221</v>
      </c>
      <c r="DI189" s="2">
        <f>Table83[[#This Row],[Waist]]-Table7[[#This Row],[Waist v  Gym]]</f>
        <v>0.15277777777777857</v>
      </c>
      <c r="DJ189" s="2">
        <f>Table7[[#This Row],[WaistGYM Res]]^2</f>
        <v>2.3341049382716292E-2</v>
      </c>
      <c r="DK189">
        <f>Regression!$P$29+(Regression!$P$28*Table83[[#This Row],[Cardio]])</f>
        <v>44.680851063829778</v>
      </c>
      <c r="DL189" s="2">
        <f>Table83[[#This Row],[Waist]]-Table7[[#This Row],[Waist v Cardio]]</f>
        <v>-0.18085106382977756</v>
      </c>
      <c r="DM189" s="2">
        <f>Table7[[#This Row],[WaistC Res]]^2</f>
        <v>3.2707107288362278E-2</v>
      </c>
      <c r="DN189">
        <f>Regression!$Q$29+(Regression!$Q$28*Table83[[#This Row],[Calories]])</f>
        <v>44.376847567572931</v>
      </c>
      <c r="DO189" s="2">
        <f>Table83[[#This Row],[Waist]]-Table7[[#This Row],[Waist v Calories]]</f>
        <v>0.12315243242706941</v>
      </c>
      <c r="DP189" s="2">
        <f>Table7[[#This Row],[WaistCal Res]]^2</f>
        <v>1.5166521612703899E-2</v>
      </c>
      <c r="DQ189">
        <f>Regression!$R$29+(Regression!$R$28*Table83[[#This Row],[Carbs]])</f>
        <v>44.329110503870375</v>
      </c>
      <c r="DR189" s="2">
        <f>Table83[[#This Row],[Waist]]-Table7[[#This Row],[Waist v Carbs]]</f>
        <v>0.17088949612962523</v>
      </c>
      <c r="DS189" s="2">
        <f>Table7[[#This Row],[WaistCarb Res]]^2</f>
        <v>2.9203219887437196E-2</v>
      </c>
      <c r="DT189">
        <f>Regression!$S$29+(Regression!$S$28*Table83[[#This Row],[Fat ]])</f>
        <v>44.422151021206034</v>
      </c>
      <c r="DU189" s="2">
        <f>Table83[[#This Row],[Waist]]-Table7[[#This Row],[Waist v Fat]]</f>
        <v>7.7848978793966239E-2</v>
      </c>
      <c r="DV189" s="2">
        <f>Table7[[#This Row],[WaistF Res]]^2</f>
        <v>6.0604634992634052E-3</v>
      </c>
      <c r="DW189">
        <f>Regression!$T$29+(Regression!$T$28*Table83[[#This Row],[Protein]])</f>
        <v>44.445846229647856</v>
      </c>
      <c r="DX189" s="2">
        <f>Table83[[#This Row],[Waist]]-Table7[[#This Row],[Waist v Protein]]</f>
        <v>5.4153770352144193E-2</v>
      </c>
      <c r="DY189" s="2">
        <f>Table7[[#This Row],[WaistP Res]]^2</f>
        <v>2.9326308433527712E-3</v>
      </c>
      <c r="DZ189">
        <f>Regression!$U$29+(Regression!$U$28*Table83[[#This Row],[Fiber]])</f>
        <v>44.398503287264646</v>
      </c>
      <c r="EA189" s="2">
        <f>Table83[[#This Row],[Waist]]-Table7[[#This Row],[Waist v Fiber]]</f>
        <v>0.10149671273535432</v>
      </c>
      <c r="EB189" s="2">
        <f>Table7[[#This Row],[WaistFib Res]]^2</f>
        <v>1.0301582696083037E-2</v>
      </c>
      <c r="EC189">
        <f>Regression!$V$29+(Regression!$V$28*Table83[[#This Row],[Sugar]])</f>
        <v>44.246486253684736</v>
      </c>
      <c r="ED189" s="2">
        <f>Table83[[#This Row],[Waist]]-Table7[[#This Row],[Waist v Sugar]]</f>
        <v>0.25351374631526369</v>
      </c>
      <c r="EE189" s="2">
        <f>Table7[[#This Row],[WaistSugar Res]]^2</f>
        <v>6.4269219570799868E-2</v>
      </c>
      <c r="EF189">
        <f>Regression!$W$29+(Regression!$W$28*Table83[[#This Row],[Servings]])</f>
        <v>44.10029426187338</v>
      </c>
      <c r="EG189" s="2">
        <f>Table83[[#This Row],[Waist]]-Table7[[#This Row],[Waist v Servings]]</f>
        <v>0.39970573812662025</v>
      </c>
      <c r="EH189" s="2">
        <f>Table7[[#This Row],[WaistServ Res]]^2</f>
        <v>0.15976467709134631</v>
      </c>
      <c r="EI189">
        <f>Regression!$X$29+(Regression!$X$28*Table83[[#This Row],[Water]])</f>
        <v>44.442082352251923</v>
      </c>
      <c r="EJ189" s="2">
        <f>Table83[[#This Row],[Waist]]-Table7[[#This Row],[Waist v Water]]</f>
        <v>5.7917647748077172E-2</v>
      </c>
      <c r="EK189" s="2">
        <f>Table7[[#This Row],[WaistWat Res]]^2</f>
        <v>3.3544539206703488E-3</v>
      </c>
      <c r="EL189">
        <f>Regression!$Y$29+(Regression!$Y$28*Table83[[#This Row],[Fat Calories]])</f>
        <v>44.418825084229034</v>
      </c>
      <c r="EM189" s="2">
        <f>Table83[[#This Row],[Waist]]-Table7[[#This Row],[Waist v Fat Calories]]</f>
        <v>8.1174915770965583E-2</v>
      </c>
      <c r="EN189" s="2">
        <f>Table7[[#This Row],[WaistFatCal Res]]^2</f>
        <v>6.5893669504233573E-3</v>
      </c>
    </row>
    <row r="190" spans="1:144" x14ac:dyDescent="0.25">
      <c r="A190">
        <f>Regression!$B$10+(Regression!$B$9*Table83[[#This Row],[Waist]])</f>
        <v>255.38023686459636</v>
      </c>
      <c r="B190" s="2">
        <f>Table83[[#This Row],[Weight]]-Table7[[#This Row],[Weight v Waist]]</f>
        <v>-2.3802368645963554</v>
      </c>
      <c r="C190" s="2">
        <f>Table7[[#This Row],[Weight v Waist Res]]^2</f>
        <v>5.6655275315834892</v>
      </c>
      <c r="D190">
        <f>Regression!$C$10+(Regression!$C$9*Table83[[#This Row],[Neck]])</f>
        <v>253.29286486487842</v>
      </c>
      <c r="E190" s="2">
        <f>Table83[[#This Row],[Weight]]-Table7[[#This Row],[Weight v Neck]]</f>
        <v>-0.29286486487842467</v>
      </c>
      <c r="F190" s="2">
        <f>Table7[[#This Row],[WN Res]]^2</f>
        <v>8.5769829080257945E-2</v>
      </c>
      <c r="G190">
        <f>Regression!$D$10+(Regression!$D$9*Table83[[#This Row],[Morning Body Temp]])</f>
        <v>254.7075736779725</v>
      </c>
      <c r="H190" s="2">
        <f>Table83[[#This Row],[Weight]]-Table7[[#This Row],[Weight v Morning Temp]]</f>
        <v>-1.7075736779725048</v>
      </c>
      <c r="I190" s="2">
        <f>Table7[[#This Row],[WMT Res]]^2</f>
        <v>2.9158078657045476</v>
      </c>
      <c r="J190">
        <f>Regression!$E$10+(Regression!$E$9*Table83[[#This Row],[Morning Systolic Pressure]])</f>
        <v>255.7756446867061</v>
      </c>
      <c r="K190" s="2">
        <f>Table83[[#This Row],[Weight]]-Table7[[#This Row],[Weight v Morning Sys]]</f>
        <v>-2.7756446867061015</v>
      </c>
      <c r="L190" s="2">
        <f>Table7[[#This Row],[WMS Res]]^2</f>
        <v>7.704203426839813</v>
      </c>
      <c r="M190">
        <f>Regression!$F$10+(Regression!$F$9*Table83[[#This Row],[Morning Diastolic Pressure]])</f>
        <v>255.20338414629154</v>
      </c>
      <c r="N190" s="2">
        <f>Table83[[#This Row],[Weight]]-Table7[[#This Row],[Weight v Morning Dia]]</f>
        <v>-2.2033841462915404</v>
      </c>
      <c r="O190" s="2">
        <f>Table7[[#This Row],[WMD Res]]^2</f>
        <v>4.8549016961289002</v>
      </c>
      <c r="P190">
        <f>Regression!$G$10+(Regression!$G$9*Table83[[#This Row],[Morning Pulse]])</f>
        <v>255.10267831985533</v>
      </c>
      <c r="Q190" s="2">
        <f>Table83[[#This Row],[Weight]]-Table7[[#This Row],[Weight v Morning Pulse]]</f>
        <v>-2.1026783198553289</v>
      </c>
      <c r="R190" s="2">
        <f>Table7[[#This Row],[WMP Res]]^2</f>
        <v>4.4212561167896292</v>
      </c>
      <c r="S190">
        <f>Regression!$H$10+(Regression!$H$9*Table83[[#This Row],[Night Body Temp]])</f>
        <v>254.95418324800676</v>
      </c>
      <c r="T190" s="2">
        <f>Table83[[#This Row],[Weight]]-Table7[[#This Row],[Weight v Night Temp]]</f>
        <v>-1.9541832480067569</v>
      </c>
      <c r="U190" s="2">
        <f>Table7[[#This Row],[WNT Res]]^2</f>
        <v>3.8188321667902381</v>
      </c>
      <c r="V190">
        <f>Regression!$I$10+(Regression!$I$9*Table83[[#This Row],[Night Systolic Pressure]])</f>
        <v>254.52006755496794</v>
      </c>
      <c r="W190" s="2">
        <f>Table83[[#This Row],[Weight]]-Table7[[#This Row],[Weight v Night Sys]]</f>
        <v>-1.5200675549679374</v>
      </c>
      <c r="X190" s="2">
        <f>Table7[[#This Row],[WNS Res]]^2</f>
        <v>2.3106053716662034</v>
      </c>
      <c r="Y190">
        <f>Regression!$J$10+(Regression!$J$9*Table83[[#This Row],[Night Diastolic Pressure]])</f>
        <v>255.66303853207154</v>
      </c>
      <c r="Z190" s="2">
        <f>Table83[[#This Row],[Weight]]-Table7[[#This Row],[Weight v Night Dia]]</f>
        <v>-2.6630385320715391</v>
      </c>
      <c r="AA190" s="2">
        <f>Table7[[#This Row],[WND Res]]^2</f>
        <v>7.0917742232977377</v>
      </c>
      <c r="AB190">
        <f>Regression!$K$10+(Regression!$K$9*Table83[[#This Row],[Night Pulse]])</f>
        <v>254.95658520255759</v>
      </c>
      <c r="AC190" s="2">
        <f>Table83[[#This Row],[Weight]]-Table7[[#This Row],[Weight v Night Pulse]]</f>
        <v>-1.9565852025575907</v>
      </c>
      <c r="AD190" s="2">
        <f>Table7[[#This Row],[WNP Res ]]^2</f>
        <v>3.8282256548673281</v>
      </c>
      <c r="AE190">
        <f>Regression!$L$10+(Regression!$L$9*Table83[[#This Row],[Sleep]])</f>
        <v>254.97929263569441</v>
      </c>
      <c r="AF190" s="2">
        <f>Table83[[#This Row],[Weight]]-Table7[[#This Row],[Weight v Sleep]]</f>
        <v>-1.9792926356944065</v>
      </c>
      <c r="AG190" s="2">
        <f>Table7[[#This Row],[WS Res]]^2</f>
        <v>3.9175993377141105</v>
      </c>
      <c r="AH190">
        <f>Regression!$M$10+(Regression!$M$9*Table83[[#This Row],[BMI]])</f>
        <v>253.00000000000475</v>
      </c>
      <c r="AI190" s="2">
        <f>Table83[[#This Row],[Weight]]-Table7[[#This Row],[Weight v BMI]]</f>
        <v>-4.7464254748774692E-12</v>
      </c>
      <c r="AJ190" s="2">
        <f>Table7[[#This Row],[WBMI Res]]^2</f>
        <v>2.2528554788565809E-23</v>
      </c>
      <c r="AK190">
        <f>Regression!$N$10+(Regression!$N$9*Table83[[#This Row],[CBF]])</f>
        <v>256.25609762651322</v>
      </c>
      <c r="AL190" s="2">
        <f>Table83[[#This Row],[Weight]]-Table7[[#This Row],[Weight v CBF]]</f>
        <v>-3.256097626513224</v>
      </c>
      <c r="AM190" s="2">
        <f>Table7[[#This Row],[WCBF Res]]^2</f>
        <v>10.602171753385051</v>
      </c>
      <c r="AN190">
        <f>Regression!$O$10+(Regression!$O$9*Table83[[#This Row],[Gym]])</f>
        <v>254.72962962962998</v>
      </c>
      <c r="AO190" s="2">
        <f>Table83[[#This Row],[Weight]]-Table7[[#This Row],[Weight v Gym]]</f>
        <v>-1.7296296296299829</v>
      </c>
      <c r="AP190" s="2">
        <f>Table7[[#This Row],[WG Res]]^2</f>
        <v>2.9916186556939519</v>
      </c>
      <c r="AQ190">
        <f>Regression!$P$10+(Regression!$P$9*Table83[[#This Row],[Cardio]])</f>
        <v>256.41063829787231</v>
      </c>
      <c r="AR190" s="2">
        <f>Table83[[#This Row],[Weight]]-Table7[[#This Row],[Weight v Cardio]]</f>
        <v>-3.4106382978723104</v>
      </c>
      <c r="AS190" s="2">
        <f>Table7[[#This Row],[WC Res]]^2</f>
        <v>11.632453598913331</v>
      </c>
      <c r="AT190">
        <f>Regression!$Q$10+(Regression!$Q$9*Table83[[#This Row],[Calories]])</f>
        <v>255.45579065128985</v>
      </c>
      <c r="AU190" s="2">
        <f>Table83[[#This Row],[Weight]]-Table7[[#This Row],[Weight v Calories]]</f>
        <v>-2.4557906512898455</v>
      </c>
      <c r="AV190" s="2">
        <f>Table7[[#This Row],[WCAL Res]]^2</f>
        <v>6.0309077229626036</v>
      </c>
      <c r="AW190">
        <f>Regression!$R$10+(Regression!$R$9*Table83[[#This Row],[Carbs]])</f>
        <v>255.41282204724652</v>
      </c>
      <c r="AX190" s="2">
        <f>Table83[[#This Row],[Weight]]-Table7[[#This Row],[Weight v Carbs]]</f>
        <v>-2.4128220472465216</v>
      </c>
      <c r="AY190" s="2">
        <f>Table7[[#This Row],[Wcarb Res]]^2</f>
        <v>5.821710231678896</v>
      </c>
      <c r="AZ190">
        <f>Regression!$S$10+(Regression!$S$9*Table83[[#This Row],[Fat ]])</f>
        <v>255.315413288402</v>
      </c>
      <c r="BA190" s="2">
        <f>Table83[[#This Row],[Weight]]-Table7[[#This Row],[Weight v Fat]]</f>
        <v>-2.3154132884019987</v>
      </c>
      <c r="BB190" s="2">
        <f>Table7[[#This Row],[WF Res]]^2</f>
        <v>5.361138696108557</v>
      </c>
      <c r="BC190">
        <f>Regression!$T$10+(Regression!$T$9*Table83[[#This Row],[Protein]])</f>
        <v>255.51557841008523</v>
      </c>
      <c r="BD190" s="2">
        <f>Table83[[#This Row],[Weight]]-Table7[[#This Row],[Weight v Protein]]</f>
        <v>-2.5155784100852259</v>
      </c>
      <c r="BE190" s="2">
        <f>Table7[[#This Row],[WP Res]]^2</f>
        <v>6.3281347372869128</v>
      </c>
      <c r="BF190">
        <f>Regression!$U$10+(Regression!$U$9*Table83[[#This Row],[Fiber]])</f>
        <v>255.22975856840333</v>
      </c>
      <c r="BG190" s="2">
        <f>Table83[[#This Row],[Weight]]-Table7[[#This Row],[Weight v Fiber]]</f>
        <v>-2.2297585684033265</v>
      </c>
      <c r="BH190" s="2">
        <f>Table7[[#This Row],[Wfib Res]]^2</f>
        <v>4.9718232733680523</v>
      </c>
      <c r="BI190">
        <f>Regression!$V$10+(Regression!$V$9*Table83[[#This Row],[Sugar]])</f>
        <v>255.57777744888796</v>
      </c>
      <c r="BJ190" s="2">
        <f>Table83[[#This Row],[Weight]]-Table7[[#This Row],[Weight v Sugar]]</f>
        <v>-2.5777774488879572</v>
      </c>
      <c r="BK190" s="2">
        <f>Table7[[#This Row],[Wsugar Res]]^2</f>
        <v>6.6449365759953052</v>
      </c>
      <c r="BL190">
        <f>Regression!$W$10+(Regression!$W$9*Table83[[#This Row],[Servings]])</f>
        <v>254.93174690818742</v>
      </c>
      <c r="BM190" s="2">
        <f>Table83[[#This Row],[Weight]]-Table7[[#This Row],[Weight v Servings]]</f>
        <v>-1.9317469081874208</v>
      </c>
      <c r="BN190" s="2">
        <f>Table7[[#This Row],[Wserv Res]]^2</f>
        <v>3.7316461172916595</v>
      </c>
      <c r="BO190">
        <f>Regression!$X$10+(Regression!$X$9*Table83[[#This Row],[Water]])</f>
        <v>255.10626599365665</v>
      </c>
      <c r="BP190" s="2">
        <f>Table83[[#This Row],[Weight]]-Table7[[#This Row],[Weight v Water]]</f>
        <v>-2.106265993656649</v>
      </c>
      <c r="BQ190" s="2">
        <f>Table7[[#This Row],[Wwater Res]]^2</f>
        <v>4.4363564360344308</v>
      </c>
      <c r="BR190">
        <f>Regression!$Y$10+(Regression!$Y$9*Table83[[#This Row],[Fat Calories]])</f>
        <v>255.32342570871242</v>
      </c>
      <c r="BS190" s="2">
        <f>Table83[[#This Row],[Weight]]-Table7[[#This Row],[Weight v Fat Calories]]</f>
        <v>-2.3234257087124206</v>
      </c>
      <c r="BT190" s="2">
        <f>Table7[[#This Row],[WFC Res]]^2</f>
        <v>5.3983070239058142</v>
      </c>
      <c r="BU190">
        <f>Regression!$B$29+(Regression!$B$28*Table83[[#This Row],[Weight]])</f>
        <v>44.165338583838682</v>
      </c>
      <c r="BV190" s="2">
        <f>Table83[[#This Row],[Waist]]-Table7[[#This Row],[Waist v Weight]]</f>
        <v>0.3346614161613175</v>
      </c>
      <c r="BW190" s="2">
        <f>Table7[[#This Row],[WaistW Res]]^2</f>
        <v>0.11199826346709854</v>
      </c>
      <c r="BX190">
        <f>Regression!$C$29+(Regression!$C$28*Table83[[#This Row],[Neck]])</f>
        <v>44.175585585585594</v>
      </c>
      <c r="BY190" s="2">
        <f>Table83[[#This Row],[Waist]]-Table7[[#This Row],[Waist v Neck]]</f>
        <v>0.32441441441440588</v>
      </c>
      <c r="BZ190" s="2">
        <f>Table7[[#This Row],[WaistN Res]]^2</f>
        <v>0.10524471227984188</v>
      </c>
      <c r="CA190">
        <f>Regression!$D$29+(Regression!$D$28*Table83[[#This Row],[Morning Body Temp]])</f>
        <v>44.342717051701939</v>
      </c>
      <c r="CB190" s="2">
        <f>Table83[[#This Row],[Waist]]-Table7[[#This Row],[Waist v Morning Temp]]</f>
        <v>0.15728294829806089</v>
      </c>
      <c r="CC190" s="2">
        <f>Table7[[#This Row],[WaistMT Res]]^2</f>
        <v>2.4737925825330496E-2</v>
      </c>
      <c r="CD190">
        <f>Regression!$E$29+(Regression!$E$28*Table83[[#This Row],[Morning Systolic Pressure]])</f>
        <v>44.60874080603061</v>
      </c>
      <c r="CE190" s="2">
        <f>Table83[[#This Row],[Waist]]-Table7[[#This Row],[Waist v Morning Sys]]</f>
        <v>-0.10874080603061032</v>
      </c>
      <c r="CF190" s="2">
        <f>Table7[[#This Row],[WaistMS Res]]^2</f>
        <v>1.1824562896186816E-2</v>
      </c>
      <c r="CG190">
        <f>Regression!$F$29+(Regression!$F$28*Table83[[#This Row],[Morning Diastolic Pressure]])</f>
        <v>44.458452288813113</v>
      </c>
      <c r="CH190" s="2">
        <f>Table83[[#This Row],[Waist]]-Table7[[#This Row],[Waist v Morning Dia]]</f>
        <v>4.1547711186886715E-2</v>
      </c>
      <c r="CI190" s="2">
        <f>Table7[[#This Row],[WaistMD Res]]^2</f>
        <v>1.7262123048689515E-3</v>
      </c>
      <c r="CJ190">
        <f>Regression!$G$29+(Regression!$G$28*Table83[[#This Row],[Morning Pulse]])</f>
        <v>44.447860179490903</v>
      </c>
      <c r="CK190" s="2">
        <f>Table83[[#This Row],[Waist]]-Table7[[#This Row],[Waist v Morning Pulse]]</f>
        <v>5.213982050909749E-2</v>
      </c>
      <c r="CL190" s="2">
        <f>Table7[[#This Row],[WaistMP Res]]^2</f>
        <v>2.7185608827209034E-3</v>
      </c>
      <c r="CM190">
        <f>Regression!$H$29+(Regression!$H$28*Table83[[#This Row],[Night Body Temp]])</f>
        <v>44.440857030854289</v>
      </c>
      <c r="CN190" s="2">
        <f>Table83[[#This Row],[Waist]]-Table7[[#This Row],[Waist v Night Temp]]</f>
        <v>5.9142969145710822E-2</v>
      </c>
      <c r="CO190" s="2">
        <f>Table7[[#This Row],[WaistNT Res]]^2</f>
        <v>3.4978907993705021E-3</v>
      </c>
      <c r="CP190">
        <f>Regression!$I$29+(Regression!$I$28*Table83[[#This Row],[Night Systolic Pressure]])</f>
        <v>44.369258629351535</v>
      </c>
      <c r="CQ190" s="2">
        <f>Table83[[#This Row],[Waist]]-Table7[[#This Row],[Waist v  Night Sys]]</f>
        <v>0.13074137064846525</v>
      </c>
      <c r="CR190" s="2">
        <f>Table7[[#This Row],[WaistNS Res]]^2</f>
        <v>1.7093305999039372E-2</v>
      </c>
      <c r="CS190">
        <f>Regression!$J$29+(Regression!$J$28*Table83[[#This Row],[Night Diastolic Pressure]])</f>
        <v>44.682975298850479</v>
      </c>
      <c r="CT190" s="2">
        <f>Table83[[#This Row],[Waist]]-Table7[[#This Row],[Waist v Night Dia]]</f>
        <v>-0.18297529885047936</v>
      </c>
      <c r="CU190" s="2">
        <f>Table7[[#This Row],[WaistND Res]]^2</f>
        <v>3.3479959989422235E-2</v>
      </c>
      <c r="CV190">
        <f>Regression!$K$29+(Regression!$K$28*Table83[[#This Row],[Night Pulse]])</f>
        <v>44.468278611498164</v>
      </c>
      <c r="CW190" s="2">
        <f>Table83[[#This Row],[Waist]]-Table7[[#This Row],[Waist v Night Pulse]]</f>
        <v>3.1721388501836145E-2</v>
      </c>
      <c r="CX190" s="2">
        <f>Table7[[#This Row],[WaistNP Res]]^2</f>
        <v>1.0062464884844223E-3</v>
      </c>
      <c r="CY190">
        <f>Regression!$L$29+(Regression!$L$28*Table83[[#This Row],[Sleep]])</f>
        <v>44.432842368860271</v>
      </c>
      <c r="CZ190" s="2">
        <f>Table83[[#This Row],[Waist]]-Table7[[#This Row],[Waist v  Sleep]]</f>
        <v>6.7157631139728835E-2</v>
      </c>
      <c r="DA190" s="2">
        <f>Table7[[#This Row],[WaistS Res]]^2</f>
        <v>4.5101474202998764E-3</v>
      </c>
      <c r="DB190">
        <f>Regression!$M$29+(Regression!$M$28*Table83[[#This Row],[BMI]])</f>
        <v>44.165338583839599</v>
      </c>
      <c r="DC190" s="2">
        <f>Table83[[#This Row],[Waist]]-Table7[[#This Row],[Waist v BMI]]</f>
        <v>0.3346614161604009</v>
      </c>
      <c r="DD190" s="2">
        <f>Table7[[#This Row],[WaistBMI Res]]^2</f>
        <v>0.11199826346648505</v>
      </c>
      <c r="DE190">
        <f>Regression!$N$29+(Regression!$N$28*Table83[[#This Row],[CBF]])</f>
        <v>44.659010290127611</v>
      </c>
      <c r="DF190" s="2">
        <f>Table83[[#This Row],[Waist]]-Table7[[#This Row],[Waist v  CBF]]</f>
        <v>-0.15901029012761114</v>
      </c>
      <c r="DG190" s="2">
        <f>Table7[[#This Row],[WaistCBF Res]]^2</f>
        <v>2.5284272366467068E-2</v>
      </c>
      <c r="DH190">
        <f>Regression!$O$29+(Regression!$O$28*Table83[[#This Row],[Gym]])</f>
        <v>44.347222222222221</v>
      </c>
      <c r="DI190" s="2">
        <f>Table83[[#This Row],[Waist]]-Table7[[#This Row],[Waist v  Gym]]</f>
        <v>0.15277777777777857</v>
      </c>
      <c r="DJ190" s="2">
        <f>Table7[[#This Row],[WaistGYM Res]]^2</f>
        <v>2.3341049382716292E-2</v>
      </c>
      <c r="DK190">
        <f>Regression!$P$29+(Regression!$P$28*Table83[[#This Row],[Cardio]])</f>
        <v>44.680851063829778</v>
      </c>
      <c r="DL190" s="2">
        <f>Table83[[#This Row],[Waist]]-Table7[[#This Row],[Waist v Cardio]]</f>
        <v>-0.18085106382977756</v>
      </c>
      <c r="DM190" s="2">
        <f>Table7[[#This Row],[WaistC Res]]^2</f>
        <v>3.2707107288362278E-2</v>
      </c>
      <c r="DN190">
        <f>Regression!$Q$29+(Regression!$Q$28*Table83[[#This Row],[Calories]])</f>
        <v>44.530097982235404</v>
      </c>
      <c r="DO190" s="2">
        <f>Table83[[#This Row],[Waist]]-Table7[[#This Row],[Waist v Calories]]</f>
        <v>-3.009798223540372E-2</v>
      </c>
      <c r="DP190" s="2">
        <f>Table7[[#This Row],[WaistCal Res]]^2</f>
        <v>9.0588853464267788E-4</v>
      </c>
      <c r="DQ190">
        <f>Regression!$R$29+(Regression!$R$28*Table83[[#This Row],[Carbs]])</f>
        <v>44.515535337336466</v>
      </c>
      <c r="DR190" s="2">
        <f>Table83[[#This Row],[Waist]]-Table7[[#This Row],[Waist v Carbs]]</f>
        <v>-1.5535337336466171E-2</v>
      </c>
      <c r="DS190" s="2">
        <f>Table7[[#This Row],[WaistCarb Res]]^2</f>
        <v>2.4134670615779983E-4</v>
      </c>
      <c r="DT190">
        <f>Regression!$S$29+(Regression!$S$28*Table83[[#This Row],[Fat ]])</f>
        <v>44.514788398372659</v>
      </c>
      <c r="DU190" s="2">
        <f>Table83[[#This Row],[Waist]]-Table7[[#This Row],[Waist v Fat]]</f>
        <v>-1.4788398372658662E-2</v>
      </c>
      <c r="DV190" s="2">
        <f>Table7[[#This Row],[WaistF Res]]^2</f>
        <v>2.1869672642845335E-4</v>
      </c>
      <c r="DW190">
        <f>Regression!$T$29+(Regression!$T$28*Table83[[#This Row],[Protein]])</f>
        <v>44.526852453132186</v>
      </c>
      <c r="DX190" s="2">
        <f>Table83[[#This Row],[Waist]]-Table7[[#This Row],[Waist v Protein]]</f>
        <v>-2.6852453132185872E-2</v>
      </c>
      <c r="DY190" s="2">
        <f>Table7[[#This Row],[WaistP Res]]^2</f>
        <v>7.2105423921623888E-4</v>
      </c>
      <c r="DZ190">
        <f>Regression!$U$29+(Regression!$U$28*Table83[[#This Row],[Fiber]])</f>
        <v>44.497803485300992</v>
      </c>
      <c r="EA190" s="2">
        <f>Table83[[#This Row],[Waist]]-Table7[[#This Row],[Waist v Fiber]]</f>
        <v>2.1965146990083895E-3</v>
      </c>
      <c r="EB190" s="2">
        <f>Table7[[#This Row],[WaistFib Res]]^2</f>
        <v>4.8246768229599159E-6</v>
      </c>
      <c r="EC190">
        <f>Regression!$V$29+(Regression!$V$28*Table83[[#This Row],[Sugar]])</f>
        <v>44.53666468171064</v>
      </c>
      <c r="ED190" s="2">
        <f>Table83[[#This Row],[Waist]]-Table7[[#This Row],[Waist v Sugar]]</f>
        <v>-3.6664681710639968E-2</v>
      </c>
      <c r="EE190" s="2">
        <f>Table7[[#This Row],[WaistSugar Res]]^2</f>
        <v>1.3442988849425371E-3</v>
      </c>
      <c r="EF190">
        <f>Regression!$W$29+(Regression!$W$28*Table83[[#This Row],[Servings]])</f>
        <v>44.425571702718656</v>
      </c>
      <c r="EG190" s="2">
        <f>Table83[[#This Row],[Waist]]-Table7[[#This Row],[Waist v Servings]]</f>
        <v>7.4428297281343703E-2</v>
      </c>
      <c r="EH190" s="2">
        <f>Table7[[#This Row],[WaistServ Res]]^2</f>
        <v>5.5395714362000744E-3</v>
      </c>
      <c r="EI190">
        <f>Regression!$X$29+(Regression!$X$28*Table83[[#This Row],[Water]])</f>
        <v>44.442082352251923</v>
      </c>
      <c r="EJ190" s="2">
        <f>Table83[[#This Row],[Waist]]-Table7[[#This Row],[Waist v Water]]</f>
        <v>5.7917647748077172E-2</v>
      </c>
      <c r="EK190" s="2">
        <f>Table7[[#This Row],[WaistWat Res]]^2</f>
        <v>3.3544539206703488E-3</v>
      </c>
      <c r="EL190">
        <f>Regression!$Y$29+(Regression!$Y$28*Table83[[#This Row],[Fat Calories]])</f>
        <v>44.516914619920747</v>
      </c>
      <c r="EM190" s="2">
        <f>Table83[[#This Row],[Waist]]-Table7[[#This Row],[Waist v Fat Calories]]</f>
        <v>-1.6914619920747498E-2</v>
      </c>
      <c r="EN190" s="2">
        <f>Table7[[#This Row],[WaistFatCal Res]]^2</f>
        <v>2.8610436706334811E-4</v>
      </c>
    </row>
    <row r="191" spans="1:144" x14ac:dyDescent="0.25">
      <c r="A191">
        <f>Regression!$B$10+(Regression!$B$9*Table83[[#This Row],[Waist]])</f>
        <v>255.38023686459636</v>
      </c>
      <c r="B191" s="2">
        <f>Table83[[#This Row],[Weight]]-Table7[[#This Row],[Weight v Waist]]</f>
        <v>-2.9802368645963497</v>
      </c>
      <c r="C191" s="2">
        <f>Table7[[#This Row],[Weight v Waist Res]]^2</f>
        <v>8.8818117690990821</v>
      </c>
      <c r="D191">
        <f>Regression!$C$10+(Regression!$C$9*Table83[[#This Row],[Neck]])</f>
        <v>253.29286486487842</v>
      </c>
      <c r="E191" s="2">
        <f>Table83[[#This Row],[Weight]]-Table7[[#This Row],[Weight v Neck]]</f>
        <v>-0.89286486487841898</v>
      </c>
      <c r="F191" s="2">
        <f>Table7[[#This Row],[WN Res]]^2</f>
        <v>0.79720766693435741</v>
      </c>
      <c r="G191">
        <f>Regression!$D$10+(Regression!$D$9*Table83[[#This Row],[Morning Body Temp]])</f>
        <v>254.91876934063959</v>
      </c>
      <c r="H191" s="2">
        <f>Table83[[#This Row],[Weight]]-Table7[[#This Row],[Weight v Morning Temp]]</f>
        <v>-2.5187693406395795</v>
      </c>
      <c r="I191" s="2">
        <f>Table7[[#This Row],[WMT Res]]^2</f>
        <v>6.3441989913459418</v>
      </c>
      <c r="J191">
        <f>Regression!$E$10+(Regression!$E$9*Table83[[#This Row],[Morning Systolic Pressure]])</f>
        <v>255.7756446867061</v>
      </c>
      <c r="K191" s="2">
        <f>Table83[[#This Row],[Weight]]-Table7[[#This Row],[Weight v Morning Sys]]</f>
        <v>-3.3756446867060959</v>
      </c>
      <c r="L191" s="2">
        <f>Table7[[#This Row],[WMS Res]]^2</f>
        <v>11.394977050887096</v>
      </c>
      <c r="M191">
        <f>Regression!$F$10+(Regression!$F$9*Table83[[#This Row],[Morning Diastolic Pressure]])</f>
        <v>255.50741689342618</v>
      </c>
      <c r="N191" s="2">
        <f>Table83[[#This Row],[Weight]]-Table7[[#This Row],[Weight v Morning Dia]]</f>
        <v>-3.1074168934261763</v>
      </c>
      <c r="O191" s="2">
        <f>Table7[[#This Row],[WMD Res]]^2</f>
        <v>9.6560397495503878</v>
      </c>
      <c r="P191">
        <f>Regression!$G$10+(Regression!$G$9*Table83[[#This Row],[Morning Pulse]])</f>
        <v>255.11730068591285</v>
      </c>
      <c r="Q191" s="2">
        <f>Table83[[#This Row],[Weight]]-Table7[[#This Row],[Weight v Morning Pulse]]</f>
        <v>-2.7173006859128463</v>
      </c>
      <c r="R191" s="2">
        <f>Table7[[#This Row],[WMP Res]]^2</f>
        <v>7.3837230176624251</v>
      </c>
      <c r="S191">
        <f>Regression!$H$10+(Regression!$H$9*Table83[[#This Row],[Night Body Temp]])</f>
        <v>254.54339696608002</v>
      </c>
      <c r="T191" s="2">
        <f>Table83[[#This Row],[Weight]]-Table7[[#This Row],[Weight v Night Temp]]</f>
        <v>-2.1433969660800187</v>
      </c>
      <c r="U191" s="2">
        <f>Table7[[#This Row],[WNT Res]]^2</f>
        <v>4.594150554201029</v>
      </c>
      <c r="V191">
        <f>Regression!$I$10+(Regression!$I$9*Table83[[#This Row],[Night Systolic Pressure]])</f>
        <v>255.34122622719568</v>
      </c>
      <c r="W191" s="2">
        <f>Table83[[#This Row],[Weight]]-Table7[[#This Row],[Weight v Night Sys]]</f>
        <v>-2.9412262271956706</v>
      </c>
      <c r="X191" s="2">
        <f>Table7[[#This Row],[WNS Res]]^2</f>
        <v>8.6508117195436789</v>
      </c>
      <c r="Y191">
        <f>Regression!$J$10+(Regression!$J$9*Table83[[#This Row],[Night Diastolic Pressure]])</f>
        <v>255.05155050582999</v>
      </c>
      <c r="Z191" s="2">
        <f>Table83[[#This Row],[Weight]]-Table7[[#This Row],[Weight v Night Dia]]</f>
        <v>-2.651550505829988</v>
      </c>
      <c r="AA191" s="2">
        <f>Table7[[#This Row],[WND Res]]^2</f>
        <v>7.0307200849672649</v>
      </c>
      <c r="AB191">
        <f>Regression!$K$10+(Regression!$K$9*Table83[[#This Row],[Night Pulse]])</f>
        <v>254.83373187761069</v>
      </c>
      <c r="AC191" s="2">
        <f>Table83[[#This Row],[Weight]]-Table7[[#This Row],[Weight v Night Pulse]]</f>
        <v>-2.4337318776106827</v>
      </c>
      <c r="AD191" s="2">
        <f>Table7[[#This Row],[WNP Res ]]^2</f>
        <v>5.9230508520984184</v>
      </c>
      <c r="AE191">
        <f>Regression!$L$10+(Regression!$L$9*Table83[[#This Row],[Sleep]])</f>
        <v>255.13702972738133</v>
      </c>
      <c r="AF191" s="2">
        <f>Table83[[#This Row],[Weight]]-Table7[[#This Row],[Weight v Sleep]]</f>
        <v>-2.7370297273813264</v>
      </c>
      <c r="AG191" s="2">
        <f>Table7[[#This Row],[WS Res]]^2</f>
        <v>7.4913317285690981</v>
      </c>
      <c r="AH191">
        <f>Regression!$M$10+(Regression!$M$9*Table83[[#This Row],[BMI]])</f>
        <v>252.40000000000609</v>
      </c>
      <c r="AI191" s="2">
        <f>Table83[[#This Row],[Weight]]-Table7[[#This Row],[Weight v BMI]]</f>
        <v>-6.0822458181064576E-12</v>
      </c>
      <c r="AJ191" s="2">
        <f>Table7[[#This Row],[WBMI Res]]^2</f>
        <v>3.6993714191873492E-23</v>
      </c>
      <c r="AK191">
        <f>Regression!$N$10+(Regression!$N$9*Table83[[#This Row],[CBF]])</f>
        <v>256.25609762651322</v>
      </c>
      <c r="AL191" s="2">
        <f>Table83[[#This Row],[Weight]]-Table7[[#This Row],[Weight v CBF]]</f>
        <v>-3.8560976265132183</v>
      </c>
      <c r="AM191" s="2">
        <f>Table7[[#This Row],[WCBF Res]]^2</f>
        <v>14.869488905200875</v>
      </c>
      <c r="AN191">
        <f>Regression!$O$10+(Regression!$O$9*Table83[[#This Row],[Gym]])</f>
        <v>254.72962962962998</v>
      </c>
      <c r="AO191" s="2">
        <f>Table83[[#This Row],[Weight]]-Table7[[#This Row],[Weight v Gym]]</f>
        <v>-2.3296296296299772</v>
      </c>
      <c r="AP191" s="2">
        <f>Table7[[#This Row],[WG Res]]^2</f>
        <v>5.4271742112499046</v>
      </c>
      <c r="AQ191">
        <f>Regression!$P$10+(Regression!$P$9*Table83[[#This Row],[Cardio]])</f>
        <v>256.41063829787231</v>
      </c>
      <c r="AR191" s="2">
        <f>Table83[[#This Row],[Weight]]-Table7[[#This Row],[Weight v Cardio]]</f>
        <v>-4.0106382978723047</v>
      </c>
      <c r="AS191" s="2">
        <f>Table7[[#This Row],[WC Res]]^2</f>
        <v>16.085219556360059</v>
      </c>
      <c r="AT191">
        <f>Regression!$Q$10+(Regression!$Q$9*Table83[[#This Row],[Calories]])</f>
        <v>253.81284662579171</v>
      </c>
      <c r="AU191" s="2">
        <f>Table83[[#This Row],[Weight]]-Table7[[#This Row],[Weight v Calories]]</f>
        <v>-1.4128466257917012</v>
      </c>
      <c r="AV191" s="2">
        <f>Table7[[#This Row],[WCAL Res]]^2</f>
        <v>1.9961355880109952</v>
      </c>
      <c r="AW191">
        <f>Regression!$R$10+(Regression!$R$9*Table83[[#This Row],[Carbs]])</f>
        <v>253.79842987878101</v>
      </c>
      <c r="AX191" s="2">
        <f>Table83[[#This Row],[Weight]]-Table7[[#This Row],[Weight v Carbs]]</f>
        <v>-1.3984298787810019</v>
      </c>
      <c r="AY191" s="2">
        <f>Table7[[#This Row],[Wcarb Res]]^2</f>
        <v>1.9556061258674475</v>
      </c>
      <c r="AZ191">
        <f>Regression!$S$10+(Regression!$S$9*Table83[[#This Row],[Fat ]])</f>
        <v>254.33547247381316</v>
      </c>
      <c r="BA191" s="2">
        <f>Table83[[#This Row],[Weight]]-Table7[[#This Row],[Weight v Fat]]</f>
        <v>-1.9354724738131495</v>
      </c>
      <c r="BB191" s="2">
        <f>Table7[[#This Row],[WF Res]]^2</f>
        <v>3.7460536968883926</v>
      </c>
      <c r="BC191">
        <f>Regression!$T$10+(Regression!$T$9*Table83[[#This Row],[Protein]])</f>
        <v>253.30212436048029</v>
      </c>
      <c r="BD191" s="2">
        <f>Table83[[#This Row],[Weight]]-Table7[[#This Row],[Weight v Protein]]</f>
        <v>-0.90212436048028621</v>
      </c>
      <c r="BE191" s="2">
        <f>Table7[[#This Row],[WP Res]]^2</f>
        <v>0.81382836177196538</v>
      </c>
      <c r="BF191">
        <f>Regression!$U$10+(Regression!$U$9*Table83[[#This Row],[Fiber]])</f>
        <v>255.32366247337748</v>
      </c>
      <c r="BG191" s="2">
        <f>Table83[[#This Row],[Weight]]-Table7[[#This Row],[Weight v Fiber]]</f>
        <v>-2.9236624733774761</v>
      </c>
      <c r="BH191" s="2">
        <f>Table7[[#This Row],[Wfib Res]]^2</f>
        <v>8.5478022582357003</v>
      </c>
      <c r="BI191">
        <f>Regression!$V$10+(Regression!$V$9*Table83[[#This Row],[Sugar]])</f>
        <v>253.5221867985158</v>
      </c>
      <c r="BJ191" s="2">
        <f>Table83[[#This Row],[Weight]]-Table7[[#This Row],[Weight v Sugar]]</f>
        <v>-1.1221867985157985</v>
      </c>
      <c r="BK191" s="2">
        <f>Table7[[#This Row],[Wsugar Res]]^2</f>
        <v>1.2593032107631374</v>
      </c>
      <c r="BL191">
        <f>Regression!$W$10+(Regression!$W$9*Table83[[#This Row],[Servings]])</f>
        <v>252.32328078456268</v>
      </c>
      <c r="BM191" s="2">
        <f>Table83[[#This Row],[Weight]]-Table7[[#This Row],[Weight v Servings]]</f>
        <v>7.6719215437321964E-2</v>
      </c>
      <c r="BN191" s="2">
        <f>Table7[[#This Row],[Wserv Res]]^2</f>
        <v>5.8858380173182206E-3</v>
      </c>
      <c r="BO191">
        <f>Regression!$X$10+(Regression!$X$9*Table83[[#This Row],[Water]])</f>
        <v>255.1490819770581</v>
      </c>
      <c r="BP191" s="2">
        <f>Table83[[#This Row],[Weight]]-Table7[[#This Row],[Weight v Water]]</f>
        <v>-2.749081977058097</v>
      </c>
      <c r="BQ191" s="2">
        <f>Table7[[#This Row],[Wwater Res]]^2</f>
        <v>7.5574517165856552</v>
      </c>
      <c r="BR191">
        <f>Regression!$Y$10+(Regression!$Y$9*Table83[[#This Row],[Fat Calories]])</f>
        <v>254.2805221595903</v>
      </c>
      <c r="BS191" s="2">
        <f>Table83[[#This Row],[Weight]]-Table7[[#This Row],[Weight v Fat Calories]]</f>
        <v>-1.8805221595902992</v>
      </c>
      <c r="BT191" s="2">
        <f>Table7[[#This Row],[WFC Res]]^2</f>
        <v>3.5363635927101629</v>
      </c>
      <c r="BU191">
        <f>Regression!$B$29+(Regression!$B$28*Table83[[#This Row],[Weight]])</f>
        <v>44.083581077496696</v>
      </c>
      <c r="BV191" s="2">
        <f>Table83[[#This Row],[Waist]]-Table7[[#This Row],[Waist v Weight]]</f>
        <v>0.41641892250330415</v>
      </c>
      <c r="BW191" s="2">
        <f>Table7[[#This Row],[WaistW Res]]^2</f>
        <v>0.17340471901881283</v>
      </c>
      <c r="BX191">
        <f>Regression!$C$29+(Regression!$C$28*Table83[[#This Row],[Neck]])</f>
        <v>44.175585585585594</v>
      </c>
      <c r="BY191" s="2">
        <f>Table83[[#This Row],[Waist]]-Table7[[#This Row],[Waist v Neck]]</f>
        <v>0.32441441441440588</v>
      </c>
      <c r="BZ191" s="2">
        <f>Table7[[#This Row],[WaistN Res]]^2</f>
        <v>0.10524471227984188</v>
      </c>
      <c r="CA191">
        <f>Regression!$D$29+(Regression!$D$28*Table83[[#This Row],[Morning Body Temp]])</f>
        <v>44.400157491229571</v>
      </c>
      <c r="CB191" s="2">
        <f>Table83[[#This Row],[Waist]]-Table7[[#This Row],[Waist v Morning Temp]]</f>
        <v>9.9842508770429106E-2</v>
      </c>
      <c r="CC191" s="2">
        <f>Table7[[#This Row],[WaistMT Res]]^2</f>
        <v>9.9685265575732134E-3</v>
      </c>
      <c r="CD191">
        <f>Regression!$E$29+(Regression!$E$28*Table83[[#This Row],[Morning Systolic Pressure]])</f>
        <v>44.60874080603061</v>
      </c>
      <c r="CE191" s="2">
        <f>Table83[[#This Row],[Waist]]-Table7[[#This Row],[Waist v Morning Sys]]</f>
        <v>-0.10874080603061032</v>
      </c>
      <c r="CF191" s="2">
        <f>Table7[[#This Row],[WaistMS Res]]^2</f>
        <v>1.1824562896186816E-2</v>
      </c>
      <c r="CG191">
        <f>Regression!$F$29+(Regression!$F$28*Table83[[#This Row],[Morning Diastolic Pressure]])</f>
        <v>44.475359150819678</v>
      </c>
      <c r="CH191" s="2">
        <f>Table83[[#This Row],[Waist]]-Table7[[#This Row],[Waist v Morning Dia]]</f>
        <v>2.4640849180322277E-2</v>
      </c>
      <c r="CI191" s="2">
        <f>Table7[[#This Row],[WaistMD Res]]^2</f>
        <v>6.0717144832738909E-4</v>
      </c>
      <c r="CJ191">
        <f>Regression!$G$29+(Regression!$G$28*Table83[[#This Row],[Morning Pulse]])</f>
        <v>44.454576200079806</v>
      </c>
      <c r="CK191" s="2">
        <f>Table83[[#This Row],[Waist]]-Table7[[#This Row],[Waist v Morning Pulse]]</f>
        <v>4.542379992019363E-2</v>
      </c>
      <c r="CL191" s="2">
        <f>Table7[[#This Row],[WaistMP Res]]^2</f>
        <v>2.0633215991897828E-3</v>
      </c>
      <c r="CM191">
        <f>Regression!$H$29+(Regression!$H$28*Table83[[#This Row],[Night Body Temp]])</f>
        <v>44.408469335634749</v>
      </c>
      <c r="CN191" s="2">
        <f>Table83[[#This Row],[Waist]]-Table7[[#This Row],[Waist v Night Temp]]</f>
        <v>9.1530664365251369E-2</v>
      </c>
      <c r="CO191" s="2">
        <f>Table7[[#This Row],[WaistNT Res]]^2</f>
        <v>8.3778625191442968E-3</v>
      </c>
      <c r="CP191">
        <f>Regression!$I$29+(Regression!$I$28*Table83[[#This Row],[Night Systolic Pressure]])</f>
        <v>44.48557954395644</v>
      </c>
      <c r="CQ191" s="2">
        <f>Table83[[#This Row],[Waist]]-Table7[[#This Row],[Waist v  Night Sys]]</f>
        <v>1.4420456043559682E-2</v>
      </c>
      <c r="CR191" s="2">
        <f>Table7[[#This Row],[WaistNS Res]]^2</f>
        <v>2.0794955250423694E-4</v>
      </c>
      <c r="CS191">
        <f>Regression!$J$29+(Regression!$J$28*Table83[[#This Row],[Night Diastolic Pressure]])</f>
        <v>44.426956120738851</v>
      </c>
      <c r="CT191" s="2">
        <f>Table83[[#This Row],[Waist]]-Table7[[#This Row],[Waist v Night Dia]]</f>
        <v>7.3043879261149414E-2</v>
      </c>
      <c r="CU191" s="2">
        <f>Table7[[#This Row],[WaistND Res]]^2</f>
        <v>5.3354082975173734E-3</v>
      </c>
      <c r="CV191">
        <f>Regression!$K$29+(Regression!$K$28*Table83[[#This Row],[Night Pulse]])</f>
        <v>44.479705596742022</v>
      </c>
      <c r="CW191" s="2">
        <f>Table83[[#This Row],[Waist]]-Table7[[#This Row],[Waist v Night Pulse]]</f>
        <v>2.0294403257977933E-2</v>
      </c>
      <c r="CX191" s="2">
        <f>Table7[[#This Row],[WaistNP Res]]^2</f>
        <v>4.1186280359742535E-4</v>
      </c>
      <c r="CY191">
        <f>Regression!$L$29+(Regression!$L$28*Table83[[#This Row],[Sleep]])</f>
        <v>44.456891852858099</v>
      </c>
      <c r="CZ191" s="2">
        <f>Table83[[#This Row],[Waist]]-Table7[[#This Row],[Waist v  Sleep]]</f>
        <v>4.3108147141900588E-2</v>
      </c>
      <c r="DA191" s="2">
        <f>Table7[[#This Row],[WaistS Res]]^2</f>
        <v>1.8583123500077519E-3</v>
      </c>
      <c r="DB191">
        <f>Regression!$M$29+(Regression!$M$28*Table83[[#This Row],[BMI]])</f>
        <v>44.083581077497868</v>
      </c>
      <c r="DC191" s="2">
        <f>Table83[[#This Row],[Waist]]-Table7[[#This Row],[Waist v BMI]]</f>
        <v>0.41641892250213175</v>
      </c>
      <c r="DD191" s="2">
        <f>Table7[[#This Row],[WaistBMI Res]]^2</f>
        <v>0.17340471901783641</v>
      </c>
      <c r="DE191">
        <f>Regression!$N$29+(Regression!$N$28*Table83[[#This Row],[CBF]])</f>
        <v>44.659010290127611</v>
      </c>
      <c r="DF191" s="2">
        <f>Table83[[#This Row],[Waist]]-Table7[[#This Row],[Waist v  CBF]]</f>
        <v>-0.15901029012761114</v>
      </c>
      <c r="DG191" s="2">
        <f>Table7[[#This Row],[WaistCBF Res]]^2</f>
        <v>2.5284272366467068E-2</v>
      </c>
      <c r="DH191">
        <f>Regression!$O$29+(Regression!$O$28*Table83[[#This Row],[Gym]])</f>
        <v>44.347222222222221</v>
      </c>
      <c r="DI191" s="2">
        <f>Table83[[#This Row],[Waist]]-Table7[[#This Row],[Waist v  Gym]]</f>
        <v>0.15277777777777857</v>
      </c>
      <c r="DJ191" s="2">
        <f>Table7[[#This Row],[WaistGYM Res]]^2</f>
        <v>2.3341049382716292E-2</v>
      </c>
      <c r="DK191">
        <f>Regression!$P$29+(Regression!$P$28*Table83[[#This Row],[Cardio]])</f>
        <v>44.680851063829778</v>
      </c>
      <c r="DL191" s="2">
        <f>Table83[[#This Row],[Waist]]-Table7[[#This Row],[Waist v Cardio]]</f>
        <v>-0.18085106382977756</v>
      </c>
      <c r="DM191" s="2">
        <f>Table7[[#This Row],[WaistC Res]]^2</f>
        <v>3.2707107288362278E-2</v>
      </c>
      <c r="DN191">
        <f>Regression!$Q$29+(Regression!$Q$28*Table83[[#This Row],[Calories]])</f>
        <v>44.160964899650594</v>
      </c>
      <c r="DO191" s="2">
        <f>Table83[[#This Row],[Waist]]-Table7[[#This Row],[Waist v Calories]]</f>
        <v>0.33903510034940609</v>
      </c>
      <c r="DP191" s="2">
        <f>Table7[[#This Row],[WaistCal Res]]^2</f>
        <v>0.11494479926893186</v>
      </c>
      <c r="DQ191">
        <f>Regression!$R$29+(Regression!$R$28*Table83[[#This Row],[Carbs]])</f>
        <v>44.179428774011633</v>
      </c>
      <c r="DR191" s="2">
        <f>Table83[[#This Row],[Waist]]-Table7[[#This Row],[Waist v Carbs]]</f>
        <v>0.32057122598836685</v>
      </c>
      <c r="DS191" s="2">
        <f>Table7[[#This Row],[WaistCarb Res]]^2</f>
        <v>0.10276591093168456</v>
      </c>
      <c r="DT191">
        <f>Regression!$S$29+(Regression!$S$28*Table83[[#This Row],[Fat ]])</f>
        <v>44.215241229556348</v>
      </c>
      <c r="DU191" s="2">
        <f>Table83[[#This Row],[Waist]]-Table7[[#This Row],[Waist v Fat]]</f>
        <v>0.28475877044365205</v>
      </c>
      <c r="DV191" s="2">
        <f>Table7[[#This Row],[WaistF Res]]^2</f>
        <v>8.1087557344580521E-2</v>
      </c>
      <c r="DW191">
        <f>Regression!$T$29+(Regression!$T$28*Table83[[#This Row],[Protein]])</f>
        <v>44.121708140090561</v>
      </c>
      <c r="DX191" s="2">
        <f>Table83[[#This Row],[Waist]]-Table7[[#This Row],[Waist v Protein]]</f>
        <v>0.3782918599094387</v>
      </c>
      <c r="DY191" s="2">
        <f>Table7[[#This Row],[WaistP Res]]^2</f>
        <v>0.1431047312737424</v>
      </c>
      <c r="DZ191">
        <f>Regression!$U$29+(Regression!$U$28*Table83[[#This Row],[Fiber]])</f>
        <v>44.534037241604373</v>
      </c>
      <c r="EA191" s="2">
        <f>Table83[[#This Row],[Waist]]-Table7[[#This Row],[Waist v Fiber]]</f>
        <v>-3.4037241604373492E-2</v>
      </c>
      <c r="EB191" s="2">
        <f>Table7[[#This Row],[WaistFib Res]]^2</f>
        <v>1.1585338160344937E-3</v>
      </c>
      <c r="EC191">
        <f>Regression!$V$29+(Regression!$V$28*Table83[[#This Row],[Sugar]])</f>
        <v>44.167400747429141</v>
      </c>
      <c r="ED191" s="2">
        <f>Table83[[#This Row],[Waist]]-Table7[[#This Row],[Waist v Sugar]]</f>
        <v>0.33259925257085854</v>
      </c>
      <c r="EE191" s="2">
        <f>Table7[[#This Row],[WaistSugar Res]]^2</f>
        <v>0.11062226281069375</v>
      </c>
      <c r="EF191">
        <f>Regression!$W$29+(Regression!$W$28*Table83[[#This Row],[Servings]])</f>
        <v>44.02756322928704</v>
      </c>
      <c r="EG191" s="2">
        <f>Table83[[#This Row],[Waist]]-Table7[[#This Row],[Waist v Servings]]</f>
        <v>0.4724367707129602</v>
      </c>
      <c r="EH191" s="2">
        <f>Table7[[#This Row],[WaistServ Res]]^2</f>
        <v>0.22319650232169014</v>
      </c>
      <c r="EI191">
        <f>Regression!$X$29+(Regression!$X$28*Table83[[#This Row],[Water]])</f>
        <v>44.497966229663206</v>
      </c>
      <c r="EJ191" s="2">
        <f>Table83[[#This Row],[Waist]]-Table7[[#This Row],[Waist v Water]]</f>
        <v>2.033770336794305E-3</v>
      </c>
      <c r="EK191" s="2">
        <f>Table7[[#This Row],[WaistWat Res]]^2</f>
        <v>4.1362217828244205E-6</v>
      </c>
      <c r="EL191">
        <f>Regression!$Y$29+(Regression!$Y$28*Table83[[#This Row],[Fat Calories]])</f>
        <v>44.199737648749498</v>
      </c>
      <c r="EM191" s="2">
        <f>Table83[[#This Row],[Waist]]-Table7[[#This Row],[Waist v Fat Calories]]</f>
        <v>0.30026235125050249</v>
      </c>
      <c r="EN191" s="2">
        <f>Table7[[#This Row],[WaistFatCal Res]]^2</f>
        <v>9.0157479578480137E-2</v>
      </c>
    </row>
    <row r="192" spans="1:144" x14ac:dyDescent="0.25">
      <c r="A192">
        <f>Regression!$B$10+(Regression!$B$9*Table83[[#This Row],[Waist]])</f>
        <v>258.23421455025004</v>
      </c>
      <c r="B192" s="2">
        <f>Table83[[#This Row],[Weight]]-Table7[[#This Row],[Weight v Waist]]</f>
        <v>-6.0342145502500557</v>
      </c>
      <c r="C192" s="2">
        <f>Table7[[#This Row],[Weight v Waist Res]]^2</f>
        <v>36.411745238449484</v>
      </c>
      <c r="D192">
        <f>Regression!$C$10+(Regression!$C$9*Table83[[#This Row],[Neck]])</f>
        <v>253.29286486487842</v>
      </c>
      <c r="E192" s="2">
        <f>Table83[[#This Row],[Weight]]-Table7[[#This Row],[Weight v Neck]]</f>
        <v>-1.092864864878436</v>
      </c>
      <c r="F192" s="2">
        <f>Table7[[#This Row],[WN Res]]^2</f>
        <v>1.1943536128857624</v>
      </c>
      <c r="G192">
        <f>Regression!$D$10+(Regression!$D$9*Table83[[#This Row],[Morning Body Temp]])</f>
        <v>255.55235632864088</v>
      </c>
      <c r="H192" s="2">
        <f>Table83[[#This Row],[Weight]]-Table7[[#This Row],[Weight v Morning Temp]]</f>
        <v>-3.3523563286408944</v>
      </c>
      <c r="I192" s="2">
        <f>Table7[[#This Row],[WMT Res]]^2</f>
        <v>11.238292954178656</v>
      </c>
      <c r="J192">
        <f>Regression!$E$10+(Regression!$E$9*Table83[[#This Row],[Morning Systolic Pressure]])</f>
        <v>254.91917781330181</v>
      </c>
      <c r="K192" s="2">
        <f>Table83[[#This Row],[Weight]]-Table7[[#This Row],[Weight v Morning Sys]]</f>
        <v>-2.7191778133018261</v>
      </c>
      <c r="L192" s="2">
        <f>Table7[[#This Row],[WMS Res]]^2</f>
        <v>7.3939279803529008</v>
      </c>
      <c r="M192">
        <f>Regression!$F$10+(Regression!$F$9*Table83[[#This Row],[Morning Diastolic Pressure]])</f>
        <v>254.59531865202226</v>
      </c>
      <c r="N192" s="2">
        <f>Table83[[#This Row],[Weight]]-Table7[[#This Row],[Weight v Morning Dia]]</f>
        <v>-2.3953186520222687</v>
      </c>
      <c r="O192" s="2">
        <f>Table7[[#This Row],[WMD Res]]^2</f>
        <v>5.7375514447257778</v>
      </c>
      <c r="P192">
        <f>Regression!$G$10+(Regression!$G$9*Table83[[#This Row],[Morning Pulse]])</f>
        <v>255.1410620307563</v>
      </c>
      <c r="Q192" s="2">
        <f>Table83[[#This Row],[Weight]]-Table7[[#This Row],[Weight v Morning Pulse]]</f>
        <v>-2.9410620307563136</v>
      </c>
      <c r="R192" s="2">
        <f>Table7[[#This Row],[WMP Res]]^2</f>
        <v>8.6498458687564508</v>
      </c>
      <c r="S192">
        <f>Regression!$H$10+(Regression!$H$9*Table83[[#This Row],[Night Body Temp]])</f>
        <v>254.33800382511666</v>
      </c>
      <c r="T192" s="2">
        <f>Table83[[#This Row],[Weight]]-Table7[[#This Row],[Weight v Night Temp]]</f>
        <v>-2.1380038251166695</v>
      </c>
      <c r="U192" s="2">
        <f>Table7[[#This Row],[WNT Res]]^2</f>
        <v>4.5710603562135104</v>
      </c>
      <c r="V192">
        <f>Regression!$I$10+(Regression!$I$9*Table83[[#This Row],[Night Systolic Pressure]])</f>
        <v>255.75180556330957</v>
      </c>
      <c r="W192" s="2">
        <f>Table83[[#This Row],[Weight]]-Table7[[#This Row],[Weight v Night Sys]]</f>
        <v>-3.5518055633095855</v>
      </c>
      <c r="X192" s="2">
        <f>Table7[[#This Row],[WNS Res]]^2</f>
        <v>12.615322759556921</v>
      </c>
      <c r="Y192">
        <f>Regression!$J$10+(Regression!$J$9*Table83[[#This Row],[Night Diastolic Pressure]])</f>
        <v>255.37767745315881</v>
      </c>
      <c r="Z192" s="2">
        <f>Table83[[#This Row],[Weight]]-Table7[[#This Row],[Weight v Night Dia]]</f>
        <v>-3.1776774531588217</v>
      </c>
      <c r="AA192" s="2">
        <f>Table7[[#This Row],[WND Res]]^2</f>
        <v>10.097633996313935</v>
      </c>
      <c r="AB192">
        <f>Regression!$K$10+(Regression!$K$9*Table83[[#This Row],[Night Pulse]])</f>
        <v>254.71087855266379</v>
      </c>
      <c r="AC192" s="2">
        <f>Table83[[#This Row],[Weight]]-Table7[[#This Row],[Weight v Night Pulse]]</f>
        <v>-2.5108785526637973</v>
      </c>
      <c r="AD192" s="2">
        <f>Table7[[#This Row],[WNP Res ]]^2</f>
        <v>6.3045111062270456</v>
      </c>
      <c r="AE192">
        <f>Regression!$L$10+(Regression!$L$9*Table83[[#This Row],[Sleep]])</f>
        <v>255.92571518581587</v>
      </c>
      <c r="AF192" s="2">
        <f>Table83[[#This Row],[Weight]]-Table7[[#This Row],[Weight v Sleep]]</f>
        <v>-3.7257151858158863</v>
      </c>
      <c r="AG192" s="2">
        <f>Table7[[#This Row],[WS Res]]^2</f>
        <v>13.880953645819105</v>
      </c>
      <c r="AH192">
        <f>Regression!$M$10+(Regression!$M$9*Table83[[#This Row],[BMI]])</f>
        <v>252.20000000000653</v>
      </c>
      <c r="AI192" s="2">
        <f>Table83[[#This Row],[Weight]]-Table7[[#This Row],[Weight v BMI]]</f>
        <v>-6.5369931689929217E-12</v>
      </c>
      <c r="AJ192" s="2">
        <f>Table7[[#This Row],[WBMI Res]]^2</f>
        <v>4.2732279691460121E-23</v>
      </c>
      <c r="AK192">
        <f>Regression!$N$10+(Regression!$N$9*Table83[[#This Row],[CBF]])</f>
        <v>259.27809165285294</v>
      </c>
      <c r="AL192" s="2">
        <f>Table83[[#This Row],[Weight]]-Table7[[#This Row],[Weight v CBF]]</f>
        <v>-7.0780916528529474</v>
      </c>
      <c r="AM192" s="2">
        <f>Table7[[#This Row],[WCBF Res]]^2</f>
        <v>50.09938144618657</v>
      </c>
      <c r="AN192">
        <f>Regression!$O$10+(Regression!$O$9*Table83[[#This Row],[Gym]])</f>
        <v>254.72962962962998</v>
      </c>
      <c r="AO192" s="2">
        <f>Table83[[#This Row],[Weight]]-Table7[[#This Row],[Weight v Gym]]</f>
        <v>-2.5296296296299943</v>
      </c>
      <c r="AP192" s="2">
        <f>Table7[[#This Row],[WG Res]]^2</f>
        <v>6.3990260631019824</v>
      </c>
      <c r="AQ192">
        <f>Regression!$P$10+(Regression!$P$9*Table83[[#This Row],[Cardio]])</f>
        <v>256.41063829787231</v>
      </c>
      <c r="AR192" s="2">
        <f>Table83[[#This Row],[Weight]]-Table7[[#This Row],[Weight v Cardio]]</f>
        <v>-4.2106382978723218</v>
      </c>
      <c r="AS192" s="2">
        <f>Table7[[#This Row],[WC Res]]^2</f>
        <v>17.729474875509123</v>
      </c>
      <c r="AT192">
        <f>Regression!$Q$10+(Regression!$Q$9*Table83[[#This Row],[Calories]])</f>
        <v>254.42993964261331</v>
      </c>
      <c r="AU192" s="2">
        <f>Table83[[#This Row],[Weight]]-Table7[[#This Row],[Weight v Calories]]</f>
        <v>-2.2299396426133171</v>
      </c>
      <c r="AV192" s="2">
        <f>Table7[[#This Row],[WCAL Res]]^2</f>
        <v>4.9726308096984084</v>
      </c>
      <c r="AW192">
        <f>Regression!$R$10+(Regression!$R$9*Table83[[#This Row],[Carbs]])</f>
        <v>254.13533167980898</v>
      </c>
      <c r="AX192" s="2">
        <f>Table83[[#This Row],[Weight]]-Table7[[#This Row],[Weight v Carbs]]</f>
        <v>-1.9353316798089963</v>
      </c>
      <c r="AY192" s="2">
        <f>Table7[[#This Row],[Wcarb Res]]^2</f>
        <v>3.7455087108723117</v>
      </c>
      <c r="AZ192">
        <f>Regression!$S$10+(Regression!$S$9*Table83[[#This Row],[Fat ]])</f>
        <v>254.88536973607722</v>
      </c>
      <c r="BA192" s="2">
        <f>Table83[[#This Row],[Weight]]-Table7[[#This Row],[Weight v Fat]]</f>
        <v>-2.6853697360772344</v>
      </c>
      <c r="BB192" s="2">
        <f>Table7[[#This Row],[WF Res]]^2</f>
        <v>7.2112106194395151</v>
      </c>
      <c r="BC192">
        <f>Regression!$T$10+(Regression!$T$9*Table83[[#This Row],[Protein]])</f>
        <v>254.43461304366602</v>
      </c>
      <c r="BD192" s="2">
        <f>Table83[[#This Row],[Weight]]-Table7[[#This Row],[Weight v Protein]]</f>
        <v>-2.2346130436660303</v>
      </c>
      <c r="BE192" s="2">
        <f>Table7[[#This Row],[WP Res]]^2</f>
        <v>4.9934954549223596</v>
      </c>
      <c r="BF192">
        <f>Regression!$U$10+(Regression!$U$9*Table83[[#This Row],[Fiber]])</f>
        <v>255.3216444576781</v>
      </c>
      <c r="BG192" s="2">
        <f>Table83[[#This Row],[Weight]]-Table7[[#This Row],[Weight v Fiber]]</f>
        <v>-3.1216444576781157</v>
      </c>
      <c r="BH192" s="2">
        <f>Table7[[#This Row],[Wfib Res]]^2</f>
        <v>9.7446641201524979</v>
      </c>
      <c r="BI192">
        <f>Regression!$V$10+(Regression!$V$9*Table83[[#This Row],[Sugar]])</f>
        <v>253.6427335061781</v>
      </c>
      <c r="BJ192" s="2">
        <f>Table83[[#This Row],[Weight]]-Table7[[#This Row],[Weight v Sugar]]</f>
        <v>-1.442733506178115</v>
      </c>
      <c r="BK192" s="2">
        <f>Table7[[#This Row],[Wsugar Res]]^2</f>
        <v>2.081479969848997</v>
      </c>
      <c r="BL192">
        <f>Regression!$W$10+(Regression!$W$9*Table83[[#This Row],[Servings]])</f>
        <v>254.14354978818241</v>
      </c>
      <c r="BM192" s="2">
        <f>Table83[[#This Row],[Weight]]-Table7[[#This Row],[Weight v Servings]]</f>
        <v>-1.9435497881824233</v>
      </c>
      <c r="BN192" s="2">
        <f>Table7[[#This Row],[Wserv Res]]^2</f>
        <v>3.7773857791439425</v>
      </c>
      <c r="BO192">
        <f>Regression!$X$10+(Regression!$X$9*Table83[[#This Row],[Water]])</f>
        <v>255.1490819770581</v>
      </c>
      <c r="BP192" s="2">
        <f>Table83[[#This Row],[Weight]]-Table7[[#This Row],[Weight v Water]]</f>
        <v>-2.949081977058114</v>
      </c>
      <c r="BQ192" s="2">
        <f>Table7[[#This Row],[Wwater Res]]^2</f>
        <v>8.6970845074089951</v>
      </c>
      <c r="BR192">
        <f>Regression!$Y$10+(Regression!$Y$9*Table83[[#This Row],[Fat Calories]])</f>
        <v>254.86575118355779</v>
      </c>
      <c r="BS192" s="2">
        <f>Table83[[#This Row],[Weight]]-Table7[[#This Row],[Weight v Fat Calories]]</f>
        <v>-2.6657511835578021</v>
      </c>
      <c r="BT192" s="2">
        <f>Table7[[#This Row],[WFC Res]]^2</f>
        <v>7.106229372639822</v>
      </c>
      <c r="BU192">
        <f>Regression!$B$29+(Regression!$B$28*Table83[[#This Row],[Weight]])</f>
        <v>44.056328575382693</v>
      </c>
      <c r="BV192" s="2">
        <f>Table83[[#This Row],[Waist]]-Table7[[#This Row],[Waist v Weight]]</f>
        <v>0.9436714246173068</v>
      </c>
      <c r="BW192" s="2">
        <f>Table7[[#This Row],[WaistW Res]]^2</f>
        <v>0.89051575763925739</v>
      </c>
      <c r="BX192">
        <f>Regression!$C$29+(Regression!$C$28*Table83[[#This Row],[Neck]])</f>
        <v>44.175585585585594</v>
      </c>
      <c r="BY192" s="2">
        <f>Table83[[#This Row],[Waist]]-Table7[[#This Row],[Waist v Neck]]</f>
        <v>0.82441441441440588</v>
      </c>
      <c r="BZ192" s="2">
        <f>Table7[[#This Row],[WaistN Res]]^2</f>
        <v>0.67965912669424777</v>
      </c>
      <c r="CA192">
        <f>Regression!$D$29+(Regression!$D$28*Table83[[#This Row],[Morning Body Temp]])</f>
        <v>44.572478809812466</v>
      </c>
      <c r="CB192" s="2">
        <f>Table83[[#This Row],[Waist]]-Table7[[#This Row],[Waist v Morning Temp]]</f>
        <v>0.42752119018753376</v>
      </c>
      <c r="CC192" s="2">
        <f>Table7[[#This Row],[WaistMT Res]]^2</f>
        <v>0.18277436805936542</v>
      </c>
      <c r="CD192">
        <f>Regression!$E$29+(Regression!$E$28*Table83[[#This Row],[Morning Systolic Pressure]])</f>
        <v>44.407523106424492</v>
      </c>
      <c r="CE192" s="2">
        <f>Table83[[#This Row],[Waist]]-Table7[[#This Row],[Waist v Morning Sys]]</f>
        <v>0.59247689357550826</v>
      </c>
      <c r="CF192" s="2">
        <f>Table7[[#This Row],[WaistMS Res]]^2</f>
        <v>0.35102886942088413</v>
      </c>
      <c r="CG192">
        <f>Regression!$F$29+(Regression!$F$28*Table83[[#This Row],[Morning Diastolic Pressure]])</f>
        <v>44.424638564799992</v>
      </c>
      <c r="CH192" s="2">
        <f>Table83[[#This Row],[Waist]]-Table7[[#This Row],[Waist v Morning Dia]]</f>
        <v>0.57536143520000849</v>
      </c>
      <c r="CI192" s="2">
        <f>Table7[[#This Row],[WaistMD Res]]^2</f>
        <v>0.33104078111541357</v>
      </c>
      <c r="CJ192">
        <f>Regression!$G$29+(Regression!$G$28*Table83[[#This Row],[Morning Pulse]])</f>
        <v>44.465489733536792</v>
      </c>
      <c r="CK192" s="2">
        <f>Table83[[#This Row],[Waist]]-Table7[[#This Row],[Waist v Morning Pulse]]</f>
        <v>0.53451026646320798</v>
      </c>
      <c r="CL192" s="2">
        <f>Table7[[#This Row],[WaistMP Res]]^2</f>
        <v>0.28570122495456962</v>
      </c>
      <c r="CM192">
        <f>Regression!$H$29+(Regression!$H$28*Table83[[#This Row],[Night Body Temp]])</f>
        <v>44.392275488024978</v>
      </c>
      <c r="CN192" s="2">
        <f>Table83[[#This Row],[Waist]]-Table7[[#This Row],[Waist v Night Temp]]</f>
        <v>0.60772451197502164</v>
      </c>
      <c r="CO192" s="2">
        <f>Table7[[#This Row],[WaistNT Res]]^2</f>
        <v>0.36932908245527823</v>
      </c>
      <c r="CP192">
        <f>Regression!$I$29+(Regression!$I$28*Table83[[#This Row],[Night Systolic Pressure]])</f>
        <v>44.54374000125889</v>
      </c>
      <c r="CQ192" s="2">
        <f>Table83[[#This Row],[Waist]]-Table7[[#This Row],[Waist v  Night Sys]]</f>
        <v>0.45625999874111045</v>
      </c>
      <c r="CR192" s="2">
        <f>Table7[[#This Row],[WaistNS Res]]^2</f>
        <v>0.20817318645123811</v>
      </c>
      <c r="CS192">
        <f>Regression!$J$29+(Regression!$J$28*Table83[[#This Row],[Night Diastolic Pressure]])</f>
        <v>44.563499682398387</v>
      </c>
      <c r="CT192" s="2">
        <f>Table83[[#This Row],[Waist]]-Table7[[#This Row],[Waist v Night Dia]]</f>
        <v>0.43650031760161312</v>
      </c>
      <c r="CU192" s="2">
        <f>Table7[[#This Row],[WaistND Res]]^2</f>
        <v>0.19053252726630912</v>
      </c>
      <c r="CV192">
        <f>Regression!$K$29+(Regression!$K$28*Table83[[#This Row],[Night Pulse]])</f>
        <v>44.49113258198588</v>
      </c>
      <c r="CW192" s="2">
        <f>Table83[[#This Row],[Waist]]-Table7[[#This Row],[Waist v Night Pulse]]</f>
        <v>0.50886741801411972</v>
      </c>
      <c r="CX192" s="2">
        <f>Table7[[#This Row],[WaistNP Res]]^2</f>
        <v>0.25894604911635688</v>
      </c>
      <c r="CY192">
        <f>Regression!$L$29+(Regression!$L$28*Table83[[#This Row],[Sleep]])</f>
        <v>44.577139272847241</v>
      </c>
      <c r="CZ192" s="2">
        <f>Table83[[#This Row],[Waist]]-Table7[[#This Row],[Waist v  Sleep]]</f>
        <v>0.42286072715275935</v>
      </c>
      <c r="DA192" s="2">
        <f>Table7[[#This Row],[WaistS Res]]^2</f>
        <v>0.17881119456816039</v>
      </c>
      <c r="DB192">
        <f>Regression!$M$29+(Regression!$M$28*Table83[[#This Row],[BMI]])</f>
        <v>44.056328575383958</v>
      </c>
      <c r="DC192" s="2">
        <f>Table83[[#This Row],[Waist]]-Table7[[#This Row],[Waist v BMI]]</f>
        <v>0.94367142461604203</v>
      </c>
      <c r="DD192" s="2">
        <f>Table7[[#This Row],[WaistBMI Res]]^2</f>
        <v>0.8905157576368703</v>
      </c>
      <c r="DE192">
        <f>Regression!$N$29+(Regression!$N$28*Table83[[#This Row],[CBF]])</f>
        <v>45.203183363709613</v>
      </c>
      <c r="DF192" s="2">
        <f>Table83[[#This Row],[Waist]]-Table7[[#This Row],[Waist v  CBF]]</f>
        <v>-0.20318336370961276</v>
      </c>
      <c r="DG192" s="2">
        <f>Table7[[#This Row],[WaistCBF Res]]^2</f>
        <v>4.1283479288352784E-2</v>
      </c>
      <c r="DH192">
        <f>Regression!$O$29+(Regression!$O$28*Table83[[#This Row],[Gym]])</f>
        <v>44.347222222222221</v>
      </c>
      <c r="DI192" s="2">
        <f>Table83[[#This Row],[Waist]]-Table7[[#This Row],[Waist v  Gym]]</f>
        <v>0.65277777777777857</v>
      </c>
      <c r="DJ192" s="2">
        <f>Table7[[#This Row],[WaistGYM Res]]^2</f>
        <v>0.42611882716049487</v>
      </c>
      <c r="DK192">
        <f>Regression!$P$29+(Regression!$P$28*Table83[[#This Row],[Cardio]])</f>
        <v>44.680851063829778</v>
      </c>
      <c r="DL192" s="2">
        <f>Table83[[#This Row],[Waist]]-Table7[[#This Row],[Waist v Cardio]]</f>
        <v>0.31914893617022244</v>
      </c>
      <c r="DM192" s="2">
        <f>Table7[[#This Row],[WaistC Res]]^2</f>
        <v>0.10185604345858472</v>
      </c>
      <c r="DN192">
        <f>Regression!$Q$29+(Regression!$Q$28*Table83[[#This Row],[Calories]])</f>
        <v>44.299612013615324</v>
      </c>
      <c r="DO192" s="2">
        <f>Table83[[#This Row],[Waist]]-Table7[[#This Row],[Waist v Calories]]</f>
        <v>0.70038798638467625</v>
      </c>
      <c r="DP192" s="2">
        <f>Table7[[#This Row],[WaistCal Res]]^2</f>
        <v>0.49054333147198143</v>
      </c>
      <c r="DQ192">
        <f>Regression!$R$29+(Regression!$R$28*Table83[[#This Row],[Carbs]])</f>
        <v>44.249569665879996</v>
      </c>
      <c r="DR192" s="2">
        <f>Table83[[#This Row],[Waist]]-Table7[[#This Row],[Waist v Carbs]]</f>
        <v>0.75043033412000426</v>
      </c>
      <c r="DS192" s="2">
        <f>Table7[[#This Row],[WaistCarb Res]]^2</f>
        <v>0.56314568636746121</v>
      </c>
      <c r="DT192">
        <f>Regression!$S$29+(Regression!$S$28*Table83[[#This Row],[Fat ]])</f>
        <v>44.383333185314058</v>
      </c>
      <c r="DU192" s="2">
        <f>Table83[[#This Row],[Waist]]-Table7[[#This Row],[Waist v Fat]]</f>
        <v>0.6166668146859422</v>
      </c>
      <c r="DV192" s="2">
        <f>Table7[[#This Row],[WaistF Res]]^2</f>
        <v>0.38027796033490618</v>
      </c>
      <c r="DW192">
        <f>Regression!$T$29+(Regression!$T$28*Table83[[#This Row],[Protein]])</f>
        <v>44.328995637049708</v>
      </c>
      <c r="DX192" s="2">
        <f>Table83[[#This Row],[Waist]]-Table7[[#This Row],[Waist v Protein]]</f>
        <v>0.67100436295029198</v>
      </c>
      <c r="DY192" s="2">
        <f>Table7[[#This Row],[WaistP Res]]^2</f>
        <v>0.45024685509832718</v>
      </c>
      <c r="DZ192">
        <f>Regression!$U$29+(Regression!$U$28*Table83[[#This Row],[Fiber]])</f>
        <v>44.533258570162666</v>
      </c>
      <c r="EA192" s="2">
        <f>Table83[[#This Row],[Waist]]-Table7[[#This Row],[Waist v Fiber]]</f>
        <v>0.46674142983733446</v>
      </c>
      <c r="EB192" s="2">
        <f>Table7[[#This Row],[WaistFib Res]]^2</f>
        <v>0.21784756232659941</v>
      </c>
      <c r="EC192">
        <f>Regression!$V$29+(Regression!$V$28*Table83[[#This Row],[Sugar]])</f>
        <v>44.189055618999994</v>
      </c>
      <c r="ED192" s="2">
        <f>Table83[[#This Row],[Waist]]-Table7[[#This Row],[Waist v Sugar]]</f>
        <v>0.81094438100000588</v>
      </c>
      <c r="EE192" s="2">
        <f>Table7[[#This Row],[WaistSugar Res]]^2</f>
        <v>0.65763078907548267</v>
      </c>
      <c r="EF192">
        <f>Regression!$W$29+(Regression!$W$28*Table83[[#This Row],[Servings]])</f>
        <v>44.305305953566254</v>
      </c>
      <c r="EG192" s="2">
        <f>Table83[[#This Row],[Waist]]-Table7[[#This Row],[Waist v Servings]]</f>
        <v>0.69469404643374588</v>
      </c>
      <c r="EH192" s="2">
        <f>Table7[[#This Row],[WaistServ Res]]^2</f>
        <v>0.48259981815049147</v>
      </c>
      <c r="EI192">
        <f>Regression!$X$29+(Regression!$X$28*Table83[[#This Row],[Water]])</f>
        <v>44.497966229663206</v>
      </c>
      <c r="EJ192" s="2">
        <f>Table83[[#This Row],[Waist]]-Table7[[#This Row],[Waist v Water]]</f>
        <v>0.5020337703367943</v>
      </c>
      <c r="EK192" s="2">
        <f>Table7[[#This Row],[WaistWat Res]]^2</f>
        <v>0.25203790655857711</v>
      </c>
      <c r="EL192">
        <f>Regression!$Y$29+(Regression!$Y$28*Table83[[#This Row],[Fat Calories]])</f>
        <v>44.377722630601134</v>
      </c>
      <c r="EM192" s="2">
        <f>Table83[[#This Row],[Waist]]-Table7[[#This Row],[Waist v Fat Calories]]</f>
        <v>0.62227736939886569</v>
      </c>
      <c r="EN192" s="2">
        <f>Table7[[#This Row],[WaistFatCal Res]]^2</f>
        <v>0.38722912446597235</v>
      </c>
    </row>
    <row r="193" spans="1:144" x14ac:dyDescent="0.25">
      <c r="A193">
        <f>Regression!$B$10+(Regression!$B$9*Table83[[#This Row],[Waist]])</f>
        <v>258.23421455025004</v>
      </c>
      <c r="B193" s="2">
        <f>Table83[[#This Row],[Weight]]-Table7[[#This Row],[Weight v Waist]]</f>
        <v>-5.63421455025005</v>
      </c>
      <c r="C193" s="2">
        <f>Table7[[#This Row],[Weight v Waist Res]]^2</f>
        <v>31.744373598249375</v>
      </c>
      <c r="D193">
        <f>Regression!$C$10+(Regression!$C$9*Table83[[#This Row],[Neck]])</f>
        <v>253.29286486487842</v>
      </c>
      <c r="E193" s="2">
        <f>Table83[[#This Row],[Weight]]-Table7[[#This Row],[Weight v Neck]]</f>
        <v>-0.69286486487843035</v>
      </c>
      <c r="F193" s="2">
        <f>Table7[[#This Row],[WN Res]]^2</f>
        <v>0.48006172098300554</v>
      </c>
      <c r="G193">
        <f>Regression!$D$10+(Regression!$D$9*Table83[[#This Row],[Morning Body Temp]])</f>
        <v>255.4819577744185</v>
      </c>
      <c r="H193" s="2">
        <f>Table83[[#This Row],[Weight]]-Table7[[#This Row],[Weight v Morning Temp]]</f>
        <v>-2.8819577744185096</v>
      </c>
      <c r="I193" s="2">
        <f>Table7[[#This Row],[WMT Res]]^2</f>
        <v>8.3056806135312886</v>
      </c>
      <c r="J193">
        <f>Regression!$E$10+(Regression!$E$9*Table83[[#This Row],[Morning Systolic Pressure]])</f>
        <v>255.55025866738916</v>
      </c>
      <c r="K193" s="2">
        <f>Table83[[#This Row],[Weight]]-Table7[[#This Row],[Weight v Morning Sys]]</f>
        <v>-2.9502586673891642</v>
      </c>
      <c r="L193" s="2">
        <f>Table7[[#This Row],[WMS Res]]^2</f>
        <v>8.7040262045048866</v>
      </c>
      <c r="M193">
        <f>Regression!$F$10+(Regression!$F$9*Table83[[#This Row],[Morning Diastolic Pressure]])</f>
        <v>254.49397440297739</v>
      </c>
      <c r="N193" s="2">
        <f>Table83[[#This Row],[Weight]]-Table7[[#This Row],[Weight v Morning Dia]]</f>
        <v>-1.8939744029773919</v>
      </c>
      <c r="O193" s="2">
        <f>Table7[[#This Row],[WMD Res]]^2</f>
        <v>3.5871390391335685</v>
      </c>
      <c r="P193">
        <f>Regression!$G$10+(Regression!$G$9*Table83[[#This Row],[Morning Pulse]])</f>
        <v>255.11730068591285</v>
      </c>
      <c r="Q193" s="2">
        <f>Table83[[#This Row],[Weight]]-Table7[[#This Row],[Weight v Morning Pulse]]</f>
        <v>-2.5173006859128577</v>
      </c>
      <c r="R193" s="2">
        <f>Table7[[#This Row],[WMP Res]]^2</f>
        <v>6.3368027432973442</v>
      </c>
      <c r="S193">
        <f>Regression!$H$10+(Regression!$H$9*Table83[[#This Row],[Night Body Temp]])</f>
        <v>254.02991411367159</v>
      </c>
      <c r="T193" s="2">
        <f>Table83[[#This Row],[Weight]]-Table7[[#This Row],[Weight v Night Temp]]</f>
        <v>-1.4299141136716003</v>
      </c>
      <c r="U193" s="2">
        <f>Table7[[#This Row],[WNT Res]]^2</f>
        <v>2.0446543724772384</v>
      </c>
      <c r="V193">
        <f>Regression!$I$10+(Regression!$I$9*Table83[[#This Row],[Night Systolic Pressure]])</f>
        <v>256.77825390359425</v>
      </c>
      <c r="W193" s="2">
        <f>Table83[[#This Row],[Weight]]-Table7[[#This Row],[Weight v Night Sys]]</f>
        <v>-4.1782539035942534</v>
      </c>
      <c r="X193" s="2">
        <f>Table7[[#This Row],[WNS Res]]^2</f>
        <v>17.457805682900617</v>
      </c>
      <c r="Y193">
        <f>Regression!$J$10+(Regression!$J$9*Table83[[#This Row],[Night Diastolic Pressure]])</f>
        <v>255.45920918999101</v>
      </c>
      <c r="Z193" s="2">
        <f>Table83[[#This Row],[Weight]]-Table7[[#This Row],[Weight v Night Dia]]</f>
        <v>-2.8592091899910201</v>
      </c>
      <c r="AA193" s="2">
        <f>Table7[[#This Row],[WND Res]]^2</f>
        <v>8.1750771921291054</v>
      </c>
      <c r="AB193">
        <f>Regression!$K$10+(Regression!$K$9*Table83[[#This Row],[Night Pulse]])</f>
        <v>254.80301854637398</v>
      </c>
      <c r="AC193" s="2">
        <f>Table83[[#This Row],[Weight]]-Table7[[#This Row],[Weight v Night Pulse]]</f>
        <v>-2.2030185463739826</v>
      </c>
      <c r="AD193" s="2">
        <f>Table7[[#This Row],[WNP Res ]]^2</f>
        <v>4.8532907156677352</v>
      </c>
      <c r="AE193">
        <f>Regression!$L$10+(Regression!$L$9*Table83[[#This Row],[Sleep]])</f>
        <v>255.05816118153788</v>
      </c>
      <c r="AF193" s="2">
        <f>Table83[[#This Row],[Weight]]-Table7[[#This Row],[Weight v Sleep]]</f>
        <v>-2.4581611815378892</v>
      </c>
      <c r="AG193" s="2">
        <f>Table7[[#This Row],[WS Res]]^2</f>
        <v>6.0425563944197513</v>
      </c>
      <c r="AH193">
        <f>Regression!$M$10+(Regression!$M$9*Table83[[#This Row],[BMI]])</f>
        <v>252.60000000000565</v>
      </c>
      <c r="AI193" s="2">
        <f>Table83[[#This Row],[Weight]]-Table7[[#This Row],[Weight v BMI]]</f>
        <v>-5.6559201766503975E-12</v>
      </c>
      <c r="AJ193" s="2">
        <f>Table7[[#This Row],[WBMI Res]]^2</f>
        <v>3.1989433044641063E-23</v>
      </c>
      <c r="AK193">
        <f>Regression!$N$10+(Regression!$N$9*Table83[[#This Row],[CBF]])</f>
        <v>259.27809165285294</v>
      </c>
      <c r="AL193" s="2">
        <f>Table83[[#This Row],[Weight]]-Table7[[#This Row],[Weight v CBF]]</f>
        <v>-6.6780916528529417</v>
      </c>
      <c r="AM193" s="2">
        <f>Table7[[#This Row],[WCBF Res]]^2</f>
        <v>44.596908123904136</v>
      </c>
      <c r="AN193">
        <f>Regression!$O$10+(Regression!$O$9*Table83[[#This Row],[Gym]])</f>
        <v>254.72962962962998</v>
      </c>
      <c r="AO193" s="2">
        <f>Table83[[#This Row],[Weight]]-Table7[[#This Row],[Weight v Gym]]</f>
        <v>-2.1296296296299886</v>
      </c>
      <c r="AP193" s="2">
        <f>Table7[[#This Row],[WG Res]]^2</f>
        <v>4.5353223593979628</v>
      </c>
      <c r="AQ193">
        <f>Regression!$P$10+(Regression!$P$9*Table83[[#This Row],[Cardio]])</f>
        <v>256.41063829787231</v>
      </c>
      <c r="AR193" s="2">
        <f>Table83[[#This Row],[Weight]]-Table7[[#This Row],[Weight v Cardio]]</f>
        <v>-3.8106382978723161</v>
      </c>
      <c r="AS193" s="2">
        <f>Table7[[#This Row],[WC Res]]^2</f>
        <v>14.520964237211222</v>
      </c>
      <c r="AT193">
        <f>Regression!$Q$10+(Regression!$Q$9*Table83[[#This Row],[Calories]])</f>
        <v>254.55286930426769</v>
      </c>
      <c r="AU193" s="2">
        <f>Table83[[#This Row],[Weight]]-Table7[[#This Row],[Weight v Calories]]</f>
        <v>-1.9528693042676935</v>
      </c>
      <c r="AV193" s="2">
        <f>Table7[[#This Row],[WCAL Res]]^2</f>
        <v>3.8136985195509849</v>
      </c>
      <c r="AW193">
        <f>Regression!$R$10+(Regression!$R$9*Table83[[#This Row],[Carbs]])</f>
        <v>254.06690903645503</v>
      </c>
      <c r="AX193" s="2">
        <f>Table83[[#This Row],[Weight]]-Table7[[#This Row],[Weight v Carbs]]</f>
        <v>-1.4669090364550357</v>
      </c>
      <c r="AY193" s="2">
        <f>Table7[[#This Row],[Wcarb Res]]^2</f>
        <v>2.1518221212334412</v>
      </c>
      <c r="AZ193">
        <f>Regression!$S$10+(Regression!$S$9*Table83[[#This Row],[Fat ]])</f>
        <v>255.09609880709505</v>
      </c>
      <c r="BA193" s="2">
        <f>Table83[[#This Row],[Weight]]-Table7[[#This Row],[Weight v Fat]]</f>
        <v>-2.4960988070950521</v>
      </c>
      <c r="BB193" s="2">
        <f>Table7[[#This Row],[WF Res]]^2</f>
        <v>6.2305092547813423</v>
      </c>
      <c r="BC193">
        <f>Regression!$T$10+(Regression!$T$9*Table83[[#This Row],[Protein]])</f>
        <v>254.52695163311088</v>
      </c>
      <c r="BD193" s="2">
        <f>Table83[[#This Row],[Weight]]-Table7[[#This Row],[Weight v Protein]]</f>
        <v>-1.9269516331108889</v>
      </c>
      <c r="BE193" s="2">
        <f>Table7[[#This Row],[WP Res]]^2</f>
        <v>3.7131425963487219</v>
      </c>
      <c r="BF193">
        <f>Regression!$U$10+(Regression!$U$9*Table83[[#This Row],[Fiber]])</f>
        <v>255.27679559643434</v>
      </c>
      <c r="BG193" s="2">
        <f>Table83[[#This Row],[Weight]]-Table7[[#This Row],[Weight v Fiber]]</f>
        <v>-2.6767955964343457</v>
      </c>
      <c r="BH193" s="2">
        <f>Table7[[#This Row],[Wfib Res]]^2</f>
        <v>7.1652346650903045</v>
      </c>
      <c r="BI193">
        <f>Regression!$V$10+(Regression!$V$9*Table83[[#This Row],[Sugar]])</f>
        <v>253.09160444356937</v>
      </c>
      <c r="BJ193" s="2">
        <f>Table83[[#This Row],[Weight]]-Table7[[#This Row],[Weight v Sugar]]</f>
        <v>-0.49160444356937205</v>
      </c>
      <c r="BK193" s="2">
        <f>Table7[[#This Row],[Wsugar Res]]^2</f>
        <v>0.24167492893715192</v>
      </c>
      <c r="BL193">
        <f>Regression!$W$10+(Regression!$W$9*Table83[[#This Row],[Servings]])</f>
        <v>252.13750784551203</v>
      </c>
      <c r="BM193" s="2">
        <f>Table83[[#This Row],[Weight]]-Table7[[#This Row],[Weight v Servings]]</f>
        <v>0.46249215448796122</v>
      </c>
      <c r="BN193" s="2">
        <f>Table7[[#This Row],[Wserv Res]]^2</f>
        <v>0.21389899296291617</v>
      </c>
      <c r="BO193">
        <f>Regression!$X$10+(Regression!$X$9*Table83[[#This Row],[Water]])</f>
        <v>255.06345001025522</v>
      </c>
      <c r="BP193" s="2">
        <f>Table83[[#This Row],[Weight]]-Table7[[#This Row],[Weight v Water]]</f>
        <v>-2.4634500102552295</v>
      </c>
      <c r="BQ193" s="2">
        <f>Table7[[#This Row],[Wwater Res]]^2</f>
        <v>6.0685859530264903</v>
      </c>
      <c r="BR193">
        <f>Regression!$Y$10+(Regression!$Y$9*Table83[[#This Row],[Fat Calories]])</f>
        <v>255.0900199279512</v>
      </c>
      <c r="BS193" s="2">
        <f>Table83[[#This Row],[Weight]]-Table7[[#This Row],[Weight v Fat Calories]]</f>
        <v>-2.4900199279512094</v>
      </c>
      <c r="BT193" s="2">
        <f>Table7[[#This Row],[WFC Res]]^2</f>
        <v>6.200199241594146</v>
      </c>
      <c r="BU193">
        <f>Regression!$B$29+(Regression!$B$28*Table83[[#This Row],[Weight]])</f>
        <v>44.110833579610691</v>
      </c>
      <c r="BV193" s="2">
        <f>Table83[[#This Row],[Waist]]-Table7[[#This Row],[Waist v Weight]]</f>
        <v>0.8891664203893086</v>
      </c>
      <c r="BW193" s="2">
        <f>Table7[[#This Row],[WaistW Res]]^2</f>
        <v>0.79061692314793663</v>
      </c>
      <c r="BX193">
        <f>Regression!$C$29+(Regression!$C$28*Table83[[#This Row],[Neck]])</f>
        <v>44.175585585585594</v>
      </c>
      <c r="BY193" s="2">
        <f>Table83[[#This Row],[Waist]]-Table7[[#This Row],[Waist v Neck]]</f>
        <v>0.82441441441440588</v>
      </c>
      <c r="BZ193" s="2">
        <f>Table7[[#This Row],[WaistN Res]]^2</f>
        <v>0.67965912669424777</v>
      </c>
      <c r="CA193">
        <f>Regression!$D$29+(Regression!$D$28*Table83[[#This Row],[Morning Body Temp]])</f>
        <v>44.553331996636587</v>
      </c>
      <c r="CB193" s="2">
        <f>Table83[[#This Row],[Waist]]-Table7[[#This Row],[Waist v Morning Temp]]</f>
        <v>0.44666800336341339</v>
      </c>
      <c r="CC193" s="2">
        <f>Table7[[#This Row],[WaistMT Res]]^2</f>
        <v>0.19951230522865829</v>
      </c>
      <c r="CD193">
        <f>Regression!$E$29+(Regression!$E$28*Table83[[#This Row],[Morning Systolic Pressure]])</f>
        <v>44.555788779818471</v>
      </c>
      <c r="CE193" s="2">
        <f>Table83[[#This Row],[Waist]]-Table7[[#This Row],[Waist v Morning Sys]]</f>
        <v>0.44421122018152914</v>
      </c>
      <c r="CF193" s="2">
        <f>Table7[[#This Row],[WaistMS Res]]^2</f>
        <v>0.19732360813516298</v>
      </c>
      <c r="CG193">
        <f>Regression!$F$29+(Regression!$F$28*Table83[[#This Row],[Morning Diastolic Pressure]])</f>
        <v>44.419002944131137</v>
      </c>
      <c r="CH193" s="2">
        <f>Table83[[#This Row],[Waist]]-Table7[[#This Row],[Waist v Morning Dia]]</f>
        <v>0.5809970558688633</v>
      </c>
      <c r="CI193" s="2">
        <f>Table7[[#This Row],[WaistMD Res]]^2</f>
        <v>0.33755757892828708</v>
      </c>
      <c r="CJ193">
        <f>Regression!$G$29+(Regression!$G$28*Table83[[#This Row],[Morning Pulse]])</f>
        <v>44.454576200079806</v>
      </c>
      <c r="CK193" s="2">
        <f>Table83[[#This Row],[Waist]]-Table7[[#This Row],[Waist v Morning Pulse]]</f>
        <v>0.54542379992019363</v>
      </c>
      <c r="CL193" s="2">
        <f>Table7[[#This Row],[WaistMP Res]]^2</f>
        <v>0.29748712151938339</v>
      </c>
      <c r="CM193">
        <f>Regression!$H$29+(Regression!$H$28*Table83[[#This Row],[Night Body Temp]])</f>
        <v>44.367984716610323</v>
      </c>
      <c r="CN193" s="2">
        <f>Table83[[#This Row],[Waist]]-Table7[[#This Row],[Waist v Night Temp]]</f>
        <v>0.63201528338967705</v>
      </c>
      <c r="CO193" s="2">
        <f>Table7[[#This Row],[WaistNT Res]]^2</f>
        <v>0.3994433184381338</v>
      </c>
      <c r="CP193">
        <f>Regression!$I$29+(Regression!$I$28*Table83[[#This Row],[Night Systolic Pressure]])</f>
        <v>44.689141144515027</v>
      </c>
      <c r="CQ193" s="2">
        <f>Table83[[#This Row],[Waist]]-Table7[[#This Row],[Waist v  Night Sys]]</f>
        <v>0.31085885548497316</v>
      </c>
      <c r="CR193" s="2">
        <f>Table7[[#This Row],[WaistNS Res]]^2</f>
        <v>9.6633228033427429E-2</v>
      </c>
      <c r="CS193">
        <f>Regression!$J$29+(Regression!$J$28*Table83[[#This Row],[Night Diastolic Pressure]])</f>
        <v>44.597635572813267</v>
      </c>
      <c r="CT193" s="2">
        <f>Table83[[#This Row],[Waist]]-Table7[[#This Row],[Waist v Night Dia]]</f>
        <v>0.4023644271867326</v>
      </c>
      <c r="CU193" s="2">
        <f>Table7[[#This Row],[WaistND Res]]^2</f>
        <v>0.16189713226530744</v>
      </c>
      <c r="CV193">
        <f>Regression!$K$29+(Regression!$K$28*Table83[[#This Row],[Night Pulse]])</f>
        <v>44.482562343052983</v>
      </c>
      <c r="CW193" s="2">
        <f>Table83[[#This Row],[Waist]]-Table7[[#This Row],[Waist v Night Pulse]]</f>
        <v>0.51743765694701693</v>
      </c>
      <c r="CX193" s="2">
        <f>Table7[[#This Row],[WaistNP Res]]^2</f>
        <v>0.26774172882681879</v>
      </c>
      <c r="CY193">
        <f>Regression!$L$29+(Regression!$L$28*Table83[[#This Row],[Sleep]])</f>
        <v>44.444867110859185</v>
      </c>
      <c r="CZ193" s="2">
        <f>Table83[[#This Row],[Waist]]-Table7[[#This Row],[Waist v  Sleep]]</f>
        <v>0.55513288914081471</v>
      </c>
      <c r="DA193" s="2">
        <f>Table7[[#This Row],[WaistS Res]]^2</f>
        <v>0.30817252460582806</v>
      </c>
      <c r="DB193">
        <f>Regression!$M$29+(Regression!$M$28*Table83[[#This Row],[BMI]])</f>
        <v>44.110833579611779</v>
      </c>
      <c r="DC193" s="2">
        <f>Table83[[#This Row],[Waist]]-Table7[[#This Row],[Waist v BMI]]</f>
        <v>0.88916642038822147</v>
      </c>
      <c r="DD193" s="2">
        <f>Table7[[#This Row],[WaistBMI Res]]^2</f>
        <v>0.7906169231460034</v>
      </c>
      <c r="DE193">
        <f>Regression!$N$29+(Regression!$N$28*Table83[[#This Row],[CBF]])</f>
        <v>45.203183363709613</v>
      </c>
      <c r="DF193" s="2">
        <f>Table83[[#This Row],[Waist]]-Table7[[#This Row],[Waist v  CBF]]</f>
        <v>-0.20318336370961276</v>
      </c>
      <c r="DG193" s="2">
        <f>Table7[[#This Row],[WaistCBF Res]]^2</f>
        <v>4.1283479288352784E-2</v>
      </c>
      <c r="DH193">
        <f>Regression!$O$29+(Regression!$O$28*Table83[[#This Row],[Gym]])</f>
        <v>44.347222222222221</v>
      </c>
      <c r="DI193" s="2">
        <f>Table83[[#This Row],[Waist]]-Table7[[#This Row],[Waist v  Gym]]</f>
        <v>0.65277777777777857</v>
      </c>
      <c r="DJ193" s="2">
        <f>Table7[[#This Row],[WaistGYM Res]]^2</f>
        <v>0.42611882716049487</v>
      </c>
      <c r="DK193">
        <f>Regression!$P$29+(Regression!$P$28*Table83[[#This Row],[Cardio]])</f>
        <v>44.680851063829778</v>
      </c>
      <c r="DL193" s="2">
        <f>Table83[[#This Row],[Waist]]-Table7[[#This Row],[Waist v Cardio]]</f>
        <v>0.31914893617022244</v>
      </c>
      <c r="DM193" s="2">
        <f>Table7[[#This Row],[WaistC Res]]^2</f>
        <v>0.10185604345858472</v>
      </c>
      <c r="DN193">
        <f>Regression!$Q$29+(Regression!$Q$28*Table83[[#This Row],[Calories]])</f>
        <v>44.327231582050615</v>
      </c>
      <c r="DO193" s="2">
        <f>Table83[[#This Row],[Waist]]-Table7[[#This Row],[Waist v Calories]]</f>
        <v>0.67276841794938491</v>
      </c>
      <c r="DP193" s="2">
        <f>Table7[[#This Row],[WaistCal Res]]^2</f>
        <v>0.45261734419011823</v>
      </c>
      <c r="DQ193">
        <f>Regression!$R$29+(Regression!$R$28*Table83[[#This Row],[Carbs]])</f>
        <v>44.235324490537522</v>
      </c>
      <c r="DR193" s="2">
        <f>Table83[[#This Row],[Waist]]-Table7[[#This Row],[Waist v Carbs]]</f>
        <v>0.76467550946247798</v>
      </c>
      <c r="DS193" s="2">
        <f>Table7[[#This Row],[WaistCarb Res]]^2</f>
        <v>0.58472863477170023</v>
      </c>
      <c r="DT193">
        <f>Regression!$S$29+(Regression!$S$28*Table83[[#This Row],[Fat ]])</f>
        <v>44.447748602725937</v>
      </c>
      <c r="DU193" s="2">
        <f>Table83[[#This Row],[Waist]]-Table7[[#This Row],[Waist v Fat]]</f>
        <v>0.55225139727406258</v>
      </c>
      <c r="DV193" s="2">
        <f>Table7[[#This Row],[WaistF Res]]^2</f>
        <v>0.30498160579115452</v>
      </c>
      <c r="DW193">
        <f>Regression!$T$29+(Regression!$T$28*Table83[[#This Row],[Protein]])</f>
        <v>44.34589702896907</v>
      </c>
      <c r="DX193" s="2">
        <f>Table83[[#This Row],[Waist]]-Table7[[#This Row],[Waist v Protein]]</f>
        <v>0.65410297103093029</v>
      </c>
      <c r="DY193" s="2">
        <f>Table7[[#This Row],[WaistP Res]]^2</f>
        <v>0.42785069671149001</v>
      </c>
      <c r="DZ193">
        <f>Regression!$U$29+(Regression!$U$28*Table83[[#This Row],[Fiber]])</f>
        <v>44.515953190698013</v>
      </c>
      <c r="EA193" s="2">
        <f>Table83[[#This Row],[Waist]]-Table7[[#This Row],[Waist v Fiber]]</f>
        <v>0.48404680930198651</v>
      </c>
      <c r="EB193" s="2">
        <f>Table7[[#This Row],[WaistFib Res]]^2</f>
        <v>0.23430131359543369</v>
      </c>
      <c r="EC193">
        <f>Regression!$V$29+(Regression!$V$28*Table83[[#This Row],[Sugar]])</f>
        <v>44.09005142965961</v>
      </c>
      <c r="ED193" s="2">
        <f>Table83[[#This Row],[Waist]]-Table7[[#This Row],[Waist v Sugar]]</f>
        <v>0.90994857034039001</v>
      </c>
      <c r="EE193" s="2">
        <f>Table7[[#This Row],[WaistSugar Res]]^2</f>
        <v>0.82800640066451969</v>
      </c>
      <c r="EF193">
        <f>Regression!$W$29+(Regression!$W$28*Table83[[#This Row],[Servings]])</f>
        <v>43.99921737376421</v>
      </c>
      <c r="EG193" s="2">
        <f>Table83[[#This Row],[Waist]]-Table7[[#This Row],[Waist v Servings]]</f>
        <v>1.0007826262357895</v>
      </c>
      <c r="EH193" s="2">
        <f>Table7[[#This Row],[WaistServ Res]]^2</f>
        <v>1.001565864975404</v>
      </c>
      <c r="EI193">
        <f>Regression!$X$29+(Regression!$X$28*Table83[[#This Row],[Water]])</f>
        <v>44.386198474840633</v>
      </c>
      <c r="EJ193" s="2">
        <f>Table83[[#This Row],[Waist]]-Table7[[#This Row],[Waist v Water]]</f>
        <v>0.61380152515936715</v>
      </c>
      <c r="EK193" s="2">
        <f>Table7[[#This Row],[WaistWat Res]]^2</f>
        <v>0.37675231228796524</v>
      </c>
      <c r="EL193">
        <f>Regression!$Y$29+(Regression!$Y$28*Table83[[#This Row],[Fat Calories]])</f>
        <v>44.445929207455684</v>
      </c>
      <c r="EM193" s="2">
        <f>Table83[[#This Row],[Waist]]-Table7[[#This Row],[Waist v Fat Calories]]</f>
        <v>0.55407079254431579</v>
      </c>
      <c r="EN193" s="2">
        <f>Table7[[#This Row],[WaistFatCal Res]]^2</f>
        <v>0.30699444315068625</v>
      </c>
    </row>
    <row r="194" spans="1:144" x14ac:dyDescent="0.25">
      <c r="A194">
        <f>Regression!$B$10+(Regression!$B$9*Table83[[#This Row],[Waist]])</f>
        <v>255.38023686459636</v>
      </c>
      <c r="B194" s="2">
        <f>Table83[[#This Row],[Weight]]-Table7[[#This Row],[Weight v Waist]]</f>
        <v>-1.3802368645963554</v>
      </c>
      <c r="C194" s="2">
        <f>Table7[[#This Row],[Weight v Waist Res]]^2</f>
        <v>1.9050538023907779</v>
      </c>
      <c r="D194">
        <f>Regression!$C$10+(Regression!$C$9*Table83[[#This Row],[Neck]])</f>
        <v>253.29286486487842</v>
      </c>
      <c r="E194" s="2">
        <f>Table83[[#This Row],[Weight]]-Table7[[#This Row],[Weight v Neck]]</f>
        <v>0.70713513512157533</v>
      </c>
      <c r="F194" s="2">
        <f>Table7[[#This Row],[WN Res]]^2</f>
        <v>0.50004009932340865</v>
      </c>
      <c r="G194">
        <f>Regression!$D$10+(Regression!$D$9*Table83[[#This Row],[Morning Body Temp]])</f>
        <v>254.56677656952775</v>
      </c>
      <c r="H194" s="2">
        <f>Table83[[#This Row],[Weight]]-Table7[[#This Row],[Weight v Morning Temp]]</f>
        <v>-0.56677656952774669</v>
      </c>
      <c r="I194" s="2">
        <f>Table7[[#This Row],[WMT Res]]^2</f>
        <v>0.32123567976564066</v>
      </c>
      <c r="J194">
        <f>Regression!$E$10+(Regression!$E$9*Table83[[#This Row],[Morning Systolic Pressure]])</f>
        <v>255.05440942489196</v>
      </c>
      <c r="K194" s="2">
        <f>Table83[[#This Row],[Weight]]-Table7[[#This Row],[Weight v Morning Sys]]</f>
        <v>-1.0544094248919578</v>
      </c>
      <c r="L194" s="2">
        <f>Table7[[#This Row],[WMS Res]]^2</f>
        <v>1.1117792353009892</v>
      </c>
      <c r="M194">
        <f>Regression!$F$10+(Regression!$F$9*Table83[[#This Row],[Morning Diastolic Pressure]])</f>
        <v>255.40607264438131</v>
      </c>
      <c r="N194" s="2">
        <f>Table83[[#This Row],[Weight]]-Table7[[#This Row],[Weight v Morning Dia]]</f>
        <v>-1.406072644381311</v>
      </c>
      <c r="O194" s="2">
        <f>Table7[[#This Row],[WMD Res]]^2</f>
        <v>1.9770402812774526</v>
      </c>
      <c r="P194">
        <f>Regression!$G$10+(Regression!$G$9*Table83[[#This Row],[Morning Pulse]])</f>
        <v>255.09536713682655</v>
      </c>
      <c r="Q194" s="2">
        <f>Table83[[#This Row],[Weight]]-Table7[[#This Row],[Weight v Morning Pulse]]</f>
        <v>-1.0953671368265532</v>
      </c>
      <c r="R194" s="2">
        <f>Table7[[#This Row],[WMP Res]]^2</f>
        <v>1.1998291644396009</v>
      </c>
      <c r="S194">
        <f>Regression!$H$10+(Regression!$H$9*Table83[[#This Row],[Night Body Temp]])</f>
        <v>256.18654209378701</v>
      </c>
      <c r="T194" s="2">
        <f>Table83[[#This Row],[Weight]]-Table7[[#This Row],[Weight v Night Temp]]</f>
        <v>-2.1865420937870113</v>
      </c>
      <c r="U194" s="2">
        <f>Table7[[#This Row],[WNT Res]]^2</f>
        <v>4.7809663279024868</v>
      </c>
      <c r="V194">
        <f>Regression!$I$10+(Regression!$I$9*Table83[[#This Row],[Night Systolic Pressure]])</f>
        <v>253.18568471259783</v>
      </c>
      <c r="W194" s="2">
        <f>Table83[[#This Row],[Weight]]-Table7[[#This Row],[Weight v Night Sys]]</f>
        <v>0.81431528740216663</v>
      </c>
      <c r="X194" s="2">
        <f>Table7[[#This Row],[WNS Res]]^2</f>
        <v>0.66310938729687319</v>
      </c>
      <c r="Y194">
        <f>Regression!$J$10+(Regression!$J$9*Table83[[#This Row],[Night Diastolic Pressure]])</f>
        <v>254.80695529533338</v>
      </c>
      <c r="Z194" s="2">
        <f>Table83[[#This Row],[Weight]]-Table7[[#This Row],[Weight v Night Dia]]</f>
        <v>-0.80695529533338117</v>
      </c>
      <c r="AA194" s="2">
        <f>Table7[[#This Row],[WND Res]]^2</f>
        <v>0.65117684866658443</v>
      </c>
      <c r="AB194">
        <f>Regression!$K$10+(Regression!$K$9*Table83[[#This Row],[Night Pulse]])</f>
        <v>255.11015185874123</v>
      </c>
      <c r="AC194" s="2">
        <f>Table83[[#This Row],[Weight]]-Table7[[#This Row],[Weight v Night Pulse]]</f>
        <v>-1.1101518587412329</v>
      </c>
      <c r="AD194" s="2">
        <f>Table7[[#This Row],[WNP Res ]]^2</f>
        <v>1.2324371494666144</v>
      </c>
      <c r="AE194">
        <f>Regression!$L$10+(Regression!$L$9*Table83[[#This Row],[Sleep]])</f>
        <v>254.90042408985096</v>
      </c>
      <c r="AF194" s="2">
        <f>Table83[[#This Row],[Weight]]-Table7[[#This Row],[Weight v Sleep]]</f>
        <v>-0.9004240898509579</v>
      </c>
      <c r="AG194" s="2">
        <f>Table7[[#This Row],[WS Res]]^2</f>
        <v>0.81076354158392594</v>
      </c>
      <c r="AH194">
        <f>Regression!$M$10+(Regression!$M$9*Table83[[#This Row],[BMI]])</f>
        <v>254.0000000000025</v>
      </c>
      <c r="AI194" s="2">
        <f>Table83[[#This Row],[Weight]]-Table7[[#This Row],[Weight v BMI]]</f>
        <v>-2.5011104298755527E-12</v>
      </c>
      <c r="AJ194" s="2">
        <f>Table7[[#This Row],[WBMI Res]]^2</f>
        <v>6.2555533824322718E-24</v>
      </c>
      <c r="AK194">
        <f>Regression!$N$10+(Regression!$N$9*Table83[[#This Row],[CBF]])</f>
        <v>256.25609762651322</v>
      </c>
      <c r="AL194" s="2">
        <f>Table83[[#This Row],[Weight]]-Table7[[#This Row],[Weight v CBF]]</f>
        <v>-2.256097626513224</v>
      </c>
      <c r="AM194" s="2">
        <f>Table7[[#This Row],[WCBF Res]]^2</f>
        <v>5.0899765003586026</v>
      </c>
      <c r="AN194">
        <f>Regression!$O$10+(Regression!$O$9*Table83[[#This Row],[Gym]])</f>
        <v>254.72962962962998</v>
      </c>
      <c r="AO194" s="2">
        <f>Table83[[#This Row],[Weight]]-Table7[[#This Row],[Weight v Gym]]</f>
        <v>-0.7296296296299829</v>
      </c>
      <c r="AP194" s="2">
        <f>Table7[[#This Row],[WG Res]]^2</f>
        <v>0.532359396433986</v>
      </c>
      <c r="AQ194">
        <f>Regression!$P$10+(Regression!$P$9*Table83[[#This Row],[Cardio]])</f>
        <v>256.41063829787231</v>
      </c>
      <c r="AR194" s="2">
        <f>Table83[[#This Row],[Weight]]-Table7[[#This Row],[Weight v Cardio]]</f>
        <v>-2.4106382978723104</v>
      </c>
      <c r="AS194" s="2">
        <f>Table7[[#This Row],[WC Res]]^2</f>
        <v>5.8111770031687104</v>
      </c>
      <c r="AT194">
        <f>Regression!$Q$10+(Regression!$Q$9*Table83[[#This Row],[Calories]])</f>
        <v>253.88863126493683</v>
      </c>
      <c r="AU194" s="2">
        <f>Table83[[#This Row],[Weight]]-Table7[[#This Row],[Weight v Calories]]</f>
        <v>0.11136873506316647</v>
      </c>
      <c r="AV194" s="2">
        <f>Table7[[#This Row],[WCAL Res]]^2</f>
        <v>1.2402995149569765E-2</v>
      </c>
      <c r="AW194">
        <f>Regression!$R$10+(Regression!$R$9*Table83[[#This Row],[Carbs]])</f>
        <v>253.42491446227842</v>
      </c>
      <c r="AX194" s="2">
        <f>Table83[[#This Row],[Weight]]-Table7[[#This Row],[Weight v Carbs]]</f>
        <v>0.57508553772157711</v>
      </c>
      <c r="AY194" s="2">
        <f>Table7[[#This Row],[Wcarb Res]]^2</f>
        <v>0.3307233756965155</v>
      </c>
      <c r="AZ194">
        <f>Regression!$S$10+(Regression!$S$9*Table83[[#This Row],[Fat ]])</f>
        <v>254.25217795657613</v>
      </c>
      <c r="BA194" s="2">
        <f>Table83[[#This Row],[Weight]]-Table7[[#This Row],[Weight v Fat]]</f>
        <v>-0.25217795657613351</v>
      </c>
      <c r="BB194" s="2">
        <f>Table7[[#This Row],[WF Res]]^2</f>
        <v>6.3593721782914281E-2</v>
      </c>
      <c r="BC194">
        <f>Regression!$T$10+(Regression!$T$9*Table83[[#This Row],[Protein]])</f>
        <v>255.40060798471589</v>
      </c>
      <c r="BD194" s="2">
        <f>Table83[[#This Row],[Weight]]-Table7[[#This Row],[Weight v Protein]]</f>
        <v>-1.4006079847158901</v>
      </c>
      <c r="BE194" s="2">
        <f>Table7[[#This Row],[WP Res]]^2</f>
        <v>1.961702726849907</v>
      </c>
      <c r="BF194">
        <f>Regression!$U$10+(Regression!$U$9*Table83[[#This Row],[Fiber]])</f>
        <v>255.25563593420895</v>
      </c>
      <c r="BG194" s="2">
        <f>Table83[[#This Row],[Weight]]-Table7[[#This Row],[Weight v Fiber]]</f>
        <v>-1.2556359342089536</v>
      </c>
      <c r="BH194" s="2">
        <f>Table7[[#This Row],[Wfib Res]]^2</f>
        <v>1.5766215992767916</v>
      </c>
      <c r="BI194">
        <f>Regression!$V$10+(Regression!$V$9*Table83[[#This Row],[Sugar]])</f>
        <v>253.02128557356295</v>
      </c>
      <c r="BJ194" s="2">
        <f>Table83[[#This Row],[Weight]]-Table7[[#This Row],[Weight v Sugar]]</f>
        <v>0.97871442643705109</v>
      </c>
      <c r="BK194" s="2">
        <f>Table7[[#This Row],[Wsugar Res]]^2</f>
        <v>0.95788192851600584</v>
      </c>
      <c r="BL194">
        <f>Regression!$W$10+(Regression!$W$9*Table83[[#This Row],[Servings]])</f>
        <v>254.75705918566447</v>
      </c>
      <c r="BM194" s="2">
        <f>Table83[[#This Row],[Weight]]-Table7[[#This Row],[Weight v Servings]]</f>
        <v>-0.75705918566447394</v>
      </c>
      <c r="BN194" s="2">
        <f>Table7[[#This Row],[Wserv Res]]^2</f>
        <v>0.57313861059895643</v>
      </c>
      <c r="BO194">
        <f>Regression!$X$10+(Regression!$X$9*Table83[[#This Row],[Water]])</f>
        <v>255.0206340268538</v>
      </c>
      <c r="BP194" s="2">
        <f>Table83[[#This Row],[Weight]]-Table7[[#This Row],[Weight v Water]]</f>
        <v>-1.0206340268537986</v>
      </c>
      <c r="BQ194" s="2">
        <f>Table7[[#This Row],[Wwater Res]]^2</f>
        <v>1.0416938167718004</v>
      </c>
      <c r="BR194">
        <f>Regression!$Y$10+(Regression!$Y$9*Table83[[#This Row],[Fat Calories]])</f>
        <v>254.19187583895985</v>
      </c>
      <c r="BS194" s="2">
        <f>Table83[[#This Row],[Weight]]-Table7[[#This Row],[Weight v Fat Calories]]</f>
        <v>-0.19187583895984517</v>
      </c>
      <c r="BT194" s="2">
        <f>Table7[[#This Row],[WFC Res]]^2</f>
        <v>3.6816337576544435E-2</v>
      </c>
      <c r="BU194">
        <f>Regression!$B$29+(Regression!$B$28*Table83[[#This Row],[Weight]])</f>
        <v>44.301601094408667</v>
      </c>
      <c r="BV194" s="2">
        <f>Table83[[#This Row],[Waist]]-Table7[[#This Row],[Waist v Weight]]</f>
        <v>0.19839890559133266</v>
      </c>
      <c r="BW194" s="2">
        <f>Table7[[#This Row],[WaistW Res]]^2</f>
        <v>3.9362125739838529E-2</v>
      </c>
      <c r="BX194">
        <f>Regression!$C$29+(Regression!$C$28*Table83[[#This Row],[Neck]])</f>
        <v>44.175585585585594</v>
      </c>
      <c r="BY194" s="2">
        <f>Table83[[#This Row],[Waist]]-Table7[[#This Row],[Waist v Neck]]</f>
        <v>0.32441441441440588</v>
      </c>
      <c r="BZ194" s="2">
        <f>Table7[[#This Row],[WaistN Res]]^2</f>
        <v>0.10524471227984188</v>
      </c>
      <c r="CA194">
        <f>Regression!$D$29+(Regression!$D$28*Table83[[#This Row],[Morning Body Temp]])</f>
        <v>44.30442342535018</v>
      </c>
      <c r="CB194" s="2">
        <f>Table83[[#This Row],[Waist]]-Table7[[#This Row],[Waist v Morning Temp]]</f>
        <v>0.19557657464982015</v>
      </c>
      <c r="CC194" s="2">
        <f>Table7[[#This Row],[WaistMT Res]]^2</f>
        <v>3.8250196551756675E-2</v>
      </c>
      <c r="CD194">
        <f>Regression!$E$29+(Regression!$E$28*Table83[[#This Row],[Morning Systolic Pressure]])</f>
        <v>44.439294322151774</v>
      </c>
      <c r="CE194" s="2">
        <f>Table83[[#This Row],[Waist]]-Table7[[#This Row],[Waist v Morning Sys]]</f>
        <v>6.0705677848226003E-2</v>
      </c>
      <c r="CF194" s="2">
        <f>Table7[[#This Row],[WaistMS Res]]^2</f>
        <v>3.6851793230125974E-3</v>
      </c>
      <c r="CG194">
        <f>Regression!$F$29+(Regression!$F$28*Table83[[#This Row],[Morning Diastolic Pressure]])</f>
        <v>44.469723530150823</v>
      </c>
      <c r="CH194" s="2">
        <f>Table83[[#This Row],[Waist]]-Table7[[#This Row],[Waist v Morning Dia]]</f>
        <v>3.027646984917709E-2</v>
      </c>
      <c r="CI194" s="2">
        <f>Table7[[#This Row],[WaistMD Res]]^2</f>
        <v>9.1666462652812938E-4</v>
      </c>
      <c r="CJ194">
        <f>Regression!$G$29+(Regression!$G$28*Table83[[#This Row],[Morning Pulse]])</f>
        <v>44.444502169196447</v>
      </c>
      <c r="CK194" s="2">
        <f>Table83[[#This Row],[Waist]]-Table7[[#This Row],[Waist v Morning Pulse]]</f>
        <v>5.5497830803552972E-2</v>
      </c>
      <c r="CL194" s="2">
        <f>Table7[[#This Row],[WaistMP Res]]^2</f>
        <v>3.0800092238997931E-3</v>
      </c>
      <c r="CM194">
        <f>Regression!$H$29+(Regression!$H$28*Table83[[#This Row],[Night Body Temp]])</f>
        <v>44.538020116512925</v>
      </c>
      <c r="CN194" s="2">
        <f>Table83[[#This Row],[Waist]]-Table7[[#This Row],[Waist v Night Temp]]</f>
        <v>-3.8020116512925028E-2</v>
      </c>
      <c r="CO194" s="2">
        <f>Table7[[#This Row],[WaistNT Res]]^2</f>
        <v>1.4455292596563943E-3</v>
      </c>
      <c r="CP194">
        <f>Regression!$I$29+(Regression!$I$28*Table83[[#This Row],[Night Systolic Pressure]])</f>
        <v>44.180237143118553</v>
      </c>
      <c r="CQ194" s="2">
        <f>Table83[[#This Row],[Waist]]-Table7[[#This Row],[Waist v  Night Sys]]</f>
        <v>0.31976285688144657</v>
      </c>
      <c r="CR194" s="2">
        <f>Table7[[#This Row],[WaistNS Res]]^2</f>
        <v>0.10224828464098448</v>
      </c>
      <c r="CS194">
        <f>Regression!$J$29+(Regression!$J$28*Table83[[#This Row],[Night Diastolic Pressure]])</f>
        <v>44.324548449494195</v>
      </c>
      <c r="CT194" s="2">
        <f>Table83[[#This Row],[Waist]]-Table7[[#This Row],[Waist v Night Dia]]</f>
        <v>0.17545155050580519</v>
      </c>
      <c r="CU194" s="2">
        <f>Table7[[#This Row],[WaistND Res]]^2</f>
        <v>3.0783246574891107E-2</v>
      </c>
      <c r="CV194">
        <f>Regression!$K$29+(Regression!$K$28*Table83[[#This Row],[Night Pulse]])</f>
        <v>44.453994879943338</v>
      </c>
      <c r="CW194" s="2">
        <f>Table83[[#This Row],[Waist]]-Table7[[#This Row],[Waist v Night Pulse]]</f>
        <v>4.6005120056662463E-2</v>
      </c>
      <c r="CX194" s="2">
        <f>Table7[[#This Row],[WaistNP Res]]^2</f>
        <v>2.1164710714279269E-3</v>
      </c>
      <c r="CY194">
        <f>Regression!$L$29+(Regression!$L$28*Table83[[#This Row],[Sleep]])</f>
        <v>44.420817626861357</v>
      </c>
      <c r="CZ194" s="2">
        <f>Table83[[#This Row],[Waist]]-Table7[[#This Row],[Waist v  Sleep]]</f>
        <v>7.9182373138642959E-2</v>
      </c>
      <c r="DA194" s="2">
        <f>Table7[[#This Row],[WaistS Res]]^2</f>
        <v>6.2698482158672856E-3</v>
      </c>
      <c r="DB194">
        <f>Regression!$M$29+(Regression!$M$28*Table83[[#This Row],[BMI]])</f>
        <v>44.301601094409143</v>
      </c>
      <c r="DC194" s="2">
        <f>Table83[[#This Row],[Waist]]-Table7[[#This Row],[Waist v BMI]]</f>
        <v>0.1983989055908566</v>
      </c>
      <c r="DD194" s="2">
        <f>Table7[[#This Row],[WaistBMI Res]]^2</f>
        <v>3.9362125739649631E-2</v>
      </c>
      <c r="DE194">
        <f>Regression!$N$29+(Regression!$N$28*Table83[[#This Row],[CBF]])</f>
        <v>44.659010290127611</v>
      </c>
      <c r="DF194" s="2">
        <f>Table83[[#This Row],[Waist]]-Table7[[#This Row],[Waist v  CBF]]</f>
        <v>-0.15901029012761114</v>
      </c>
      <c r="DG194" s="2">
        <f>Table7[[#This Row],[WaistCBF Res]]^2</f>
        <v>2.5284272366467068E-2</v>
      </c>
      <c r="DH194">
        <f>Regression!$O$29+(Regression!$O$28*Table83[[#This Row],[Gym]])</f>
        <v>44.347222222222221</v>
      </c>
      <c r="DI194" s="2">
        <f>Table83[[#This Row],[Waist]]-Table7[[#This Row],[Waist v  Gym]]</f>
        <v>0.15277777777777857</v>
      </c>
      <c r="DJ194" s="2">
        <f>Table7[[#This Row],[WaistGYM Res]]^2</f>
        <v>2.3341049382716292E-2</v>
      </c>
      <c r="DK194">
        <f>Regression!$P$29+(Regression!$P$28*Table83[[#This Row],[Cardio]])</f>
        <v>44.680851063829778</v>
      </c>
      <c r="DL194" s="2">
        <f>Table83[[#This Row],[Waist]]-Table7[[#This Row],[Waist v Cardio]]</f>
        <v>-0.18085106382977756</v>
      </c>
      <c r="DM194" s="2">
        <f>Table7[[#This Row],[WaistC Res]]^2</f>
        <v>3.2707107288362278E-2</v>
      </c>
      <c r="DN194">
        <f>Regression!$Q$29+(Regression!$Q$28*Table83[[#This Row],[Calories]])</f>
        <v>44.177992027188758</v>
      </c>
      <c r="DO194" s="2">
        <f>Table83[[#This Row],[Waist]]-Table7[[#This Row],[Waist v Calories]]</f>
        <v>0.32200797281124238</v>
      </c>
      <c r="DP194" s="2">
        <f>Table7[[#This Row],[WaistCal Res]]^2</f>
        <v>0.10368913455400582</v>
      </c>
      <c r="DQ194">
        <f>Regression!$R$29+(Regression!$R$28*Table83[[#This Row],[Carbs]])</f>
        <v>44.101665151614448</v>
      </c>
      <c r="DR194" s="2">
        <f>Table83[[#This Row],[Waist]]-Table7[[#This Row],[Waist v Carbs]]</f>
        <v>0.39833484838555222</v>
      </c>
      <c r="DS194" s="2">
        <f>Table7[[#This Row],[WaistCarb Res]]^2</f>
        <v>0.15867065143834089</v>
      </c>
      <c r="DT194">
        <f>Regression!$S$29+(Regression!$S$28*Table83[[#This Row],[Fat ]])</f>
        <v>44.18977985837472</v>
      </c>
      <c r="DU194" s="2">
        <f>Table83[[#This Row],[Waist]]-Table7[[#This Row],[Waist v Fat]]</f>
        <v>0.31022014162527967</v>
      </c>
      <c r="DV194" s="2">
        <f>Table7[[#This Row],[WaistF Res]]^2</f>
        <v>9.6236536270008569E-2</v>
      </c>
      <c r="DW194">
        <f>Regression!$T$29+(Regression!$T$28*Table83[[#This Row],[Protein]])</f>
        <v>44.505808594546245</v>
      </c>
      <c r="DX194" s="2">
        <f>Table83[[#This Row],[Waist]]-Table7[[#This Row],[Waist v Protein]]</f>
        <v>-5.8085945462451605E-3</v>
      </c>
      <c r="DY194" s="2">
        <f>Table7[[#This Row],[WaistP Res]]^2</f>
        <v>3.373977060266902E-5</v>
      </c>
      <c r="DZ194">
        <f>Regression!$U$29+(Regression!$U$28*Table83[[#This Row],[Fiber]])</f>
        <v>44.507788524438958</v>
      </c>
      <c r="EA194" s="2">
        <f>Table83[[#This Row],[Waist]]-Table7[[#This Row],[Waist v Fiber]]</f>
        <v>-7.7885244389577224E-3</v>
      </c>
      <c r="EB194" s="2">
        <f>Table7[[#This Row],[WaistFib Res]]^2</f>
        <v>6.0661112936241706E-5</v>
      </c>
      <c r="EC194">
        <f>Regression!$V$29+(Regression!$V$28*Table83[[#This Row],[Sugar]])</f>
        <v>44.077419428931208</v>
      </c>
      <c r="ED194" s="2">
        <f>Table83[[#This Row],[Waist]]-Table7[[#This Row],[Waist v Sugar]]</f>
        <v>0.42258057106879221</v>
      </c>
      <c r="EE194" s="2">
        <f>Table7[[#This Row],[WaistSugar Res]]^2</f>
        <v>0.17857433904482656</v>
      </c>
      <c r="EF194">
        <f>Regression!$W$29+(Regression!$W$28*Table83[[#This Row],[Servings]])</f>
        <v>44.3989172665583</v>
      </c>
      <c r="EG194" s="2">
        <f>Table83[[#This Row],[Waist]]-Table7[[#This Row],[Waist v Servings]]</f>
        <v>0.10108273344170016</v>
      </c>
      <c r="EH194" s="2">
        <f>Table7[[#This Row],[WaistServ Res]]^2</f>
        <v>1.0217719000045807E-2</v>
      </c>
      <c r="EI194">
        <f>Regression!$X$29+(Regression!$X$28*Table83[[#This Row],[Water]])</f>
        <v>44.33031459742935</v>
      </c>
      <c r="EJ194" s="2">
        <f>Table83[[#This Row],[Waist]]-Table7[[#This Row],[Waist v Water]]</f>
        <v>0.16968540257065001</v>
      </c>
      <c r="EK194" s="2">
        <f>Table7[[#This Row],[WaistWat Res]]^2</f>
        <v>2.8793135845563558E-2</v>
      </c>
      <c r="EL194">
        <f>Regression!$Y$29+(Regression!$Y$28*Table83[[#This Row],[Fat Calories]])</f>
        <v>44.172777752499542</v>
      </c>
      <c r="EM194" s="2">
        <f>Table83[[#This Row],[Waist]]-Table7[[#This Row],[Waist v Fat Calories]]</f>
        <v>0.32722224750045825</v>
      </c>
      <c r="EN194" s="2">
        <f>Table7[[#This Row],[WaistFatCal Res]]^2</f>
        <v>0.10707439925925116</v>
      </c>
    </row>
    <row r="195" spans="1:144" x14ac:dyDescent="0.25">
      <c r="A195">
        <f>Regression!$B$10+(Regression!$B$9*Table83[[#This Row],[Waist]])</f>
        <v>255.38023686459636</v>
      </c>
      <c r="B195" s="2">
        <f>Table83[[#This Row],[Weight]]-Table7[[#This Row],[Weight v Waist]]</f>
        <v>-0.38023686459635542</v>
      </c>
      <c r="C195" s="2">
        <f>Table7[[#This Row],[Weight v Waist Res]]^2</f>
        <v>0.14458007319806712</v>
      </c>
      <c r="D195">
        <f>Regression!$C$10+(Regression!$C$9*Table83[[#This Row],[Neck]])</f>
        <v>253.29286486487842</v>
      </c>
      <c r="E195" s="2">
        <f>Table83[[#This Row],[Weight]]-Table7[[#This Row],[Weight v Neck]]</f>
        <v>1.7071351351215753</v>
      </c>
      <c r="F195" s="2">
        <f>Table7[[#This Row],[WN Res]]^2</f>
        <v>2.9143103695665591</v>
      </c>
      <c r="G195">
        <f>Regression!$D$10+(Regression!$D$9*Table83[[#This Row],[Morning Body Temp]])</f>
        <v>255.20036355752904</v>
      </c>
      <c r="H195" s="2">
        <f>Table83[[#This Row],[Weight]]-Table7[[#This Row],[Weight v Morning Temp]]</f>
        <v>-0.20036355752904456</v>
      </c>
      <c r="I195" s="2">
        <f>Table7[[#This Row],[WMT Res]]^2</f>
        <v>4.0145555185694751E-2</v>
      </c>
      <c r="J195">
        <f>Regression!$E$10+(Regression!$E$9*Table83[[#This Row],[Morning Systolic Pressure]])</f>
        <v>256.2714939292033</v>
      </c>
      <c r="K195" s="2">
        <f>Table83[[#This Row],[Weight]]-Table7[[#This Row],[Weight v Morning Sys]]</f>
        <v>-1.2714939292033023</v>
      </c>
      <c r="L195" s="2">
        <f>Table7[[#This Row],[WMS Res]]^2</f>
        <v>1.6166968120008522</v>
      </c>
      <c r="M195">
        <f>Regression!$F$10+(Regression!$F$9*Table83[[#This Row],[Morning Diastolic Pressure]])</f>
        <v>251.55499118067587</v>
      </c>
      <c r="N195" s="2">
        <f>Table83[[#This Row],[Weight]]-Table7[[#This Row],[Weight v Morning Dia]]</f>
        <v>3.4450088193241299</v>
      </c>
      <c r="O195" s="2">
        <f>Table7[[#This Row],[WMD Res]]^2</f>
        <v>11.868085765221036</v>
      </c>
      <c r="P195">
        <f>Regression!$G$10+(Regression!$G$9*Table83[[#This Row],[Morning Pulse]])</f>
        <v>255.10085052409812</v>
      </c>
      <c r="Q195" s="2">
        <f>Table83[[#This Row],[Weight]]-Table7[[#This Row],[Weight v Morning Pulse]]</f>
        <v>-0.10085052409812079</v>
      </c>
      <c r="R195" s="2">
        <f>Table7[[#This Row],[WMP Res]]^2</f>
        <v>1.0170828210865641E-2</v>
      </c>
      <c r="S195">
        <f>Regression!$H$10+(Regression!$H$9*Table83[[#This Row],[Night Body Temp]])</f>
        <v>255.57036267089688</v>
      </c>
      <c r="T195" s="2">
        <f>Table83[[#This Row],[Weight]]-Table7[[#This Row],[Weight v Night Temp]]</f>
        <v>-0.57036267089688408</v>
      </c>
      <c r="U195" s="2">
        <f>Table7[[#This Row],[WNT Res]]^2</f>
        <v>0.32531357635262731</v>
      </c>
      <c r="V195">
        <f>Regression!$I$10+(Regression!$I$9*Table83[[#This Row],[Night Systolic Pressure]])</f>
        <v>256.16238489942344</v>
      </c>
      <c r="W195" s="2">
        <f>Table83[[#This Row],[Weight]]-Table7[[#This Row],[Weight v Night Sys]]</f>
        <v>-1.1623848994234436</v>
      </c>
      <c r="X195" s="2">
        <f>Table7[[#This Row],[WNS Res]]^2</f>
        <v>1.3511386544076491</v>
      </c>
      <c r="Y195">
        <f>Regression!$J$10+(Regression!$J$9*Table83[[#This Row],[Night Diastolic Pressure]])</f>
        <v>255.09231637424611</v>
      </c>
      <c r="Z195" s="2">
        <f>Table83[[#This Row],[Weight]]-Table7[[#This Row],[Weight v Night Dia]]</f>
        <v>-9.2316374246109945E-2</v>
      </c>
      <c r="AA195" s="2">
        <f>Table7[[#This Row],[WND Res]]^2</f>
        <v>8.5223129539478311E-3</v>
      </c>
      <c r="AB195">
        <f>Regression!$K$10+(Regression!$K$9*Table83[[#This Row],[Night Pulse]])</f>
        <v>255.17157852121468</v>
      </c>
      <c r="AC195" s="2">
        <f>Table83[[#This Row],[Weight]]-Table7[[#This Row],[Weight v Night Pulse]]</f>
        <v>-0.17157852121468409</v>
      </c>
      <c r="AD195" s="2">
        <f>Table7[[#This Row],[WNP Res ]]^2</f>
        <v>2.9439188942217798E-2</v>
      </c>
      <c r="AE195">
        <f>Regression!$L$10+(Regression!$L$9*Table83[[#This Row],[Sleep]])</f>
        <v>256.16232082334625</v>
      </c>
      <c r="AF195" s="2">
        <f>Table83[[#This Row],[Weight]]-Table7[[#This Row],[Weight v Sleep]]</f>
        <v>-1.1623208233462492</v>
      </c>
      <c r="AG195" s="2">
        <f>Table7[[#This Row],[WS Res]]^2</f>
        <v>1.3509896963843027</v>
      </c>
      <c r="AH195">
        <f>Regression!$M$10+(Regression!$M$9*Table83[[#This Row],[BMI]])</f>
        <v>255.00000000000026</v>
      </c>
      <c r="AI195" s="2">
        <f>Table83[[#This Row],[Weight]]-Table7[[#This Row],[Weight v BMI]]</f>
        <v>-2.5579538487363607E-13</v>
      </c>
      <c r="AJ195" s="2">
        <f>Table7[[#This Row],[WBMI Res]]^2</f>
        <v>6.5431278922651603E-26</v>
      </c>
      <c r="AK195">
        <f>Regression!$N$10+(Regression!$N$9*Table83[[#This Row],[CBF]])</f>
        <v>256.25609762651322</v>
      </c>
      <c r="AL195" s="2">
        <f>Table83[[#This Row],[Weight]]-Table7[[#This Row],[Weight v CBF]]</f>
        <v>-1.256097626513224</v>
      </c>
      <c r="AM195" s="2">
        <f>Table7[[#This Row],[WCBF Res]]^2</f>
        <v>1.5777812473321546</v>
      </c>
      <c r="AN195">
        <f>Regression!$O$10+(Regression!$O$9*Table83[[#This Row],[Gym]])</f>
        <v>254.72962962962998</v>
      </c>
      <c r="AO195" s="2">
        <f>Table83[[#This Row],[Weight]]-Table7[[#This Row],[Weight v Gym]]</f>
        <v>0.2703703703700171</v>
      </c>
      <c r="AP195" s="2">
        <f>Table7[[#This Row],[WG Res]]^2</f>
        <v>7.3100137174020224E-2</v>
      </c>
      <c r="AQ195">
        <f>Regression!$P$10+(Regression!$P$9*Table83[[#This Row],[Cardio]])</f>
        <v>254.19242424242461</v>
      </c>
      <c r="AR195" s="2">
        <f>Table83[[#This Row],[Weight]]-Table7[[#This Row],[Weight v Cardio]]</f>
        <v>0.80757575757539257</v>
      </c>
      <c r="AS195" s="2">
        <f>Table7[[#This Row],[WC Res]]^2</f>
        <v>0.65217860422346918</v>
      </c>
      <c r="AT195">
        <f>Regression!$Q$10+(Regression!$Q$9*Table83[[#This Row],[Calories]])</f>
        <v>254.00933887122048</v>
      </c>
      <c r="AU195" s="2">
        <f>Table83[[#This Row],[Weight]]-Table7[[#This Row],[Weight v Calories]]</f>
        <v>0.9906611287795215</v>
      </c>
      <c r="AV195" s="2">
        <f>Table7[[#This Row],[WCAL Res]]^2</f>
        <v>0.98140947207471574</v>
      </c>
      <c r="AW195">
        <f>Regression!$R$10+(Regression!$R$9*Table83[[#This Row],[Carbs]])</f>
        <v>253.86693786951844</v>
      </c>
      <c r="AX195" s="2">
        <f>Table83[[#This Row],[Weight]]-Table7[[#This Row],[Weight v Carbs]]</f>
        <v>1.1330621304815622</v>
      </c>
      <c r="AY195" s="2">
        <f>Table7[[#This Row],[Wcarb Res]]^2</f>
        <v>1.2838297915314167</v>
      </c>
      <c r="AZ195">
        <f>Regression!$S$10+(Regression!$S$9*Table83[[#This Row],[Fat ]])</f>
        <v>254.54421448442241</v>
      </c>
      <c r="BA195" s="2">
        <f>Table83[[#This Row],[Weight]]-Table7[[#This Row],[Weight v Fat]]</f>
        <v>0.45578551557758828</v>
      </c>
      <c r="BB195" s="2">
        <f>Table7[[#This Row],[WF Res]]^2</f>
        <v>0.20774043621032798</v>
      </c>
      <c r="BC195">
        <f>Regression!$T$10+(Regression!$T$9*Table83[[#This Row],[Protein]])</f>
        <v>253.76233329465992</v>
      </c>
      <c r="BD195" s="2">
        <f>Table83[[#This Row],[Weight]]-Table7[[#This Row],[Weight v Protein]]</f>
        <v>1.2376667053400752</v>
      </c>
      <c r="BE195" s="2">
        <f>Table7[[#This Row],[WP Res]]^2</f>
        <v>1.5318188735073563</v>
      </c>
      <c r="BF195">
        <f>Regression!$U$10+(Regression!$U$9*Table83[[#This Row],[Fiber]])</f>
        <v>255.53515112276051</v>
      </c>
      <c r="BG195" s="2">
        <f>Table83[[#This Row],[Weight]]-Table7[[#This Row],[Weight v Fiber]]</f>
        <v>-0.53515112276051013</v>
      </c>
      <c r="BH195" s="2">
        <f>Table7[[#This Row],[Wfib Res]]^2</f>
        <v>0.28638672419183459</v>
      </c>
      <c r="BI195">
        <f>Regression!$V$10+(Regression!$V$9*Table83[[#This Row],[Sugar]])</f>
        <v>254.18346132732029</v>
      </c>
      <c r="BJ195" s="2">
        <f>Table83[[#This Row],[Weight]]-Table7[[#This Row],[Weight v Sugar]]</f>
        <v>0.81653867267971236</v>
      </c>
      <c r="BK195" s="2">
        <f>Table7[[#This Row],[Wsugar Res]]^2</f>
        <v>0.6667354039815464</v>
      </c>
      <c r="BL195">
        <f>Regression!$W$10+(Regression!$W$9*Table83[[#This Row],[Servings]])</f>
        <v>251.93988519224212</v>
      </c>
      <c r="BM195" s="2">
        <f>Table83[[#This Row],[Weight]]-Table7[[#This Row],[Weight v Servings]]</f>
        <v>3.0601148077578841</v>
      </c>
      <c r="BN195" s="2">
        <f>Table7[[#This Row],[Wserv Res]]^2</f>
        <v>9.3643026366590725</v>
      </c>
      <c r="BO195">
        <f>Regression!$X$10+(Regression!$X$9*Table83[[#This Row],[Water]])</f>
        <v>255.06345001025522</v>
      </c>
      <c r="BP195" s="2">
        <f>Table83[[#This Row],[Weight]]-Table7[[#This Row],[Weight v Water]]</f>
        <v>-6.3450010255223788E-2</v>
      </c>
      <c r="BQ195" s="2">
        <f>Table7[[#This Row],[Wwater Res]]^2</f>
        <v>4.0259038013880036E-3</v>
      </c>
      <c r="BR195">
        <f>Regression!$Y$10+(Regression!$Y$9*Table83[[#This Row],[Fat Calories]])</f>
        <v>254.50267617182686</v>
      </c>
      <c r="BS195" s="2">
        <f>Table83[[#This Row],[Weight]]-Table7[[#This Row],[Weight v Fat Calories]]</f>
        <v>0.49732382817313692</v>
      </c>
      <c r="BT195" s="2">
        <f>Table7[[#This Row],[WFC Res]]^2</f>
        <v>0.24733099006878381</v>
      </c>
      <c r="BU195">
        <f>Regression!$B$29+(Regression!$B$28*Table83[[#This Row],[Weight]])</f>
        <v>44.437863604978645</v>
      </c>
      <c r="BV195" s="2">
        <f>Table83[[#This Row],[Waist]]-Table7[[#This Row],[Waist v Weight]]</f>
        <v>6.2136395021354929E-2</v>
      </c>
      <c r="BW195" s="2">
        <f>Table7[[#This Row],[WaistW Res]]^2</f>
        <v>3.8609315862498618E-3</v>
      </c>
      <c r="BX195">
        <f>Regression!$C$29+(Regression!$C$28*Table83[[#This Row],[Neck]])</f>
        <v>44.175585585585594</v>
      </c>
      <c r="BY195" s="2">
        <f>Table83[[#This Row],[Waist]]-Table7[[#This Row],[Waist v Neck]]</f>
        <v>0.32441441441440588</v>
      </c>
      <c r="BZ195" s="2">
        <f>Table7[[#This Row],[WaistN Res]]^2</f>
        <v>0.10524471227984188</v>
      </c>
      <c r="CA195">
        <f>Regression!$D$29+(Regression!$D$28*Table83[[#This Row],[Morning Body Temp]])</f>
        <v>44.476744743933082</v>
      </c>
      <c r="CB195" s="2">
        <f>Table83[[#This Row],[Waist]]-Table7[[#This Row],[Waist v Morning Temp]]</f>
        <v>2.3255256066917696E-2</v>
      </c>
      <c r="CC195" s="2">
        <f>Table7[[#This Row],[WaistMT Res]]^2</f>
        <v>5.408069347379123E-4</v>
      </c>
      <c r="CD195">
        <f>Regression!$E$29+(Regression!$E$28*Table83[[#This Row],[Morning Systolic Pressure]])</f>
        <v>44.725235263697307</v>
      </c>
      <c r="CE195" s="2">
        <f>Table83[[#This Row],[Waist]]-Table7[[#This Row],[Waist v Morning Sys]]</f>
        <v>-0.22523526369730718</v>
      </c>
      <c r="CF195" s="2">
        <f>Table7[[#This Row],[WaistMS Res]]^2</f>
        <v>5.0730924012795497E-2</v>
      </c>
      <c r="CG195">
        <f>Regression!$F$29+(Regression!$F$28*Table83[[#This Row],[Morning Diastolic Pressure]])</f>
        <v>44.255569944734368</v>
      </c>
      <c r="CH195" s="2">
        <f>Table83[[#This Row],[Waist]]-Table7[[#This Row],[Waist v Morning Dia]]</f>
        <v>0.24443005526563155</v>
      </c>
      <c r="CI195" s="2">
        <f>Table7[[#This Row],[WaistMD Res]]^2</f>
        <v>5.9746051917159697E-2</v>
      </c>
      <c r="CJ195">
        <f>Regression!$G$29+(Regression!$G$28*Table83[[#This Row],[Morning Pulse]])</f>
        <v>44.447020676917283</v>
      </c>
      <c r="CK195" s="2">
        <f>Table83[[#This Row],[Waist]]-Table7[[#This Row],[Waist v Morning Pulse]]</f>
        <v>5.2979323082716689E-2</v>
      </c>
      <c r="CL195" s="2">
        <f>Table7[[#This Row],[WaistMP Res]]^2</f>
        <v>2.8068086743028775E-3</v>
      </c>
      <c r="CM195">
        <f>Regression!$H$29+(Regression!$H$28*Table83[[#This Row],[Night Body Temp]])</f>
        <v>44.489438573683607</v>
      </c>
      <c r="CN195" s="2">
        <f>Table83[[#This Row],[Waist]]-Table7[[#This Row],[Waist v Night Temp]]</f>
        <v>1.0561426316392897E-2</v>
      </c>
      <c r="CO195" s="2">
        <f>Table7[[#This Row],[WaistNT Res]]^2</f>
        <v>1.1154372583659643E-4</v>
      </c>
      <c r="CP195">
        <f>Regression!$I$29+(Regression!$I$28*Table83[[#This Row],[Night Systolic Pressure]])</f>
        <v>44.601900458561346</v>
      </c>
      <c r="CQ195" s="2">
        <f>Table83[[#This Row],[Waist]]-Table7[[#This Row],[Waist v  Night Sys]]</f>
        <v>-0.10190045856134589</v>
      </c>
      <c r="CR195" s="2">
        <f>Table7[[#This Row],[WaistNS Res]]^2</f>
        <v>1.038370345501257E-2</v>
      </c>
      <c r="CS195">
        <f>Regression!$J$29+(Regression!$J$28*Table83[[#This Row],[Night Diastolic Pressure]])</f>
        <v>44.444024065946287</v>
      </c>
      <c r="CT195" s="2">
        <f>Table83[[#This Row],[Waist]]-Table7[[#This Row],[Waist v Night Dia]]</f>
        <v>5.5975934053712706E-2</v>
      </c>
      <c r="CU195" s="2">
        <f>Table7[[#This Row],[WaistND Res]]^2</f>
        <v>3.1333051931855937E-3</v>
      </c>
      <c r="CV195">
        <f>Regression!$K$29+(Regression!$K$28*Table83[[#This Row],[Night Pulse]])</f>
        <v>44.448281387321408</v>
      </c>
      <c r="CW195" s="2">
        <f>Table83[[#This Row],[Waist]]-Table7[[#This Row],[Waist v Night Pulse]]</f>
        <v>5.1718612678591569E-2</v>
      </c>
      <c r="CX195" s="2">
        <f>Table7[[#This Row],[WaistNP Res]]^2</f>
        <v>2.6748148973981725E-3</v>
      </c>
      <c r="CY195">
        <f>Regression!$L$29+(Regression!$L$28*Table83[[#This Row],[Sleep]])</f>
        <v>44.613213498843983</v>
      </c>
      <c r="CZ195" s="2">
        <f>Table83[[#This Row],[Waist]]-Table7[[#This Row],[Waist v  Sleep]]</f>
        <v>-0.11321349884398302</v>
      </c>
      <c r="DA195" s="2">
        <f>Table7[[#This Row],[WaistS Res]]^2</f>
        <v>1.2817296320496545E-2</v>
      </c>
      <c r="DB195">
        <f>Regression!$M$29+(Regression!$M$28*Table83[[#This Row],[BMI]])</f>
        <v>44.437863604978695</v>
      </c>
      <c r="DC195" s="2">
        <f>Table83[[#This Row],[Waist]]-Table7[[#This Row],[Waist v BMI]]</f>
        <v>6.2136395021305191E-2</v>
      </c>
      <c r="DD195" s="2">
        <f>Table7[[#This Row],[WaistBMI Res]]^2</f>
        <v>3.8609315862436805E-3</v>
      </c>
      <c r="DE195">
        <f>Regression!$N$29+(Regression!$N$28*Table83[[#This Row],[CBF]])</f>
        <v>44.659010290127611</v>
      </c>
      <c r="DF195" s="2">
        <f>Table83[[#This Row],[Waist]]-Table7[[#This Row],[Waist v  CBF]]</f>
        <v>-0.15901029012761114</v>
      </c>
      <c r="DG195" s="2">
        <f>Table7[[#This Row],[WaistCBF Res]]^2</f>
        <v>2.5284272366467068E-2</v>
      </c>
      <c r="DH195">
        <f>Regression!$O$29+(Regression!$O$28*Table83[[#This Row],[Gym]])</f>
        <v>44.347222222222221</v>
      </c>
      <c r="DI195" s="2">
        <f>Table83[[#This Row],[Waist]]-Table7[[#This Row],[Waist v  Gym]]</f>
        <v>0.15277777777777857</v>
      </c>
      <c r="DJ195" s="2">
        <f>Table7[[#This Row],[WaistGYM Res]]^2</f>
        <v>2.3341049382716292E-2</v>
      </c>
      <c r="DK195">
        <f>Regression!$P$29+(Regression!$P$28*Table83[[#This Row],[Cardio]])</f>
        <v>44.291666666666664</v>
      </c>
      <c r="DL195" s="2">
        <f>Table83[[#This Row],[Waist]]-Table7[[#This Row],[Waist v Cardio]]</f>
        <v>0.2083333333333357</v>
      </c>
      <c r="DM195" s="2">
        <f>Table7[[#This Row],[WaistC Res]]^2</f>
        <v>4.3402777777778762E-2</v>
      </c>
      <c r="DN195">
        <f>Regression!$Q$29+(Regression!$Q$28*Table83[[#This Row],[Calories]])</f>
        <v>44.205112349066674</v>
      </c>
      <c r="DO195" s="2">
        <f>Table83[[#This Row],[Waist]]-Table7[[#This Row],[Waist v Calories]]</f>
        <v>0.29488765093332603</v>
      </c>
      <c r="DP195" s="2">
        <f>Table7[[#This Row],[WaistCal Res]]^2</f>
        <v>8.6958726672975134E-2</v>
      </c>
      <c r="DQ195">
        <f>Regression!$R$29+(Regression!$R$28*Table83[[#This Row],[Carbs]])</f>
        <v>44.193691718156693</v>
      </c>
      <c r="DR195" s="2">
        <f>Table83[[#This Row],[Waist]]-Table7[[#This Row],[Waist v Carbs]]</f>
        <v>0.30630828184330738</v>
      </c>
      <c r="DS195" s="2">
        <f>Table7[[#This Row],[WaistCarb Res]]^2</f>
        <v>9.3824763525799035E-2</v>
      </c>
      <c r="DT195">
        <f>Regression!$S$29+(Regression!$S$28*Table83[[#This Row],[Fat ]])</f>
        <v>44.279049244652917</v>
      </c>
      <c r="DU195" s="2">
        <f>Table83[[#This Row],[Waist]]-Table7[[#This Row],[Waist v Fat]]</f>
        <v>0.22095075534708286</v>
      </c>
      <c r="DV195" s="2">
        <f>Table7[[#This Row],[WaistF Res]]^2</f>
        <v>4.8819236288446463E-2</v>
      </c>
      <c r="DW195">
        <f>Regression!$T$29+(Regression!$T$28*Table83[[#This Row],[Protein]])</f>
        <v>44.205943470174368</v>
      </c>
      <c r="DX195" s="2">
        <f>Table83[[#This Row],[Waist]]-Table7[[#This Row],[Waist v Protein]]</f>
        <v>0.29405652982563169</v>
      </c>
      <c r="DY195" s="2">
        <f>Table7[[#This Row],[WaistP Res]]^2</f>
        <v>8.6469242733092616E-2</v>
      </c>
      <c r="DZ195">
        <f>Regression!$U$29+(Regression!$U$28*Table83[[#This Row],[Fiber]])</f>
        <v>44.615642241788166</v>
      </c>
      <c r="EA195" s="2">
        <f>Table83[[#This Row],[Waist]]-Table7[[#This Row],[Waist v Fiber]]</f>
        <v>-0.11564224178816573</v>
      </c>
      <c r="EB195" s="2">
        <f>Table7[[#This Row],[WaistFib Res]]^2</f>
        <v>1.3373128085792585E-2</v>
      </c>
      <c r="EC195">
        <f>Regression!$V$29+(Regression!$V$28*Table83[[#This Row],[Sugar]])</f>
        <v>44.286191341316247</v>
      </c>
      <c r="ED195" s="2">
        <f>Table83[[#This Row],[Waist]]-Table7[[#This Row],[Waist v Sugar]]</f>
        <v>0.21380865868375309</v>
      </c>
      <c r="EE195" s="2">
        <f>Table7[[#This Row],[WaistSugar Res]]^2</f>
        <v>4.5714142528145631E-2</v>
      </c>
      <c r="EF195">
        <f>Regression!$W$29+(Regression!$W$28*Table83[[#This Row],[Servings]])</f>
        <v>43.969063449267708</v>
      </c>
      <c r="EG195" s="2">
        <f>Table83[[#This Row],[Waist]]-Table7[[#This Row],[Waist v Servings]]</f>
        <v>0.53093655073229229</v>
      </c>
      <c r="EH195" s="2">
        <f>Table7[[#This Row],[WaistServ Res]]^2</f>
        <v>0.28189362090350401</v>
      </c>
      <c r="EI195">
        <f>Regression!$X$29+(Regression!$X$28*Table83[[#This Row],[Water]])</f>
        <v>44.386198474840633</v>
      </c>
      <c r="EJ195" s="2">
        <f>Table83[[#This Row],[Waist]]-Table7[[#This Row],[Waist v Water]]</f>
        <v>0.11380152515936715</v>
      </c>
      <c r="EK195" s="2">
        <f>Table7[[#This Row],[WaistWat Res]]^2</f>
        <v>1.2950787128598073E-2</v>
      </c>
      <c r="EL195">
        <f>Regression!$Y$29+(Regression!$Y$28*Table83[[#This Row],[Fat Calories]])</f>
        <v>44.267301074719285</v>
      </c>
      <c r="EM195" s="2">
        <f>Table83[[#This Row],[Waist]]-Table7[[#This Row],[Waist v Fat Calories]]</f>
        <v>0.23269892528071523</v>
      </c>
      <c r="EN195" s="2">
        <f>Table7[[#This Row],[WaistFatCal Res]]^2</f>
        <v>5.4148789826799888E-2</v>
      </c>
    </row>
    <row r="196" spans="1:144" x14ac:dyDescent="0.25">
      <c r="A196">
        <f>Regression!$B$10+(Regression!$B$9*Table83[[#This Row],[Waist]])</f>
        <v>255.38023686459636</v>
      </c>
      <c r="B196" s="2">
        <f>Table83[[#This Row],[Weight]]-Table7[[#This Row],[Weight v Waist]]</f>
        <v>2.8197631354036332</v>
      </c>
      <c r="C196" s="2">
        <f>Table7[[#This Row],[Weight v Waist Res]]^2</f>
        <v>7.9510641397813284</v>
      </c>
      <c r="D196">
        <f>Regression!$C$10+(Regression!$C$9*Table83[[#This Row],[Neck]])</f>
        <v>253.29286486487842</v>
      </c>
      <c r="E196" s="2">
        <f>Table83[[#This Row],[Weight]]-Table7[[#This Row],[Weight v Neck]]</f>
        <v>4.907135135121564</v>
      </c>
      <c r="F196" s="2">
        <f>Table7[[#This Row],[WN Res]]^2</f>
        <v>24.079975234344531</v>
      </c>
      <c r="G196">
        <f>Regression!$D$10+(Regression!$D$9*Table83[[#This Row],[Morning Body Temp]])</f>
        <v>255.12996500330669</v>
      </c>
      <c r="H196" s="2">
        <f>Table83[[#This Row],[Weight]]-Table7[[#This Row],[Weight v Morning Temp]]</f>
        <v>3.0700349966932947</v>
      </c>
      <c r="I196" s="2">
        <f>Table7[[#This Row],[WMT Res]]^2</f>
        <v>9.4251148809215977</v>
      </c>
      <c r="J196">
        <f>Regression!$E$10+(Regression!$E$9*Table83[[#This Row],[Morning Systolic Pressure]])</f>
        <v>254.6937917939849</v>
      </c>
      <c r="K196" s="2">
        <f>Table83[[#This Row],[Weight]]-Table7[[#This Row],[Weight v Morning Sys]]</f>
        <v>3.5062082060150885</v>
      </c>
      <c r="L196" s="2">
        <f>Table7[[#This Row],[WMS Res]]^2</f>
        <v>12.293495983927546</v>
      </c>
      <c r="M196">
        <f>Regression!$F$10+(Regression!$F$9*Table83[[#This Row],[Morning Diastolic Pressure]])</f>
        <v>255.71010539151592</v>
      </c>
      <c r="N196" s="2">
        <f>Table83[[#This Row],[Weight]]-Table7[[#This Row],[Weight v Morning Dia]]</f>
        <v>2.4898946084840645</v>
      </c>
      <c r="O196" s="2">
        <f>Table7[[#This Row],[WMD Res]]^2</f>
        <v>6.1995751613580126</v>
      </c>
      <c r="P196">
        <f>Regression!$G$10+(Regression!$G$9*Table83[[#This Row],[Morning Pulse]])</f>
        <v>255.1081617071269</v>
      </c>
      <c r="Q196" s="2">
        <f>Table83[[#This Row],[Weight]]-Table7[[#This Row],[Weight v Morning Pulse]]</f>
        <v>3.0918382928730921</v>
      </c>
      <c r="R196" s="2">
        <f>Table7[[#This Row],[WMP Res]]^2</f>
        <v>9.5594640292763966</v>
      </c>
      <c r="S196">
        <f>Regression!$H$10+(Regression!$H$9*Table83[[#This Row],[Night Body Temp]])</f>
        <v>255.87845238234192</v>
      </c>
      <c r="T196" s="2">
        <f>Table83[[#This Row],[Weight]]-Table7[[#This Row],[Weight v Night Temp]]</f>
        <v>2.3215476176580694</v>
      </c>
      <c r="U196" s="2">
        <f>Table7[[#This Row],[WNT Res]]^2</f>
        <v>5.3895833410538572</v>
      </c>
      <c r="V196">
        <f>Regression!$I$10+(Regression!$I$9*Table83[[#This Row],[Night Systolic Pressure]])</f>
        <v>252.87775021051243</v>
      </c>
      <c r="W196" s="2">
        <f>Table83[[#This Row],[Weight]]-Table7[[#This Row],[Weight v Night Sys]]</f>
        <v>5.3222497894875573</v>
      </c>
      <c r="X196" s="2">
        <f>Table7[[#This Row],[WNS Res]]^2</f>
        <v>28.326342821700347</v>
      </c>
      <c r="Y196">
        <f>Regression!$J$10+(Regression!$J$9*Table83[[#This Row],[Night Diastolic Pressure]])</f>
        <v>254.60312595325288</v>
      </c>
      <c r="Z196" s="2">
        <f>Table83[[#This Row],[Weight]]-Table7[[#This Row],[Weight v Night Dia]]</f>
        <v>3.5968740467471036</v>
      </c>
      <c r="AA196" s="2">
        <f>Table7[[#This Row],[WND Res]]^2</f>
        <v>12.937502908162886</v>
      </c>
      <c r="AB196">
        <f>Regression!$K$10+(Regression!$K$9*Table83[[#This Row],[Night Pulse]])</f>
        <v>255.20229185245142</v>
      </c>
      <c r="AC196" s="2">
        <f>Table83[[#This Row],[Weight]]-Table7[[#This Row],[Weight v Night Pulse]]</f>
        <v>2.9977081475485647</v>
      </c>
      <c r="AD196" s="2">
        <f>Table7[[#This Row],[WNP Res ]]^2</f>
        <v>8.9862541378790475</v>
      </c>
      <c r="AE196">
        <f>Regression!$L$10+(Regression!$L$9*Table83[[#This Row],[Sleep]])</f>
        <v>255.13702972738133</v>
      </c>
      <c r="AF196" s="2">
        <f>Table83[[#This Row],[Weight]]-Table7[[#This Row],[Weight v Sleep]]</f>
        <v>3.0629702726186565</v>
      </c>
      <c r="AG196" s="2">
        <f>Table7[[#This Row],[WS Res]]^2</f>
        <v>9.381786890945607</v>
      </c>
      <c r="AH196">
        <f>Regression!$M$10+(Regression!$M$9*Table83[[#This Row],[BMI]])</f>
        <v>258.19999999999311</v>
      </c>
      <c r="AI196" s="2">
        <f>Table83[[#This Row],[Weight]]-Table7[[#This Row],[Weight v BMI]]</f>
        <v>6.8780536821577698E-12</v>
      </c>
      <c r="AJ196" s="2">
        <f>Table7[[#This Row],[WBMI Res]]^2</f>
        <v>4.7307622454644055E-23</v>
      </c>
      <c r="AK196">
        <f>Regression!$N$10+(Regression!$N$9*Table83[[#This Row],[CBF]])</f>
        <v>256.25609762651322</v>
      </c>
      <c r="AL196" s="2">
        <f>Table83[[#This Row],[Weight]]-Table7[[#This Row],[Weight v CBF]]</f>
        <v>1.9439023734867646</v>
      </c>
      <c r="AM196" s="2">
        <f>Table7[[#This Row],[WCBF Res]]^2</f>
        <v>3.7787564376474769</v>
      </c>
      <c r="AN196">
        <f>Regression!$O$10+(Regression!$O$9*Table83[[#This Row],[Gym]])</f>
        <v>254.72962962962998</v>
      </c>
      <c r="AO196" s="2">
        <f>Table83[[#This Row],[Weight]]-Table7[[#This Row],[Weight v Gym]]</f>
        <v>3.4703703703700057</v>
      </c>
      <c r="AP196" s="2">
        <f>Table7[[#This Row],[WG Res]]^2</f>
        <v>12.04347050754205</v>
      </c>
      <c r="AQ196">
        <f>Regression!$P$10+(Regression!$P$9*Table83[[#This Row],[Cardio]])</f>
        <v>254.19242424242461</v>
      </c>
      <c r="AR196" s="2">
        <f>Table83[[#This Row],[Weight]]-Table7[[#This Row],[Weight v Cardio]]</f>
        <v>4.0075757575753812</v>
      </c>
      <c r="AS196" s="2">
        <f>Table7[[#This Row],[WC Res]]^2</f>
        <v>16.060663452705892</v>
      </c>
      <c r="AT196">
        <f>Regression!$Q$10+(Regression!$Q$9*Table83[[#This Row],[Calories]])</f>
        <v>255.32391161881185</v>
      </c>
      <c r="AU196" s="2">
        <f>Table83[[#This Row],[Weight]]-Table7[[#This Row],[Weight v Calories]]</f>
        <v>2.8760883811881399</v>
      </c>
      <c r="AV196" s="2">
        <f>Table7[[#This Row],[WCAL Res]]^2</f>
        <v>8.2718843764054153</v>
      </c>
      <c r="AW196">
        <f>Regression!$R$10+(Regression!$R$9*Table83[[#This Row],[Carbs]])</f>
        <v>255.56102366766191</v>
      </c>
      <c r="AX196" s="2">
        <f>Table83[[#This Row],[Weight]]-Table7[[#This Row],[Weight v Carbs]]</f>
        <v>2.6389763323380748</v>
      </c>
      <c r="AY196" s="2">
        <f>Table7[[#This Row],[Wcarb Res]]^2</f>
        <v>6.9641960826405169</v>
      </c>
      <c r="AZ196">
        <f>Regression!$S$10+(Regression!$S$9*Table83[[#This Row],[Fat ]])</f>
        <v>255.13387373948447</v>
      </c>
      <c r="BA196" s="2">
        <f>Table83[[#This Row],[Weight]]-Table7[[#This Row],[Weight v Fat]]</f>
        <v>3.0661262605155173</v>
      </c>
      <c r="BB196" s="2">
        <f>Table7[[#This Row],[WF Res]]^2</f>
        <v>9.4011302454228698</v>
      </c>
      <c r="BC196">
        <f>Regression!$T$10+(Regression!$T$9*Table83[[#This Row],[Protein]])</f>
        <v>254.81098525072207</v>
      </c>
      <c r="BD196" s="2">
        <f>Table83[[#This Row],[Weight]]-Table7[[#This Row],[Weight v Protein]]</f>
        <v>3.3890147492779192</v>
      </c>
      <c r="BE196" s="2">
        <f>Table7[[#This Row],[WP Res]]^2</f>
        <v>11.485420970823277</v>
      </c>
      <c r="BF196">
        <f>Regression!$U$10+(Regression!$U$9*Table83[[#This Row],[Fiber]])</f>
        <v>254.959607364438</v>
      </c>
      <c r="BG196" s="2">
        <f>Table83[[#This Row],[Weight]]-Table7[[#This Row],[Weight v Fiber]]</f>
        <v>3.2403926355619888</v>
      </c>
      <c r="BH196" s="2">
        <f>Table7[[#This Row],[Wfib Res]]^2</f>
        <v>10.500144432604372</v>
      </c>
      <c r="BI196">
        <f>Regression!$V$10+(Regression!$V$9*Table83[[#This Row],[Sugar]])</f>
        <v>256.52145668865353</v>
      </c>
      <c r="BJ196" s="2">
        <f>Table83[[#This Row],[Weight]]-Table7[[#This Row],[Weight v Sugar]]</f>
        <v>1.6785433113464592</v>
      </c>
      <c r="BK196" s="2">
        <f>Table7[[#This Row],[Wsugar Res]]^2</f>
        <v>2.817507648065936</v>
      </c>
      <c r="BL196">
        <f>Regression!$W$10+(Regression!$W$9*Table83[[#This Row],[Servings]])</f>
        <v>256.5268713416408</v>
      </c>
      <c r="BM196" s="2">
        <f>Table83[[#This Row],[Weight]]-Table7[[#This Row],[Weight v Servings]]</f>
        <v>1.6731286583591896</v>
      </c>
      <c r="BN196" s="2">
        <f>Table7[[#This Row],[Wserv Res]]^2</f>
        <v>2.7993595074228215</v>
      </c>
      <c r="BO196">
        <f>Regression!$X$10+(Regression!$X$9*Table83[[#This Row],[Water]])</f>
        <v>255.1490819770581</v>
      </c>
      <c r="BP196" s="2">
        <f>Table83[[#This Row],[Weight]]-Table7[[#This Row],[Weight v Water]]</f>
        <v>3.050918022941886</v>
      </c>
      <c r="BQ196" s="2">
        <f>Table7[[#This Row],[Wwater Res]]^2</f>
        <v>9.3081007827116267</v>
      </c>
      <c r="BR196">
        <f>Regression!$Y$10+(Regression!$Y$9*Table83[[#This Row],[Fat Calories]])</f>
        <v>255.13022195900274</v>
      </c>
      <c r="BS196" s="2">
        <f>Table83[[#This Row],[Weight]]-Table7[[#This Row],[Weight v Fat Calories]]</f>
        <v>3.0697780409972495</v>
      </c>
      <c r="BT196" s="2">
        <f>Table7[[#This Row],[WFC Res]]^2</f>
        <v>9.4235372209889103</v>
      </c>
      <c r="BU196">
        <f>Regression!$B$29+(Regression!$B$28*Table83[[#This Row],[Weight]])</f>
        <v>44.873903638802588</v>
      </c>
      <c r="BV196" s="2">
        <f>Table83[[#This Row],[Waist]]-Table7[[#This Row],[Waist v Weight]]</f>
        <v>-0.37390363880258803</v>
      </c>
      <c r="BW196" s="2">
        <f>Table7[[#This Row],[WaistW Res]]^2</f>
        <v>0.1398039311098162</v>
      </c>
      <c r="BX196">
        <f>Regression!$C$29+(Regression!$C$28*Table83[[#This Row],[Neck]])</f>
        <v>44.175585585585594</v>
      </c>
      <c r="BY196" s="2">
        <f>Table83[[#This Row],[Waist]]-Table7[[#This Row],[Waist v Neck]]</f>
        <v>0.32441441441440588</v>
      </c>
      <c r="BZ196" s="2">
        <f>Table7[[#This Row],[WaistN Res]]^2</f>
        <v>0.10524471227984188</v>
      </c>
      <c r="CA196">
        <f>Regression!$D$29+(Regression!$D$28*Table83[[#This Row],[Morning Body Temp]])</f>
        <v>44.457597930757203</v>
      </c>
      <c r="CB196" s="2">
        <f>Table83[[#This Row],[Waist]]-Table7[[#This Row],[Waist v Morning Temp]]</f>
        <v>4.2402069242797324E-2</v>
      </c>
      <c r="CC196" s="2">
        <f>Table7[[#This Row],[WaistMT Res]]^2</f>
        <v>1.7979354760709789E-3</v>
      </c>
      <c r="CD196">
        <f>Regression!$E$29+(Regression!$E$28*Table83[[#This Row],[Morning Systolic Pressure]])</f>
        <v>44.354571080212359</v>
      </c>
      <c r="CE196" s="2">
        <f>Table83[[#This Row],[Waist]]-Table7[[#This Row],[Waist v Morning Sys]]</f>
        <v>0.14542891978764061</v>
      </c>
      <c r="CF196" s="2">
        <f>Table7[[#This Row],[WaistMS Res]]^2</f>
        <v>2.1149570710600005E-2</v>
      </c>
      <c r="CG196">
        <f>Regression!$F$29+(Regression!$F$28*Table83[[#This Row],[Morning Diastolic Pressure]])</f>
        <v>44.486630392157387</v>
      </c>
      <c r="CH196" s="2">
        <f>Table83[[#This Row],[Waist]]-Table7[[#This Row],[Waist v Morning Dia]]</f>
        <v>1.3369607842612652E-2</v>
      </c>
      <c r="CI196" s="2">
        <f>Table7[[#This Row],[WaistMD Res]]^2</f>
        <v>1.7874641386524971E-4</v>
      </c>
      <c r="CJ196">
        <f>Regression!$G$29+(Regression!$G$28*Table83[[#This Row],[Morning Pulse]])</f>
        <v>44.450378687211739</v>
      </c>
      <c r="CK196" s="2">
        <f>Table83[[#This Row],[Waist]]-Table7[[#This Row],[Waist v Morning Pulse]]</f>
        <v>4.9621312788261207E-2</v>
      </c>
      <c r="CL196" s="2">
        <f>Table7[[#This Row],[WaistMP Res]]^2</f>
        <v>2.4622746828304553E-3</v>
      </c>
      <c r="CM196">
        <f>Regression!$H$29+(Regression!$H$28*Table83[[#This Row],[Night Body Temp]])</f>
        <v>44.513729345098263</v>
      </c>
      <c r="CN196" s="2">
        <f>Table83[[#This Row],[Waist]]-Table7[[#This Row],[Waist v Night Temp]]</f>
        <v>-1.3729345098262513E-2</v>
      </c>
      <c r="CO196" s="2">
        <f>Table7[[#This Row],[WaistNT Res]]^2</f>
        <v>1.8849491682718491E-4</v>
      </c>
      <c r="CP196">
        <f>Regression!$I$29+(Regression!$I$28*Table83[[#This Row],[Night Systolic Pressure]])</f>
        <v>44.136616800141717</v>
      </c>
      <c r="CQ196" s="2">
        <f>Table83[[#This Row],[Waist]]-Table7[[#This Row],[Waist v  Night Sys]]</f>
        <v>0.36338319985828349</v>
      </c>
      <c r="CR196" s="2">
        <f>Table7[[#This Row],[WaistNS Res]]^2</f>
        <v>0.13204734993924519</v>
      </c>
      <c r="CS196">
        <f>Regression!$J$29+(Regression!$J$28*Table83[[#This Row],[Night Diastolic Pressure]])</f>
        <v>44.239208723456983</v>
      </c>
      <c r="CT196" s="2">
        <f>Table83[[#This Row],[Waist]]-Table7[[#This Row],[Waist v Night Dia]]</f>
        <v>0.26079127654301715</v>
      </c>
      <c r="CU196" s="2">
        <f>Table7[[#This Row],[WaistND Res]]^2</f>
        <v>6.801208992093645E-2</v>
      </c>
      <c r="CV196">
        <f>Regression!$K$29+(Regression!$K$28*Table83[[#This Row],[Night Pulse]])</f>
        <v>44.44542464101044</v>
      </c>
      <c r="CW196" s="2">
        <f>Table83[[#This Row],[Waist]]-Table7[[#This Row],[Waist v Night Pulse]]</f>
        <v>5.4575358989559675E-2</v>
      </c>
      <c r="CX196" s="2">
        <f>Table7[[#This Row],[WaistNP Res]]^2</f>
        <v>2.978469808839312E-3</v>
      </c>
      <c r="CY196">
        <f>Regression!$L$29+(Regression!$L$28*Table83[[#This Row],[Sleep]])</f>
        <v>44.456891852858099</v>
      </c>
      <c r="CZ196" s="2">
        <f>Table83[[#This Row],[Waist]]-Table7[[#This Row],[Waist v  Sleep]]</f>
        <v>4.3108147141900588E-2</v>
      </c>
      <c r="DA196" s="2">
        <f>Table7[[#This Row],[WaistS Res]]^2</f>
        <v>1.8583123500077519E-3</v>
      </c>
      <c r="DB196">
        <f>Regression!$M$29+(Regression!$M$28*Table83[[#This Row],[BMI]])</f>
        <v>44.873903638801252</v>
      </c>
      <c r="DC196" s="2">
        <f>Table83[[#This Row],[Waist]]-Table7[[#This Row],[Waist v BMI]]</f>
        <v>-0.37390363880125221</v>
      </c>
      <c r="DD196" s="2">
        <f>Table7[[#This Row],[WaistBMI Res]]^2</f>
        <v>0.13980393110881728</v>
      </c>
      <c r="DE196">
        <f>Regression!$N$29+(Regression!$N$28*Table83[[#This Row],[CBF]])</f>
        <v>44.659010290127611</v>
      </c>
      <c r="DF196" s="2">
        <f>Table83[[#This Row],[Waist]]-Table7[[#This Row],[Waist v  CBF]]</f>
        <v>-0.15901029012761114</v>
      </c>
      <c r="DG196" s="2">
        <f>Table7[[#This Row],[WaistCBF Res]]^2</f>
        <v>2.5284272366467068E-2</v>
      </c>
      <c r="DH196">
        <f>Regression!$O$29+(Regression!$O$28*Table83[[#This Row],[Gym]])</f>
        <v>44.347222222222221</v>
      </c>
      <c r="DI196" s="2">
        <f>Table83[[#This Row],[Waist]]-Table7[[#This Row],[Waist v  Gym]]</f>
        <v>0.15277777777777857</v>
      </c>
      <c r="DJ196" s="2">
        <f>Table7[[#This Row],[WaistGYM Res]]^2</f>
        <v>2.3341049382716292E-2</v>
      </c>
      <c r="DK196">
        <f>Regression!$P$29+(Regression!$P$28*Table83[[#This Row],[Cardio]])</f>
        <v>44.291666666666664</v>
      </c>
      <c r="DL196" s="2">
        <f>Table83[[#This Row],[Waist]]-Table7[[#This Row],[Waist v Cardio]]</f>
        <v>0.2083333333333357</v>
      </c>
      <c r="DM196" s="2">
        <f>Table7[[#This Row],[WaistC Res]]^2</f>
        <v>4.3402777777778762E-2</v>
      </c>
      <c r="DN196">
        <f>Regression!$Q$29+(Regression!$Q$28*Table83[[#This Row],[Calories]])</f>
        <v>44.500467688670078</v>
      </c>
      <c r="DO196" s="2">
        <f>Table83[[#This Row],[Waist]]-Table7[[#This Row],[Waist v Calories]]</f>
        <v>-4.676886700778482E-4</v>
      </c>
      <c r="DP196" s="2">
        <f>Table7[[#This Row],[WaistCal Res]]^2</f>
        <v>2.1873269211918635E-7</v>
      </c>
      <c r="DQ196">
        <f>Regression!$R$29+(Regression!$R$28*Table83[[#This Row],[Carbs]])</f>
        <v>44.546390007155843</v>
      </c>
      <c r="DR196" s="2">
        <f>Table83[[#This Row],[Waist]]-Table7[[#This Row],[Waist v Carbs]]</f>
        <v>-4.6390007155842738E-2</v>
      </c>
      <c r="DS196" s="2">
        <f>Table7[[#This Row],[WaistCarb Res]]^2</f>
        <v>2.1520327639191405E-3</v>
      </c>
      <c r="DT196">
        <f>Regression!$S$29+(Regression!$S$28*Table83[[#This Row],[Fat ]])</f>
        <v>44.459295600137438</v>
      </c>
      <c r="DU196" s="2">
        <f>Table83[[#This Row],[Waist]]-Table7[[#This Row],[Waist v Fat]]</f>
        <v>4.0704399862562468E-2</v>
      </c>
      <c r="DV196" s="2">
        <f>Table7[[#This Row],[WaistF Res]]^2</f>
        <v>1.6568481681713755E-3</v>
      </c>
      <c r="DW196">
        <f>Regression!$T$29+(Regression!$T$28*Table83[[#This Row],[Protein]])</f>
        <v>44.397885731832972</v>
      </c>
      <c r="DX196" s="2">
        <f>Table83[[#This Row],[Waist]]-Table7[[#This Row],[Waist v Protein]]</f>
        <v>0.1021142681670284</v>
      </c>
      <c r="DY196" s="2">
        <f>Table7[[#This Row],[WaistP Res]]^2</f>
        <v>1.0427323763287789E-2</v>
      </c>
      <c r="DZ196">
        <f>Regression!$U$29+(Regression!$U$28*Table83[[#This Row],[Fiber]])</f>
        <v>44.393562954598501</v>
      </c>
      <c r="EA196" s="2">
        <f>Table83[[#This Row],[Waist]]-Table7[[#This Row],[Waist v Fiber]]</f>
        <v>0.10643704540149912</v>
      </c>
      <c r="EB196" s="2">
        <f>Table7[[#This Row],[WaistFib Res]]^2</f>
        <v>1.1328844633800786E-2</v>
      </c>
      <c r="EC196">
        <f>Regression!$V$29+(Regression!$V$28*Table83[[#This Row],[Sugar]])</f>
        <v>44.706186132254565</v>
      </c>
      <c r="ED196" s="2">
        <f>Table83[[#This Row],[Waist]]-Table7[[#This Row],[Waist v Sugar]]</f>
        <v>-0.20618613225456528</v>
      </c>
      <c r="EE196" s="2">
        <f>Table7[[#This Row],[WaistSugar Res]]^2</f>
        <v>4.2512721134097084E-2</v>
      </c>
      <c r="EF196">
        <f>Regression!$W$29+(Regression!$W$28*Table83[[#This Row],[Servings]])</f>
        <v>44.668961116497982</v>
      </c>
      <c r="EG196" s="2">
        <f>Table83[[#This Row],[Waist]]-Table7[[#This Row],[Waist v Servings]]</f>
        <v>-0.16896111649798229</v>
      </c>
      <c r="EH196" s="2">
        <f>Table7[[#This Row],[WaistServ Res]]^2</f>
        <v>2.8547858888244744E-2</v>
      </c>
      <c r="EI196">
        <f>Regression!$X$29+(Regression!$X$28*Table83[[#This Row],[Water]])</f>
        <v>44.497966229663206</v>
      </c>
      <c r="EJ196" s="2">
        <f>Table83[[#This Row],[Waist]]-Table7[[#This Row],[Waist v Water]]</f>
        <v>2.033770336794305E-3</v>
      </c>
      <c r="EK196" s="2">
        <f>Table7[[#This Row],[WaistWat Res]]^2</f>
        <v>4.1362217828244205E-6</v>
      </c>
      <c r="EL196">
        <f>Regression!$Y$29+(Regression!$Y$28*Table83[[#This Row],[Fat Calories]])</f>
        <v>44.458155801616385</v>
      </c>
      <c r="EM196" s="2">
        <f>Table83[[#This Row],[Waist]]-Table7[[#This Row],[Waist v Fat Calories]]</f>
        <v>4.1844198383614639E-2</v>
      </c>
      <c r="EN196" s="2">
        <f>Table7[[#This Row],[WaistFatCal Res]]^2</f>
        <v>1.750936938367298E-3</v>
      </c>
    </row>
    <row r="197" spans="1:144" x14ac:dyDescent="0.25">
      <c r="A197">
        <f>Regression!$B$10+(Regression!$B$9*Table83[[#This Row],[Waist]])</f>
        <v>255.38023686459636</v>
      </c>
      <c r="B197" s="2">
        <f>Table83[[#This Row],[Weight]]-Table7[[#This Row],[Weight v Waist]]</f>
        <v>1.9763135403650267E-2</v>
      </c>
      <c r="C197" s="2">
        <f>Table7[[#This Row],[Weight v Waist Res]]^2</f>
        <v>3.9058152098301463E-4</v>
      </c>
      <c r="D197">
        <f>Regression!$C$10+(Regression!$C$9*Table83[[#This Row],[Neck]])</f>
        <v>253.29286486487842</v>
      </c>
      <c r="E197" s="2">
        <f>Table83[[#This Row],[Weight]]-Table7[[#This Row],[Weight v Neck]]</f>
        <v>2.107135135121581</v>
      </c>
      <c r="F197" s="2">
        <f>Table7[[#This Row],[WN Res]]^2</f>
        <v>4.4400184776638438</v>
      </c>
      <c r="G197">
        <f>Regression!$D$10+(Regression!$D$9*Table83[[#This Row],[Morning Body Temp]])</f>
        <v>254.91876934063959</v>
      </c>
      <c r="H197" s="2">
        <f>Table83[[#This Row],[Weight]]-Table7[[#This Row],[Weight v Morning Temp]]</f>
        <v>0.48123065936042053</v>
      </c>
      <c r="I197" s="2">
        <f>Table7[[#This Row],[WMT Res]]^2</f>
        <v>0.23158294750846511</v>
      </c>
      <c r="J197">
        <f>Regression!$E$10+(Regression!$E$9*Table83[[#This Row],[Morning Systolic Pressure]])</f>
        <v>255.1896410364821</v>
      </c>
      <c r="K197" s="2">
        <f>Table83[[#This Row],[Weight]]-Table7[[#This Row],[Weight v Morning Sys]]</f>
        <v>0.21035896351790484</v>
      </c>
      <c r="L197" s="2">
        <f>Table7[[#This Row],[WMS Res]]^2</f>
        <v>4.4250893532327217E-2</v>
      </c>
      <c r="M197">
        <f>Regression!$F$10+(Regression!$F$9*Table83[[#This Row],[Morning Diastolic Pressure]])</f>
        <v>255.20338414629154</v>
      </c>
      <c r="N197" s="2">
        <f>Table83[[#This Row],[Weight]]-Table7[[#This Row],[Weight v Morning Dia]]</f>
        <v>0.19661585370846524</v>
      </c>
      <c r="O197" s="2">
        <f>Table7[[#This Row],[WMD Res]]^2</f>
        <v>3.8657793929508605E-2</v>
      </c>
      <c r="P197">
        <f>Regression!$G$10+(Regression!$G$9*Table83[[#This Row],[Morning Pulse]])</f>
        <v>255.12826746045599</v>
      </c>
      <c r="Q197" s="2">
        <f>Table83[[#This Row],[Weight]]-Table7[[#This Row],[Weight v Morning Pulse]]</f>
        <v>0.27173253954401844</v>
      </c>
      <c r="R197" s="2">
        <f>Table7[[#This Row],[WMP Res]]^2</f>
        <v>7.3838573047041542E-2</v>
      </c>
      <c r="S197">
        <f>Regression!$H$10+(Regression!$H$9*Table83[[#This Row],[Night Body Temp]])</f>
        <v>255.36496952993349</v>
      </c>
      <c r="T197" s="2">
        <f>Table83[[#This Row],[Weight]]-Table7[[#This Row],[Weight v Night Temp]]</f>
        <v>3.5030470066516273E-2</v>
      </c>
      <c r="U197" s="2">
        <f>Table7[[#This Row],[WNT Res]]^2</f>
        <v>1.2271338330810927E-3</v>
      </c>
      <c r="V197">
        <f>Regression!$I$10+(Regression!$I$9*Table83[[#This Row],[Night Systolic Pressure]])</f>
        <v>253.69890888274017</v>
      </c>
      <c r="W197" s="2">
        <f>Table83[[#This Row],[Weight]]-Table7[[#This Row],[Weight v Night Sys]]</f>
        <v>1.7010911172598355</v>
      </c>
      <c r="X197" s="2">
        <f>Table7[[#This Row],[WNS Res]]^2</f>
        <v>2.8937109892203154</v>
      </c>
      <c r="Y197">
        <f>Regression!$J$10+(Regression!$J$9*Table83[[#This Row],[Night Diastolic Pressure]])</f>
        <v>255.29614571632661</v>
      </c>
      <c r="Z197" s="2">
        <f>Table83[[#This Row],[Weight]]-Table7[[#This Row],[Weight v Night Dia]]</f>
        <v>0.10385428367339955</v>
      </c>
      <c r="AA197" s="2">
        <f>Table7[[#This Row],[WND Res]]^2</f>
        <v>1.0785712237314945E-2</v>
      </c>
      <c r="AB197">
        <f>Regression!$K$10+(Regression!$K$9*Table83[[#This Row],[Night Pulse]])</f>
        <v>254.95658520255759</v>
      </c>
      <c r="AC197" s="2">
        <f>Table83[[#This Row],[Weight]]-Table7[[#This Row],[Weight v Night Pulse]]</f>
        <v>0.44341479744241497</v>
      </c>
      <c r="AD197" s="2">
        <f>Table7[[#This Row],[WNP Res ]]^2</f>
        <v>0.1966166825908979</v>
      </c>
      <c r="AE197">
        <f>Regression!$L$10+(Regression!$L$9*Table83[[#This Row],[Sleep]])</f>
        <v>255.92571518581587</v>
      </c>
      <c r="AF197" s="2">
        <f>Table83[[#This Row],[Weight]]-Table7[[#This Row],[Weight v Sleep]]</f>
        <v>-0.52571518581586929</v>
      </c>
      <c r="AG197" s="2">
        <f>Table7[[#This Row],[WS Res]]^2</f>
        <v>0.276376456597414</v>
      </c>
      <c r="AH197">
        <f>Regression!$M$10+(Regression!$M$9*Table83[[#This Row],[BMI]])</f>
        <v>255.39999999999944</v>
      </c>
      <c r="AI197" s="2">
        <f>Table83[[#This Row],[Weight]]-Table7[[#This Row],[Weight v BMI]]</f>
        <v>5.6843418860808015E-13</v>
      </c>
      <c r="AJ197" s="2">
        <f>Table7[[#This Row],[WBMI Res]]^2</f>
        <v>3.2311742677852644E-25</v>
      </c>
      <c r="AK197">
        <f>Regression!$N$10+(Regression!$N$9*Table83[[#This Row],[CBF]])</f>
        <v>256.25609762651322</v>
      </c>
      <c r="AL197" s="2">
        <f>Table83[[#This Row],[Weight]]-Table7[[#This Row],[Weight v CBF]]</f>
        <v>-0.8560976265132183</v>
      </c>
      <c r="AM197" s="2">
        <f>Table7[[#This Row],[WCBF Res]]^2</f>
        <v>0.73290314612156582</v>
      </c>
      <c r="AN197">
        <f>Regression!$O$10+(Regression!$O$9*Table83[[#This Row],[Gym]])</f>
        <v>255.46779661016953</v>
      </c>
      <c r="AO197" s="2">
        <f>Table83[[#This Row],[Weight]]-Table7[[#This Row],[Weight v Gym]]</f>
        <v>-6.7796610169523319E-2</v>
      </c>
      <c r="AP197" s="2">
        <f>Table7[[#This Row],[WG Res]]^2</f>
        <v>4.5963803504783128E-3</v>
      </c>
      <c r="AQ197">
        <f>Regression!$P$10+(Regression!$P$9*Table83[[#This Row],[Cardio]])</f>
        <v>254.19242424242461</v>
      </c>
      <c r="AR197" s="2">
        <f>Table83[[#This Row],[Weight]]-Table7[[#This Row],[Weight v Cardio]]</f>
        <v>1.2075757575753983</v>
      </c>
      <c r="AS197" s="2">
        <f>Table7[[#This Row],[WC Res]]^2</f>
        <v>1.4582392102837971</v>
      </c>
      <c r="AT197">
        <f>Regression!$Q$10+(Regression!$Q$9*Table83[[#This Row],[Calories]])</f>
        <v>255.09445723916434</v>
      </c>
      <c r="AU197" s="2">
        <f>Table83[[#This Row],[Weight]]-Table7[[#This Row],[Weight v Calories]]</f>
        <v>0.30554276083566378</v>
      </c>
      <c r="AV197" s="2">
        <f>Table7[[#This Row],[WCAL Res]]^2</f>
        <v>9.3356378699079645E-2</v>
      </c>
      <c r="AW197">
        <f>Regression!$R$10+(Regression!$R$9*Table83[[#This Row],[Carbs]])</f>
        <v>255.15005818637744</v>
      </c>
      <c r="AX197" s="2">
        <f>Table83[[#This Row],[Weight]]-Table7[[#This Row],[Weight v Carbs]]</f>
        <v>0.24994181362256995</v>
      </c>
      <c r="AY197" s="2">
        <f>Table7[[#This Row],[Wcarb Res]]^2</f>
        <v>6.2470910196939497E-2</v>
      </c>
      <c r="AZ197">
        <f>Regression!$S$10+(Regression!$S$9*Table83[[#This Row],[Fat ]])</f>
        <v>255.14543124408891</v>
      </c>
      <c r="BA197" s="2">
        <f>Table83[[#This Row],[Weight]]-Table7[[#This Row],[Weight v Fat]]</f>
        <v>0.25456875591109451</v>
      </c>
      <c r="BB197" s="2">
        <f>Table7[[#This Row],[WF Res]]^2</f>
        <v>6.4805251486122414E-2</v>
      </c>
      <c r="BC197">
        <f>Regression!$T$10+(Regression!$T$9*Table83[[#This Row],[Protein]])</f>
        <v>254.36013175026176</v>
      </c>
      <c r="BD197" s="2">
        <f>Table83[[#This Row],[Weight]]-Table7[[#This Row],[Weight v Protein]]</f>
        <v>1.0398682497382481</v>
      </c>
      <c r="BE197" s="2">
        <f>Table7[[#This Row],[WP Res]]^2</f>
        <v>1.0813259768136876</v>
      </c>
      <c r="BF197">
        <f>Regression!$U$10+(Regression!$U$9*Table83[[#This Row],[Fiber]])</f>
        <v>255.23799172098822</v>
      </c>
      <c r="BG197" s="2">
        <f>Table83[[#This Row],[Weight]]-Table7[[#This Row],[Weight v Fiber]]</f>
        <v>0.16200827901178627</v>
      </c>
      <c r="BH197" s="2">
        <f>Table7[[#This Row],[Wfib Res]]^2</f>
        <v>2.6246682468360788E-2</v>
      </c>
      <c r="BI197">
        <f>Regression!$V$10+(Regression!$V$9*Table83[[#This Row],[Sugar]])</f>
        <v>255.34720891439071</v>
      </c>
      <c r="BJ197" s="2">
        <f>Table83[[#This Row],[Weight]]-Table7[[#This Row],[Weight v Sugar]]</f>
        <v>5.2791085609300126E-2</v>
      </c>
      <c r="BK197" s="2">
        <f>Table7[[#This Row],[Wsugar Res]]^2</f>
        <v>2.7868987198084549E-3</v>
      </c>
      <c r="BL197">
        <f>Regression!$W$10+(Regression!$W$9*Table83[[#This Row],[Servings]])</f>
        <v>254.16533797239205</v>
      </c>
      <c r="BM197" s="2">
        <f>Table83[[#This Row],[Weight]]-Table7[[#This Row],[Weight v Servings]]</f>
        <v>1.2346620276079534</v>
      </c>
      <c r="BN197" s="2">
        <f>Table7[[#This Row],[Wserv Res]]^2</f>
        <v>1.5243903224169828</v>
      </c>
      <c r="BO197">
        <f>Regression!$X$10+(Regression!$X$9*Table83[[#This Row],[Water]])</f>
        <v>255.10626599365665</v>
      </c>
      <c r="BP197" s="2">
        <f>Table83[[#This Row],[Weight]]-Table7[[#This Row],[Weight v Water]]</f>
        <v>0.29373400634335667</v>
      </c>
      <c r="BQ197" s="2">
        <f>Table7[[#This Row],[Wwater Res]]^2</f>
        <v>8.6279666482519099E-2</v>
      </c>
      <c r="BR197">
        <f>Regression!$Y$10+(Regression!$Y$9*Table83[[#This Row],[Fat Calories]])</f>
        <v>255.14252205140784</v>
      </c>
      <c r="BS197" s="2">
        <f>Table83[[#This Row],[Weight]]-Table7[[#This Row],[Weight v Fat Calories]]</f>
        <v>0.2574779485921681</v>
      </c>
      <c r="BT197" s="2">
        <f>Table7[[#This Row],[WFC Res]]^2</f>
        <v>6.6294894011231162E-2</v>
      </c>
      <c r="BU197">
        <f>Regression!$B$29+(Regression!$B$28*Table83[[#This Row],[Weight]])</f>
        <v>44.492368609206643</v>
      </c>
      <c r="BV197" s="2">
        <f>Table83[[#This Row],[Waist]]-Table7[[#This Row],[Waist v Weight]]</f>
        <v>7.6313907933567293E-3</v>
      </c>
      <c r="BW197" s="2">
        <f>Table7[[#This Row],[WaistW Res]]^2</f>
        <v>5.8238125440929854E-5</v>
      </c>
      <c r="BX197">
        <f>Regression!$C$29+(Regression!$C$28*Table83[[#This Row],[Neck]])</f>
        <v>44.175585585585594</v>
      </c>
      <c r="BY197" s="2">
        <f>Table83[[#This Row],[Waist]]-Table7[[#This Row],[Waist v Neck]]</f>
        <v>0.32441441441440588</v>
      </c>
      <c r="BZ197" s="2">
        <f>Table7[[#This Row],[WaistN Res]]^2</f>
        <v>0.10524471227984188</v>
      </c>
      <c r="CA197">
        <f>Regression!$D$29+(Regression!$D$28*Table83[[#This Row],[Morning Body Temp]])</f>
        <v>44.400157491229571</v>
      </c>
      <c r="CB197" s="2">
        <f>Table83[[#This Row],[Waist]]-Table7[[#This Row],[Waist v Morning Temp]]</f>
        <v>9.9842508770429106E-2</v>
      </c>
      <c r="CC197" s="2">
        <f>Table7[[#This Row],[WaistMT Res]]^2</f>
        <v>9.9685265575732134E-3</v>
      </c>
      <c r="CD197">
        <f>Regression!$E$29+(Regression!$E$28*Table83[[#This Row],[Morning Systolic Pressure]])</f>
        <v>44.471065537879056</v>
      </c>
      <c r="CE197" s="2">
        <f>Table83[[#This Row],[Waist]]-Table7[[#This Row],[Waist v Morning Sys]]</f>
        <v>2.8934462120943749E-2</v>
      </c>
      <c r="CF197" s="2">
        <f>Table7[[#This Row],[WaistMS Res]]^2</f>
        <v>8.3720309822832859E-4</v>
      </c>
      <c r="CG197">
        <f>Regression!$F$29+(Regression!$F$28*Table83[[#This Row],[Morning Diastolic Pressure]])</f>
        <v>44.458452288813113</v>
      </c>
      <c r="CH197" s="2">
        <f>Table83[[#This Row],[Waist]]-Table7[[#This Row],[Waist v Morning Dia]]</f>
        <v>4.1547711186886715E-2</v>
      </c>
      <c r="CI197" s="2">
        <f>Table7[[#This Row],[WaistMD Res]]^2</f>
        <v>1.7262123048689515E-3</v>
      </c>
      <c r="CJ197">
        <f>Regression!$G$29+(Regression!$G$28*Table83[[#This Row],[Morning Pulse]])</f>
        <v>44.459613215521493</v>
      </c>
      <c r="CK197" s="2">
        <f>Table83[[#This Row],[Waist]]-Table7[[#This Row],[Waist v Morning Pulse]]</f>
        <v>4.0386784478506854E-2</v>
      </c>
      <c r="CL197" s="2">
        <f>Table7[[#This Row],[WaistMP Res]]^2</f>
        <v>1.6310923605133622E-3</v>
      </c>
      <c r="CM197">
        <f>Regression!$H$29+(Regression!$H$28*Table83[[#This Row],[Night Body Temp]])</f>
        <v>44.473244726073837</v>
      </c>
      <c r="CN197" s="2">
        <f>Table83[[#This Row],[Waist]]-Table7[[#This Row],[Waist v Night Temp]]</f>
        <v>2.675527392616317E-2</v>
      </c>
      <c r="CO197" s="2">
        <f>Table7[[#This Row],[WaistNT Res]]^2</f>
        <v>7.1584468286402681E-4</v>
      </c>
      <c r="CP197">
        <f>Regression!$I$29+(Regression!$I$28*Table83[[#This Row],[Night Systolic Pressure]])</f>
        <v>44.252937714746622</v>
      </c>
      <c r="CQ197" s="2">
        <f>Table83[[#This Row],[Waist]]-Table7[[#This Row],[Waist v  Night Sys]]</f>
        <v>0.24706228525337792</v>
      </c>
      <c r="CR197" s="2">
        <f>Table7[[#This Row],[WaistNS Res]]^2</f>
        <v>6.1039772794621479E-2</v>
      </c>
      <c r="CS197">
        <f>Regression!$J$29+(Regression!$J$28*Table83[[#This Row],[Night Diastolic Pressure]])</f>
        <v>44.529363791983499</v>
      </c>
      <c r="CT197" s="2">
        <f>Table83[[#This Row],[Waist]]-Table7[[#This Row],[Waist v Night Dia]]</f>
        <v>-2.9363791983499254E-2</v>
      </c>
      <c r="CU197" s="2">
        <f>Table7[[#This Row],[WaistND Res]]^2</f>
        <v>8.6223227965021509E-4</v>
      </c>
      <c r="CV197">
        <f>Regression!$K$29+(Regression!$K$28*Table83[[#This Row],[Night Pulse]])</f>
        <v>44.468278611498164</v>
      </c>
      <c r="CW197" s="2">
        <f>Table83[[#This Row],[Waist]]-Table7[[#This Row],[Waist v Night Pulse]]</f>
        <v>3.1721388501836145E-2</v>
      </c>
      <c r="CX197" s="2">
        <f>Table7[[#This Row],[WaistNP Res]]^2</f>
        <v>1.0062464884844223E-3</v>
      </c>
      <c r="CY197">
        <f>Regression!$L$29+(Regression!$L$28*Table83[[#This Row],[Sleep]])</f>
        <v>44.577139272847241</v>
      </c>
      <c r="CZ197" s="2">
        <f>Table83[[#This Row],[Waist]]-Table7[[#This Row],[Waist v  Sleep]]</f>
        <v>-7.7139272847240647E-2</v>
      </c>
      <c r="DA197" s="2">
        <f>Table7[[#This Row],[WaistS Res]]^2</f>
        <v>5.9504674154010383E-3</v>
      </c>
      <c r="DB197">
        <f>Regression!$M$29+(Regression!$M$28*Table83[[#This Row],[BMI]])</f>
        <v>44.492368609206522</v>
      </c>
      <c r="DC197" s="2">
        <f>Table83[[#This Row],[Waist]]-Table7[[#This Row],[Waist v BMI]]</f>
        <v>7.6313907934775216E-3</v>
      </c>
      <c r="DD197" s="2">
        <f>Table7[[#This Row],[WaistBMI Res]]^2</f>
        <v>5.8238125442773479E-5</v>
      </c>
      <c r="DE197">
        <f>Regression!$N$29+(Regression!$N$28*Table83[[#This Row],[CBF]])</f>
        <v>44.659010290127611</v>
      </c>
      <c r="DF197" s="2">
        <f>Table83[[#This Row],[Waist]]-Table7[[#This Row],[Waist v  CBF]]</f>
        <v>-0.15901029012761114</v>
      </c>
      <c r="DG197" s="2">
        <f>Table7[[#This Row],[WaistCBF Res]]^2</f>
        <v>2.5284272366467068E-2</v>
      </c>
      <c r="DH197">
        <f>Regression!$O$29+(Regression!$O$28*Table83[[#This Row],[Gym]])</f>
        <v>44.550847457627107</v>
      </c>
      <c r="DI197" s="2">
        <f>Table83[[#This Row],[Waist]]-Table7[[#This Row],[Waist v  Gym]]</f>
        <v>-5.0847457627106962E-2</v>
      </c>
      <c r="DJ197" s="2">
        <f>Table7[[#This Row],[WaistGYM Res]]^2</f>
        <v>2.5854639471404378E-3</v>
      </c>
      <c r="DK197">
        <f>Regression!$P$29+(Regression!$P$28*Table83[[#This Row],[Cardio]])</f>
        <v>44.291666666666664</v>
      </c>
      <c r="DL197" s="2">
        <f>Table83[[#This Row],[Waist]]-Table7[[#This Row],[Waist v Cardio]]</f>
        <v>0.2083333333333357</v>
      </c>
      <c r="DM197" s="2">
        <f>Table7[[#This Row],[WaistC Res]]^2</f>
        <v>4.3402777777778762E-2</v>
      </c>
      <c r="DN197">
        <f>Regression!$Q$29+(Regression!$Q$28*Table83[[#This Row],[Calories]])</f>
        <v>44.448914378784075</v>
      </c>
      <c r="DO197" s="2">
        <f>Table83[[#This Row],[Waist]]-Table7[[#This Row],[Waist v Calories]]</f>
        <v>5.1085621215925414E-2</v>
      </c>
      <c r="DP197" s="2">
        <f>Table7[[#This Row],[WaistCal Res]]^2</f>
        <v>2.6097406950170089E-3</v>
      </c>
      <c r="DQ197">
        <f>Regression!$R$29+(Regression!$R$28*Table83[[#This Row],[Carbs]])</f>
        <v>44.460829510606267</v>
      </c>
      <c r="DR197" s="2">
        <f>Table83[[#This Row],[Waist]]-Table7[[#This Row],[Waist v Carbs]]</f>
        <v>3.9170489393733021E-2</v>
      </c>
      <c r="DS197" s="2">
        <f>Table7[[#This Row],[WaistCarb Res]]^2</f>
        <v>1.5343272393445512E-3</v>
      </c>
      <c r="DT197">
        <f>Regression!$S$29+(Regression!$S$28*Table83[[#This Row],[Fat ]])</f>
        <v>44.462828484706897</v>
      </c>
      <c r="DU197" s="2">
        <f>Table83[[#This Row],[Waist]]-Table7[[#This Row],[Waist v Fat]]</f>
        <v>3.7171515293103141E-2</v>
      </c>
      <c r="DV197" s="2">
        <f>Table7[[#This Row],[WaistF Res]]^2</f>
        <v>1.3817215491854007E-3</v>
      </c>
      <c r="DW197">
        <f>Regression!$T$29+(Regression!$T$28*Table83[[#This Row],[Protein]])</f>
        <v>44.315362793640958</v>
      </c>
      <c r="DX197" s="2">
        <f>Table83[[#This Row],[Waist]]-Table7[[#This Row],[Waist v Protein]]</f>
        <v>0.18463720635904224</v>
      </c>
      <c r="DY197" s="2">
        <f>Table7[[#This Row],[WaistP Res]]^2</f>
        <v>3.409089797207155E-2</v>
      </c>
      <c r="DZ197">
        <f>Regression!$U$29+(Regression!$U$28*Table83[[#This Row],[Fiber]])</f>
        <v>44.500980329165493</v>
      </c>
      <c r="EA197" s="2">
        <f>Table83[[#This Row],[Waist]]-Table7[[#This Row],[Waist v Fiber]]</f>
        <v>-9.8032916549328775E-4</v>
      </c>
      <c r="EB197" s="2">
        <f>Table7[[#This Row],[WaistFib Res]]^2</f>
        <v>9.6104527271676595E-7</v>
      </c>
      <c r="EC197">
        <f>Regression!$V$29+(Regression!$V$28*Table83[[#This Row],[Sugar]])</f>
        <v>44.495245616025279</v>
      </c>
      <c r="ED197" s="2">
        <f>Table83[[#This Row],[Waist]]-Table7[[#This Row],[Waist v Sugar]]</f>
        <v>4.7543839747206107E-3</v>
      </c>
      <c r="EE197" s="2">
        <f>Table7[[#This Row],[WaistSugar Res]]^2</f>
        <v>2.2604166979080152E-5</v>
      </c>
      <c r="EF197">
        <f>Regression!$W$29+(Regression!$W$28*Table83[[#This Row],[Servings]])</f>
        <v>44.308630467485592</v>
      </c>
      <c r="EG197" s="2">
        <f>Table83[[#This Row],[Waist]]-Table7[[#This Row],[Waist v Servings]]</f>
        <v>0.19136953251440758</v>
      </c>
      <c r="EH197" s="2">
        <f>Table7[[#This Row],[WaistServ Res]]^2</f>
        <v>3.6622297974782898E-2</v>
      </c>
      <c r="EI197">
        <f>Regression!$X$29+(Regression!$X$28*Table83[[#This Row],[Water]])</f>
        <v>44.442082352251923</v>
      </c>
      <c r="EJ197" s="2">
        <f>Table83[[#This Row],[Waist]]-Table7[[#This Row],[Waist v Water]]</f>
        <v>5.7917647748077172E-2</v>
      </c>
      <c r="EK197" s="2">
        <f>Table7[[#This Row],[WaistWat Res]]^2</f>
        <v>3.3544539206703488E-3</v>
      </c>
      <c r="EL197">
        <f>Regression!$Y$29+(Regression!$Y$28*Table83[[#This Row],[Fat Calories]])</f>
        <v>44.461896613561507</v>
      </c>
      <c r="EM197" s="2">
        <f>Table83[[#This Row],[Waist]]-Table7[[#This Row],[Waist v Fat Calories]]</f>
        <v>3.8103386438493203E-2</v>
      </c>
      <c r="EN197" s="2">
        <f>Table7[[#This Row],[WaistFatCal Res]]^2</f>
        <v>1.4518680580811478E-3</v>
      </c>
    </row>
    <row r="198" spans="1:144" x14ac:dyDescent="0.25">
      <c r="A198">
        <f>Regression!$B$10+(Regression!$B$9*Table83[[#This Row],[Waist]])</f>
        <v>255.38023686459636</v>
      </c>
      <c r="B198" s="2">
        <f>Table83[[#This Row],[Weight]]-Table7[[#This Row],[Weight v Waist]]</f>
        <v>-3.3802368645963554</v>
      </c>
      <c r="C198" s="2">
        <f>Table7[[#This Row],[Weight v Waist Res]]^2</f>
        <v>11.4260012607762</v>
      </c>
      <c r="D198">
        <f>Regression!$C$10+(Regression!$C$9*Table83[[#This Row],[Neck]])</f>
        <v>253.29286486487842</v>
      </c>
      <c r="E198" s="2">
        <f>Table83[[#This Row],[Weight]]-Table7[[#This Row],[Weight v Neck]]</f>
        <v>-1.2928648648784247</v>
      </c>
      <c r="F198" s="2">
        <f>Table7[[#This Row],[WN Res]]^2</f>
        <v>1.6714995588371073</v>
      </c>
      <c r="G198">
        <f>Regression!$D$10+(Regression!$D$9*Table83[[#This Row],[Morning Body Temp]])</f>
        <v>254.91876934063959</v>
      </c>
      <c r="H198" s="2">
        <f>Table83[[#This Row],[Weight]]-Table7[[#This Row],[Weight v Morning Temp]]</f>
        <v>-2.9187693406395852</v>
      </c>
      <c r="I198" s="2">
        <f>Table7[[#This Row],[WMT Res]]^2</f>
        <v>8.5192144638576384</v>
      </c>
      <c r="J198">
        <f>Regression!$E$10+(Regression!$E$9*Table83[[#This Row],[Morning Systolic Pressure]])</f>
        <v>255.27979544420887</v>
      </c>
      <c r="K198" s="2">
        <f>Table83[[#This Row],[Weight]]-Table7[[#This Row],[Weight v Morning Sys]]</f>
        <v>-3.2797954442088724</v>
      </c>
      <c r="L198" s="2">
        <f>Table7[[#This Row],[WMS Res]]^2</f>
        <v>10.757058155853274</v>
      </c>
      <c r="M198">
        <f>Regression!$F$10+(Regression!$F$9*Table83[[#This Row],[Morning Diastolic Pressure]])</f>
        <v>254.79800715011203</v>
      </c>
      <c r="N198" s="2">
        <f>Table83[[#This Row],[Weight]]-Table7[[#This Row],[Weight v Morning Dia]]</f>
        <v>-2.7980071501120278</v>
      </c>
      <c r="O198" s="2">
        <f>Table7[[#This Row],[WMD Res]]^2</f>
        <v>7.828844012078032</v>
      </c>
      <c r="P198">
        <f>Regression!$G$10+(Regression!$G$9*Table83[[#This Row],[Morning Pulse]])</f>
        <v>255.09353934106937</v>
      </c>
      <c r="Q198" s="2">
        <f>Table83[[#This Row],[Weight]]-Table7[[#This Row],[Weight v Morning Pulse]]</f>
        <v>-3.0935393410693734</v>
      </c>
      <c r="R198" s="2">
        <f>Table7[[#This Row],[WMP Res]]^2</f>
        <v>9.5699856547439328</v>
      </c>
      <c r="S198">
        <f>Regression!$H$10+(Regression!$H$9*Table83[[#This Row],[Night Body Temp]])</f>
        <v>255.57036267089688</v>
      </c>
      <c r="T198" s="2">
        <f>Table83[[#This Row],[Weight]]-Table7[[#This Row],[Weight v Night Temp]]</f>
        <v>-3.5703626708968841</v>
      </c>
      <c r="U198" s="2">
        <f>Table7[[#This Row],[WNT Res]]^2</f>
        <v>12.747489601733932</v>
      </c>
      <c r="V198">
        <f>Regression!$I$10+(Regression!$I$9*Table83[[#This Row],[Night Systolic Pressure]])</f>
        <v>252.87775021051243</v>
      </c>
      <c r="W198" s="2">
        <f>Table83[[#This Row],[Weight]]-Table7[[#This Row],[Weight v Night Sys]]</f>
        <v>-0.87775021051243129</v>
      </c>
      <c r="X198" s="2">
        <f>Table7[[#This Row],[WNS Res]]^2</f>
        <v>0.77044543205461746</v>
      </c>
      <c r="Y198">
        <f>Regression!$J$10+(Regression!$J$9*Table83[[#This Row],[Night Diastolic Pressure]])</f>
        <v>254.88848703216559</v>
      </c>
      <c r="Z198" s="2">
        <f>Table83[[#This Row],[Weight]]-Table7[[#This Row],[Weight v Night Dia]]</f>
        <v>-2.8884870321655853</v>
      </c>
      <c r="AA198" s="2">
        <f>Table7[[#This Row],[WND Res]]^2</f>
        <v>8.3433573349887507</v>
      </c>
      <c r="AB198">
        <f>Regression!$K$10+(Regression!$K$9*Table83[[#This Row],[Night Pulse]])</f>
        <v>255.32514517739833</v>
      </c>
      <c r="AC198" s="2">
        <f>Table83[[#This Row],[Weight]]-Table7[[#This Row],[Weight v Night Pulse]]</f>
        <v>-3.3251451773983263</v>
      </c>
      <c r="AD198" s="2">
        <f>Table7[[#This Row],[WNP Res ]]^2</f>
        <v>11.056590450775346</v>
      </c>
      <c r="AE198">
        <f>Regression!$L$10+(Regression!$L$9*Table83[[#This Row],[Sleep]])</f>
        <v>253.95400153972949</v>
      </c>
      <c r="AF198" s="2">
        <f>Table83[[#This Row],[Weight]]-Table7[[#This Row],[Weight v Sleep]]</f>
        <v>-1.9540015397294894</v>
      </c>
      <c r="AG198" s="2">
        <f>Table7[[#This Row],[WS Res]]^2</f>
        <v>3.8181220172652153</v>
      </c>
      <c r="AH198">
        <f>Regression!$M$10+(Regression!$M$9*Table83[[#This Row],[BMI]])</f>
        <v>252.00000000000696</v>
      </c>
      <c r="AI198" s="2">
        <f>Table83[[#This Row],[Weight]]-Table7[[#This Row],[Weight v BMI]]</f>
        <v>-6.9633188104489818E-12</v>
      </c>
      <c r="AJ198" s="2">
        <f>Table7[[#This Row],[WBMI Res]]^2</f>
        <v>4.8487808855952623E-23</v>
      </c>
      <c r="AK198">
        <f>Regression!$N$10+(Regression!$N$9*Table83[[#This Row],[CBF]])</f>
        <v>256.25609762651322</v>
      </c>
      <c r="AL198" s="2">
        <f>Table83[[#This Row],[Weight]]-Table7[[#This Row],[Weight v CBF]]</f>
        <v>-4.256097626513224</v>
      </c>
      <c r="AM198" s="2">
        <f>Table7[[#This Row],[WCBF Res]]^2</f>
        <v>18.114367006411499</v>
      </c>
      <c r="AN198">
        <f>Regression!$O$10+(Regression!$O$9*Table83[[#This Row],[Gym]])</f>
        <v>254.72962962962998</v>
      </c>
      <c r="AO198" s="2">
        <f>Table83[[#This Row],[Weight]]-Table7[[#This Row],[Weight v Gym]]</f>
        <v>-2.7296296296299829</v>
      </c>
      <c r="AP198" s="2">
        <f>Table7[[#This Row],[WG Res]]^2</f>
        <v>7.4508779149539173</v>
      </c>
      <c r="AQ198">
        <f>Regression!$P$10+(Regression!$P$9*Table83[[#This Row],[Cardio]])</f>
        <v>254.19242424242461</v>
      </c>
      <c r="AR198" s="2">
        <f>Table83[[#This Row],[Weight]]-Table7[[#This Row],[Weight v Cardio]]</f>
        <v>-2.1924242424246074</v>
      </c>
      <c r="AS198" s="2">
        <f>Table7[[#This Row],[WC Res]]^2</f>
        <v>4.8067240587711142</v>
      </c>
      <c r="AT198">
        <f>Regression!$Q$10+(Regression!$Q$9*Table83[[#This Row],[Calories]])</f>
        <v>255.07332523373472</v>
      </c>
      <c r="AU198" s="2">
        <f>Table83[[#This Row],[Weight]]-Table7[[#This Row],[Weight v Calories]]</f>
        <v>-3.073325233734721</v>
      </c>
      <c r="AV198" s="2">
        <f>Table7[[#This Row],[WCAL Res]]^2</f>
        <v>9.4453279923105775</v>
      </c>
      <c r="AW198">
        <f>Regression!$R$10+(Regression!$R$9*Table83[[#This Row],[Carbs]])</f>
        <v>254.64886898378987</v>
      </c>
      <c r="AX198" s="2">
        <f>Table83[[#This Row],[Weight]]-Table7[[#This Row],[Weight v Carbs]]</f>
        <v>-2.6488689837898676</v>
      </c>
      <c r="AY198" s="2">
        <f>Table7[[#This Row],[Wcarb Res]]^2</f>
        <v>7.0165068932839656</v>
      </c>
      <c r="AZ198">
        <f>Regression!$S$10+(Regression!$S$9*Table83[[#This Row],[Fat ]])</f>
        <v>255.26295904338667</v>
      </c>
      <c r="BA198" s="2">
        <f>Table83[[#This Row],[Weight]]-Table7[[#This Row],[Weight v Fat]]</f>
        <v>-3.2629590433866724</v>
      </c>
      <c r="BB198" s="2">
        <f>Table7[[#This Row],[WF Res]]^2</f>
        <v>10.646901718818869</v>
      </c>
      <c r="BC198">
        <f>Regression!$T$10+(Regression!$T$9*Table83[[#This Row],[Protein]])</f>
        <v>256.10280058827101</v>
      </c>
      <c r="BD198" s="2">
        <f>Table83[[#This Row],[Weight]]-Table7[[#This Row],[Weight v Protein]]</f>
        <v>-4.102800588271009</v>
      </c>
      <c r="BE198" s="2">
        <f>Table7[[#This Row],[WP Res]]^2</f>
        <v>16.832972667116938</v>
      </c>
      <c r="BF198">
        <f>Regression!$U$10+(Regression!$U$9*Table83[[#This Row],[Fiber]])</f>
        <v>254.90460664310271</v>
      </c>
      <c r="BG198" s="2">
        <f>Table83[[#This Row],[Weight]]-Table7[[#This Row],[Weight v Fiber]]</f>
        <v>-2.90460664310271</v>
      </c>
      <c r="BH198" s="2">
        <f>Table7[[#This Row],[Wfib Res]]^2</f>
        <v>8.4367397511563933</v>
      </c>
      <c r="BI198">
        <f>Regression!$V$10+(Regression!$V$9*Table83[[#This Row],[Sugar]])</f>
        <v>253.80507951904102</v>
      </c>
      <c r="BJ198" s="2">
        <f>Table83[[#This Row],[Weight]]-Table7[[#This Row],[Weight v Sugar]]</f>
        <v>-1.8050795190410156</v>
      </c>
      <c r="BK198" s="2">
        <f>Table7[[#This Row],[Wsugar Res]]^2</f>
        <v>3.2583120700613444</v>
      </c>
      <c r="BL198">
        <f>Regression!$W$10+(Regression!$W$9*Table83[[#This Row],[Servings]])</f>
        <v>253.23953126790508</v>
      </c>
      <c r="BM198" s="2">
        <f>Table83[[#This Row],[Weight]]-Table7[[#This Row],[Weight v Servings]]</f>
        <v>-1.2395312679050789</v>
      </c>
      <c r="BN198" s="2">
        <f>Table7[[#This Row],[Wserv Res]]^2</f>
        <v>1.5364377641143725</v>
      </c>
      <c r="BO198">
        <f>Regression!$X$10+(Regression!$X$9*Table83[[#This Row],[Water]])</f>
        <v>255.19189796045953</v>
      </c>
      <c r="BP198" s="2">
        <f>Table83[[#This Row],[Weight]]-Table7[[#This Row],[Weight v Water]]</f>
        <v>-3.1918979604595279</v>
      </c>
      <c r="BQ198" s="2">
        <f>Table7[[#This Row],[Wwater Res]]^2</f>
        <v>10.188212589985694</v>
      </c>
      <c r="BR198">
        <f>Regression!$Y$10+(Regression!$Y$9*Table83[[#This Row],[Fat Calories]])</f>
        <v>255.26760119617188</v>
      </c>
      <c r="BS198" s="2">
        <f>Table83[[#This Row],[Weight]]-Table7[[#This Row],[Weight v Fat Calories]]</f>
        <v>-3.2676011961718814</v>
      </c>
      <c r="BT198" s="2">
        <f>Table7[[#This Row],[WFC Res]]^2</f>
        <v>10.67721757722391</v>
      </c>
      <c r="BU198">
        <f>Regression!$B$29+(Regression!$B$28*Table83[[#This Row],[Weight]])</f>
        <v>44.029076073268705</v>
      </c>
      <c r="BV198" s="2">
        <f>Table83[[#This Row],[Waist]]-Table7[[#This Row],[Waist v Weight]]</f>
        <v>0.47092392673129524</v>
      </c>
      <c r="BW198" s="2">
        <f>Table7[[#This Row],[WaistW Res]]^2</f>
        <v>0.22176934476802232</v>
      </c>
      <c r="BX198">
        <f>Regression!$C$29+(Regression!$C$28*Table83[[#This Row],[Neck]])</f>
        <v>44.175585585585594</v>
      </c>
      <c r="BY198" s="2">
        <f>Table83[[#This Row],[Waist]]-Table7[[#This Row],[Waist v Neck]]</f>
        <v>0.32441441441440588</v>
      </c>
      <c r="BZ198" s="2">
        <f>Table7[[#This Row],[WaistN Res]]^2</f>
        <v>0.10524471227984188</v>
      </c>
      <c r="CA198">
        <f>Regression!$D$29+(Regression!$D$28*Table83[[#This Row],[Morning Body Temp]])</f>
        <v>44.400157491229571</v>
      </c>
      <c r="CB198" s="2">
        <f>Table83[[#This Row],[Waist]]-Table7[[#This Row],[Waist v Morning Temp]]</f>
        <v>9.9842508770429106E-2</v>
      </c>
      <c r="CC198" s="2">
        <f>Table7[[#This Row],[WaistMT Res]]^2</f>
        <v>9.9685265575732134E-3</v>
      </c>
      <c r="CD198">
        <f>Regression!$E$29+(Regression!$E$28*Table83[[#This Row],[Morning Systolic Pressure]])</f>
        <v>44.492246348363913</v>
      </c>
      <c r="CE198" s="2">
        <f>Table83[[#This Row],[Waist]]-Table7[[#This Row],[Waist v Morning Sys]]</f>
        <v>7.7536516360865448E-3</v>
      </c>
      <c r="CF198" s="2">
        <f>Table7[[#This Row],[WaistMS Res]]^2</f>
        <v>6.0119113693787551E-5</v>
      </c>
      <c r="CG198">
        <f>Regression!$F$29+(Regression!$F$28*Table83[[#This Row],[Morning Diastolic Pressure]])</f>
        <v>44.435909806137701</v>
      </c>
      <c r="CH198" s="2">
        <f>Table83[[#This Row],[Waist]]-Table7[[#This Row],[Waist v Morning Dia]]</f>
        <v>6.4090193862298861E-2</v>
      </c>
      <c r="CI198" s="2">
        <f>Table7[[#This Row],[WaistMD Res]]^2</f>
        <v>4.1075529493070509E-3</v>
      </c>
      <c r="CJ198">
        <f>Regression!$G$29+(Regression!$G$28*Table83[[#This Row],[Morning Pulse]])</f>
        <v>44.443662666622828</v>
      </c>
      <c r="CK198" s="2">
        <f>Table83[[#This Row],[Waist]]-Table7[[#This Row],[Waist v Morning Pulse]]</f>
        <v>5.6337333377172172E-2</v>
      </c>
      <c r="CL198" s="2">
        <f>Table7[[#This Row],[WaistMP Res]]^2</f>
        <v>3.1738951320506377E-3</v>
      </c>
      <c r="CM198">
        <f>Regression!$H$29+(Regression!$H$28*Table83[[#This Row],[Night Body Temp]])</f>
        <v>44.489438573683607</v>
      </c>
      <c r="CN198" s="2">
        <f>Table83[[#This Row],[Waist]]-Table7[[#This Row],[Waist v Night Temp]]</f>
        <v>1.0561426316392897E-2</v>
      </c>
      <c r="CO198" s="2">
        <f>Table7[[#This Row],[WaistNT Res]]^2</f>
        <v>1.1154372583659643E-4</v>
      </c>
      <c r="CP198">
        <f>Regression!$I$29+(Regression!$I$28*Table83[[#This Row],[Night Systolic Pressure]])</f>
        <v>44.136616800141717</v>
      </c>
      <c r="CQ198" s="2">
        <f>Table83[[#This Row],[Waist]]-Table7[[#This Row],[Waist v  Night Sys]]</f>
        <v>0.36338319985828349</v>
      </c>
      <c r="CR198" s="2">
        <f>Table7[[#This Row],[WaistNS Res]]^2</f>
        <v>0.13204734993924519</v>
      </c>
      <c r="CS198">
        <f>Regression!$J$29+(Regression!$J$28*Table83[[#This Row],[Night Diastolic Pressure]])</f>
        <v>44.358684339909082</v>
      </c>
      <c r="CT198" s="2">
        <f>Table83[[#This Row],[Waist]]-Table7[[#This Row],[Waist v Night Dia]]</f>
        <v>0.14131566009091756</v>
      </c>
      <c r="CU198" s="2">
        <f>Table7[[#This Row],[WaistND Res]]^2</f>
        <v>1.9970115786931749E-2</v>
      </c>
      <c r="CV198">
        <f>Regression!$K$29+(Regression!$K$28*Table83[[#This Row],[Night Pulse]])</f>
        <v>44.433997655766582</v>
      </c>
      <c r="CW198" s="2">
        <f>Table83[[#This Row],[Waist]]-Table7[[#This Row],[Waist v Night Pulse]]</f>
        <v>6.6002344233417887E-2</v>
      </c>
      <c r="CX198" s="2">
        <f>Table7[[#This Row],[WaistNP Res]]^2</f>
        <v>4.3563094443065916E-3</v>
      </c>
      <c r="CY198">
        <f>Regression!$L$29+(Regression!$L$28*Table83[[#This Row],[Sleep]])</f>
        <v>44.276520722874395</v>
      </c>
      <c r="CZ198" s="2">
        <f>Table83[[#This Row],[Waist]]-Table7[[#This Row],[Waist v  Sleep]]</f>
        <v>0.22347927712560534</v>
      </c>
      <c r="DA198" s="2">
        <f>Table7[[#This Row],[WaistS Res]]^2</f>
        <v>4.994298730458311E-2</v>
      </c>
      <c r="DB198">
        <f>Regression!$M$29+(Regression!$M$28*Table83[[#This Row],[BMI]])</f>
        <v>44.029076073270048</v>
      </c>
      <c r="DC198" s="2">
        <f>Table83[[#This Row],[Waist]]-Table7[[#This Row],[Waist v BMI]]</f>
        <v>0.47092392672995231</v>
      </c>
      <c r="DD198" s="2">
        <f>Table7[[#This Row],[WaistBMI Res]]^2</f>
        <v>0.2217693447667575</v>
      </c>
      <c r="DE198">
        <f>Regression!$N$29+(Regression!$N$28*Table83[[#This Row],[CBF]])</f>
        <v>44.659010290127611</v>
      </c>
      <c r="DF198" s="2">
        <f>Table83[[#This Row],[Waist]]-Table7[[#This Row],[Waist v  CBF]]</f>
        <v>-0.15901029012761114</v>
      </c>
      <c r="DG198" s="2">
        <f>Table7[[#This Row],[WaistCBF Res]]^2</f>
        <v>2.5284272366467068E-2</v>
      </c>
      <c r="DH198">
        <f>Regression!$O$29+(Regression!$O$28*Table83[[#This Row],[Gym]])</f>
        <v>44.347222222222221</v>
      </c>
      <c r="DI198" s="2">
        <f>Table83[[#This Row],[Waist]]-Table7[[#This Row],[Waist v  Gym]]</f>
        <v>0.15277777777777857</v>
      </c>
      <c r="DJ198" s="2">
        <f>Table7[[#This Row],[WaistGYM Res]]^2</f>
        <v>2.3341049382716292E-2</v>
      </c>
      <c r="DK198">
        <f>Regression!$P$29+(Regression!$P$28*Table83[[#This Row],[Cardio]])</f>
        <v>44.291666666666664</v>
      </c>
      <c r="DL198" s="2">
        <f>Table83[[#This Row],[Waist]]-Table7[[#This Row],[Waist v Cardio]]</f>
        <v>0.2083333333333357</v>
      </c>
      <c r="DM198" s="2">
        <f>Table7[[#This Row],[WaistC Res]]^2</f>
        <v>4.3402777777778762E-2</v>
      </c>
      <c r="DN198">
        <f>Regression!$Q$29+(Regression!$Q$28*Table83[[#This Row],[Calories]])</f>
        <v>44.444166485864791</v>
      </c>
      <c r="DO198" s="2">
        <f>Table83[[#This Row],[Waist]]-Table7[[#This Row],[Waist v Calories]]</f>
        <v>5.5833514135208873E-2</v>
      </c>
      <c r="DP198" s="2">
        <f>Table7[[#This Row],[WaistCal Res]]^2</f>
        <v>3.1173813006865692E-3</v>
      </c>
      <c r="DQ198">
        <f>Regression!$R$29+(Regression!$R$28*Table83[[#This Row],[Carbs]])</f>
        <v>44.35648498778977</v>
      </c>
      <c r="DR198" s="2">
        <f>Table83[[#This Row],[Waist]]-Table7[[#This Row],[Waist v Carbs]]</f>
        <v>0.14351501221023</v>
      </c>
      <c r="DS198" s="2">
        <f>Table7[[#This Row],[WaistCarb Res]]^2</f>
        <v>2.0596558729702466E-2</v>
      </c>
      <c r="DT198">
        <f>Regression!$S$29+(Regression!$S$28*Table83[[#This Row],[Fat ]])</f>
        <v>44.498754245745459</v>
      </c>
      <c r="DU198" s="2">
        <f>Table83[[#This Row],[Waist]]-Table7[[#This Row],[Waist v Fat]]</f>
        <v>1.2457542545405431E-3</v>
      </c>
      <c r="DV198" s="2">
        <f>Table7[[#This Row],[WaistF Res]]^2</f>
        <v>1.5519036627058644E-6</v>
      </c>
      <c r="DW198">
        <f>Regression!$T$29+(Regression!$T$28*Table83[[#This Row],[Protein]])</f>
        <v>44.634335924960453</v>
      </c>
      <c r="DX198" s="2">
        <f>Table83[[#This Row],[Waist]]-Table7[[#This Row],[Waist v Protein]]</f>
        <v>-0.13433592496045321</v>
      </c>
      <c r="DY198" s="2">
        <f>Table7[[#This Row],[WaistP Res]]^2</f>
        <v>1.8046140734980516E-2</v>
      </c>
      <c r="DZ198">
        <f>Regression!$U$29+(Regression!$U$28*Table83[[#This Row],[Fiber]])</f>
        <v>44.372340378882171</v>
      </c>
      <c r="EA198" s="2">
        <f>Table83[[#This Row],[Waist]]-Table7[[#This Row],[Waist v Fiber]]</f>
        <v>0.12765962111782869</v>
      </c>
      <c r="EB198" s="2">
        <f>Table7[[#This Row],[WaistFib Res]]^2</f>
        <v>1.6296978863947573E-2</v>
      </c>
      <c r="EC198">
        <f>Regression!$V$29+(Regression!$V$28*Table83[[#This Row],[Sugar]])</f>
        <v>44.218219269561367</v>
      </c>
      <c r="ED198" s="2">
        <f>Table83[[#This Row],[Waist]]-Table7[[#This Row],[Waist v Sugar]]</f>
        <v>0.2817807304386335</v>
      </c>
      <c r="EE198" s="2">
        <f>Table7[[#This Row],[WaistSugar Res]]^2</f>
        <v>7.9400380046529828E-2</v>
      </c>
      <c r="EF198">
        <f>Regression!$W$29+(Regression!$W$28*Table83[[#This Row],[Servings]])</f>
        <v>44.167367788316284</v>
      </c>
      <c r="EG198" s="2">
        <f>Table83[[#This Row],[Waist]]-Table7[[#This Row],[Waist v Servings]]</f>
        <v>0.33263221168371615</v>
      </c>
      <c r="EH198" s="2">
        <f>Table7[[#This Row],[WaistServ Res]]^2</f>
        <v>0.11064418824960055</v>
      </c>
      <c r="EI198">
        <f>Regression!$X$29+(Regression!$X$28*Table83[[#This Row],[Water]])</f>
        <v>44.553850107074496</v>
      </c>
      <c r="EJ198" s="2">
        <f>Table83[[#This Row],[Waist]]-Table7[[#This Row],[Waist v Water]]</f>
        <v>-5.3850107074495668E-2</v>
      </c>
      <c r="EK198" s="2">
        <f>Table7[[#This Row],[WaistWat Res]]^2</f>
        <v>2.8998340319346485E-3</v>
      </c>
      <c r="EL198">
        <f>Regression!$Y$29+(Regression!$Y$28*Table83[[#This Row],[Fat Calories]])</f>
        <v>44.499936779717181</v>
      </c>
      <c r="EM198" s="2">
        <f>Table83[[#This Row],[Waist]]-Table7[[#This Row],[Waist v Fat Calories]]</f>
        <v>6.3220282818576834E-5</v>
      </c>
      <c r="EN198" s="2">
        <f>Table7[[#This Row],[WaistFatCal Res]]^2</f>
        <v>3.9968041596608415E-9</v>
      </c>
    </row>
    <row r="199" spans="1:144" x14ac:dyDescent="0.25">
      <c r="A199">
        <f>Regression!$B$10+(Regression!$B$9*Table83[[#This Row],[Waist]])</f>
        <v>255.38023686459636</v>
      </c>
      <c r="B199" s="2">
        <f>Table83[[#This Row],[Weight]]-Table7[[#This Row],[Weight v Waist]]</f>
        <v>-1.3802368645963554</v>
      </c>
      <c r="C199" s="2">
        <f>Table7[[#This Row],[Weight v Waist Res]]^2</f>
        <v>1.9050538023907779</v>
      </c>
      <c r="D199">
        <f>Regression!$C$10+(Regression!$C$9*Table83[[#This Row],[Neck]])</f>
        <v>253.29286486487842</v>
      </c>
      <c r="E199" s="2">
        <f>Table83[[#This Row],[Weight]]-Table7[[#This Row],[Weight v Neck]]</f>
        <v>0.70713513512157533</v>
      </c>
      <c r="F199" s="2">
        <f>Table7[[#This Row],[WN Res]]^2</f>
        <v>0.50004009932340865</v>
      </c>
      <c r="G199">
        <f>Regression!$D$10+(Regression!$D$9*Table83[[#This Row],[Morning Body Temp]])</f>
        <v>254.28518235263832</v>
      </c>
      <c r="H199" s="2">
        <f>Table83[[#This Row],[Weight]]-Table7[[#This Row],[Weight v Morning Temp]]</f>
        <v>-0.28518235263831571</v>
      </c>
      <c r="I199" s="2">
        <f>Table7[[#This Row],[WMT Res]]^2</f>
        <v>8.1328974256324654E-2</v>
      </c>
      <c r="J199">
        <f>Regression!$E$10+(Regression!$E$9*Table83[[#This Row],[Morning Systolic Pressure]])</f>
        <v>255.27979544420887</v>
      </c>
      <c r="K199" s="2">
        <f>Table83[[#This Row],[Weight]]-Table7[[#This Row],[Weight v Morning Sys]]</f>
        <v>-1.2797954442088724</v>
      </c>
      <c r="L199" s="2">
        <f>Table7[[#This Row],[WMS Res]]^2</f>
        <v>1.637876379017785</v>
      </c>
      <c r="M199">
        <f>Regression!$F$10+(Regression!$F$9*Table83[[#This Row],[Morning Diastolic Pressure]])</f>
        <v>255.30472839533641</v>
      </c>
      <c r="N199" s="2">
        <f>Table83[[#This Row],[Weight]]-Table7[[#This Row],[Weight v Morning Dia]]</f>
        <v>-1.3047283953364115</v>
      </c>
      <c r="O199" s="2">
        <f>Table7[[#This Row],[WMD Res]]^2</f>
        <v>1.7023161855971274</v>
      </c>
      <c r="P199">
        <f>Regression!$G$10+(Regression!$G$9*Table83[[#This Row],[Morning Pulse]])</f>
        <v>255.12826746045599</v>
      </c>
      <c r="Q199" s="2">
        <f>Table83[[#This Row],[Weight]]-Table7[[#This Row],[Weight v Morning Pulse]]</f>
        <v>-1.1282674604559872</v>
      </c>
      <c r="R199" s="2">
        <f>Table7[[#This Row],[WMP Res]]^2</f>
        <v>1.2729874623238027</v>
      </c>
      <c r="S199">
        <f>Regression!$H$10+(Regression!$H$9*Table83[[#This Row],[Night Body Temp]])</f>
        <v>255.67305924137855</v>
      </c>
      <c r="T199" s="2">
        <f>Table83[[#This Row],[Weight]]-Table7[[#This Row],[Weight v Night Temp]]</f>
        <v>-1.673059241378553</v>
      </c>
      <c r="U199" s="2">
        <f>Table7[[#This Row],[WNT Res]]^2</f>
        <v>2.799127225162179</v>
      </c>
      <c r="V199">
        <f>Regression!$I$10+(Regression!$I$9*Table83[[#This Row],[Night Systolic Pressure]])</f>
        <v>253.49361921468324</v>
      </c>
      <c r="W199" s="2">
        <f>Table83[[#This Row],[Weight]]-Table7[[#This Row],[Weight v Night Sys]]</f>
        <v>0.50638078531676456</v>
      </c>
      <c r="X199" s="2">
        <f>Table7[[#This Row],[WNS Res]]^2</f>
        <v>0.2564214997380232</v>
      </c>
      <c r="Y199">
        <f>Regression!$J$10+(Regression!$J$9*Table83[[#This Row],[Night Diastolic Pressure]])</f>
        <v>254.88848703216559</v>
      </c>
      <c r="Z199" s="2">
        <f>Table83[[#This Row],[Weight]]-Table7[[#This Row],[Weight v Night Dia]]</f>
        <v>-0.88848703216558533</v>
      </c>
      <c r="AA199" s="2">
        <f>Table7[[#This Row],[WND Res]]^2</f>
        <v>0.78940920632640987</v>
      </c>
      <c r="AB199">
        <f>Regression!$K$10+(Regression!$K$9*Table83[[#This Row],[Night Pulse]])</f>
        <v>255.50942516481868</v>
      </c>
      <c r="AC199" s="2">
        <f>Table83[[#This Row],[Weight]]-Table7[[#This Row],[Weight v Night Pulse]]</f>
        <v>-1.5094251648186798</v>
      </c>
      <c r="AD199" s="2">
        <f>Table7[[#This Row],[WNP Res ]]^2</f>
        <v>2.2783643281878989</v>
      </c>
      <c r="AE199">
        <f>Regression!$L$10+(Regression!$L$9*Table83[[#This Row],[Sleep]])</f>
        <v>255.13702972738133</v>
      </c>
      <c r="AF199" s="2">
        <f>Table83[[#This Row],[Weight]]-Table7[[#This Row],[Weight v Sleep]]</f>
        <v>-1.1370297273813321</v>
      </c>
      <c r="AG199" s="2">
        <f>Table7[[#This Row],[WS Res]]^2</f>
        <v>1.2928366009488665</v>
      </c>
      <c r="AH199">
        <f>Regression!$M$10+(Regression!$M$9*Table83[[#This Row],[BMI]])</f>
        <v>254.0000000000025</v>
      </c>
      <c r="AI199" s="2">
        <f>Table83[[#This Row],[Weight]]-Table7[[#This Row],[Weight v BMI]]</f>
        <v>-2.5011104298755527E-12</v>
      </c>
      <c r="AJ199" s="2">
        <f>Table7[[#This Row],[WBMI Res]]^2</f>
        <v>6.2555533824322718E-24</v>
      </c>
      <c r="AK199">
        <f>Regression!$N$10+(Regression!$N$9*Table83[[#This Row],[CBF]])</f>
        <v>256.25609762651322</v>
      </c>
      <c r="AL199" s="2">
        <f>Table83[[#This Row],[Weight]]-Table7[[#This Row],[Weight v CBF]]</f>
        <v>-2.256097626513224</v>
      </c>
      <c r="AM199" s="2">
        <f>Table7[[#This Row],[WCBF Res]]^2</f>
        <v>5.0899765003586026</v>
      </c>
      <c r="AN199">
        <f>Regression!$O$10+(Regression!$O$9*Table83[[#This Row],[Gym]])</f>
        <v>254.72962962962998</v>
      </c>
      <c r="AO199" s="2">
        <f>Table83[[#This Row],[Weight]]-Table7[[#This Row],[Weight v Gym]]</f>
        <v>-0.7296296296299829</v>
      </c>
      <c r="AP199" s="2">
        <f>Table7[[#This Row],[WG Res]]^2</f>
        <v>0.532359396433986</v>
      </c>
      <c r="AQ199">
        <f>Regression!$P$10+(Regression!$P$9*Table83[[#This Row],[Cardio]])</f>
        <v>256.41063829787231</v>
      </c>
      <c r="AR199" s="2">
        <f>Table83[[#This Row],[Weight]]-Table7[[#This Row],[Weight v Cardio]]</f>
        <v>-2.4106382978723104</v>
      </c>
      <c r="AS199" s="2">
        <f>Table7[[#This Row],[WC Res]]^2</f>
        <v>5.8111770031687104</v>
      </c>
      <c r="AT199">
        <f>Regression!$Q$10+(Regression!$Q$9*Table83[[#This Row],[Calories]])</f>
        <v>255.14740996500183</v>
      </c>
      <c r="AU199" s="2">
        <f>Table83[[#This Row],[Weight]]-Table7[[#This Row],[Weight v Calories]]</f>
        <v>-1.1474099650018275</v>
      </c>
      <c r="AV199" s="2">
        <f>Table7[[#This Row],[WCAL Res]]^2</f>
        <v>1.3165496277854949</v>
      </c>
      <c r="AW199">
        <f>Regression!$R$10+(Regression!$R$9*Table83[[#This Row],[Carbs]])</f>
        <v>254.92980777317732</v>
      </c>
      <c r="AX199" s="2">
        <f>Table83[[#This Row],[Weight]]-Table7[[#This Row],[Weight v Carbs]]</f>
        <v>-0.92980777317731622</v>
      </c>
      <c r="AY199" s="2">
        <f>Table7[[#This Row],[Wcarb Res]]^2</f>
        <v>0.86454249506095948</v>
      </c>
      <c r="AZ199">
        <f>Regression!$S$10+(Regression!$S$9*Table83[[#This Row],[Fat ]])</f>
        <v>255.21012387805033</v>
      </c>
      <c r="BA199" s="2">
        <f>Table83[[#This Row],[Weight]]-Table7[[#This Row],[Weight v Fat]]</f>
        <v>-1.2101238780503252</v>
      </c>
      <c r="BB199" s="2">
        <f>Table7[[#This Row],[WF Res]]^2</f>
        <v>1.4643998002275582</v>
      </c>
      <c r="BC199">
        <f>Regression!$T$10+(Regression!$T$9*Table83[[#This Row],[Protein]])</f>
        <v>255.61259944834205</v>
      </c>
      <c r="BD199" s="2">
        <f>Table83[[#This Row],[Weight]]-Table7[[#This Row],[Weight v Protein]]</f>
        <v>-1.6125994483420527</v>
      </c>
      <c r="BE199" s="2">
        <f>Table7[[#This Row],[WP Res]]^2</f>
        <v>2.6004769807930925</v>
      </c>
      <c r="BF199">
        <f>Regression!$U$10+(Regression!$U$9*Table83[[#This Row],[Fiber]])</f>
        <v>255.24094259300148</v>
      </c>
      <c r="BG199" s="2">
        <f>Table83[[#This Row],[Weight]]-Table7[[#This Row],[Weight v Fiber]]</f>
        <v>-1.2409425930014777</v>
      </c>
      <c r="BH199" s="2">
        <f>Table7[[#This Row],[Wfib Res]]^2</f>
        <v>1.5399385191252311</v>
      </c>
      <c r="BI199">
        <f>Regression!$V$10+(Regression!$V$9*Table83[[#This Row],[Sugar]])</f>
        <v>254.73779705314195</v>
      </c>
      <c r="BJ199" s="2">
        <f>Table83[[#This Row],[Weight]]-Table7[[#This Row],[Weight v Sugar]]</f>
        <v>-0.73779705314194644</v>
      </c>
      <c r="BK199" s="2">
        <f>Table7[[#This Row],[Wsugar Res]]^2</f>
        <v>0.54434449162494014</v>
      </c>
      <c r="BL199">
        <f>Regression!$W$10+(Regression!$W$9*Table83[[#This Row],[Servings]])</f>
        <v>254.90231374706212</v>
      </c>
      <c r="BM199" s="2">
        <f>Table83[[#This Row],[Weight]]-Table7[[#This Row],[Weight v Servings]]</f>
        <v>-0.90231374706212364</v>
      </c>
      <c r="BN199" s="2">
        <f>Table7[[#This Row],[Wserv Res]]^2</f>
        <v>0.81417009813729002</v>
      </c>
      <c r="BO199">
        <f>Regression!$X$10+(Regression!$X$9*Table83[[#This Row],[Water]])</f>
        <v>255.10626599365665</v>
      </c>
      <c r="BP199" s="2">
        <f>Table83[[#This Row],[Weight]]-Table7[[#This Row],[Weight v Water]]</f>
        <v>-1.106265993656649</v>
      </c>
      <c r="BQ199" s="2">
        <f>Table7[[#This Row],[Wwater Res]]^2</f>
        <v>1.2238244487211329</v>
      </c>
      <c r="BR199">
        <f>Regression!$Y$10+(Regression!$Y$9*Table83[[#This Row],[Fat Calories]])</f>
        <v>255.21137128858214</v>
      </c>
      <c r="BS199" s="2">
        <f>Table83[[#This Row],[Weight]]-Table7[[#This Row],[Weight v Fat Calories]]</f>
        <v>-1.2113712885821428</v>
      </c>
      <c r="BT199" s="2">
        <f>Table7[[#This Row],[WFC Res]]^2</f>
        <v>1.4674203988011612</v>
      </c>
      <c r="BU199">
        <f>Regression!$B$29+(Regression!$B$28*Table83[[#This Row],[Weight]])</f>
        <v>44.301601094408667</v>
      </c>
      <c r="BV199" s="2">
        <f>Table83[[#This Row],[Waist]]-Table7[[#This Row],[Waist v Weight]]</f>
        <v>0.19839890559133266</v>
      </c>
      <c r="BW199" s="2">
        <f>Table7[[#This Row],[WaistW Res]]^2</f>
        <v>3.9362125739838529E-2</v>
      </c>
      <c r="BX199">
        <f>Regression!$C$29+(Regression!$C$28*Table83[[#This Row],[Neck]])</f>
        <v>44.175585585585594</v>
      </c>
      <c r="BY199" s="2">
        <f>Table83[[#This Row],[Waist]]-Table7[[#This Row],[Waist v Neck]]</f>
        <v>0.32441441441440588</v>
      </c>
      <c r="BZ199" s="2">
        <f>Table7[[#This Row],[WaistN Res]]^2</f>
        <v>0.10524471227984188</v>
      </c>
      <c r="CA199">
        <f>Regression!$D$29+(Regression!$D$28*Table83[[#This Row],[Morning Body Temp]])</f>
        <v>44.227836172646676</v>
      </c>
      <c r="CB199" s="2">
        <f>Table83[[#This Row],[Waist]]-Table7[[#This Row],[Waist v Morning Temp]]</f>
        <v>0.27216382735332445</v>
      </c>
      <c r="CC199" s="2">
        <f>Table7[[#This Row],[WaistMT Res]]^2</f>
        <v>7.4073148919610199E-2</v>
      </c>
      <c r="CD199">
        <f>Regression!$E$29+(Regression!$E$28*Table83[[#This Row],[Morning Systolic Pressure]])</f>
        <v>44.492246348363913</v>
      </c>
      <c r="CE199" s="2">
        <f>Table83[[#This Row],[Waist]]-Table7[[#This Row],[Waist v Morning Sys]]</f>
        <v>7.7536516360865448E-3</v>
      </c>
      <c r="CF199" s="2">
        <f>Table7[[#This Row],[WaistMS Res]]^2</f>
        <v>6.0119113693787551E-5</v>
      </c>
      <c r="CG199">
        <f>Regression!$F$29+(Regression!$F$28*Table83[[#This Row],[Morning Diastolic Pressure]])</f>
        <v>44.464087909481968</v>
      </c>
      <c r="CH199" s="2">
        <f>Table83[[#This Row],[Waist]]-Table7[[#This Row],[Waist v Morning Dia]]</f>
        <v>3.5912090518031903E-2</v>
      </c>
      <c r="CI199" s="2">
        <f>Table7[[#This Row],[WaistMD Res]]^2</f>
        <v>1.2896782453753169E-3</v>
      </c>
      <c r="CJ199">
        <f>Regression!$G$29+(Regression!$G$28*Table83[[#This Row],[Morning Pulse]])</f>
        <v>44.459613215521493</v>
      </c>
      <c r="CK199" s="2">
        <f>Table83[[#This Row],[Waist]]-Table7[[#This Row],[Waist v Morning Pulse]]</f>
        <v>4.0386784478506854E-2</v>
      </c>
      <c r="CL199" s="2">
        <f>Table7[[#This Row],[WaistMP Res]]^2</f>
        <v>1.6310923605133622E-3</v>
      </c>
      <c r="CM199">
        <f>Regression!$H$29+(Regression!$H$28*Table83[[#This Row],[Night Body Temp]])</f>
        <v>44.497535497488492</v>
      </c>
      <c r="CN199" s="2">
        <f>Table83[[#This Row],[Waist]]-Table7[[#This Row],[Waist v Night Temp]]</f>
        <v>2.4645025115077601E-3</v>
      </c>
      <c r="CO199" s="2">
        <f>Table7[[#This Row],[WaistNT Res]]^2</f>
        <v>6.0737726292280576E-6</v>
      </c>
      <c r="CP199">
        <f>Regression!$I$29+(Regression!$I$28*Table83[[#This Row],[Night Systolic Pressure]])</f>
        <v>44.223857486095397</v>
      </c>
      <c r="CQ199" s="2">
        <f>Table83[[#This Row],[Waist]]-Table7[[#This Row],[Waist v  Night Sys]]</f>
        <v>0.27614251390460254</v>
      </c>
      <c r="CR199" s="2">
        <f>Table7[[#This Row],[WaistNS Res]]^2</f>
        <v>7.6254687985553612E-2</v>
      </c>
      <c r="CS199">
        <f>Regression!$J$29+(Regression!$J$28*Table83[[#This Row],[Night Diastolic Pressure]])</f>
        <v>44.358684339909082</v>
      </c>
      <c r="CT199" s="2">
        <f>Table83[[#This Row],[Waist]]-Table7[[#This Row],[Waist v Night Dia]]</f>
        <v>0.14131566009091756</v>
      </c>
      <c r="CU199" s="2">
        <f>Table7[[#This Row],[WaistND Res]]^2</f>
        <v>1.9970115786931749E-2</v>
      </c>
      <c r="CV199">
        <f>Regression!$K$29+(Regression!$K$28*Table83[[#This Row],[Night Pulse]])</f>
        <v>44.416857177900795</v>
      </c>
      <c r="CW199" s="2">
        <f>Table83[[#This Row],[Waist]]-Table7[[#This Row],[Waist v Night Pulse]]</f>
        <v>8.3142822099205205E-2</v>
      </c>
      <c r="CX199" s="2">
        <f>Table7[[#This Row],[WaistNP Res]]^2</f>
        <v>6.9127288666200855E-3</v>
      </c>
      <c r="CY199">
        <f>Regression!$L$29+(Regression!$L$28*Table83[[#This Row],[Sleep]])</f>
        <v>44.456891852858099</v>
      </c>
      <c r="CZ199" s="2">
        <f>Table83[[#This Row],[Waist]]-Table7[[#This Row],[Waist v  Sleep]]</f>
        <v>4.3108147141900588E-2</v>
      </c>
      <c r="DA199" s="2">
        <f>Table7[[#This Row],[WaistS Res]]^2</f>
        <v>1.8583123500077519E-3</v>
      </c>
      <c r="DB199">
        <f>Regression!$M$29+(Regression!$M$28*Table83[[#This Row],[BMI]])</f>
        <v>44.301601094409143</v>
      </c>
      <c r="DC199" s="2">
        <f>Table83[[#This Row],[Waist]]-Table7[[#This Row],[Waist v BMI]]</f>
        <v>0.1983989055908566</v>
      </c>
      <c r="DD199" s="2">
        <f>Table7[[#This Row],[WaistBMI Res]]^2</f>
        <v>3.9362125739649631E-2</v>
      </c>
      <c r="DE199">
        <f>Regression!$N$29+(Regression!$N$28*Table83[[#This Row],[CBF]])</f>
        <v>44.659010290127611</v>
      </c>
      <c r="DF199" s="2">
        <f>Table83[[#This Row],[Waist]]-Table7[[#This Row],[Waist v  CBF]]</f>
        <v>-0.15901029012761114</v>
      </c>
      <c r="DG199" s="2">
        <f>Table7[[#This Row],[WaistCBF Res]]^2</f>
        <v>2.5284272366467068E-2</v>
      </c>
      <c r="DH199">
        <f>Regression!$O$29+(Regression!$O$28*Table83[[#This Row],[Gym]])</f>
        <v>44.347222222222221</v>
      </c>
      <c r="DI199" s="2">
        <f>Table83[[#This Row],[Waist]]-Table7[[#This Row],[Waist v  Gym]]</f>
        <v>0.15277777777777857</v>
      </c>
      <c r="DJ199" s="2">
        <f>Table7[[#This Row],[WaistGYM Res]]^2</f>
        <v>2.3341049382716292E-2</v>
      </c>
      <c r="DK199">
        <f>Regression!$P$29+(Regression!$P$28*Table83[[#This Row],[Cardio]])</f>
        <v>44.680851063829778</v>
      </c>
      <c r="DL199" s="2">
        <f>Table83[[#This Row],[Waist]]-Table7[[#This Row],[Waist v Cardio]]</f>
        <v>-0.18085106382977756</v>
      </c>
      <c r="DM199" s="2">
        <f>Table7[[#This Row],[WaistC Res]]^2</f>
        <v>3.2707107288362278E-2</v>
      </c>
      <c r="DN199">
        <f>Regression!$Q$29+(Regression!$Q$28*Table83[[#This Row],[Calories]])</f>
        <v>44.460811681806149</v>
      </c>
      <c r="DO199" s="2">
        <f>Table83[[#This Row],[Waist]]-Table7[[#This Row],[Waist v Calories]]</f>
        <v>3.9188318193851046E-2</v>
      </c>
      <c r="DP199" s="2">
        <f>Table7[[#This Row],[WaistCal Res]]^2</f>
        <v>1.5357242828625169E-3</v>
      </c>
      <c r="DQ199">
        <f>Regression!$R$29+(Regression!$R$28*Table83[[#This Row],[Carbs]])</f>
        <v>44.414974723338602</v>
      </c>
      <c r="DR199" s="2">
        <f>Table83[[#This Row],[Waist]]-Table7[[#This Row],[Waist v Carbs]]</f>
        <v>8.5025276661397697E-2</v>
      </c>
      <c r="DS199" s="2">
        <f>Table7[[#This Row],[WaistCarb Res]]^2</f>
        <v>7.22929767134722E-3</v>
      </c>
      <c r="DT199">
        <f>Regression!$S$29+(Regression!$S$28*Table83[[#This Row],[Fat ]])</f>
        <v>44.48260365383743</v>
      </c>
      <c r="DU199" s="2">
        <f>Table83[[#This Row],[Waist]]-Table7[[#This Row],[Waist v Fat]]</f>
        <v>1.7396346162570353E-2</v>
      </c>
      <c r="DV199" s="2">
        <f>Table7[[#This Row],[WaistF Res]]^2</f>
        <v>3.0263285980797623E-4</v>
      </c>
      <c r="DW199">
        <f>Regression!$T$29+(Regression!$T$28*Table83[[#This Row],[Protein]])</f>
        <v>44.544610907120493</v>
      </c>
      <c r="DX199" s="2">
        <f>Table83[[#This Row],[Waist]]-Table7[[#This Row],[Waist v Protein]]</f>
        <v>-4.4610907120492982E-2</v>
      </c>
      <c r="DY199" s="2">
        <f>Table7[[#This Row],[WaistP Res]]^2</f>
        <v>1.9901330341132516E-3</v>
      </c>
      <c r="DZ199">
        <f>Regression!$U$29+(Regression!$U$28*Table83[[#This Row],[Fiber]])</f>
        <v>44.502118952500062</v>
      </c>
      <c r="EA199" s="2">
        <f>Table83[[#This Row],[Waist]]-Table7[[#This Row],[Waist v Fiber]]</f>
        <v>-2.1189525000622211E-3</v>
      </c>
      <c r="EB199" s="2">
        <f>Table7[[#This Row],[WaistFib Res]]^2</f>
        <v>4.4899596975199376E-6</v>
      </c>
      <c r="EC199">
        <f>Regression!$V$29+(Regression!$V$28*Table83[[#This Row],[Sugar]])</f>
        <v>44.385771571938832</v>
      </c>
      <c r="ED199" s="2">
        <f>Table83[[#This Row],[Waist]]-Table7[[#This Row],[Waist v Sugar]]</f>
        <v>0.11422842806116762</v>
      </c>
      <c r="EE199" s="2">
        <f>Table7[[#This Row],[WaistSugar Res]]^2</f>
        <v>1.3048133777325346E-2</v>
      </c>
      <c r="EF199">
        <f>Regression!$W$29+(Regression!$W$28*Table83[[#This Row],[Servings]])</f>
        <v>44.421080692687262</v>
      </c>
      <c r="EG199" s="2">
        <f>Table83[[#This Row],[Waist]]-Table7[[#This Row],[Waist v Servings]]</f>
        <v>7.8919307312737885E-2</v>
      </c>
      <c r="EH199" s="2">
        <f>Table7[[#This Row],[WaistServ Res]]^2</f>
        <v>6.2282570667223638E-3</v>
      </c>
      <c r="EI199">
        <f>Regression!$X$29+(Regression!$X$28*Table83[[#This Row],[Water]])</f>
        <v>44.442082352251923</v>
      </c>
      <c r="EJ199" s="2">
        <f>Table83[[#This Row],[Waist]]-Table7[[#This Row],[Waist v Water]]</f>
        <v>5.7917647748077172E-2</v>
      </c>
      <c r="EK199" s="2">
        <f>Table7[[#This Row],[WaistWat Res]]^2</f>
        <v>3.3544539206703488E-3</v>
      </c>
      <c r="EL199">
        <f>Regression!$Y$29+(Regression!$Y$28*Table83[[#This Row],[Fat Calories]])</f>
        <v>44.482835647216902</v>
      </c>
      <c r="EM199" s="2">
        <f>Table83[[#This Row],[Waist]]-Table7[[#This Row],[Waist v Fat Calories]]</f>
        <v>1.7164352783098025E-2</v>
      </c>
      <c r="EN199" s="2">
        <f>Table7[[#This Row],[WaistFatCal Res]]^2</f>
        <v>2.946150064626449E-4</v>
      </c>
    </row>
    <row r="200" spans="1:144" x14ac:dyDescent="0.25">
      <c r="A200">
        <f>Regression!$B$10+(Regression!$B$9*Table83[[#This Row],[Waist]])</f>
        <v>258.23421455025004</v>
      </c>
      <c r="B200" s="2">
        <f>Table83[[#This Row],[Weight]]-Table7[[#This Row],[Weight v Waist]]</f>
        <v>-3.2342145502500443</v>
      </c>
      <c r="C200" s="2">
        <f>Table7[[#This Row],[Weight v Waist Res]]^2</f>
        <v>10.460143757049096</v>
      </c>
      <c r="D200">
        <f>Regression!$C$10+(Regression!$C$9*Table83[[#This Row],[Neck]])</f>
        <v>253.29286486487842</v>
      </c>
      <c r="E200" s="2">
        <f>Table83[[#This Row],[Weight]]-Table7[[#This Row],[Weight v Neck]]</f>
        <v>1.7071351351215753</v>
      </c>
      <c r="F200" s="2">
        <f>Table7[[#This Row],[WN Res]]^2</f>
        <v>2.9143103695665591</v>
      </c>
      <c r="G200">
        <f>Regression!$D$10+(Regression!$D$9*Table83[[#This Row],[Morning Body Temp]])</f>
        <v>256.18594331664218</v>
      </c>
      <c r="H200" s="2">
        <f>Table83[[#This Row],[Weight]]-Table7[[#This Row],[Weight v Morning Temp]]</f>
        <v>-1.1859433166421809</v>
      </c>
      <c r="I200" s="2">
        <f>Table7[[#This Row],[WMT Res]]^2</f>
        <v>1.406461550288256</v>
      </c>
      <c r="J200">
        <f>Regression!$E$10+(Regression!$E$9*Table83[[#This Row],[Morning Systolic Pressure]])</f>
        <v>254.78394620171164</v>
      </c>
      <c r="K200" s="2">
        <f>Table83[[#This Row],[Weight]]-Table7[[#This Row],[Weight v Morning Sys]]</f>
        <v>0.2160537982883568</v>
      </c>
      <c r="L200" s="2">
        <f>Table7[[#This Row],[WMS Res]]^2</f>
        <v>4.6679243754825968E-2</v>
      </c>
      <c r="M200">
        <f>Regression!$F$10+(Regression!$F$9*Table83[[#This Row],[Morning Diastolic Pressure]])</f>
        <v>253.98725315775297</v>
      </c>
      <c r="N200" s="2">
        <f>Table83[[#This Row],[Weight]]-Table7[[#This Row],[Weight v Morning Dia]]</f>
        <v>1.0127468422470258</v>
      </c>
      <c r="O200" s="2">
        <f>Table7[[#This Row],[WMD Res]]^2</f>
        <v>1.0256561664813222</v>
      </c>
      <c r="P200">
        <f>Regression!$G$10+(Regression!$G$9*Table83[[#This Row],[Morning Pulse]])</f>
        <v>255.07891697501185</v>
      </c>
      <c r="Q200" s="2">
        <f>Table83[[#This Row],[Weight]]-Table7[[#This Row],[Weight v Morning Pulse]]</f>
        <v>-7.8916975011850354E-2</v>
      </c>
      <c r="R200" s="2">
        <f>Table7[[#This Row],[WMP Res]]^2</f>
        <v>6.2278889450210128E-3</v>
      </c>
      <c r="S200">
        <f>Regression!$H$10+(Regression!$H$9*Table83[[#This Row],[Night Body Temp]])</f>
        <v>255.36496952993349</v>
      </c>
      <c r="T200" s="2">
        <f>Table83[[#This Row],[Weight]]-Table7[[#This Row],[Weight v Night Temp]]</f>
        <v>-0.36496952993348941</v>
      </c>
      <c r="U200" s="2">
        <f>Table7[[#This Row],[WNT Res]]^2</f>
        <v>0.13320275777987223</v>
      </c>
      <c r="V200">
        <f>Regression!$I$10+(Regression!$I$9*Table83[[#This Row],[Night Systolic Pressure]])</f>
        <v>255.34122622719568</v>
      </c>
      <c r="W200" s="2">
        <f>Table83[[#This Row],[Weight]]-Table7[[#This Row],[Weight v Night Sys]]</f>
        <v>-0.3412262271956763</v>
      </c>
      <c r="X200" s="2">
        <f>Table7[[#This Row],[WNS Res]]^2</f>
        <v>0.1164353381261953</v>
      </c>
      <c r="Y200">
        <f>Regression!$J$10+(Regression!$J$9*Table83[[#This Row],[Night Diastolic Pressure]])</f>
        <v>255.05155050582999</v>
      </c>
      <c r="Z200" s="2">
        <f>Table83[[#This Row],[Weight]]-Table7[[#This Row],[Weight v Night Dia]]</f>
        <v>-5.1550505829993654E-2</v>
      </c>
      <c r="AA200" s="2">
        <f>Table7[[#This Row],[WND Res]]^2</f>
        <v>2.6574546513282097E-3</v>
      </c>
      <c r="AB200">
        <f>Regression!$K$10+(Regression!$K$9*Table83[[#This Row],[Night Pulse]])</f>
        <v>255.01801186503107</v>
      </c>
      <c r="AC200" s="2">
        <f>Table83[[#This Row],[Weight]]-Table7[[#This Row],[Weight v Night Pulse]]</f>
        <v>-1.8011865031070329E-2</v>
      </c>
      <c r="AD200" s="2">
        <f>Table7[[#This Row],[WNP Res ]]^2</f>
        <v>3.2442728189749413E-4</v>
      </c>
      <c r="AE200">
        <f>Regression!$L$10+(Regression!$L$9*Table83[[#This Row],[Sleep]])</f>
        <v>254.82155554400751</v>
      </c>
      <c r="AF200" s="2">
        <f>Table83[[#This Row],[Weight]]-Table7[[#This Row],[Weight v Sleep]]</f>
        <v>0.1784444559924907</v>
      </c>
      <c r="AG200" s="2">
        <f>Table7[[#This Row],[WS Res]]^2</f>
        <v>3.1842423874455954E-2</v>
      </c>
      <c r="AH200">
        <f>Regression!$M$10+(Regression!$M$9*Table83[[#This Row],[BMI]])</f>
        <v>255.00000000000026</v>
      </c>
      <c r="AI200" s="2">
        <f>Table83[[#This Row],[Weight]]-Table7[[#This Row],[Weight v BMI]]</f>
        <v>-2.5579538487363607E-13</v>
      </c>
      <c r="AJ200" s="2">
        <f>Table7[[#This Row],[WBMI Res]]^2</f>
        <v>6.5431278922651603E-26</v>
      </c>
      <c r="AK200">
        <f>Regression!$N$10+(Regression!$N$9*Table83[[#This Row],[CBF]])</f>
        <v>259.27809165285294</v>
      </c>
      <c r="AL200" s="2">
        <f>Table83[[#This Row],[Weight]]-Table7[[#This Row],[Weight v CBF]]</f>
        <v>-4.278091652852936</v>
      </c>
      <c r="AM200" s="2">
        <f>Table7[[#This Row],[WCBF Res]]^2</f>
        <v>18.302068190209965</v>
      </c>
      <c r="AN200">
        <f>Regression!$O$10+(Regression!$O$9*Table83[[#This Row],[Gym]])</f>
        <v>254.72962962962998</v>
      </c>
      <c r="AO200" s="2">
        <f>Table83[[#This Row],[Weight]]-Table7[[#This Row],[Weight v Gym]]</f>
        <v>0.2703703703700171</v>
      </c>
      <c r="AP200" s="2">
        <f>Table7[[#This Row],[WG Res]]^2</f>
        <v>7.3100137174020224E-2</v>
      </c>
      <c r="AQ200">
        <f>Regression!$P$10+(Regression!$P$9*Table83[[#This Row],[Cardio]])</f>
        <v>256.41063829787231</v>
      </c>
      <c r="AR200" s="2">
        <f>Table83[[#This Row],[Weight]]-Table7[[#This Row],[Weight v Cardio]]</f>
        <v>-1.4106382978723104</v>
      </c>
      <c r="AS200" s="2">
        <f>Table7[[#This Row],[WC Res]]^2</f>
        <v>1.9899004074240891</v>
      </c>
      <c r="AT200">
        <f>Regression!$Q$10+(Regression!$Q$9*Table83[[#This Row],[Calories]])</f>
        <v>255.03677430103548</v>
      </c>
      <c r="AU200" s="2">
        <f>Table83[[#This Row],[Weight]]-Table7[[#This Row],[Weight v Calories]]</f>
        <v>-3.6774301035478629E-2</v>
      </c>
      <c r="AV200" s="2">
        <f>Table7[[#This Row],[WCAL Res]]^2</f>
        <v>1.3523492166480045E-3</v>
      </c>
      <c r="AW200">
        <f>Regression!$R$10+(Regression!$R$9*Table83[[#This Row],[Carbs]])</f>
        <v>254.88106331100508</v>
      </c>
      <c r="AX200" s="2">
        <f>Table83[[#This Row],[Weight]]-Table7[[#This Row],[Weight v Carbs]]</f>
        <v>0.11893668899492127</v>
      </c>
      <c r="AY200" s="2">
        <f>Table7[[#This Row],[Wcarb Res]]^2</f>
        <v>1.4145935989074626E-2</v>
      </c>
      <c r="AZ200">
        <f>Regression!$S$10+(Regression!$S$9*Table83[[#This Row],[Fat ]])</f>
        <v>255.25023498818609</v>
      </c>
      <c r="BA200" s="2">
        <f>Table83[[#This Row],[Weight]]-Table7[[#This Row],[Weight v Fat]]</f>
        <v>-0.25023498818609369</v>
      </c>
      <c r="BB200" s="2">
        <f>Table7[[#This Row],[WF Res]]^2</f>
        <v>6.2617549312494442E-2</v>
      </c>
      <c r="BC200">
        <f>Regression!$T$10+(Regression!$T$9*Table83[[#This Row],[Protein]])</f>
        <v>254.56510536461127</v>
      </c>
      <c r="BD200" s="2">
        <f>Table83[[#This Row],[Weight]]-Table7[[#This Row],[Weight v Protein]]</f>
        <v>0.43489463538872997</v>
      </c>
      <c r="BE200" s="2">
        <f>Table7[[#This Row],[WP Res]]^2</f>
        <v>0.18913334388989639</v>
      </c>
      <c r="BF200">
        <f>Regression!$U$10+(Regression!$U$9*Table83[[#This Row],[Fiber]])</f>
        <v>254.91339335877498</v>
      </c>
      <c r="BG200" s="2">
        <f>Table83[[#This Row],[Weight]]-Table7[[#This Row],[Weight v Fiber]]</f>
        <v>8.6606641225017711E-2</v>
      </c>
      <c r="BH200" s="2">
        <f>Table7[[#This Row],[Wfib Res]]^2</f>
        <v>7.500710304278937E-3</v>
      </c>
      <c r="BI200">
        <f>Regression!$V$10+(Regression!$V$9*Table83[[#This Row],[Sugar]])</f>
        <v>254.7815608504078</v>
      </c>
      <c r="BJ200" s="2">
        <f>Table83[[#This Row],[Weight]]-Table7[[#This Row],[Weight v Sugar]]</f>
        <v>0.21843914959220001</v>
      </c>
      <c r="BK200" s="2">
        <f>Table7[[#This Row],[Wsugar Res]]^2</f>
        <v>4.7715662074563535E-2</v>
      </c>
      <c r="BL200">
        <f>Regression!$W$10+(Regression!$W$9*Table83[[#This Row],[Servings]])</f>
        <v>254.52006490127889</v>
      </c>
      <c r="BM200" s="2">
        <f>Table83[[#This Row],[Weight]]-Table7[[#This Row],[Weight v Servings]]</f>
        <v>0.47993509872111417</v>
      </c>
      <c r="BN200" s="2">
        <f>Table7[[#This Row],[Wserv Res]]^2</f>
        <v>0.23033769898444562</v>
      </c>
      <c r="BO200">
        <f>Regression!$X$10+(Regression!$X$9*Table83[[#This Row],[Water]])</f>
        <v>255.10626599365665</v>
      </c>
      <c r="BP200" s="2">
        <f>Table83[[#This Row],[Weight]]-Table7[[#This Row],[Weight v Water]]</f>
        <v>-0.10626599365664902</v>
      </c>
      <c r="BQ200" s="2">
        <f>Table7[[#This Row],[Wwater Res]]^2</f>
        <v>1.1292461407834969E-2</v>
      </c>
      <c r="BR200">
        <f>Regression!$Y$10+(Regression!$Y$9*Table83[[#This Row],[Fat Calories]])</f>
        <v>255.25405960046493</v>
      </c>
      <c r="BS200" s="2">
        <f>Table83[[#This Row],[Weight]]-Table7[[#This Row],[Weight v Fat Calories]]</f>
        <v>-0.25405960046492737</v>
      </c>
      <c r="BT200" s="2">
        <f>Table7[[#This Row],[WFC Res]]^2</f>
        <v>6.4546280588398522E-2</v>
      </c>
      <c r="BU200">
        <f>Regression!$B$29+(Regression!$B$28*Table83[[#This Row],[Weight]])</f>
        <v>44.437863604978645</v>
      </c>
      <c r="BV200" s="2">
        <f>Table83[[#This Row],[Waist]]-Table7[[#This Row],[Waist v Weight]]</f>
        <v>0.56213639502135493</v>
      </c>
      <c r="BW200" s="2">
        <f>Table7[[#This Row],[WaistW Res]]^2</f>
        <v>0.31599732660760477</v>
      </c>
      <c r="BX200">
        <f>Regression!$C$29+(Regression!$C$28*Table83[[#This Row],[Neck]])</f>
        <v>44.175585585585594</v>
      </c>
      <c r="BY200" s="2">
        <f>Table83[[#This Row],[Waist]]-Table7[[#This Row],[Waist v Neck]]</f>
        <v>0.82441441441440588</v>
      </c>
      <c r="BZ200" s="2">
        <f>Table7[[#This Row],[WaistN Res]]^2</f>
        <v>0.67965912669424777</v>
      </c>
      <c r="CA200">
        <f>Regression!$D$29+(Regression!$D$28*Table83[[#This Row],[Morning Body Temp]])</f>
        <v>44.744800128395369</v>
      </c>
      <c r="CB200" s="2">
        <f>Table83[[#This Row],[Waist]]-Table7[[#This Row],[Waist v Morning Temp]]</f>
        <v>0.25519987160463131</v>
      </c>
      <c r="CC200" s="2">
        <f>Table7[[#This Row],[WaistMT Res]]^2</f>
        <v>6.5126974467020302E-2</v>
      </c>
      <c r="CD200">
        <f>Regression!$E$29+(Regression!$E$28*Table83[[#This Row],[Morning Systolic Pressure]])</f>
        <v>44.375751890697217</v>
      </c>
      <c r="CE200" s="2">
        <f>Table83[[#This Row],[Waist]]-Table7[[#This Row],[Waist v Morning Sys]]</f>
        <v>0.6242481093027834</v>
      </c>
      <c r="CF200" s="2">
        <f>Table7[[#This Row],[WaistMS Res]]^2</f>
        <v>0.38968570196809982</v>
      </c>
      <c r="CG200">
        <f>Regression!$F$29+(Regression!$F$28*Table83[[#This Row],[Morning Diastolic Pressure]])</f>
        <v>44.390824840786863</v>
      </c>
      <c r="CH200" s="2">
        <f>Table83[[#This Row],[Waist]]-Table7[[#This Row],[Waist v Morning Dia]]</f>
        <v>0.60917515921313736</v>
      </c>
      <c r="CI200" s="2">
        <f>Table7[[#This Row],[WaistMD Res]]^2</f>
        <v>0.37109437460235123</v>
      </c>
      <c r="CJ200">
        <f>Regression!$G$29+(Regression!$G$28*Table83[[#This Row],[Morning Pulse]])</f>
        <v>44.436946646033924</v>
      </c>
      <c r="CK200" s="2">
        <f>Table83[[#This Row],[Waist]]-Table7[[#This Row],[Waist v Morning Pulse]]</f>
        <v>0.56305335396607603</v>
      </c>
      <c r="CL200" s="2">
        <f>Table7[[#This Row],[WaistMP Res]]^2</f>
        <v>0.31702907941244729</v>
      </c>
      <c r="CM200">
        <f>Regression!$H$29+(Regression!$H$28*Table83[[#This Row],[Night Body Temp]])</f>
        <v>44.473244726073837</v>
      </c>
      <c r="CN200" s="2">
        <f>Table83[[#This Row],[Waist]]-Table7[[#This Row],[Waist v Night Temp]]</f>
        <v>0.52675527392616317</v>
      </c>
      <c r="CO200" s="2">
        <f>Table7[[#This Row],[WaistNT Res]]^2</f>
        <v>0.27747111860902718</v>
      </c>
      <c r="CP200">
        <f>Regression!$I$29+(Regression!$I$28*Table83[[#This Row],[Night Systolic Pressure]])</f>
        <v>44.48557954395644</v>
      </c>
      <c r="CQ200" s="2">
        <f>Table83[[#This Row],[Waist]]-Table7[[#This Row],[Waist v  Night Sys]]</f>
        <v>0.51442045604355968</v>
      </c>
      <c r="CR200" s="2">
        <f>Table7[[#This Row],[WaistNS Res]]^2</f>
        <v>0.26462840559606393</v>
      </c>
      <c r="CS200">
        <f>Regression!$J$29+(Regression!$J$28*Table83[[#This Row],[Night Diastolic Pressure]])</f>
        <v>44.426956120738851</v>
      </c>
      <c r="CT200" s="2">
        <f>Table83[[#This Row],[Waist]]-Table7[[#This Row],[Waist v Night Dia]]</f>
        <v>0.57304387926114941</v>
      </c>
      <c r="CU200" s="2">
        <f>Table7[[#This Row],[WaistND Res]]^2</f>
        <v>0.3283792875586668</v>
      </c>
      <c r="CV200">
        <f>Regression!$K$29+(Regression!$K$28*Table83[[#This Row],[Night Pulse]])</f>
        <v>44.462565118876235</v>
      </c>
      <c r="CW200" s="2">
        <f>Table83[[#This Row],[Waist]]-Table7[[#This Row],[Waist v Night Pulse]]</f>
        <v>0.53743488112376525</v>
      </c>
      <c r="CX200" s="2">
        <f>Table7[[#This Row],[WaistNP Res]]^2</f>
        <v>0.28883625144851571</v>
      </c>
      <c r="CY200">
        <f>Regression!$L$29+(Regression!$L$28*Table83[[#This Row],[Sleep]])</f>
        <v>44.408792884862443</v>
      </c>
      <c r="CZ200" s="2">
        <f>Table83[[#This Row],[Waist]]-Table7[[#This Row],[Waist v  Sleep]]</f>
        <v>0.59120711513755708</v>
      </c>
      <c r="DA200" s="2">
        <f>Table7[[#This Row],[WaistS Res]]^2</f>
        <v>0.34952585298927269</v>
      </c>
      <c r="DB200">
        <f>Regression!$M$29+(Regression!$M$28*Table83[[#This Row],[BMI]])</f>
        <v>44.437863604978695</v>
      </c>
      <c r="DC200" s="2">
        <f>Table83[[#This Row],[Waist]]-Table7[[#This Row],[Waist v BMI]]</f>
        <v>0.56213639502130519</v>
      </c>
      <c r="DD200" s="2">
        <f>Table7[[#This Row],[WaistBMI Res]]^2</f>
        <v>0.31599732660754887</v>
      </c>
      <c r="DE200">
        <f>Regression!$N$29+(Regression!$N$28*Table83[[#This Row],[CBF]])</f>
        <v>45.203183363709613</v>
      </c>
      <c r="DF200" s="2">
        <f>Table83[[#This Row],[Waist]]-Table7[[#This Row],[Waist v  CBF]]</f>
        <v>-0.20318336370961276</v>
      </c>
      <c r="DG200" s="2">
        <f>Table7[[#This Row],[WaistCBF Res]]^2</f>
        <v>4.1283479288352784E-2</v>
      </c>
      <c r="DH200">
        <f>Regression!$O$29+(Regression!$O$28*Table83[[#This Row],[Gym]])</f>
        <v>44.347222222222221</v>
      </c>
      <c r="DI200" s="2">
        <f>Table83[[#This Row],[Waist]]-Table7[[#This Row],[Waist v  Gym]]</f>
        <v>0.65277777777777857</v>
      </c>
      <c r="DJ200" s="2">
        <f>Table7[[#This Row],[WaistGYM Res]]^2</f>
        <v>0.42611882716049487</v>
      </c>
      <c r="DK200">
        <f>Regression!$P$29+(Regression!$P$28*Table83[[#This Row],[Cardio]])</f>
        <v>44.680851063829778</v>
      </c>
      <c r="DL200" s="2">
        <f>Table83[[#This Row],[Waist]]-Table7[[#This Row],[Waist v Cardio]]</f>
        <v>0.31914893617022244</v>
      </c>
      <c r="DM200" s="2">
        <f>Table7[[#This Row],[WaistC Res]]^2</f>
        <v>0.10185604345858472</v>
      </c>
      <c r="DN200">
        <f>Regression!$Q$29+(Regression!$Q$28*Table83[[#This Row],[Calories]])</f>
        <v>44.43595430197464</v>
      </c>
      <c r="DO200" s="2">
        <f>Table83[[#This Row],[Waist]]-Table7[[#This Row],[Waist v Calories]]</f>
        <v>0.56404569802536031</v>
      </c>
      <c r="DP200" s="2">
        <f>Table7[[#This Row],[WaistCal Res]]^2</f>
        <v>0.31814754946091595</v>
      </c>
      <c r="DQ200">
        <f>Regression!$R$29+(Regression!$R$28*Table83[[#This Row],[Carbs]])</f>
        <v>44.404826424813713</v>
      </c>
      <c r="DR200" s="2">
        <f>Table83[[#This Row],[Waist]]-Table7[[#This Row],[Waist v Carbs]]</f>
        <v>0.595173575186287</v>
      </c>
      <c r="DS200" s="2">
        <f>Table7[[#This Row],[WaistCarb Res]]^2</f>
        <v>0.35423158460002679</v>
      </c>
      <c r="DT200">
        <f>Regression!$S$29+(Regression!$S$28*Table83[[#This Row],[Fat ]])</f>
        <v>44.494864771346137</v>
      </c>
      <c r="DU200" s="2">
        <f>Table83[[#This Row],[Waist]]-Table7[[#This Row],[Waist v Fat]]</f>
        <v>0.50513522865386307</v>
      </c>
      <c r="DV200" s="2">
        <f>Table7[[#This Row],[WaistF Res]]^2</f>
        <v>0.25516159922719051</v>
      </c>
      <c r="DW200">
        <f>Regression!$T$29+(Regression!$T$28*Table83[[#This Row],[Protein]])</f>
        <v>44.352880579109382</v>
      </c>
      <c r="DX200" s="2">
        <f>Table83[[#This Row],[Waist]]-Table7[[#This Row],[Waist v Protein]]</f>
        <v>0.64711942089061836</v>
      </c>
      <c r="DY200" s="2">
        <f>Table7[[#This Row],[WaistP Res]]^2</f>
        <v>0.41876354489380929</v>
      </c>
      <c r="DZ200">
        <f>Regression!$U$29+(Regression!$U$28*Table83[[#This Row],[Fiber]])</f>
        <v>44.37573082057321</v>
      </c>
      <c r="EA200" s="2">
        <f>Table83[[#This Row],[Waist]]-Table7[[#This Row],[Waist v Fiber]]</f>
        <v>0.62426917942678983</v>
      </c>
      <c r="EB200" s="2">
        <f>Table7[[#This Row],[WaistFib Res]]^2</f>
        <v>0.38971200838219749</v>
      </c>
      <c r="EC200">
        <f>Regression!$V$29+(Regression!$V$28*Table83[[#This Row],[Sugar]])</f>
        <v>44.393633250018837</v>
      </c>
      <c r="ED200" s="2">
        <f>Table83[[#This Row],[Waist]]-Table7[[#This Row],[Waist v Sugar]]</f>
        <v>0.60636674998116291</v>
      </c>
      <c r="EE200" s="2">
        <f>Table7[[#This Row],[WaistSugar Res]]^2</f>
        <v>0.36768063548271812</v>
      </c>
      <c r="EF200">
        <f>Regression!$W$29+(Regression!$W$28*Table83[[#This Row],[Servings]])</f>
        <v>44.362755887084738</v>
      </c>
      <c r="EG200" s="2">
        <f>Table83[[#This Row],[Waist]]-Table7[[#This Row],[Waist v Servings]]</f>
        <v>0.63724411291526195</v>
      </c>
      <c r="EH200" s="2">
        <f>Table7[[#This Row],[WaistServ Res]]^2</f>
        <v>0.40608005944515912</v>
      </c>
      <c r="EI200">
        <f>Regression!$X$29+(Regression!$X$28*Table83[[#This Row],[Water]])</f>
        <v>44.442082352251923</v>
      </c>
      <c r="EJ200" s="2">
        <f>Table83[[#This Row],[Waist]]-Table7[[#This Row],[Waist v Water]]</f>
        <v>0.55791764774807717</v>
      </c>
      <c r="EK200" s="2">
        <f>Table7[[#This Row],[WaistWat Res]]^2</f>
        <v>0.31127210166874753</v>
      </c>
      <c r="EL200">
        <f>Regression!$Y$29+(Regression!$Y$28*Table83[[#This Row],[Fat Calories]])</f>
        <v>44.495818390902826</v>
      </c>
      <c r="EM200" s="2">
        <f>Table83[[#This Row],[Waist]]-Table7[[#This Row],[Waist v Fat Calories]]</f>
        <v>0.50418160909717358</v>
      </c>
      <c r="EN200" s="2">
        <f>Table7[[#This Row],[WaistFatCal Res]]^2</f>
        <v>0.25419909495181514</v>
      </c>
    </row>
    <row r="201" spans="1:144" x14ac:dyDescent="0.25">
      <c r="A201">
        <f>Regression!$B$10+(Regression!$B$9*Table83[[#This Row],[Waist]])</f>
        <v>258.23421455025004</v>
      </c>
      <c r="B201" s="2">
        <f>Table83[[#This Row],[Weight]]-Table7[[#This Row],[Weight v Waist]]</f>
        <v>-4.2342145502500443</v>
      </c>
      <c r="C201" s="2">
        <f>Table7[[#This Row],[Weight v Waist Res]]^2</f>
        <v>17.928572857549185</v>
      </c>
      <c r="D201">
        <f>Regression!$C$10+(Regression!$C$9*Table83[[#This Row],[Neck]])</f>
        <v>253.29286486487842</v>
      </c>
      <c r="E201" s="2">
        <f>Table83[[#This Row],[Weight]]-Table7[[#This Row],[Weight v Neck]]</f>
        <v>0.70713513512157533</v>
      </c>
      <c r="F201" s="2">
        <f>Table7[[#This Row],[WN Res]]^2</f>
        <v>0.50004009932340865</v>
      </c>
      <c r="G201">
        <f>Regression!$D$10+(Regression!$D$9*Table83[[#This Row],[Morning Body Temp]])</f>
        <v>257.03072596731056</v>
      </c>
      <c r="H201" s="2">
        <f>Table83[[#This Row],[Weight]]-Table7[[#This Row],[Weight v Morning Temp]]</f>
        <v>-3.0307259673105591</v>
      </c>
      <c r="I201" s="2">
        <f>Table7[[#This Row],[WMT Res]]^2</f>
        <v>9.1852998889305244</v>
      </c>
      <c r="J201">
        <f>Regression!$E$10+(Regression!$E$9*Table83[[#This Row],[Morning Systolic Pressure]])</f>
        <v>254.73886899784827</v>
      </c>
      <c r="K201" s="2">
        <f>Table83[[#This Row],[Weight]]-Table7[[#This Row],[Weight v Morning Sys]]</f>
        <v>-0.73886899784827165</v>
      </c>
      <c r="L201" s="2">
        <f>Table7[[#This Row],[WMS Res]]^2</f>
        <v>0.54592739598130924</v>
      </c>
      <c r="M201">
        <f>Regression!$F$10+(Regression!$F$9*Table83[[#This Row],[Morning Diastolic Pressure]])</f>
        <v>256.11548238769547</v>
      </c>
      <c r="N201" s="2">
        <f>Table83[[#This Row],[Weight]]-Table7[[#This Row],[Weight v Morning Dia]]</f>
        <v>-2.1154823876954651</v>
      </c>
      <c r="O201" s="2">
        <f>Table7[[#This Row],[WMD Res]]^2</f>
        <v>4.4752657326497065</v>
      </c>
      <c r="P201">
        <f>Regression!$G$10+(Regression!$G$9*Table83[[#This Row],[Morning Pulse]])</f>
        <v>255.08074477076903</v>
      </c>
      <c r="Q201" s="2">
        <f>Table83[[#This Row],[Weight]]-Table7[[#This Row],[Weight v Morning Pulse]]</f>
        <v>-1.0807447707690301</v>
      </c>
      <c r="R201" s="2">
        <f>Table7[[#This Row],[WMP Res]]^2</f>
        <v>1.1680092595446034</v>
      </c>
      <c r="S201">
        <f>Regression!$H$10+(Regression!$H$9*Table83[[#This Row],[Night Body Temp]])</f>
        <v>255.77575581186025</v>
      </c>
      <c r="T201" s="2">
        <f>Table83[[#This Row],[Weight]]-Table7[[#This Row],[Weight v Night Temp]]</f>
        <v>-1.7757558118602503</v>
      </c>
      <c r="U201" s="2">
        <f>Table7[[#This Row],[WNT Res]]^2</f>
        <v>3.153308703355457</v>
      </c>
      <c r="V201">
        <f>Regression!$I$10+(Regression!$I$9*Table83[[#This Row],[Night Systolic Pressure]])</f>
        <v>254.6227123889964</v>
      </c>
      <c r="W201" s="2">
        <f>Table83[[#This Row],[Weight]]-Table7[[#This Row],[Weight v Night Sys]]</f>
        <v>-0.6227123889964048</v>
      </c>
      <c r="X201" s="2">
        <f>Table7[[#This Row],[WNS Res]]^2</f>
        <v>0.38777071940960978</v>
      </c>
      <c r="Y201">
        <f>Regression!$J$10+(Regression!$J$9*Table83[[#This Row],[Night Diastolic Pressure]])</f>
        <v>255.17384811107831</v>
      </c>
      <c r="Z201" s="2">
        <f>Table83[[#This Row],[Weight]]-Table7[[#This Row],[Weight v Night Dia]]</f>
        <v>-1.1738481110783141</v>
      </c>
      <c r="AA201" s="2">
        <f>Table7[[#This Row],[WND Res]]^2</f>
        <v>1.3779193878821261</v>
      </c>
      <c r="AB201">
        <f>Regression!$K$10+(Regression!$K$9*Table83[[#This Row],[Night Pulse]])</f>
        <v>255.04872519626778</v>
      </c>
      <c r="AC201" s="2">
        <f>Table83[[#This Row],[Weight]]-Table7[[#This Row],[Weight v Night Pulse]]</f>
        <v>-1.0487251962677817</v>
      </c>
      <c r="AD201" s="2">
        <f>Table7[[#This Row],[WNP Res ]]^2</f>
        <v>1.0998245372868973</v>
      </c>
      <c r="AE201">
        <f>Regression!$L$10+(Regression!$L$9*Table83[[#This Row],[Sleep]])</f>
        <v>255.13702972738133</v>
      </c>
      <c r="AF201" s="2">
        <f>Table83[[#This Row],[Weight]]-Table7[[#This Row],[Weight v Sleep]]</f>
        <v>-1.1370297273813321</v>
      </c>
      <c r="AG201" s="2">
        <f>Table7[[#This Row],[WS Res]]^2</f>
        <v>1.2928366009488665</v>
      </c>
      <c r="AH201">
        <f>Regression!$M$10+(Regression!$M$9*Table83[[#This Row],[BMI]])</f>
        <v>254.0000000000025</v>
      </c>
      <c r="AI201" s="2">
        <f>Table83[[#This Row],[Weight]]-Table7[[#This Row],[Weight v BMI]]</f>
        <v>-2.5011104298755527E-12</v>
      </c>
      <c r="AJ201" s="2">
        <f>Table7[[#This Row],[WBMI Res]]^2</f>
        <v>6.2555533824322718E-24</v>
      </c>
      <c r="AK201">
        <f>Regression!$N$10+(Regression!$N$9*Table83[[#This Row],[CBF]])</f>
        <v>259.27809165285294</v>
      </c>
      <c r="AL201" s="2">
        <f>Table83[[#This Row],[Weight]]-Table7[[#This Row],[Weight v CBF]]</f>
        <v>-5.278091652852936</v>
      </c>
      <c r="AM201" s="2">
        <f>Table7[[#This Row],[WCBF Res]]^2</f>
        <v>27.858251495915837</v>
      </c>
      <c r="AN201">
        <f>Regression!$O$10+(Regression!$O$9*Table83[[#This Row],[Gym]])</f>
        <v>254.72962962962998</v>
      </c>
      <c r="AO201" s="2">
        <f>Table83[[#This Row],[Weight]]-Table7[[#This Row],[Weight v Gym]]</f>
        <v>-0.7296296296299829</v>
      </c>
      <c r="AP201" s="2">
        <f>Table7[[#This Row],[WG Res]]^2</f>
        <v>0.532359396433986</v>
      </c>
      <c r="AQ201">
        <f>Regression!$P$10+(Regression!$P$9*Table83[[#This Row],[Cardio]])</f>
        <v>256.41063829787231</v>
      </c>
      <c r="AR201" s="2">
        <f>Table83[[#This Row],[Weight]]-Table7[[#This Row],[Weight v Cardio]]</f>
        <v>-2.4106382978723104</v>
      </c>
      <c r="AS201" s="2">
        <f>Table7[[#This Row],[WC Res]]^2</f>
        <v>5.8111770031687104</v>
      </c>
      <c r="AT201">
        <f>Regression!$Q$10+(Regression!$Q$9*Table83[[#This Row],[Calories]])</f>
        <v>254.3805647431646</v>
      </c>
      <c r="AU201" s="2">
        <f>Table83[[#This Row],[Weight]]-Table7[[#This Row],[Weight v Calories]]</f>
        <v>-0.38056474316459799</v>
      </c>
      <c r="AV201" s="2">
        <f>Table7[[#This Row],[WCAL Res]]^2</f>
        <v>0.14482952373993643</v>
      </c>
      <c r="AW201">
        <f>Regression!$R$10+(Regression!$R$9*Table83[[#This Row],[Carbs]])</f>
        <v>254.47771534121719</v>
      </c>
      <c r="AX201" s="2">
        <f>Table83[[#This Row],[Weight]]-Table7[[#This Row],[Weight v Carbs]]</f>
        <v>-0.47771534121719128</v>
      </c>
      <c r="AY201" s="2">
        <f>Table7[[#This Row],[Wcarb Res]]^2</f>
        <v>0.2282119472342575</v>
      </c>
      <c r="AZ201">
        <f>Regression!$S$10+(Regression!$S$9*Table83[[#This Row],[Fat ]])</f>
        <v>254.51734947778215</v>
      </c>
      <c r="BA201" s="2">
        <f>Table83[[#This Row],[Weight]]-Table7[[#This Row],[Weight v Fat]]</f>
        <v>-0.51734947778214746</v>
      </c>
      <c r="BB201" s="2">
        <f>Table7[[#This Row],[WF Res]]^2</f>
        <v>0.2676504821614607</v>
      </c>
      <c r="BC201">
        <f>Regression!$T$10+(Regression!$T$9*Table83[[#This Row],[Protein]])</f>
        <v>254.74651422043797</v>
      </c>
      <c r="BD201" s="2">
        <f>Table83[[#This Row],[Weight]]-Table7[[#This Row],[Weight v Protein]]</f>
        <v>-0.74651422043797311</v>
      </c>
      <c r="BE201" s="2">
        <f>Table7[[#This Row],[WP Res]]^2</f>
        <v>0.55728348131611471</v>
      </c>
      <c r="BF201">
        <f>Regression!$U$10+(Regression!$U$9*Table83[[#This Row],[Fiber]])</f>
        <v>255.18249705199065</v>
      </c>
      <c r="BG201" s="2">
        <f>Table83[[#This Row],[Weight]]-Table7[[#This Row],[Weight v Fiber]]</f>
        <v>-1.1824970519906515</v>
      </c>
      <c r="BH201" s="2">
        <f>Table7[[#This Row],[Wfib Res]]^2</f>
        <v>1.3982992779665815</v>
      </c>
      <c r="BI201">
        <f>Regression!$V$10+(Regression!$V$9*Table83[[#This Row],[Sugar]])</f>
        <v>254.90076678356925</v>
      </c>
      <c r="BJ201" s="2">
        <f>Table83[[#This Row],[Weight]]-Table7[[#This Row],[Weight v Sugar]]</f>
        <v>-0.90076678356925299</v>
      </c>
      <c r="BK201" s="2">
        <f>Table7[[#This Row],[Wsugar Res]]^2</f>
        <v>0.81138079838169741</v>
      </c>
      <c r="BL201">
        <f>Regression!$W$10+(Regression!$W$9*Table83[[#This Row],[Servings]])</f>
        <v>254.36716536296561</v>
      </c>
      <c r="BM201" s="2">
        <f>Table83[[#This Row],[Weight]]-Table7[[#This Row],[Weight v Servings]]</f>
        <v>-0.36716536296560776</v>
      </c>
      <c r="BN201" s="2">
        <f>Table7[[#This Row],[Wserv Res]]^2</f>
        <v>0.13481040376166648</v>
      </c>
      <c r="BO201">
        <f>Regression!$X$10+(Regression!$X$9*Table83[[#This Row],[Water]])</f>
        <v>255.10626599365665</v>
      </c>
      <c r="BP201" s="2">
        <f>Table83[[#This Row],[Weight]]-Table7[[#This Row],[Weight v Water]]</f>
        <v>-1.106265993656649</v>
      </c>
      <c r="BQ201" s="2">
        <f>Table7[[#This Row],[Wwater Res]]^2</f>
        <v>1.2238244487211329</v>
      </c>
      <c r="BR201">
        <f>Regression!$Y$10+(Regression!$Y$9*Table83[[#This Row],[Fat Calories]])</f>
        <v>254.47408504636786</v>
      </c>
      <c r="BS201" s="2">
        <f>Table83[[#This Row],[Weight]]-Table7[[#This Row],[Weight v Fat Calories]]</f>
        <v>-0.4740850463678612</v>
      </c>
      <c r="BT201" s="2">
        <f>Table7[[#This Row],[WFC Res]]^2</f>
        <v>0.22475663118961711</v>
      </c>
      <c r="BU201">
        <f>Regression!$B$29+(Regression!$B$28*Table83[[#This Row],[Weight]])</f>
        <v>44.301601094408667</v>
      </c>
      <c r="BV201" s="2">
        <f>Table83[[#This Row],[Waist]]-Table7[[#This Row],[Waist v Weight]]</f>
        <v>0.69839890559133266</v>
      </c>
      <c r="BW201" s="2">
        <f>Table7[[#This Row],[WaistW Res]]^2</f>
        <v>0.48776103133117121</v>
      </c>
      <c r="BX201">
        <f>Regression!$C$29+(Regression!$C$28*Table83[[#This Row],[Neck]])</f>
        <v>44.175585585585594</v>
      </c>
      <c r="BY201" s="2">
        <f>Table83[[#This Row],[Waist]]-Table7[[#This Row],[Waist v Neck]]</f>
        <v>0.82441441441440588</v>
      </c>
      <c r="BZ201" s="2">
        <f>Table7[[#This Row],[WaistN Res]]^2</f>
        <v>0.67965912669424777</v>
      </c>
      <c r="CA201">
        <f>Regression!$D$29+(Regression!$D$28*Table83[[#This Row],[Morning Body Temp]])</f>
        <v>44.974561886505903</v>
      </c>
      <c r="CB201" s="2">
        <f>Table83[[#This Row],[Waist]]-Table7[[#This Row],[Waist v Morning Temp]]</f>
        <v>2.5438113494097081E-2</v>
      </c>
      <c r="CC201" s="2">
        <f>Table7[[#This Row],[WaistMT Res]]^2</f>
        <v>6.47097618138564E-4</v>
      </c>
      <c r="CD201">
        <f>Regression!$E$29+(Regression!$E$28*Table83[[#This Row],[Morning Systolic Pressure]])</f>
        <v>44.365161485454784</v>
      </c>
      <c r="CE201" s="2">
        <f>Table83[[#This Row],[Waist]]-Table7[[#This Row],[Waist v Morning Sys]]</f>
        <v>0.63483851454521556</v>
      </c>
      <c r="CF201" s="2">
        <f>Table7[[#This Row],[WaistMS Res]]^2</f>
        <v>0.40301993954997589</v>
      </c>
      <c r="CG201">
        <f>Regression!$F$29+(Regression!$F$28*Table83[[#This Row],[Morning Diastolic Pressure]])</f>
        <v>44.509172874832799</v>
      </c>
      <c r="CH201" s="2">
        <f>Table83[[#This Row],[Waist]]-Table7[[#This Row],[Waist v Morning Dia]]</f>
        <v>0.49082712516720051</v>
      </c>
      <c r="CI201" s="2">
        <f>Table7[[#This Row],[WaistMD Res]]^2</f>
        <v>0.24091126679989872</v>
      </c>
      <c r="CJ201">
        <f>Regression!$G$29+(Regression!$G$28*Table83[[#This Row],[Morning Pulse]])</f>
        <v>44.437786148607536</v>
      </c>
      <c r="CK201" s="2">
        <f>Table83[[#This Row],[Waist]]-Table7[[#This Row],[Waist v Morning Pulse]]</f>
        <v>0.56221385139246394</v>
      </c>
      <c r="CL201" s="2">
        <f>Table7[[#This Row],[WaistMP Res]]^2</f>
        <v>0.3160844146975475</v>
      </c>
      <c r="CM201">
        <f>Regression!$H$29+(Regression!$H$28*Table83[[#This Row],[Night Body Temp]])</f>
        <v>44.505632421293377</v>
      </c>
      <c r="CN201" s="2">
        <f>Table83[[#This Row],[Waist]]-Table7[[#This Row],[Waist v Night Temp]]</f>
        <v>0.49436757870662262</v>
      </c>
      <c r="CO201" s="2">
        <f>Table7[[#This Row],[WaistNT Res]]^2</f>
        <v>0.24439930287624873</v>
      </c>
      <c r="CP201">
        <f>Regression!$I$29+(Regression!$I$28*Table83[[#This Row],[Night Systolic Pressure]])</f>
        <v>44.383798743677147</v>
      </c>
      <c r="CQ201" s="2">
        <f>Table83[[#This Row],[Waist]]-Table7[[#This Row],[Waist v  Night Sys]]</f>
        <v>0.61620125632285294</v>
      </c>
      <c r="CR201" s="2">
        <f>Table7[[#This Row],[WaistNS Res]]^2</f>
        <v>0.37970398829386232</v>
      </c>
      <c r="CS201">
        <f>Regression!$J$29+(Regression!$J$28*Table83[[#This Row],[Night Diastolic Pressure]])</f>
        <v>44.478159956361175</v>
      </c>
      <c r="CT201" s="2">
        <f>Table83[[#This Row],[Waist]]-Table7[[#This Row],[Waist v Night Dia]]</f>
        <v>0.52184004363882508</v>
      </c>
      <c r="CU201" s="2">
        <f>Table7[[#This Row],[WaistND Res]]^2</f>
        <v>0.27231703114497086</v>
      </c>
      <c r="CV201">
        <f>Regression!$K$29+(Regression!$K$28*Table83[[#This Row],[Night Pulse]])</f>
        <v>44.459708372565267</v>
      </c>
      <c r="CW201" s="2">
        <f>Table83[[#This Row],[Waist]]-Table7[[#This Row],[Waist v Night Pulse]]</f>
        <v>0.54029162743473336</v>
      </c>
      <c r="CX201" s="2">
        <f>Table7[[#This Row],[WaistNP Res]]^2</f>
        <v>0.29191504267607271</v>
      </c>
      <c r="CY201">
        <f>Regression!$L$29+(Regression!$L$28*Table83[[#This Row],[Sleep]])</f>
        <v>44.456891852858099</v>
      </c>
      <c r="CZ201" s="2">
        <f>Table83[[#This Row],[Waist]]-Table7[[#This Row],[Waist v  Sleep]]</f>
        <v>0.54310814714190059</v>
      </c>
      <c r="DA201" s="2">
        <f>Table7[[#This Row],[WaistS Res]]^2</f>
        <v>0.29496645949190836</v>
      </c>
      <c r="DB201">
        <f>Regression!$M$29+(Regression!$M$28*Table83[[#This Row],[BMI]])</f>
        <v>44.301601094409143</v>
      </c>
      <c r="DC201" s="2">
        <f>Table83[[#This Row],[Waist]]-Table7[[#This Row],[Waist v BMI]]</f>
        <v>0.6983989055908566</v>
      </c>
      <c r="DD201" s="2">
        <f>Table7[[#This Row],[WaistBMI Res]]^2</f>
        <v>0.48776103133050625</v>
      </c>
      <c r="DE201">
        <f>Regression!$N$29+(Regression!$N$28*Table83[[#This Row],[CBF]])</f>
        <v>45.203183363709613</v>
      </c>
      <c r="DF201" s="2">
        <f>Table83[[#This Row],[Waist]]-Table7[[#This Row],[Waist v  CBF]]</f>
        <v>-0.20318336370961276</v>
      </c>
      <c r="DG201" s="2">
        <f>Table7[[#This Row],[WaistCBF Res]]^2</f>
        <v>4.1283479288352784E-2</v>
      </c>
      <c r="DH201">
        <f>Regression!$O$29+(Regression!$O$28*Table83[[#This Row],[Gym]])</f>
        <v>44.347222222222221</v>
      </c>
      <c r="DI201" s="2">
        <f>Table83[[#This Row],[Waist]]-Table7[[#This Row],[Waist v  Gym]]</f>
        <v>0.65277777777777857</v>
      </c>
      <c r="DJ201" s="2">
        <f>Table7[[#This Row],[WaistGYM Res]]^2</f>
        <v>0.42611882716049487</v>
      </c>
      <c r="DK201">
        <f>Regression!$P$29+(Regression!$P$28*Table83[[#This Row],[Cardio]])</f>
        <v>44.680851063829778</v>
      </c>
      <c r="DL201" s="2">
        <f>Table83[[#This Row],[Waist]]-Table7[[#This Row],[Waist v Cardio]]</f>
        <v>0.31914893617022244</v>
      </c>
      <c r="DM201" s="2">
        <f>Table7[[#This Row],[WaistC Res]]^2</f>
        <v>0.10185604345858472</v>
      </c>
      <c r="DN201">
        <f>Regression!$Q$29+(Regression!$Q$28*Table83[[#This Row],[Calories]])</f>
        <v>44.288518568827826</v>
      </c>
      <c r="DO201" s="2">
        <f>Table83[[#This Row],[Waist]]-Table7[[#This Row],[Waist v Calories]]</f>
        <v>0.71148143117217444</v>
      </c>
      <c r="DP201" s="2">
        <f>Table7[[#This Row],[WaistCal Res]]^2</f>
        <v>0.50620582690280558</v>
      </c>
      <c r="DQ201">
        <f>Regression!$R$29+(Regression!$R$28*Table83[[#This Row],[Carbs]])</f>
        <v>44.320851847509914</v>
      </c>
      <c r="DR201" s="2">
        <f>Table83[[#This Row],[Waist]]-Table7[[#This Row],[Waist v Carbs]]</f>
        <v>0.67914815249008598</v>
      </c>
      <c r="DS201" s="2">
        <f>Table7[[#This Row],[WaistCarb Res]]^2</f>
        <v>0.46124221303069707</v>
      </c>
      <c r="DT201">
        <f>Regression!$S$29+(Regression!$S$28*Table83[[#This Row],[Fat ]])</f>
        <v>44.270837180659342</v>
      </c>
      <c r="DU201" s="2">
        <f>Table83[[#This Row],[Waist]]-Table7[[#This Row],[Waist v Fat]]</f>
        <v>0.72916281934065807</v>
      </c>
      <c r="DV201" s="2">
        <f>Table7[[#This Row],[WaistF Res]]^2</f>
        <v>0.53167841710881714</v>
      </c>
      <c r="DW201">
        <f>Regression!$T$29+(Regression!$T$28*Table83[[#This Row],[Protein]])</f>
        <v>44.386085138420967</v>
      </c>
      <c r="DX201" s="2">
        <f>Table83[[#This Row],[Waist]]-Table7[[#This Row],[Waist v Protein]]</f>
        <v>0.6139148615790333</v>
      </c>
      <c r="DY201" s="2">
        <f>Table7[[#This Row],[WaistP Res]]^2</f>
        <v>0.37689145726760359</v>
      </c>
      <c r="DZ201">
        <f>Regression!$U$29+(Regression!$U$28*Table83[[#This Row],[Fiber]])</f>
        <v>44.479567158827713</v>
      </c>
      <c r="EA201" s="2">
        <f>Table83[[#This Row],[Waist]]-Table7[[#This Row],[Waist v Fiber]]</f>
        <v>0.52043284117228694</v>
      </c>
      <c r="EB201" s="2">
        <f>Table7[[#This Row],[WaistFib Res]]^2</f>
        <v>0.27085034217065884</v>
      </c>
      <c r="EC201">
        <f>Regression!$V$29+(Regression!$V$28*Table83[[#This Row],[Sugar]])</f>
        <v>44.415047266404308</v>
      </c>
      <c r="ED201" s="2">
        <f>Table83[[#This Row],[Waist]]-Table7[[#This Row],[Waist v Sugar]]</f>
        <v>0.58495273359569211</v>
      </c>
      <c r="EE201" s="2">
        <f>Table7[[#This Row],[WaistSugar Res]]^2</f>
        <v>0.34216970054107276</v>
      </c>
      <c r="EF201">
        <f>Regression!$W$29+(Regression!$W$28*Table83[[#This Row],[Servings]])</f>
        <v>44.339425964843727</v>
      </c>
      <c r="EG201" s="2">
        <f>Table83[[#This Row],[Waist]]-Table7[[#This Row],[Waist v Servings]]</f>
        <v>0.660574035156273</v>
      </c>
      <c r="EH201" s="2">
        <f>Table7[[#This Row],[WaistServ Res]]^2</f>
        <v>0.43635805592264099</v>
      </c>
      <c r="EI201">
        <f>Regression!$X$29+(Regression!$X$28*Table83[[#This Row],[Water]])</f>
        <v>44.442082352251923</v>
      </c>
      <c r="EJ201" s="2">
        <f>Table83[[#This Row],[Waist]]-Table7[[#This Row],[Waist v Water]]</f>
        <v>0.55791764774807717</v>
      </c>
      <c r="EK201" s="2">
        <f>Table7[[#This Row],[WaistWat Res]]^2</f>
        <v>0.31127210166874753</v>
      </c>
      <c r="EL201">
        <f>Regression!$Y$29+(Regression!$Y$28*Table83[[#This Row],[Fat Calories]])</f>
        <v>44.258605690967734</v>
      </c>
      <c r="EM201" s="2">
        <f>Table83[[#This Row],[Waist]]-Table7[[#This Row],[Waist v Fat Calories]]</f>
        <v>0.74139430903226611</v>
      </c>
      <c r="EN201" s="2">
        <f>Table7[[#This Row],[WaistFatCal Res]]^2</f>
        <v>0.54966552146543135</v>
      </c>
    </row>
    <row r="202" spans="1:144" x14ac:dyDescent="0.25">
      <c r="A202">
        <f>Regression!$B$10+(Regression!$B$9*Table83[[#This Row],[Waist]])</f>
        <v>258.23421455025004</v>
      </c>
      <c r="B202" s="2">
        <f>Table83[[#This Row],[Weight]]-Table7[[#This Row],[Weight v Waist]]</f>
        <v>-0.43421455025003297</v>
      </c>
      <c r="C202" s="2">
        <f>Table7[[#This Row],[Weight v Waist Res]]^2</f>
        <v>0.18854227564883841</v>
      </c>
      <c r="D202">
        <f>Regression!$C$10+(Regression!$C$9*Table83[[#This Row],[Neck]])</f>
        <v>253.29286486487842</v>
      </c>
      <c r="E202" s="2">
        <f>Table83[[#This Row],[Weight]]-Table7[[#This Row],[Weight v Neck]]</f>
        <v>4.5071351351215867</v>
      </c>
      <c r="F202" s="2">
        <f>Table7[[#This Row],[WN Res]]^2</f>
        <v>20.314267126247483</v>
      </c>
      <c r="G202">
        <f>Regression!$D$10+(Regression!$D$9*Table83[[#This Row],[Morning Body Temp]])</f>
        <v>254.7075736779725</v>
      </c>
      <c r="H202" s="2">
        <f>Table83[[#This Row],[Weight]]-Table7[[#This Row],[Weight v Morning Temp]]</f>
        <v>3.0924263220275066</v>
      </c>
      <c r="I202" s="2">
        <f>Table7[[#This Row],[WMT Res]]^2</f>
        <v>9.5631005571685712</v>
      </c>
      <c r="J202">
        <f>Regression!$E$10+(Regression!$E$9*Table83[[#This Row],[Morning Systolic Pressure]])</f>
        <v>255.32487264807224</v>
      </c>
      <c r="K202" s="2">
        <f>Table83[[#This Row],[Weight]]-Table7[[#This Row],[Weight v Morning Sys]]</f>
        <v>2.4751273519277674</v>
      </c>
      <c r="L202" s="2">
        <f>Table7[[#This Row],[WMS Res]]^2</f>
        <v>6.1262554082609624</v>
      </c>
      <c r="M202">
        <f>Regression!$F$10+(Regression!$F$9*Table83[[#This Row],[Morning Diastolic Pressure]])</f>
        <v>255.00069564820177</v>
      </c>
      <c r="N202" s="2">
        <f>Table83[[#This Row],[Weight]]-Table7[[#This Row],[Weight v Morning Dia]]</f>
        <v>2.7993043517982414</v>
      </c>
      <c r="O202" s="2">
        <f>Table7[[#This Row],[WMD Res]]^2</f>
        <v>7.8361048539965727</v>
      </c>
      <c r="P202">
        <f>Regression!$G$10+(Regression!$G$9*Table83[[#This Row],[Morning Pulse]])</f>
        <v>255.09902272834094</v>
      </c>
      <c r="Q202" s="2">
        <f>Table83[[#This Row],[Weight]]-Table7[[#This Row],[Weight v Morning Pulse]]</f>
        <v>2.7009772716590703</v>
      </c>
      <c r="R202" s="2">
        <f>Table7[[#This Row],[WMP Res]]^2</f>
        <v>7.295278222018875</v>
      </c>
      <c r="S202">
        <f>Regression!$H$10+(Regression!$H$9*Table83[[#This Row],[Night Body Temp]])</f>
        <v>255.36496952993349</v>
      </c>
      <c r="T202" s="2">
        <f>Table83[[#This Row],[Weight]]-Table7[[#This Row],[Weight v Night Temp]]</f>
        <v>2.435030470066522</v>
      </c>
      <c r="U202" s="2">
        <f>Table7[[#This Row],[WNT Res]]^2</f>
        <v>5.9293733901523868</v>
      </c>
      <c r="V202">
        <f>Regression!$I$10+(Regression!$I$9*Table83[[#This Row],[Night Systolic Pressure]])</f>
        <v>253.80155371676864</v>
      </c>
      <c r="W202" s="2">
        <f>Table83[[#This Row],[Weight]]-Table7[[#This Row],[Weight v Night Sys]]</f>
        <v>3.9984462832313739</v>
      </c>
      <c r="X202" s="2">
        <f>Table7[[#This Row],[WNS Res]]^2</f>
        <v>15.987572679886789</v>
      </c>
      <c r="Y202">
        <f>Regression!$J$10+(Regression!$J$9*Table83[[#This Row],[Night Diastolic Pressure]])</f>
        <v>254.8477211637495</v>
      </c>
      <c r="Z202" s="2">
        <f>Table83[[#This Row],[Weight]]-Table7[[#This Row],[Weight v Night Dia]]</f>
        <v>2.9522788362505139</v>
      </c>
      <c r="AA202" s="2">
        <f>Table7[[#This Row],[WND Res]]^2</f>
        <v>8.7159503269726883</v>
      </c>
      <c r="AB202">
        <f>Regression!$K$10+(Regression!$K$9*Table83[[#This Row],[Night Pulse]])</f>
        <v>255.11015185874123</v>
      </c>
      <c r="AC202" s="2">
        <f>Table83[[#This Row],[Weight]]-Table7[[#This Row],[Weight v Night Pulse]]</f>
        <v>2.6898481412587785</v>
      </c>
      <c r="AD202" s="2">
        <f>Table7[[#This Row],[WNP Res ]]^2</f>
        <v>7.2352830230333058</v>
      </c>
      <c r="AE202">
        <f>Regression!$L$10+(Regression!$L$9*Table83[[#This Row],[Sleep]])</f>
        <v>254.50608136063369</v>
      </c>
      <c r="AF202" s="2">
        <f>Table83[[#This Row],[Weight]]-Table7[[#This Row],[Weight v Sleep]]</f>
        <v>3.2939186393663249</v>
      </c>
      <c r="AG202" s="2">
        <f>Table7[[#This Row],[WS Res]]^2</f>
        <v>10.849900002764901</v>
      </c>
      <c r="AH202">
        <f>Regression!$M$10+(Regression!$M$9*Table83[[#This Row],[BMI]])</f>
        <v>257.79999999999404</v>
      </c>
      <c r="AI202" s="2">
        <f>Table83[[#This Row],[Weight]]-Table7[[#This Row],[Weight v BMI]]</f>
        <v>5.9685589803848416E-12</v>
      </c>
      <c r="AJ202" s="2">
        <f>Table7[[#This Row],[WBMI Res]]^2</f>
        <v>3.562369630233254E-23</v>
      </c>
      <c r="AK202">
        <f>Regression!$N$10+(Regression!$N$9*Table83[[#This Row],[CBF]])</f>
        <v>259.27809165285294</v>
      </c>
      <c r="AL202" s="2">
        <f>Table83[[#This Row],[Weight]]-Table7[[#This Row],[Weight v CBF]]</f>
        <v>-1.4780916528529247</v>
      </c>
      <c r="AM202" s="2">
        <f>Table7[[#This Row],[WCBF Res]]^2</f>
        <v>2.1847549342334909</v>
      </c>
      <c r="AN202">
        <f>Regression!$O$10+(Regression!$O$9*Table83[[#This Row],[Gym]])</f>
        <v>254.72962962962998</v>
      </c>
      <c r="AO202" s="2">
        <f>Table83[[#This Row],[Weight]]-Table7[[#This Row],[Weight v Gym]]</f>
        <v>3.0703703703700285</v>
      </c>
      <c r="AP202" s="2">
        <f>Table7[[#This Row],[WG Res]]^2</f>
        <v>9.4271742112461858</v>
      </c>
      <c r="AQ202">
        <f>Regression!$P$10+(Regression!$P$9*Table83[[#This Row],[Cardio]])</f>
        <v>254.19242424242461</v>
      </c>
      <c r="AR202" s="2">
        <f>Table83[[#This Row],[Weight]]-Table7[[#This Row],[Weight v Cardio]]</f>
        <v>3.6075757575754039</v>
      </c>
      <c r="AS202" s="2">
        <f>Table7[[#This Row],[WC Res]]^2</f>
        <v>13.014602846645749</v>
      </c>
      <c r="AT202">
        <f>Regression!$Q$10+(Regression!$Q$9*Table83[[#This Row],[Calories]])</f>
        <v>254.04378234730328</v>
      </c>
      <c r="AU202" s="2">
        <f>Table83[[#This Row],[Weight]]-Table7[[#This Row],[Weight v Calories]]</f>
        <v>3.7562176526967335</v>
      </c>
      <c r="AV202" s="2">
        <f>Table7[[#This Row],[WCAL Res]]^2</f>
        <v>14.109171054430558</v>
      </c>
      <c r="AW202">
        <f>Regression!$R$10+(Regression!$R$9*Table83[[#This Row],[Carbs]])</f>
        <v>253.89688116651197</v>
      </c>
      <c r="AX202" s="2">
        <f>Table83[[#This Row],[Weight]]-Table7[[#This Row],[Weight v Carbs]]</f>
        <v>3.9031188334880369</v>
      </c>
      <c r="AY202" s="2">
        <f>Table7[[#This Row],[Wcarb Res]]^2</f>
        <v>15.234336628329014</v>
      </c>
      <c r="AZ202">
        <f>Regression!$S$10+(Regression!$S$9*Table83[[#This Row],[Fat ]])</f>
        <v>254.3779171859756</v>
      </c>
      <c r="BA202" s="2">
        <f>Table83[[#This Row],[Weight]]-Table7[[#This Row],[Weight v Fat]]</f>
        <v>3.4220828140244066</v>
      </c>
      <c r="BB202" s="2">
        <f>Table7[[#This Row],[WF Res]]^2</f>
        <v>11.710650786041201</v>
      </c>
      <c r="BC202">
        <f>Regression!$T$10+(Regression!$T$9*Table83[[#This Row],[Protein]])</f>
        <v>255.38598297610147</v>
      </c>
      <c r="BD202" s="2">
        <f>Table83[[#This Row],[Weight]]-Table7[[#This Row],[Weight v Protein]]</f>
        <v>2.4140170238985377</v>
      </c>
      <c r="BE202" s="2">
        <f>Table7[[#This Row],[WP Res]]^2</f>
        <v>5.8274781916719531</v>
      </c>
      <c r="BF202">
        <f>Regression!$U$10+(Regression!$U$9*Table83[[#This Row],[Fiber]])</f>
        <v>255.27680780020611</v>
      </c>
      <c r="BG202" s="2">
        <f>Table83[[#This Row],[Weight]]-Table7[[#This Row],[Weight v Fiber]]</f>
        <v>2.5231921997938969</v>
      </c>
      <c r="BH202" s="2">
        <f>Table7[[#This Row],[Wfib Res]]^2</f>
        <v>6.3664988771007645</v>
      </c>
      <c r="BI202">
        <f>Regression!$V$10+(Regression!$V$9*Table83[[#This Row],[Sugar]])</f>
        <v>254.09550606642236</v>
      </c>
      <c r="BJ202" s="2">
        <f>Table83[[#This Row],[Weight]]-Table7[[#This Row],[Weight v Sugar]]</f>
        <v>3.7044939335776519</v>
      </c>
      <c r="BK202" s="2">
        <f>Table7[[#This Row],[Wsugar Res]]^2</f>
        <v>13.723275303913624</v>
      </c>
      <c r="BL202">
        <f>Regression!$W$10+(Regression!$W$9*Table83[[#This Row],[Servings]])</f>
        <v>254.63473955501385</v>
      </c>
      <c r="BM202" s="2">
        <f>Table83[[#This Row],[Weight]]-Table7[[#This Row],[Weight v Servings]]</f>
        <v>3.1652604449861599</v>
      </c>
      <c r="BN202" s="2">
        <f>Table7[[#This Row],[Wserv Res]]^2</f>
        <v>10.018873684593983</v>
      </c>
      <c r="BO202">
        <f>Regression!$X$10+(Regression!$X$9*Table83[[#This Row],[Water]])</f>
        <v>255.10626599365665</v>
      </c>
      <c r="BP202" s="2">
        <f>Table83[[#This Row],[Weight]]-Table7[[#This Row],[Weight v Water]]</f>
        <v>2.6937340063433624</v>
      </c>
      <c r="BQ202" s="2">
        <f>Table7[[#This Row],[Wwater Res]]^2</f>
        <v>7.2562028969306613</v>
      </c>
      <c r="BR202">
        <f>Regression!$Y$10+(Regression!$Y$9*Table83[[#This Row],[Fat Calories]])</f>
        <v>254.32569401109058</v>
      </c>
      <c r="BS202" s="2">
        <f>Table83[[#This Row],[Weight]]-Table7[[#This Row],[Weight v Fat Calories]]</f>
        <v>3.4743059889094354</v>
      </c>
      <c r="BT202" s="2">
        <f>Table7[[#This Row],[WFC Res]]^2</f>
        <v>12.070802104571969</v>
      </c>
      <c r="BU202">
        <f>Regression!$B$29+(Regression!$B$28*Table83[[#This Row],[Weight]])</f>
        <v>44.819398634574597</v>
      </c>
      <c r="BV202" s="2">
        <f>Table83[[#This Row],[Waist]]-Table7[[#This Row],[Waist v Weight]]</f>
        <v>0.18060136542540306</v>
      </c>
      <c r="BW202" s="2">
        <f>Table7[[#This Row],[WaistW Res]]^2</f>
        <v>3.2616853193519972E-2</v>
      </c>
      <c r="BX202">
        <f>Regression!$C$29+(Regression!$C$28*Table83[[#This Row],[Neck]])</f>
        <v>44.175585585585594</v>
      </c>
      <c r="BY202" s="2">
        <f>Table83[[#This Row],[Waist]]-Table7[[#This Row],[Waist v Neck]]</f>
        <v>0.82441441441440588</v>
      </c>
      <c r="BZ202" s="2">
        <f>Table7[[#This Row],[WaistN Res]]^2</f>
        <v>0.67965912669424777</v>
      </c>
      <c r="CA202">
        <f>Regression!$D$29+(Regression!$D$28*Table83[[#This Row],[Morning Body Temp]])</f>
        <v>44.342717051701939</v>
      </c>
      <c r="CB202" s="2">
        <f>Table83[[#This Row],[Waist]]-Table7[[#This Row],[Waist v Morning Temp]]</f>
        <v>0.65728294829806089</v>
      </c>
      <c r="CC202" s="2">
        <f>Table7[[#This Row],[WaistMT Res]]^2</f>
        <v>0.43202087412339141</v>
      </c>
      <c r="CD202">
        <f>Regression!$E$29+(Regression!$E$28*Table83[[#This Row],[Morning Systolic Pressure]])</f>
        <v>44.502836753606339</v>
      </c>
      <c r="CE202" s="2">
        <f>Table83[[#This Row],[Waist]]-Table7[[#This Row],[Waist v Morning Sys]]</f>
        <v>0.4971632463936615</v>
      </c>
      <c r="CF202" s="2">
        <f>Table7[[#This Row],[WaistMS Res]]^2</f>
        <v>0.24717129356468456</v>
      </c>
      <c r="CG202">
        <f>Regression!$F$29+(Regression!$F$28*Table83[[#This Row],[Morning Diastolic Pressure]])</f>
        <v>44.447181047475404</v>
      </c>
      <c r="CH202" s="2">
        <f>Table83[[#This Row],[Waist]]-Table7[[#This Row],[Waist v Morning Dia]]</f>
        <v>0.55281895252459634</v>
      </c>
      <c r="CI202" s="2">
        <f>Table7[[#This Row],[WaistMD Res]]^2</f>
        <v>0.30560879427039189</v>
      </c>
      <c r="CJ202">
        <f>Regression!$G$29+(Regression!$G$28*Table83[[#This Row],[Morning Pulse]])</f>
        <v>44.446181174343671</v>
      </c>
      <c r="CK202" s="2">
        <f>Table83[[#This Row],[Waist]]-Table7[[#This Row],[Waist v Morning Pulse]]</f>
        <v>0.55381882565632878</v>
      </c>
      <c r="CL202" s="2">
        <f>Table7[[#This Row],[WaistMP Res]]^2</f>
        <v>0.30671529165135508</v>
      </c>
      <c r="CM202">
        <f>Regression!$H$29+(Regression!$H$28*Table83[[#This Row],[Night Body Temp]])</f>
        <v>44.473244726073837</v>
      </c>
      <c r="CN202" s="2">
        <f>Table83[[#This Row],[Waist]]-Table7[[#This Row],[Waist v Night Temp]]</f>
        <v>0.52675527392616317</v>
      </c>
      <c r="CO202" s="2">
        <f>Table7[[#This Row],[WaistNT Res]]^2</f>
        <v>0.27747111860902718</v>
      </c>
      <c r="CP202">
        <f>Regression!$I$29+(Regression!$I$28*Table83[[#This Row],[Night Systolic Pressure]])</f>
        <v>44.267477829072234</v>
      </c>
      <c r="CQ202" s="2">
        <f>Table83[[#This Row],[Waist]]-Table7[[#This Row],[Waist v  Night Sys]]</f>
        <v>0.73252217092776561</v>
      </c>
      <c r="CR202" s="2">
        <f>Table7[[#This Row],[WaistNS Res]]^2</f>
        <v>0.53658873090072667</v>
      </c>
      <c r="CS202">
        <f>Regression!$J$29+(Regression!$J$28*Table83[[#This Row],[Night Diastolic Pressure]])</f>
        <v>44.341616394701639</v>
      </c>
      <c r="CT202" s="2">
        <f>Table83[[#This Row],[Waist]]-Table7[[#This Row],[Waist v Night Dia]]</f>
        <v>0.65838360529836137</v>
      </c>
      <c r="CU202" s="2">
        <f>Table7[[#This Row],[WaistND Res]]^2</f>
        <v>0.43346897172566851</v>
      </c>
      <c r="CV202">
        <f>Regression!$K$29+(Regression!$K$28*Table83[[#This Row],[Night Pulse]])</f>
        <v>44.453994879943338</v>
      </c>
      <c r="CW202" s="2">
        <f>Table83[[#This Row],[Waist]]-Table7[[#This Row],[Waist v Night Pulse]]</f>
        <v>0.54600512005666246</v>
      </c>
      <c r="CX202" s="2">
        <f>Table7[[#This Row],[WaistNP Res]]^2</f>
        <v>0.29812159112809039</v>
      </c>
      <c r="CY202">
        <f>Regression!$L$29+(Regression!$L$28*Table83[[#This Row],[Sleep]])</f>
        <v>44.360693916866794</v>
      </c>
      <c r="CZ202" s="2">
        <f>Table83[[#This Row],[Waist]]-Table7[[#This Row],[Waist v  Sleep]]</f>
        <v>0.63930608313320647</v>
      </c>
      <c r="DA202" s="2">
        <f>Table7[[#This Row],[WaistS Res]]^2</f>
        <v>0.40871226793112231</v>
      </c>
      <c r="DB202">
        <f>Regression!$M$29+(Regression!$M$28*Table83[[#This Row],[BMI]])</f>
        <v>44.819398634573439</v>
      </c>
      <c r="DC202" s="2">
        <f>Table83[[#This Row],[Waist]]-Table7[[#This Row],[Waist v BMI]]</f>
        <v>0.18060136542656124</v>
      </c>
      <c r="DD202" s="2">
        <f>Table7[[#This Row],[WaistBMI Res]]^2</f>
        <v>3.2616853193938311E-2</v>
      </c>
      <c r="DE202">
        <f>Regression!$N$29+(Regression!$N$28*Table83[[#This Row],[CBF]])</f>
        <v>45.203183363709613</v>
      </c>
      <c r="DF202" s="2">
        <f>Table83[[#This Row],[Waist]]-Table7[[#This Row],[Waist v  CBF]]</f>
        <v>-0.20318336370961276</v>
      </c>
      <c r="DG202" s="2">
        <f>Table7[[#This Row],[WaistCBF Res]]^2</f>
        <v>4.1283479288352784E-2</v>
      </c>
      <c r="DH202">
        <f>Regression!$O$29+(Regression!$O$28*Table83[[#This Row],[Gym]])</f>
        <v>44.347222222222221</v>
      </c>
      <c r="DI202" s="2">
        <f>Table83[[#This Row],[Waist]]-Table7[[#This Row],[Waist v  Gym]]</f>
        <v>0.65277777777777857</v>
      </c>
      <c r="DJ202" s="2">
        <f>Table7[[#This Row],[WaistGYM Res]]^2</f>
        <v>0.42611882716049487</v>
      </c>
      <c r="DK202">
        <f>Regression!$P$29+(Regression!$P$28*Table83[[#This Row],[Cardio]])</f>
        <v>44.291666666666664</v>
      </c>
      <c r="DL202" s="2">
        <f>Table83[[#This Row],[Waist]]-Table7[[#This Row],[Waist v Cardio]]</f>
        <v>0.7083333333333357</v>
      </c>
      <c r="DM202" s="2">
        <f>Table7[[#This Row],[WaistC Res]]^2</f>
        <v>0.50173611111111449</v>
      </c>
      <c r="DN202">
        <f>Regression!$Q$29+(Regression!$Q$28*Table83[[#This Row],[Calories]])</f>
        <v>44.21285103419779</v>
      </c>
      <c r="DO202" s="2">
        <f>Table83[[#This Row],[Waist]]-Table7[[#This Row],[Waist v Calories]]</f>
        <v>0.78714896580220994</v>
      </c>
      <c r="DP202" s="2">
        <f>Table7[[#This Row],[WaistCal Res]]^2</f>
        <v>0.61960349436348872</v>
      </c>
      <c r="DQ202">
        <f>Regression!$R$29+(Regression!$R$28*Table83[[#This Row],[Carbs]])</f>
        <v>44.199925729225193</v>
      </c>
      <c r="DR202" s="2">
        <f>Table83[[#This Row],[Waist]]-Table7[[#This Row],[Waist v Carbs]]</f>
        <v>0.80007427077480742</v>
      </c>
      <c r="DS202" s="2">
        <f>Table7[[#This Row],[WaistCarb Res]]^2</f>
        <v>0.64011883875583986</v>
      </c>
      <c r="DT202">
        <f>Regression!$S$29+(Regression!$S$28*Table83[[#This Row],[Fat ]])</f>
        <v>44.228215679819264</v>
      </c>
      <c r="DU202" s="2">
        <f>Table83[[#This Row],[Waist]]-Table7[[#This Row],[Waist v Fat]]</f>
        <v>0.77178432018073551</v>
      </c>
      <c r="DV202" s="2">
        <f>Table7[[#This Row],[WaistF Res]]^2</f>
        <v>0.59565103687684007</v>
      </c>
      <c r="DW202">
        <f>Regression!$T$29+(Regression!$T$28*Table83[[#This Row],[Protein]])</f>
        <v>44.50313167470263</v>
      </c>
      <c r="DX202" s="2">
        <f>Table83[[#This Row],[Waist]]-Table7[[#This Row],[Waist v Protein]]</f>
        <v>0.49686832529737046</v>
      </c>
      <c r="DY202" s="2">
        <f>Table7[[#This Row],[WaistP Res]]^2</f>
        <v>0.24687813268381356</v>
      </c>
      <c r="DZ202">
        <f>Regression!$U$29+(Regression!$U$28*Table83[[#This Row],[Fiber]])</f>
        <v>44.51595789964481</v>
      </c>
      <c r="EA202" s="2">
        <f>Table83[[#This Row],[Waist]]-Table7[[#This Row],[Waist v Fiber]]</f>
        <v>0.48404210035518958</v>
      </c>
      <c r="EB202" s="2">
        <f>Table7[[#This Row],[WaistFib Res]]^2</f>
        <v>0.23429675491626342</v>
      </c>
      <c r="EC202">
        <f>Regression!$V$29+(Regression!$V$28*Table83[[#This Row],[Sugar]])</f>
        <v>44.270391159663326</v>
      </c>
      <c r="ED202" s="2">
        <f>Table83[[#This Row],[Waist]]-Table7[[#This Row],[Waist v Sugar]]</f>
        <v>0.72960884033667384</v>
      </c>
      <c r="EE202" s="2">
        <f>Table7[[#This Row],[WaistSugar Res]]^2</f>
        <v>0.53232905989742596</v>
      </c>
      <c r="EF202">
        <f>Regression!$W$29+(Regression!$W$28*Table83[[#This Row],[Servings]])</f>
        <v>44.380253328765491</v>
      </c>
      <c r="EG202" s="2">
        <f>Table83[[#This Row],[Waist]]-Table7[[#This Row],[Waist v Servings]]</f>
        <v>0.61974667123450899</v>
      </c>
      <c r="EH202" s="2">
        <f>Table7[[#This Row],[WaistServ Res]]^2</f>
        <v>0.38408593650625455</v>
      </c>
      <c r="EI202">
        <f>Regression!$X$29+(Regression!$X$28*Table83[[#This Row],[Water]])</f>
        <v>44.442082352251923</v>
      </c>
      <c r="EJ202" s="2">
        <f>Table83[[#This Row],[Waist]]-Table7[[#This Row],[Waist v Water]]</f>
        <v>0.55791764774807717</v>
      </c>
      <c r="EK202" s="2">
        <f>Table7[[#This Row],[WaistWat Res]]^2</f>
        <v>0.31127210166874753</v>
      </c>
      <c r="EL202">
        <f>Regression!$Y$29+(Regression!$Y$28*Table83[[#This Row],[Fat Calories]])</f>
        <v>44.2134757082787</v>
      </c>
      <c r="EM202" s="2">
        <f>Table83[[#This Row],[Waist]]-Table7[[#This Row],[Waist v Fat Calories]]</f>
        <v>0.78652429172129956</v>
      </c>
      <c r="EN202" s="2">
        <f>Table7[[#This Row],[WaistFatCal Res]]^2</f>
        <v>0.6186204614676919</v>
      </c>
    </row>
    <row r="203" spans="1:144" x14ac:dyDescent="0.25">
      <c r="A203">
        <f>Regression!$B$10+(Regression!$B$9*Table83[[#This Row],[Waist]])</f>
        <v>258.23421455025004</v>
      </c>
      <c r="B203" s="2">
        <f>Table83[[#This Row],[Weight]]-Table7[[#This Row],[Weight v Waist]]</f>
        <v>-2.0342145502500557</v>
      </c>
      <c r="C203" s="2">
        <f>Table7[[#This Row],[Weight v Waist Res]]^2</f>
        <v>4.1380288364490365</v>
      </c>
      <c r="D203">
        <f>Regression!$C$10+(Regression!$C$9*Table83[[#This Row],[Neck]])</f>
        <v>253.29286486487842</v>
      </c>
      <c r="E203" s="2">
        <f>Table83[[#This Row],[Weight]]-Table7[[#This Row],[Weight v Neck]]</f>
        <v>2.907135135121564</v>
      </c>
      <c r="F203" s="2">
        <f>Table7[[#This Row],[WN Res]]^2</f>
        <v>8.4514346938582747</v>
      </c>
      <c r="G203">
        <f>Regression!$D$10+(Regression!$D$9*Table83[[#This Row],[Morning Body Temp]])</f>
        <v>254.91876934063959</v>
      </c>
      <c r="H203" s="2">
        <f>Table83[[#This Row],[Weight]]-Table7[[#This Row],[Weight v Morning Temp]]</f>
        <v>1.2812306593604035</v>
      </c>
      <c r="I203" s="2">
        <f>Table7[[#This Row],[WMT Res]]^2</f>
        <v>1.6415520024850943</v>
      </c>
      <c r="J203">
        <f>Regression!$E$10+(Regression!$E$9*Table83[[#This Row],[Morning Systolic Pressure]])</f>
        <v>254.6937917939849</v>
      </c>
      <c r="K203" s="2">
        <f>Table83[[#This Row],[Weight]]-Table7[[#This Row],[Weight v Morning Sys]]</f>
        <v>1.5062082060150885</v>
      </c>
      <c r="L203" s="2">
        <f>Table7[[#This Row],[WMS Res]]^2</f>
        <v>2.2686631598671916</v>
      </c>
      <c r="M203">
        <f>Regression!$F$10+(Regression!$F$9*Table83[[#This Row],[Morning Diastolic Pressure]])</f>
        <v>257.33161337623403</v>
      </c>
      <c r="N203" s="2">
        <f>Table83[[#This Row],[Weight]]-Table7[[#This Row],[Weight v Morning Dia]]</f>
        <v>-1.1316133762340428</v>
      </c>
      <c r="O203" s="2">
        <f>Table7[[#This Row],[WMD Res]]^2</f>
        <v>1.2805488332718094</v>
      </c>
      <c r="P203">
        <f>Regression!$G$10+(Regression!$G$9*Table83[[#This Row],[Morning Pulse]])</f>
        <v>255.11730068591285</v>
      </c>
      <c r="Q203" s="2">
        <f>Table83[[#This Row],[Weight]]-Table7[[#This Row],[Weight v Morning Pulse]]</f>
        <v>1.0826993140871366</v>
      </c>
      <c r="R203" s="2">
        <f>Table7[[#This Row],[WMP Res]]^2</f>
        <v>1.1722378047247561</v>
      </c>
      <c r="S203">
        <f>Regression!$H$10+(Regression!$H$9*Table83[[#This Row],[Night Body Temp]])</f>
        <v>255.05687981848845</v>
      </c>
      <c r="T203" s="2">
        <f>Table83[[#This Row],[Weight]]-Table7[[#This Row],[Weight v Night Temp]]</f>
        <v>1.1431201815115344</v>
      </c>
      <c r="U203" s="2">
        <f>Table7[[#This Row],[WNT Res]]^2</f>
        <v>1.3067237493789634</v>
      </c>
      <c r="V203">
        <f>Regression!$I$10+(Regression!$I$9*Table83[[#This Row],[Night Systolic Pressure]])</f>
        <v>255.23858139316721</v>
      </c>
      <c r="W203" s="2">
        <f>Table83[[#This Row],[Weight]]-Table7[[#This Row],[Weight v Night Sys]]</f>
        <v>0.96141860683277969</v>
      </c>
      <c r="X203" s="2">
        <f>Table7[[#This Row],[WNS Res]]^2</f>
        <v>0.92432573756428305</v>
      </c>
      <c r="Y203">
        <f>Regression!$J$10+(Regression!$J$9*Table83[[#This Row],[Night Diastolic Pressure]])</f>
        <v>255.17384811107831</v>
      </c>
      <c r="Z203" s="2">
        <f>Table83[[#This Row],[Weight]]-Table7[[#This Row],[Weight v Night Dia]]</f>
        <v>1.0261518889216745</v>
      </c>
      <c r="AA203" s="2">
        <f>Table7[[#This Row],[WND Res]]^2</f>
        <v>1.0529876991375207</v>
      </c>
      <c r="AB203">
        <f>Regression!$K$10+(Regression!$K$9*Table83[[#This Row],[Night Pulse]])</f>
        <v>254.98729853379433</v>
      </c>
      <c r="AC203" s="2">
        <f>Table83[[#This Row],[Weight]]-Table7[[#This Row],[Weight v Night Pulse]]</f>
        <v>1.2127014662056581</v>
      </c>
      <c r="AD203" s="2">
        <f>Table7[[#This Row],[WNP Res ]]^2</f>
        <v>1.4706448461373529</v>
      </c>
      <c r="AE203">
        <f>Regression!$L$10+(Regression!$L$9*Table83[[#This Row],[Sleep]])</f>
        <v>256.08345227750277</v>
      </c>
      <c r="AF203" s="2">
        <f>Table83[[#This Row],[Weight]]-Table7[[#This Row],[Weight v Sleep]]</f>
        <v>0.11654772249721645</v>
      </c>
      <c r="AG203" s="2">
        <f>Table7[[#This Row],[WS Res]]^2</f>
        <v>1.3583371619288175E-2</v>
      </c>
      <c r="AH203">
        <f>Regression!$M$10+(Regression!$M$9*Table83[[#This Row],[BMI]])</f>
        <v>256.19999999999766</v>
      </c>
      <c r="AI203" s="2">
        <f>Table83[[#This Row],[Weight]]-Table7[[#This Row],[Weight v BMI]]</f>
        <v>2.3305801732931286E-12</v>
      </c>
      <c r="AJ203" s="2">
        <f>Table7[[#This Row],[WBMI Res]]^2</f>
        <v>5.4316039441470294E-24</v>
      </c>
      <c r="AK203">
        <f>Regression!$N$10+(Regression!$N$9*Table83[[#This Row],[CBF]])</f>
        <v>259.27809165285294</v>
      </c>
      <c r="AL203" s="2">
        <f>Table83[[#This Row],[Weight]]-Table7[[#This Row],[Weight v CBF]]</f>
        <v>-3.0780916528529474</v>
      </c>
      <c r="AM203" s="2">
        <f>Table7[[#This Row],[WCBF Res]]^2</f>
        <v>9.4746482233629887</v>
      </c>
      <c r="AN203">
        <f>Regression!$O$10+(Regression!$O$9*Table83[[#This Row],[Gym]])</f>
        <v>254.72962962962998</v>
      </c>
      <c r="AO203" s="2">
        <f>Table83[[#This Row],[Weight]]-Table7[[#This Row],[Weight v Gym]]</f>
        <v>1.4703703703700057</v>
      </c>
      <c r="AP203" s="2">
        <f>Table7[[#This Row],[WG Res]]^2</f>
        <v>2.1619890260620278</v>
      </c>
      <c r="AQ203">
        <f>Regression!$P$10+(Regression!$P$9*Table83[[#This Row],[Cardio]])</f>
        <v>256.41063829787231</v>
      </c>
      <c r="AR203" s="2">
        <f>Table83[[#This Row],[Weight]]-Table7[[#This Row],[Weight v Cardio]]</f>
        <v>-0.2106382978723218</v>
      </c>
      <c r="AS203" s="2">
        <f>Table7[[#This Row],[WC Res]]^2</f>
        <v>4.4368492530548968E-2</v>
      </c>
      <c r="AT203">
        <f>Regression!$Q$10+(Regression!$Q$9*Table83[[#This Row],[Calories]])</f>
        <v>253.5927205190587</v>
      </c>
      <c r="AU203" s="2">
        <f>Table83[[#This Row],[Weight]]-Table7[[#This Row],[Weight v Calories]]</f>
        <v>2.6072794809412869</v>
      </c>
      <c r="AV203" s="2">
        <f>Table7[[#This Row],[WCAL Res]]^2</f>
        <v>6.7979062917374664</v>
      </c>
      <c r="AW203">
        <f>Regression!$R$10+(Regression!$R$9*Table83[[#This Row],[Carbs]])</f>
        <v>253.82346595406443</v>
      </c>
      <c r="AX203" s="2">
        <f>Table83[[#This Row],[Weight]]-Table7[[#This Row],[Weight v Carbs]]</f>
        <v>2.3765340459355571</v>
      </c>
      <c r="AY203" s="2">
        <f>Table7[[#This Row],[Wcarb Res]]^2</f>
        <v>5.6479140714908285</v>
      </c>
      <c r="AZ203">
        <f>Regression!$S$10+(Regression!$S$9*Table83[[#This Row],[Fat ]])</f>
        <v>254.71647718541328</v>
      </c>
      <c r="BA203" s="2">
        <f>Table83[[#This Row],[Weight]]-Table7[[#This Row],[Weight v Fat]]</f>
        <v>1.4835228145867063</v>
      </c>
      <c r="BB203" s="2">
        <f>Table7[[#This Row],[WF Res]]^2</f>
        <v>2.2008399413992632</v>
      </c>
      <c r="BC203">
        <f>Regression!$T$10+(Regression!$T$9*Table83[[#This Row],[Protein]])</f>
        <v>253.86740551577981</v>
      </c>
      <c r="BD203" s="2">
        <f>Table83[[#This Row],[Weight]]-Table7[[#This Row],[Weight v Protein]]</f>
        <v>2.3325944842201807</v>
      </c>
      <c r="BE203" s="2">
        <f>Table7[[#This Row],[WP Res]]^2</f>
        <v>5.4409970278144106</v>
      </c>
      <c r="BF203">
        <f>Regression!$U$10+(Regression!$U$9*Table83[[#This Row],[Fiber]])</f>
        <v>255.15971428812028</v>
      </c>
      <c r="BG203" s="2">
        <f>Table83[[#This Row],[Weight]]-Table7[[#This Row],[Weight v Fiber]]</f>
        <v>1.0402857118797044</v>
      </c>
      <c r="BH203" s="2">
        <f>Table7[[#This Row],[Wfib Res]]^2</f>
        <v>1.0821943623410635</v>
      </c>
      <c r="BI203">
        <f>Regression!$V$10+(Regression!$V$9*Table83[[#This Row],[Sugar]])</f>
        <v>252.41343698630845</v>
      </c>
      <c r="BJ203" s="2">
        <f>Table83[[#This Row],[Weight]]-Table7[[#This Row],[Weight v Sugar]]</f>
        <v>3.7865630136915343</v>
      </c>
      <c r="BK203" s="2">
        <f>Table7[[#This Row],[Wsugar Res]]^2</f>
        <v>14.338059456656714</v>
      </c>
      <c r="BL203">
        <f>Regression!$W$10+(Regression!$W$9*Table83[[#This Row],[Servings]])</f>
        <v>255.66681143862857</v>
      </c>
      <c r="BM203" s="2">
        <f>Table83[[#This Row],[Weight]]-Table7[[#This Row],[Weight v Servings]]</f>
        <v>0.53318856137141779</v>
      </c>
      <c r="BN203" s="2">
        <f>Table7[[#This Row],[Wserv Res]]^2</f>
        <v>0.28429004197732216</v>
      </c>
      <c r="BO203">
        <f>Regression!$X$10+(Regression!$X$9*Table83[[#This Row],[Water]])</f>
        <v>255.06345001025522</v>
      </c>
      <c r="BP203" s="2">
        <f>Table83[[#This Row],[Weight]]-Table7[[#This Row],[Weight v Water]]</f>
        <v>1.1365499897447648</v>
      </c>
      <c r="BQ203" s="2">
        <f>Table7[[#This Row],[Wwater Res]]^2</f>
        <v>1.291745879188825</v>
      </c>
      <c r="BR203">
        <f>Regression!$Y$10+(Regression!$Y$9*Table83[[#This Row],[Fat Calories]])</f>
        <v>254.68600702157835</v>
      </c>
      <c r="BS203" s="2">
        <f>Table83[[#This Row],[Weight]]-Table7[[#This Row],[Weight v Fat Calories]]</f>
        <v>1.5139929784216406</v>
      </c>
      <c r="BT203" s="2">
        <f>Table7[[#This Row],[WFC Res]]^2</f>
        <v>2.2921747387100302</v>
      </c>
      <c r="BU203">
        <f>Regression!$B$29+(Regression!$B$28*Table83[[#This Row],[Weight]])</f>
        <v>44.601378617662625</v>
      </c>
      <c r="BV203" s="2">
        <f>Table83[[#This Row],[Waist]]-Table7[[#This Row],[Waist v Weight]]</f>
        <v>0.39862138233737454</v>
      </c>
      <c r="BW203" s="2">
        <f>Table7[[#This Row],[WaistW Res]]^2</f>
        <v>0.15889900645655933</v>
      </c>
      <c r="BX203">
        <f>Regression!$C$29+(Regression!$C$28*Table83[[#This Row],[Neck]])</f>
        <v>44.175585585585594</v>
      </c>
      <c r="BY203" s="2">
        <f>Table83[[#This Row],[Waist]]-Table7[[#This Row],[Waist v Neck]]</f>
        <v>0.82441441441440588</v>
      </c>
      <c r="BZ203" s="2">
        <f>Table7[[#This Row],[WaistN Res]]^2</f>
        <v>0.67965912669424777</v>
      </c>
      <c r="CA203">
        <f>Regression!$D$29+(Regression!$D$28*Table83[[#This Row],[Morning Body Temp]])</f>
        <v>44.400157491229571</v>
      </c>
      <c r="CB203" s="2">
        <f>Table83[[#This Row],[Waist]]-Table7[[#This Row],[Waist v Morning Temp]]</f>
        <v>0.59984250877042911</v>
      </c>
      <c r="CC203" s="2">
        <f>Table7[[#This Row],[WaistMT Res]]^2</f>
        <v>0.35981103532800229</v>
      </c>
      <c r="CD203">
        <f>Regression!$E$29+(Regression!$E$28*Table83[[#This Row],[Morning Systolic Pressure]])</f>
        <v>44.354571080212359</v>
      </c>
      <c r="CE203" s="2">
        <f>Table83[[#This Row],[Waist]]-Table7[[#This Row],[Waist v Morning Sys]]</f>
        <v>0.64542891978764061</v>
      </c>
      <c r="CF203" s="2">
        <f>Table7[[#This Row],[WaistMS Res]]^2</f>
        <v>0.41657849049824064</v>
      </c>
      <c r="CG203">
        <f>Regression!$F$29+(Regression!$F$28*Table83[[#This Row],[Morning Diastolic Pressure]])</f>
        <v>44.57680032285905</v>
      </c>
      <c r="CH203" s="2">
        <f>Table83[[#This Row],[Waist]]-Table7[[#This Row],[Waist v Morning Dia]]</f>
        <v>0.42319967714094986</v>
      </c>
      <c r="CI203" s="2">
        <f>Table7[[#This Row],[WaistMD Res]]^2</f>
        <v>0.17909796673220421</v>
      </c>
      <c r="CJ203">
        <f>Regression!$G$29+(Regression!$G$28*Table83[[#This Row],[Morning Pulse]])</f>
        <v>44.454576200079806</v>
      </c>
      <c r="CK203" s="2">
        <f>Table83[[#This Row],[Waist]]-Table7[[#This Row],[Waist v Morning Pulse]]</f>
        <v>0.54542379992019363</v>
      </c>
      <c r="CL203" s="2">
        <f>Table7[[#This Row],[WaistMP Res]]^2</f>
        <v>0.29748712151938339</v>
      </c>
      <c r="CM203">
        <f>Regression!$H$29+(Regression!$H$28*Table83[[#This Row],[Night Body Temp]])</f>
        <v>44.448953954659181</v>
      </c>
      <c r="CN203" s="2">
        <f>Table83[[#This Row],[Waist]]-Table7[[#This Row],[Waist v Night Temp]]</f>
        <v>0.55104604534081858</v>
      </c>
      <c r="CO203" s="2">
        <f>Table7[[#This Row],[WaistNT Res]]^2</f>
        <v>0.30365174408575546</v>
      </c>
      <c r="CP203">
        <f>Regression!$I$29+(Regression!$I$28*Table83[[#This Row],[Night Systolic Pressure]])</f>
        <v>44.471039429630828</v>
      </c>
      <c r="CQ203" s="2">
        <f>Table83[[#This Row],[Waist]]-Table7[[#This Row],[Waist v  Night Sys]]</f>
        <v>0.52896057036917199</v>
      </c>
      <c r="CR203" s="2">
        <f>Table7[[#This Row],[WaistNS Res]]^2</f>
        <v>0.27979928500527973</v>
      </c>
      <c r="CS203">
        <f>Regression!$J$29+(Regression!$J$28*Table83[[#This Row],[Night Diastolic Pressure]])</f>
        <v>44.478159956361175</v>
      </c>
      <c r="CT203" s="2">
        <f>Table83[[#This Row],[Waist]]-Table7[[#This Row],[Waist v Night Dia]]</f>
        <v>0.52184004363882508</v>
      </c>
      <c r="CU203" s="2">
        <f>Table7[[#This Row],[WaistND Res]]^2</f>
        <v>0.27231703114497086</v>
      </c>
      <c r="CV203">
        <f>Regression!$K$29+(Regression!$K$28*Table83[[#This Row],[Night Pulse]])</f>
        <v>44.465421865187196</v>
      </c>
      <c r="CW203" s="2">
        <f>Table83[[#This Row],[Waist]]-Table7[[#This Row],[Waist v Night Pulse]]</f>
        <v>0.53457813481280425</v>
      </c>
      <c r="CX203" s="2">
        <f>Table7[[#This Row],[WaistNP Res]]^2</f>
        <v>0.28577378221993671</v>
      </c>
      <c r="CY203">
        <f>Regression!$L$29+(Regression!$L$28*Table83[[#This Row],[Sleep]])</f>
        <v>44.601188756845069</v>
      </c>
      <c r="CZ203" s="2">
        <f>Table83[[#This Row],[Waist]]-Table7[[#This Row],[Waist v  Sleep]]</f>
        <v>0.39881124315493111</v>
      </c>
      <c r="DA203" s="2">
        <f>Table7[[#This Row],[WaistS Res]]^2</f>
        <v>0.15905040766678158</v>
      </c>
      <c r="DB203">
        <f>Regression!$M$29+(Regression!$M$28*Table83[[#This Row],[BMI]])</f>
        <v>44.601378617662157</v>
      </c>
      <c r="DC203" s="2">
        <f>Table83[[#This Row],[Waist]]-Table7[[#This Row],[Waist v BMI]]</f>
        <v>0.3986213823378435</v>
      </c>
      <c r="DD203" s="2">
        <f>Table7[[#This Row],[WaistBMI Res]]^2</f>
        <v>0.15889900645693322</v>
      </c>
      <c r="DE203">
        <f>Regression!$N$29+(Regression!$N$28*Table83[[#This Row],[CBF]])</f>
        <v>45.203183363709613</v>
      </c>
      <c r="DF203" s="2">
        <f>Table83[[#This Row],[Waist]]-Table7[[#This Row],[Waist v  CBF]]</f>
        <v>-0.20318336370961276</v>
      </c>
      <c r="DG203" s="2">
        <f>Table7[[#This Row],[WaistCBF Res]]^2</f>
        <v>4.1283479288352784E-2</v>
      </c>
      <c r="DH203">
        <f>Regression!$O$29+(Regression!$O$28*Table83[[#This Row],[Gym]])</f>
        <v>44.347222222222221</v>
      </c>
      <c r="DI203" s="2">
        <f>Table83[[#This Row],[Waist]]-Table7[[#This Row],[Waist v  Gym]]</f>
        <v>0.65277777777777857</v>
      </c>
      <c r="DJ203" s="2">
        <f>Table7[[#This Row],[WaistGYM Res]]^2</f>
        <v>0.42611882716049487</v>
      </c>
      <c r="DK203">
        <f>Regression!$P$29+(Regression!$P$28*Table83[[#This Row],[Cardio]])</f>
        <v>44.680851063829778</v>
      </c>
      <c r="DL203" s="2">
        <f>Table83[[#This Row],[Waist]]-Table7[[#This Row],[Waist v Cardio]]</f>
        <v>0.31914893617022244</v>
      </c>
      <c r="DM203" s="2">
        <f>Table7[[#This Row],[WaistC Res]]^2</f>
        <v>0.10185604345858472</v>
      </c>
      <c r="DN203">
        <f>Regression!$Q$29+(Regression!$Q$28*Table83[[#This Row],[Calories]])</f>
        <v>44.111507445790522</v>
      </c>
      <c r="DO203" s="2">
        <f>Table83[[#This Row],[Waist]]-Table7[[#This Row],[Waist v Calories]]</f>
        <v>0.8884925542094777</v>
      </c>
      <c r="DP203" s="2">
        <f>Table7[[#This Row],[WaistCal Res]]^2</f>
        <v>0.78941901888568167</v>
      </c>
      <c r="DQ203">
        <f>Regression!$R$29+(Regression!$R$28*Table83[[#This Row],[Carbs]])</f>
        <v>44.184641131570736</v>
      </c>
      <c r="DR203" s="2">
        <f>Table83[[#This Row],[Waist]]-Table7[[#This Row],[Waist v Carbs]]</f>
        <v>0.81535886842926431</v>
      </c>
      <c r="DS203" s="2">
        <f>Table7[[#This Row],[WaistCarb Res]]^2</f>
        <v>0.66481008432625033</v>
      </c>
      <c r="DT203">
        <f>Regression!$S$29+(Regression!$S$28*Table83[[#This Row],[Fat ]])</f>
        <v>44.3317063068002</v>
      </c>
      <c r="DU203" s="2">
        <f>Table83[[#This Row],[Waist]]-Table7[[#This Row],[Waist v Fat]]</f>
        <v>0.66829369319980003</v>
      </c>
      <c r="DV203" s="2">
        <f>Table7[[#This Row],[WaistF Res]]^2</f>
        <v>0.44661646037062847</v>
      </c>
      <c r="DW203">
        <f>Regression!$T$29+(Regression!$T$28*Table83[[#This Row],[Protein]])</f>
        <v>44.225175589699496</v>
      </c>
      <c r="DX203" s="2">
        <f>Table83[[#This Row],[Waist]]-Table7[[#This Row],[Waist v Protein]]</f>
        <v>0.77482441030050353</v>
      </c>
      <c r="DY203" s="2">
        <f>Table7[[#This Row],[WaistP Res]]^2</f>
        <v>0.60035286679752309</v>
      </c>
      <c r="DZ203">
        <f>Regression!$U$29+(Regression!$U$28*Table83[[#This Row],[Fiber]])</f>
        <v>44.470776202645176</v>
      </c>
      <c r="EA203" s="2">
        <f>Table83[[#This Row],[Waist]]-Table7[[#This Row],[Waist v Fiber]]</f>
        <v>0.52922379735482394</v>
      </c>
      <c r="EB203" s="2">
        <f>Table7[[#This Row],[WaistFib Res]]^2</f>
        <v>0.28007782768665979</v>
      </c>
      <c r="EC203">
        <f>Regression!$V$29+(Regression!$V$28*Table83[[#This Row],[Sugar]])</f>
        <v>43.968226209582596</v>
      </c>
      <c r="ED203" s="2">
        <f>Table83[[#This Row],[Waist]]-Table7[[#This Row],[Waist v Sugar]]</f>
        <v>1.0317737904174038</v>
      </c>
      <c r="EE203" s="2">
        <f>Table7[[#This Row],[WaistSugar Res]]^2</f>
        <v>1.0645571545922967</v>
      </c>
      <c r="EF203">
        <f>Regression!$W$29+(Regression!$W$28*Table83[[#This Row],[Servings]])</f>
        <v>44.537730303892303</v>
      </c>
      <c r="EG203" s="2">
        <f>Table83[[#This Row],[Waist]]-Table7[[#This Row],[Waist v Servings]]</f>
        <v>0.46226969610769686</v>
      </c>
      <c r="EH203" s="2">
        <f>Table7[[#This Row],[WaistServ Res]]^2</f>
        <v>0.21369327193950241</v>
      </c>
      <c r="EI203">
        <f>Regression!$X$29+(Regression!$X$28*Table83[[#This Row],[Water]])</f>
        <v>44.386198474840633</v>
      </c>
      <c r="EJ203" s="2">
        <f>Table83[[#This Row],[Waist]]-Table7[[#This Row],[Waist v Water]]</f>
        <v>0.61380152515936715</v>
      </c>
      <c r="EK203" s="2">
        <f>Table7[[#This Row],[WaistWat Res]]^2</f>
        <v>0.37675231228796524</v>
      </c>
      <c r="EL203">
        <f>Regression!$Y$29+(Regression!$Y$28*Table83[[#This Row],[Fat Calories]])</f>
        <v>44.323057260126241</v>
      </c>
      <c r="EM203" s="2">
        <f>Table83[[#This Row],[Waist]]-Table7[[#This Row],[Waist v Fat Calories]]</f>
        <v>0.67694273987375908</v>
      </c>
      <c r="EN203" s="2">
        <f>Table7[[#This Row],[WaistFatCal Res]]^2</f>
        <v>0.45825147306779185</v>
      </c>
    </row>
    <row r="204" spans="1:144" x14ac:dyDescent="0.25">
      <c r="A204">
        <f>Regression!$B$10+(Regression!$B$9*Table83[[#This Row],[Waist]])</f>
        <v>258.23421455025004</v>
      </c>
      <c r="B204" s="2">
        <f>Table83[[#This Row],[Weight]]-Table7[[#This Row],[Weight v Waist]]</f>
        <v>1.7657854497499557</v>
      </c>
      <c r="C204" s="2">
        <f>Table7[[#This Row],[Weight v Waist Res]]^2</f>
        <v>3.1179982545486533</v>
      </c>
      <c r="D204">
        <f>Regression!$C$10+(Regression!$C$9*Table83[[#This Row],[Neck]])</f>
        <v>253.29286486487842</v>
      </c>
      <c r="E204" s="2">
        <f>Table83[[#This Row],[Weight]]-Table7[[#This Row],[Weight v Neck]]</f>
        <v>6.7071351351215753</v>
      </c>
      <c r="F204" s="2">
        <f>Table7[[#This Row],[WN Res]]^2</f>
        <v>44.985661720782311</v>
      </c>
      <c r="G204">
        <f>Regression!$D$10+(Regression!$D$9*Table83[[#This Row],[Morning Body Temp]])</f>
        <v>256.04514620819748</v>
      </c>
      <c r="H204" s="2">
        <f>Table83[[#This Row],[Weight]]-Table7[[#This Row],[Weight v Morning Temp]]</f>
        <v>3.9548537918025204</v>
      </c>
      <c r="I204" s="2">
        <f>Table7[[#This Row],[WMT Res]]^2</f>
        <v>15.640868514534773</v>
      </c>
      <c r="J204">
        <f>Regression!$E$10+(Regression!$E$9*Table83[[#This Row],[Morning Systolic Pressure]])</f>
        <v>255.00933222102856</v>
      </c>
      <c r="K204" s="2">
        <f>Table83[[#This Row],[Weight]]-Table7[[#This Row],[Weight v Morning Sys]]</f>
        <v>4.9906677789714422</v>
      </c>
      <c r="L204" s="2">
        <f>Table7[[#This Row],[WMS Res]]^2</f>
        <v>24.906764880063747</v>
      </c>
      <c r="M204">
        <f>Regression!$F$10+(Regression!$F$9*Table83[[#This Row],[Morning Diastolic Pressure]])</f>
        <v>255.20338414629154</v>
      </c>
      <c r="N204" s="2">
        <f>Table83[[#This Row],[Weight]]-Table7[[#This Row],[Weight v Morning Dia]]</f>
        <v>4.7966158537084596</v>
      </c>
      <c r="O204" s="2">
        <f>Table7[[#This Row],[WMD Res]]^2</f>
        <v>23.007523648047336</v>
      </c>
      <c r="P204">
        <f>Regression!$G$10+(Regression!$G$9*Table83[[#This Row],[Morning Pulse]])</f>
        <v>255.10085052409812</v>
      </c>
      <c r="Q204" s="2">
        <f>Table83[[#This Row],[Weight]]-Table7[[#This Row],[Weight v Morning Pulse]]</f>
        <v>4.8991494759018792</v>
      </c>
      <c r="R204" s="2">
        <f>Table7[[#This Row],[WMP Res]]^2</f>
        <v>24.001665587229656</v>
      </c>
      <c r="S204">
        <f>Regression!$H$10+(Regression!$H$9*Table83[[#This Row],[Night Body Temp]])</f>
        <v>255.67305924137855</v>
      </c>
      <c r="T204" s="2">
        <f>Table83[[#This Row],[Weight]]-Table7[[#This Row],[Weight v Night Temp]]</f>
        <v>4.326940758621447</v>
      </c>
      <c r="U204" s="2">
        <f>Table7[[#This Row],[WNT Res]]^2</f>
        <v>18.722416328619545</v>
      </c>
      <c r="V204">
        <f>Regression!$I$10+(Regression!$I$9*Table83[[#This Row],[Night Systolic Pressure]])</f>
        <v>254.72535722302487</v>
      </c>
      <c r="W204" s="2">
        <f>Table83[[#This Row],[Weight]]-Table7[[#This Row],[Weight v Night Sys]]</f>
        <v>5.2746427769751278</v>
      </c>
      <c r="X204" s="2">
        <f>Table7[[#This Row],[WNS Res]]^2</f>
        <v>27.821856424695888</v>
      </c>
      <c r="Y204">
        <f>Regression!$J$10+(Regression!$J$9*Table83[[#This Row],[Night Diastolic Pressure]])</f>
        <v>254.88848703216559</v>
      </c>
      <c r="Z204" s="2">
        <f>Table83[[#This Row],[Weight]]-Table7[[#This Row],[Weight v Night Dia]]</f>
        <v>5.1115129678344147</v>
      </c>
      <c r="AA204" s="2">
        <f>Table7[[#This Row],[WND Res]]^2</f>
        <v>26.127564820339387</v>
      </c>
      <c r="AB204">
        <f>Regression!$K$10+(Regression!$K$9*Table83[[#This Row],[Night Pulse]])</f>
        <v>255.29443184616159</v>
      </c>
      <c r="AC204" s="2">
        <f>Table83[[#This Row],[Weight]]-Table7[[#This Row],[Weight v Night Pulse]]</f>
        <v>4.7055681538384135</v>
      </c>
      <c r="AD204" s="2">
        <f>Table7[[#This Row],[WNP Res ]]^2</f>
        <v>22.142371650418255</v>
      </c>
      <c r="AE204">
        <f>Regression!$L$10+(Regression!$L$9*Table83[[#This Row],[Sleep]])</f>
        <v>254.97929263569441</v>
      </c>
      <c r="AF204" s="2">
        <f>Table83[[#This Row],[Weight]]-Table7[[#This Row],[Weight v Sleep]]</f>
        <v>5.0207073643055935</v>
      </c>
      <c r="AG204" s="2">
        <f>Table7[[#This Row],[WS Res]]^2</f>
        <v>25.207502437992421</v>
      </c>
      <c r="AH204">
        <f>Regression!$M$10+(Regression!$M$9*Table83[[#This Row],[BMI]])</f>
        <v>259.99999999998909</v>
      </c>
      <c r="AI204" s="2">
        <f>Table83[[#This Row],[Weight]]-Table7[[#This Row],[Weight v BMI]]</f>
        <v>1.0913936421275139E-11</v>
      </c>
      <c r="AJ204" s="2">
        <f>Table7[[#This Row],[WBMI Res]]^2</f>
        <v>1.1911400820763599E-22</v>
      </c>
      <c r="AK204">
        <f>Regression!$N$10+(Regression!$N$9*Table83[[#This Row],[CBF]])</f>
        <v>259.27809165285294</v>
      </c>
      <c r="AL204" s="2">
        <f>Table83[[#This Row],[Weight]]-Table7[[#This Row],[Weight v CBF]]</f>
        <v>0.72190834714706398</v>
      </c>
      <c r="AM204" s="2">
        <f>Table7[[#This Row],[WCBF Res]]^2</f>
        <v>0.52115166168060578</v>
      </c>
      <c r="AN204">
        <f>Regression!$O$10+(Regression!$O$9*Table83[[#This Row],[Gym]])</f>
        <v>254.72962962962998</v>
      </c>
      <c r="AO204" s="2">
        <f>Table83[[#This Row],[Weight]]-Table7[[#This Row],[Weight v Gym]]</f>
        <v>5.2703703703700171</v>
      </c>
      <c r="AP204" s="2">
        <f>Table7[[#This Row],[WG Res]]^2</f>
        <v>27.776803840874191</v>
      </c>
      <c r="AQ204">
        <f>Regression!$P$10+(Regression!$P$9*Table83[[#This Row],[Cardio]])</f>
        <v>256.41063829787231</v>
      </c>
      <c r="AR204" s="2">
        <f>Table83[[#This Row],[Weight]]-Table7[[#This Row],[Weight v Cardio]]</f>
        <v>3.5893617021276896</v>
      </c>
      <c r="AS204" s="2">
        <f>Table7[[#This Row],[WC Res]]^2</f>
        <v>12.883517428700985</v>
      </c>
      <c r="AT204">
        <f>Regression!$Q$10+(Regression!$Q$9*Table83[[#This Row],[Calories]])</f>
        <v>254.287872949959</v>
      </c>
      <c r="AU204" s="2">
        <f>Table83[[#This Row],[Weight]]-Table7[[#This Row],[Weight v Calories]]</f>
        <v>5.7121270500410048</v>
      </c>
      <c r="AV204" s="2">
        <f>Table7[[#This Row],[WCAL Res]]^2</f>
        <v>32.628395435810155</v>
      </c>
      <c r="AW204">
        <f>Regression!$R$10+(Regression!$R$9*Table83[[#This Row],[Carbs]])</f>
        <v>254.33179884689457</v>
      </c>
      <c r="AX204" s="2">
        <f>Table83[[#This Row],[Weight]]-Table7[[#This Row],[Weight v Carbs]]</f>
        <v>5.6682011531054286</v>
      </c>
      <c r="AY204" s="2">
        <f>Table7[[#This Row],[Wcarb Res]]^2</f>
        <v>32.128504312065708</v>
      </c>
      <c r="AZ204">
        <f>Regression!$S$10+(Regression!$S$9*Table83[[#This Row],[Fat ]])</f>
        <v>254.54461990985425</v>
      </c>
      <c r="BA204" s="2">
        <f>Table83[[#This Row],[Weight]]-Table7[[#This Row],[Weight v Fat]]</f>
        <v>5.4553800901457521</v>
      </c>
      <c r="BB204" s="2">
        <f>Table7[[#This Row],[WF Res]]^2</f>
        <v>29.761171927958674</v>
      </c>
      <c r="BC204">
        <f>Regression!$T$10+(Regression!$T$9*Table83[[#This Row],[Protein]])</f>
        <v>254.38004271360623</v>
      </c>
      <c r="BD204" s="2">
        <f>Table83[[#This Row],[Weight]]-Table7[[#This Row],[Weight v Protein]]</f>
        <v>5.6199572863937703</v>
      </c>
      <c r="BE204" s="2">
        <f>Table7[[#This Row],[WP Res]]^2</f>
        <v>31.583919900890432</v>
      </c>
      <c r="BF204">
        <f>Regression!$U$10+(Regression!$U$9*Table83[[#This Row],[Fiber]])</f>
        <v>255.08447025527215</v>
      </c>
      <c r="BG204" s="2">
        <f>Table83[[#This Row],[Weight]]-Table7[[#This Row],[Weight v Fiber]]</f>
        <v>4.9155297447278485</v>
      </c>
      <c r="BH204" s="2">
        <f>Table7[[#This Row],[Wfib Res]]^2</f>
        <v>24.162432671304227</v>
      </c>
      <c r="BI204">
        <f>Regression!$V$10+(Regression!$V$9*Table83[[#This Row],[Sugar]])</f>
        <v>254.53786022376576</v>
      </c>
      <c r="BJ204" s="2">
        <f>Table83[[#This Row],[Weight]]-Table7[[#This Row],[Weight v Sugar]]</f>
        <v>5.4621397762342383</v>
      </c>
      <c r="BK204" s="2">
        <f>Table7[[#This Row],[Wsugar Res]]^2</f>
        <v>29.834970935120214</v>
      </c>
      <c r="BL204">
        <f>Regression!$W$10+(Regression!$W$9*Table83[[#This Row],[Servings]])</f>
        <v>254.40539024754392</v>
      </c>
      <c r="BM204" s="2">
        <f>Table83[[#This Row],[Weight]]-Table7[[#This Row],[Weight v Servings]]</f>
        <v>5.5946097524560798</v>
      </c>
      <c r="BN204" s="2">
        <f>Table7[[#This Row],[Wserv Res]]^2</f>
        <v>31.299658282276678</v>
      </c>
      <c r="BO204">
        <f>Regression!$X$10+(Regression!$X$9*Table83[[#This Row],[Water]])</f>
        <v>255.1490819770581</v>
      </c>
      <c r="BP204" s="2">
        <f>Table83[[#This Row],[Weight]]-Table7[[#This Row],[Weight v Water]]</f>
        <v>4.8509180229418973</v>
      </c>
      <c r="BQ204" s="2">
        <f>Table7[[#This Row],[Wwater Res]]^2</f>
        <v>23.531405665302525</v>
      </c>
      <c r="BR204">
        <f>Regression!$Y$10+(Regression!$Y$9*Table83[[#This Row],[Fat Calories]])</f>
        <v>254.50310764647867</v>
      </c>
      <c r="BS204" s="2">
        <f>Table83[[#This Row],[Weight]]-Table7[[#This Row],[Weight v Fat Calories]]</f>
        <v>5.4968923535213321</v>
      </c>
      <c r="BT204" s="2">
        <f>Table7[[#This Row],[WFC Res]]^2</f>
        <v>30.215825546201291</v>
      </c>
      <c r="BU204">
        <f>Regression!$B$29+(Regression!$B$28*Table83[[#This Row],[Weight]])</f>
        <v>45.119176157828555</v>
      </c>
      <c r="BV204" s="2">
        <f>Table83[[#This Row],[Waist]]-Table7[[#This Row],[Waist v Weight]]</f>
        <v>-0.11917615782855506</v>
      </c>
      <c r="BW204" s="2">
        <f>Table7[[#This Row],[WaistW Res]]^2</f>
        <v>1.4202956594776666E-2</v>
      </c>
      <c r="BX204">
        <f>Regression!$C$29+(Regression!$C$28*Table83[[#This Row],[Neck]])</f>
        <v>44.175585585585594</v>
      </c>
      <c r="BY204" s="2">
        <f>Table83[[#This Row],[Waist]]-Table7[[#This Row],[Waist v Neck]]</f>
        <v>0.82441441441440588</v>
      </c>
      <c r="BZ204" s="2">
        <f>Table7[[#This Row],[WaistN Res]]^2</f>
        <v>0.67965912669424777</v>
      </c>
      <c r="CA204">
        <f>Regression!$D$29+(Regression!$D$28*Table83[[#This Row],[Morning Body Temp]])</f>
        <v>44.706506502043617</v>
      </c>
      <c r="CB204" s="2">
        <f>Table83[[#This Row],[Waist]]-Table7[[#This Row],[Waist v Morning Temp]]</f>
        <v>0.29349349795638346</v>
      </c>
      <c r="CC204" s="2">
        <f>Table7[[#This Row],[WaistMT Res]]^2</f>
        <v>8.6138433342673668E-2</v>
      </c>
      <c r="CD204">
        <f>Regression!$E$29+(Regression!$E$28*Table83[[#This Row],[Morning Systolic Pressure]])</f>
        <v>44.428703916909349</v>
      </c>
      <c r="CE204" s="2">
        <f>Table83[[#This Row],[Waist]]-Table7[[#This Row],[Waist v Morning Sys]]</f>
        <v>0.57129608309065105</v>
      </c>
      <c r="CF204" s="2">
        <f>Table7[[#This Row],[WaistMS Res]]^2</f>
        <v>0.32637921455472008</v>
      </c>
      <c r="CG204">
        <f>Regression!$F$29+(Regression!$F$28*Table83[[#This Row],[Morning Diastolic Pressure]])</f>
        <v>44.458452288813113</v>
      </c>
      <c r="CH204" s="2">
        <f>Table83[[#This Row],[Waist]]-Table7[[#This Row],[Waist v Morning Dia]]</f>
        <v>0.54154771118688672</v>
      </c>
      <c r="CI204" s="2">
        <f>Table7[[#This Row],[WaistMD Res]]^2</f>
        <v>0.29327392349175568</v>
      </c>
      <c r="CJ204">
        <f>Regression!$G$29+(Regression!$G$28*Table83[[#This Row],[Morning Pulse]])</f>
        <v>44.447020676917283</v>
      </c>
      <c r="CK204" s="2">
        <f>Table83[[#This Row],[Waist]]-Table7[[#This Row],[Waist v Morning Pulse]]</f>
        <v>0.55297932308271669</v>
      </c>
      <c r="CL204" s="2">
        <f>Table7[[#This Row],[WaistMP Res]]^2</f>
        <v>0.30578613175701957</v>
      </c>
      <c r="CM204">
        <f>Regression!$H$29+(Regression!$H$28*Table83[[#This Row],[Night Body Temp]])</f>
        <v>44.497535497488492</v>
      </c>
      <c r="CN204" s="2">
        <f>Table83[[#This Row],[Waist]]-Table7[[#This Row],[Waist v Night Temp]]</f>
        <v>0.50246450251150776</v>
      </c>
      <c r="CO204" s="2">
        <f>Table7[[#This Row],[WaistNT Res]]^2</f>
        <v>0.25247057628413699</v>
      </c>
      <c r="CP204">
        <f>Regression!$I$29+(Regression!$I$28*Table83[[#This Row],[Night Systolic Pressure]])</f>
        <v>44.398338858002759</v>
      </c>
      <c r="CQ204" s="2">
        <f>Table83[[#This Row],[Waist]]-Table7[[#This Row],[Waist v  Night Sys]]</f>
        <v>0.60166114199724063</v>
      </c>
      <c r="CR204" s="2">
        <f>Table7[[#This Row],[WaistNS Res]]^2</f>
        <v>0.36199612978942375</v>
      </c>
      <c r="CS204">
        <f>Regression!$J$29+(Regression!$J$28*Table83[[#This Row],[Night Diastolic Pressure]])</f>
        <v>44.358684339909082</v>
      </c>
      <c r="CT204" s="2">
        <f>Table83[[#This Row],[Waist]]-Table7[[#This Row],[Waist v Night Dia]]</f>
        <v>0.64131566009091756</v>
      </c>
      <c r="CU204" s="2">
        <f>Table7[[#This Row],[WaistND Res]]^2</f>
        <v>0.41128577587784931</v>
      </c>
      <c r="CV204">
        <f>Regression!$K$29+(Regression!$K$28*Table83[[#This Row],[Night Pulse]])</f>
        <v>44.43685440207755</v>
      </c>
      <c r="CW204" s="2">
        <f>Table83[[#This Row],[Waist]]-Table7[[#This Row],[Waist v Night Pulse]]</f>
        <v>0.56314559792244978</v>
      </c>
      <c r="CX204" s="2">
        <f>Table7[[#This Row],[WaistNP Res]]^2</f>
        <v>0.31713296445943345</v>
      </c>
      <c r="CY204">
        <f>Regression!$L$29+(Regression!$L$28*Table83[[#This Row],[Sleep]])</f>
        <v>44.432842368860271</v>
      </c>
      <c r="CZ204" s="2">
        <f>Table83[[#This Row],[Waist]]-Table7[[#This Row],[Waist v  Sleep]]</f>
        <v>0.56715763113972884</v>
      </c>
      <c r="DA204" s="2">
        <f>Table7[[#This Row],[WaistS Res]]^2</f>
        <v>0.32166777856002871</v>
      </c>
      <c r="DB204">
        <f>Regression!$M$29+(Regression!$M$28*Table83[[#This Row],[BMI]])</f>
        <v>45.119176157826445</v>
      </c>
      <c r="DC204" s="2">
        <f>Table83[[#This Row],[Waist]]-Table7[[#This Row],[Waist v BMI]]</f>
        <v>-0.11917615782644475</v>
      </c>
      <c r="DD204" s="2">
        <f>Table7[[#This Row],[WaistBMI Res]]^2</f>
        <v>1.4202956594273668E-2</v>
      </c>
      <c r="DE204">
        <f>Regression!$N$29+(Regression!$N$28*Table83[[#This Row],[CBF]])</f>
        <v>45.203183363709613</v>
      </c>
      <c r="DF204" s="2">
        <f>Table83[[#This Row],[Waist]]-Table7[[#This Row],[Waist v  CBF]]</f>
        <v>-0.20318336370961276</v>
      </c>
      <c r="DG204" s="2">
        <f>Table7[[#This Row],[WaistCBF Res]]^2</f>
        <v>4.1283479288352784E-2</v>
      </c>
      <c r="DH204">
        <f>Regression!$O$29+(Regression!$O$28*Table83[[#This Row],[Gym]])</f>
        <v>44.347222222222221</v>
      </c>
      <c r="DI204" s="2">
        <f>Table83[[#This Row],[Waist]]-Table7[[#This Row],[Waist v  Gym]]</f>
        <v>0.65277777777777857</v>
      </c>
      <c r="DJ204" s="2">
        <f>Table7[[#This Row],[WaistGYM Res]]^2</f>
        <v>0.42611882716049487</v>
      </c>
      <c r="DK204">
        <f>Regression!$P$29+(Regression!$P$28*Table83[[#This Row],[Cardio]])</f>
        <v>44.680851063829778</v>
      </c>
      <c r="DL204" s="2">
        <f>Table83[[#This Row],[Waist]]-Table7[[#This Row],[Waist v Cardio]]</f>
        <v>0.31914893617022244</v>
      </c>
      <c r="DM204" s="2">
        <f>Table7[[#This Row],[WaistC Res]]^2</f>
        <v>0.10185604345858472</v>
      </c>
      <c r="DN204">
        <f>Regression!$Q$29+(Regression!$Q$28*Table83[[#This Row],[Calories]])</f>
        <v>44.267692778767255</v>
      </c>
      <c r="DO204" s="2">
        <f>Table83[[#This Row],[Waist]]-Table7[[#This Row],[Waist v Calories]]</f>
        <v>0.73230722123274461</v>
      </c>
      <c r="DP204" s="2">
        <f>Table7[[#This Row],[WaistCal Res]]^2</f>
        <v>0.53627386626962392</v>
      </c>
      <c r="DQ204">
        <f>Regression!$R$29+(Regression!$R$28*Table83[[#This Row],[Carbs]])</f>
        <v>44.290472926949498</v>
      </c>
      <c r="DR204" s="2">
        <f>Table83[[#This Row],[Waist]]-Table7[[#This Row],[Waist v Carbs]]</f>
        <v>0.70952707305050211</v>
      </c>
      <c r="DS204" s="2">
        <f>Table7[[#This Row],[WaistCarb Res]]^2</f>
        <v>0.50342866739161252</v>
      </c>
      <c r="DT204">
        <f>Regression!$S$29+(Regression!$S$28*Table83[[#This Row],[Fat ]])</f>
        <v>44.279173174627523</v>
      </c>
      <c r="DU204" s="2">
        <f>Table83[[#This Row],[Waist]]-Table7[[#This Row],[Waist v Fat]]</f>
        <v>0.72082682537247678</v>
      </c>
      <c r="DV204" s="2">
        <f>Table7[[#This Row],[WaistF Res]]^2</f>
        <v>0.51959131217656318</v>
      </c>
      <c r="DW204">
        <f>Regression!$T$29+(Regression!$T$28*Table83[[#This Row],[Protein]])</f>
        <v>44.319007239554637</v>
      </c>
      <c r="DX204" s="2">
        <f>Table83[[#This Row],[Waist]]-Table7[[#This Row],[Waist v Protein]]</f>
        <v>0.68099276044536339</v>
      </c>
      <c r="DY204" s="2">
        <f>Table7[[#This Row],[WaistP Res]]^2</f>
        <v>0.46375113977899607</v>
      </c>
      <c r="DZ204">
        <f>Regression!$U$29+(Regression!$U$28*Table83[[#This Row],[Fiber]])</f>
        <v>44.441742543712124</v>
      </c>
      <c r="EA204" s="2">
        <f>Table83[[#This Row],[Waist]]-Table7[[#This Row],[Waist v Fiber]]</f>
        <v>0.55825745628787615</v>
      </c>
      <c r="EB204" s="2">
        <f>Table7[[#This Row],[WaistFib Res]]^2</f>
        <v>0.31165138750100996</v>
      </c>
      <c r="EC204">
        <f>Regression!$V$29+(Regression!$V$28*Table83[[#This Row],[Sugar]])</f>
        <v>44.349855150442245</v>
      </c>
      <c r="ED204" s="2">
        <f>Table83[[#This Row],[Waist]]-Table7[[#This Row],[Waist v Sugar]]</f>
        <v>0.65014484955775487</v>
      </c>
      <c r="EE204" s="2">
        <f>Table7[[#This Row],[WaistSugar Res]]^2</f>
        <v>0.42268832540647572</v>
      </c>
      <c r="EF204">
        <f>Regression!$W$29+(Regression!$W$28*Table83[[#This Row],[Servings]])</f>
        <v>44.345258445403978</v>
      </c>
      <c r="EG204" s="2">
        <f>Table83[[#This Row],[Waist]]-Table7[[#This Row],[Waist v Servings]]</f>
        <v>0.65474155459602201</v>
      </c>
      <c r="EH204" s="2">
        <f>Table7[[#This Row],[WaistServ Res]]^2</f>
        <v>0.42868650331481567</v>
      </c>
      <c r="EI204">
        <f>Regression!$X$29+(Regression!$X$28*Table83[[#This Row],[Water]])</f>
        <v>44.497966229663206</v>
      </c>
      <c r="EJ204" s="2">
        <f>Table83[[#This Row],[Waist]]-Table7[[#This Row],[Waist v Water]]</f>
        <v>0.5020337703367943</v>
      </c>
      <c r="EK204" s="2">
        <f>Table7[[#This Row],[WaistWat Res]]^2</f>
        <v>0.25203790655857711</v>
      </c>
      <c r="EL204">
        <f>Regression!$Y$29+(Regression!$Y$28*Table83[[#This Row],[Fat Calories]])</f>
        <v>44.267432298573404</v>
      </c>
      <c r="EM204" s="2">
        <f>Table83[[#This Row],[Waist]]-Table7[[#This Row],[Waist v Fat Calories]]</f>
        <v>0.73256770142659633</v>
      </c>
      <c r="EN204" s="2">
        <f>Table7[[#This Row],[WaistFatCal Res]]^2</f>
        <v>0.53665543717344677</v>
      </c>
    </row>
    <row r="205" spans="1:144" x14ac:dyDescent="0.25">
      <c r="A205">
        <f>Regression!$B$10+(Regression!$B$9*Table83[[#This Row],[Waist]])</f>
        <v>261.08819223590376</v>
      </c>
      <c r="B205" s="2">
        <f>Table83[[#This Row],[Weight]]-Table7[[#This Row],[Weight v Waist]]</f>
        <v>0.71180776409624968</v>
      </c>
      <c r="C205" s="2">
        <f>Table7[[#This Row],[Weight v Waist Res]]^2</f>
        <v>0.50667029302770228</v>
      </c>
      <c r="D205">
        <f>Regression!$C$10+(Regression!$C$9*Table83[[#This Row],[Neck]])</f>
        <v>253.29286486487842</v>
      </c>
      <c r="E205" s="2">
        <f>Table83[[#This Row],[Weight]]-Table7[[#This Row],[Weight v Neck]]</f>
        <v>8.5071351351215867</v>
      </c>
      <c r="F205" s="2">
        <f>Table7[[#This Row],[WN Res]]^2</f>
        <v>72.37134820722018</v>
      </c>
      <c r="G205">
        <f>Regression!$D$10+(Regression!$D$9*Table83[[#This Row],[Morning Body Temp]])</f>
        <v>255.20036355752904</v>
      </c>
      <c r="H205" s="2">
        <f>Table83[[#This Row],[Weight]]-Table7[[#This Row],[Weight v Morning Temp]]</f>
        <v>6.5996364424709668</v>
      </c>
      <c r="I205" s="2">
        <f>Table7[[#This Row],[WMT Res]]^2</f>
        <v>43.555201172790838</v>
      </c>
      <c r="J205">
        <f>Regression!$E$10+(Regression!$E$9*Table83[[#This Row],[Morning Systolic Pressure]])</f>
        <v>255.05440942489196</v>
      </c>
      <c r="K205" s="2">
        <f>Table83[[#This Row],[Weight]]-Table7[[#This Row],[Weight v Morning Sys]]</f>
        <v>6.7455905751080536</v>
      </c>
      <c r="L205" s="2">
        <f>Table7[[#This Row],[WMS Res]]^2</f>
        <v>45.502992206986605</v>
      </c>
      <c r="M205">
        <f>Regression!$F$10+(Regression!$F$9*Table83[[#This Row],[Morning Diastolic Pressure]])</f>
        <v>255.60876114247105</v>
      </c>
      <c r="N205" s="2">
        <f>Table83[[#This Row],[Weight]]-Table7[[#This Row],[Weight v Morning Dia]]</f>
        <v>6.1912388575289583</v>
      </c>
      <c r="O205" s="2">
        <f>Table7[[#This Row],[WMD Res]]^2</f>
        <v>38.331438590976482</v>
      </c>
      <c r="P205">
        <f>Regression!$G$10+(Regression!$G$9*Table83[[#This Row],[Morning Pulse]])</f>
        <v>255.11730068591285</v>
      </c>
      <c r="Q205" s="2">
        <f>Table83[[#This Row],[Weight]]-Table7[[#This Row],[Weight v Morning Pulse]]</f>
        <v>6.6826993140871593</v>
      </c>
      <c r="R205" s="2">
        <f>Table7[[#This Row],[WMP Res]]^2</f>
        <v>44.658470122500987</v>
      </c>
      <c r="S205">
        <f>Regression!$H$10+(Regression!$H$9*Table83[[#This Row],[Night Body Temp]])</f>
        <v>256.08384552330529</v>
      </c>
      <c r="T205" s="2">
        <f>Table83[[#This Row],[Weight]]-Table7[[#This Row],[Weight v Night Temp]]</f>
        <v>5.7161544766947259</v>
      </c>
      <c r="U205" s="2">
        <f>Table7[[#This Row],[WNT Res]]^2</f>
        <v>32.674422001437158</v>
      </c>
      <c r="V205">
        <f>Regression!$I$10+(Regression!$I$9*Table83[[#This Row],[Night Systolic Pressure]])</f>
        <v>253.2883295466263</v>
      </c>
      <c r="W205" s="2">
        <f>Table83[[#This Row],[Weight]]-Table7[[#This Row],[Weight v Night Sys]]</f>
        <v>8.5116704533737106</v>
      </c>
      <c r="X205" s="2">
        <f>Table7[[#This Row],[WNS Res]]^2</f>
        <v>72.448533906835024</v>
      </c>
      <c r="Y205">
        <f>Regression!$J$10+(Regression!$J$9*Table83[[#This Row],[Night Diastolic Pressure]])</f>
        <v>254.64389182166897</v>
      </c>
      <c r="Z205" s="2">
        <f>Table83[[#This Row],[Weight]]-Table7[[#This Row],[Weight v Night Dia]]</f>
        <v>7.1561081783310385</v>
      </c>
      <c r="AA205" s="2">
        <f>Table7[[#This Row],[WND Res]]^2</f>
        <v>51.209884259976377</v>
      </c>
      <c r="AB205">
        <f>Regression!$K$10+(Regression!$K$9*Table83[[#This Row],[Night Pulse]])</f>
        <v>255.17157852121468</v>
      </c>
      <c r="AC205" s="2">
        <f>Table83[[#This Row],[Weight]]-Table7[[#This Row],[Weight v Night Pulse]]</f>
        <v>6.6284214787853273</v>
      </c>
      <c r="AD205" s="2">
        <f>Table7[[#This Row],[WNP Res ]]^2</f>
        <v>43.935971300422665</v>
      </c>
      <c r="AE205">
        <f>Regression!$L$10+(Regression!$L$9*Table83[[#This Row],[Sleep]])</f>
        <v>255.13702972738133</v>
      </c>
      <c r="AF205" s="2">
        <f>Table83[[#This Row],[Weight]]-Table7[[#This Row],[Weight v Sleep]]</f>
        <v>6.6629702726186792</v>
      </c>
      <c r="AG205" s="2">
        <f>Table7[[#This Row],[WS Res]]^2</f>
        <v>44.39517285380024</v>
      </c>
      <c r="AH205">
        <f>Regression!$M$10+(Regression!$M$9*Table83[[#This Row],[BMI]])</f>
        <v>261.79999999998506</v>
      </c>
      <c r="AI205" s="2">
        <f>Table83[[#This Row],[Weight]]-Table7[[#This Row],[Weight v BMI]]</f>
        <v>1.4949819160392508E-11</v>
      </c>
      <c r="AJ205" s="2">
        <f>Table7[[#This Row],[WBMI Res]]^2</f>
        <v>2.2349709292843895E-22</v>
      </c>
      <c r="AK205">
        <f>Regression!$N$10+(Regression!$N$9*Table83[[#This Row],[CBF]])</f>
        <v>262.24752658837394</v>
      </c>
      <c r="AL205" s="2">
        <f>Table83[[#This Row],[Weight]]-Table7[[#This Row],[Weight v CBF]]</f>
        <v>-0.44752658837393255</v>
      </c>
      <c r="AM205" s="2">
        <f>Table7[[#This Row],[WCBF Res]]^2</f>
        <v>0.20028004730161125</v>
      </c>
      <c r="AN205">
        <f>Regression!$O$10+(Regression!$O$9*Table83[[#This Row],[Gym]])</f>
        <v>254.72962962962998</v>
      </c>
      <c r="AO205" s="2">
        <f>Table83[[#This Row],[Weight]]-Table7[[#This Row],[Weight v Gym]]</f>
        <v>7.0703703703700285</v>
      </c>
      <c r="AP205" s="2">
        <f>Table7[[#This Row],[WG Res]]^2</f>
        <v>49.99013717420641</v>
      </c>
      <c r="AQ205">
        <f>Regression!$P$10+(Regression!$P$9*Table83[[#This Row],[Cardio]])</f>
        <v>254.19242424242461</v>
      </c>
      <c r="AR205" s="2">
        <f>Table83[[#This Row],[Weight]]-Table7[[#This Row],[Weight v Cardio]]</f>
        <v>7.6075757575754039</v>
      </c>
      <c r="AS205" s="2">
        <f>Table7[[#This Row],[WC Res]]^2</f>
        <v>57.875208907248982</v>
      </c>
      <c r="AT205">
        <f>Regression!$Q$10+(Regression!$Q$9*Table83[[#This Row],[Calories]])</f>
        <v>253.56158372975807</v>
      </c>
      <c r="AU205" s="2">
        <f>Table83[[#This Row],[Weight]]-Table7[[#This Row],[Weight v Calories]]</f>
        <v>8.2384162702419417</v>
      </c>
      <c r="AV205" s="2">
        <f>Table7[[#This Row],[WCAL Res]]^2</f>
        <v>67.871502641787146</v>
      </c>
      <c r="AW205">
        <f>Regression!$R$10+(Regression!$R$9*Table83[[#This Row],[Carbs]])</f>
        <v>253.62479213478045</v>
      </c>
      <c r="AX205" s="2">
        <f>Table83[[#This Row],[Weight]]-Table7[[#This Row],[Weight v Carbs]]</f>
        <v>8.1752078652195621</v>
      </c>
      <c r="AY205" s="2">
        <f>Table7[[#This Row],[Wcarb Res]]^2</f>
        <v>66.834023639547794</v>
      </c>
      <c r="AZ205">
        <f>Regression!$S$10+(Regression!$S$9*Table83[[#This Row],[Fat ]])</f>
        <v>254.31353492623518</v>
      </c>
      <c r="BA205" s="2">
        <f>Table83[[#This Row],[Weight]]-Table7[[#This Row],[Weight v Fat]]</f>
        <v>7.4864650737648333</v>
      </c>
      <c r="BB205" s="2">
        <f>Table7[[#This Row],[WF Res]]^2</f>
        <v>56.047159300700692</v>
      </c>
      <c r="BC205">
        <f>Regression!$T$10+(Regression!$T$9*Table83[[#This Row],[Protein]])</f>
        <v>253.99391540485857</v>
      </c>
      <c r="BD205" s="2">
        <f>Table83[[#This Row],[Weight]]-Table7[[#This Row],[Weight v Protein]]</f>
        <v>7.8060845951414422</v>
      </c>
      <c r="BE205" s="2">
        <f>Table7[[#This Row],[WP Res]]^2</f>
        <v>60.934956706504536</v>
      </c>
      <c r="BF205">
        <f>Regression!$U$10+(Regression!$U$9*Table83[[#This Row],[Fiber]])</f>
        <v>255.20645915785519</v>
      </c>
      <c r="BG205" s="2">
        <f>Table83[[#This Row],[Weight]]-Table7[[#This Row],[Weight v Fiber]]</f>
        <v>6.5935408421448187</v>
      </c>
      <c r="BH205" s="2">
        <f>Table7[[#This Row],[Wfib Res]]^2</f>
        <v>43.474780837031808</v>
      </c>
      <c r="BI205">
        <f>Regression!$V$10+(Regression!$V$9*Table83[[#This Row],[Sugar]])</f>
        <v>253.15094243503688</v>
      </c>
      <c r="BJ205" s="2">
        <f>Table83[[#This Row],[Weight]]-Table7[[#This Row],[Weight v Sugar]]</f>
        <v>8.6490575649631296</v>
      </c>
      <c r="BK205" s="2">
        <f>Table7[[#This Row],[Wsugar Res]]^2</f>
        <v>74.806196762045943</v>
      </c>
      <c r="BL205">
        <f>Regression!$W$10+(Regression!$W$9*Table83[[#This Row],[Servings]])</f>
        <v>253.55297532144732</v>
      </c>
      <c r="BM205" s="2">
        <f>Table83[[#This Row],[Weight]]-Table7[[#This Row],[Weight v Servings]]</f>
        <v>8.2470246785526911</v>
      </c>
      <c r="BN205" s="2">
        <f>Table7[[#This Row],[Wserv Res]]^2</f>
        <v>68.01341604865712</v>
      </c>
      <c r="BO205">
        <f>Regression!$X$10+(Regression!$X$9*Table83[[#This Row],[Water]])</f>
        <v>255.10626599365665</v>
      </c>
      <c r="BP205" s="2">
        <f>Table83[[#This Row],[Weight]]-Table7[[#This Row],[Weight v Water]]</f>
        <v>6.6937340063433624</v>
      </c>
      <c r="BQ205" s="2">
        <f>Table7[[#This Row],[Wwater Res]]^2</f>
        <v>44.806074947677558</v>
      </c>
      <c r="BR205">
        <f>Regression!$Y$10+(Regression!$Y$9*Table83[[#This Row],[Fat Calories]])</f>
        <v>254.25717509016783</v>
      </c>
      <c r="BS205" s="2">
        <f>Table83[[#This Row],[Weight]]-Table7[[#This Row],[Weight v Fat Calories]]</f>
        <v>7.5428249098321771</v>
      </c>
      <c r="BT205" s="2">
        <f>Table7[[#This Row],[WFC Res]]^2</f>
        <v>56.89420762038479</v>
      </c>
      <c r="BU205">
        <f>Regression!$B$29+(Regression!$B$28*Table83[[#This Row],[Weight]])</f>
        <v>45.364448676854529</v>
      </c>
      <c r="BV205" s="2">
        <f>Table83[[#This Row],[Waist]]-Table7[[#This Row],[Waist v Weight]]</f>
        <v>0.1355513231454708</v>
      </c>
      <c r="BW205" s="2">
        <f>Table7[[#This Row],[WaistW Res]]^2</f>
        <v>1.8374161206487848E-2</v>
      </c>
      <c r="BX205">
        <f>Regression!$C$29+(Regression!$C$28*Table83[[#This Row],[Neck]])</f>
        <v>44.175585585585594</v>
      </c>
      <c r="BY205" s="2">
        <f>Table83[[#This Row],[Waist]]-Table7[[#This Row],[Waist v Neck]]</f>
        <v>1.3244144144144059</v>
      </c>
      <c r="BZ205" s="2">
        <f>Table7[[#This Row],[WaistN Res]]^2</f>
        <v>1.7540735411086537</v>
      </c>
      <c r="CA205">
        <f>Regression!$D$29+(Regression!$D$28*Table83[[#This Row],[Morning Body Temp]])</f>
        <v>44.476744743933082</v>
      </c>
      <c r="CB205" s="2">
        <f>Table83[[#This Row],[Waist]]-Table7[[#This Row],[Waist v Morning Temp]]</f>
        <v>1.0232552560669177</v>
      </c>
      <c r="CC205" s="2">
        <f>Table7[[#This Row],[WaistMT Res]]^2</f>
        <v>1.0470513190685733</v>
      </c>
      <c r="CD205">
        <f>Regression!$E$29+(Regression!$E$28*Table83[[#This Row],[Morning Systolic Pressure]])</f>
        <v>44.439294322151774</v>
      </c>
      <c r="CE205" s="2">
        <f>Table83[[#This Row],[Waist]]-Table7[[#This Row],[Waist v Morning Sys]]</f>
        <v>1.060705677848226</v>
      </c>
      <c r="CF205" s="2">
        <f>Table7[[#This Row],[WaistMS Res]]^2</f>
        <v>1.1250965350194646</v>
      </c>
      <c r="CG205">
        <f>Regression!$F$29+(Regression!$F$28*Table83[[#This Row],[Morning Diastolic Pressure]])</f>
        <v>44.480994771488533</v>
      </c>
      <c r="CH205" s="2">
        <f>Table83[[#This Row],[Waist]]-Table7[[#This Row],[Waist v Morning Dia]]</f>
        <v>1.0190052285114675</v>
      </c>
      <c r="CI205" s="2">
        <f>Table7[[#This Row],[WaistMD Res]]^2</f>
        <v>1.0383716557337079</v>
      </c>
      <c r="CJ205">
        <f>Regression!$G$29+(Regression!$G$28*Table83[[#This Row],[Morning Pulse]])</f>
        <v>44.454576200079806</v>
      </c>
      <c r="CK205" s="2">
        <f>Table83[[#This Row],[Waist]]-Table7[[#This Row],[Waist v Morning Pulse]]</f>
        <v>1.0454237999201936</v>
      </c>
      <c r="CL205" s="2">
        <f>Table7[[#This Row],[WaistMP Res]]^2</f>
        <v>1.0929109214395771</v>
      </c>
      <c r="CM205">
        <f>Regression!$H$29+(Regression!$H$28*Table83[[#This Row],[Night Body Temp]])</f>
        <v>44.52992319270804</v>
      </c>
      <c r="CN205" s="2">
        <f>Table83[[#This Row],[Waist]]-Table7[[#This Row],[Waist v Night Temp]]</f>
        <v>0.97007680729196011</v>
      </c>
      <c r="CO205" s="2">
        <f>Table7[[#This Row],[WaistNT Res]]^2</f>
        <v>0.94104901204576274</v>
      </c>
      <c r="CP205">
        <f>Regression!$I$29+(Regression!$I$28*Table83[[#This Row],[Night Systolic Pressure]])</f>
        <v>44.194777257444173</v>
      </c>
      <c r="CQ205" s="2">
        <f>Table83[[#This Row],[Waist]]-Table7[[#This Row],[Waist v  Night Sys]]</f>
        <v>1.3052227425558272</v>
      </c>
      <c r="CR205" s="2">
        <f>Table7[[#This Row],[WaistNS Res]]^2</f>
        <v>1.7036064076849551</v>
      </c>
      <c r="CS205">
        <f>Regression!$J$29+(Regression!$J$28*Table83[[#This Row],[Night Diastolic Pressure]])</f>
        <v>44.256276668664427</v>
      </c>
      <c r="CT205" s="2">
        <f>Table83[[#This Row],[Waist]]-Table7[[#This Row],[Waist v Night Dia]]</f>
        <v>1.2437233313355733</v>
      </c>
      <c r="CU205" s="2">
        <f>Table7[[#This Row],[WaistND Res]]^2</f>
        <v>1.5468477249084562</v>
      </c>
      <c r="CV205">
        <f>Regression!$K$29+(Regression!$K$28*Table83[[#This Row],[Night Pulse]])</f>
        <v>44.448281387321408</v>
      </c>
      <c r="CW205" s="2">
        <f>Table83[[#This Row],[Waist]]-Table7[[#This Row],[Waist v Night Pulse]]</f>
        <v>1.0517186126785916</v>
      </c>
      <c r="CX205" s="2">
        <f>Table7[[#This Row],[WaistNP Res]]^2</f>
        <v>1.1061120402545812</v>
      </c>
      <c r="CY205">
        <f>Regression!$L$29+(Regression!$L$28*Table83[[#This Row],[Sleep]])</f>
        <v>44.456891852858099</v>
      </c>
      <c r="CZ205" s="2">
        <f>Table83[[#This Row],[Waist]]-Table7[[#This Row],[Waist v  Sleep]]</f>
        <v>1.0431081471419006</v>
      </c>
      <c r="DA205" s="2">
        <f>Table7[[#This Row],[WaistS Res]]^2</f>
        <v>1.0880746066338089</v>
      </c>
      <c r="DB205">
        <f>Regression!$M$29+(Regression!$M$28*Table83[[#This Row],[BMI]])</f>
        <v>45.36444867685163</v>
      </c>
      <c r="DC205" s="2">
        <f>Table83[[#This Row],[Waist]]-Table7[[#This Row],[Waist v BMI]]</f>
        <v>0.13555132314836982</v>
      </c>
      <c r="DD205" s="2">
        <f>Table7[[#This Row],[WaistBMI Res]]^2</f>
        <v>1.8374161207273778E-2</v>
      </c>
      <c r="DE205">
        <f>Regression!$N$29+(Regression!$N$28*Table83[[#This Row],[CBF]])</f>
        <v>45.737892076427137</v>
      </c>
      <c r="DF205" s="2">
        <f>Table83[[#This Row],[Waist]]-Table7[[#This Row],[Waist v  CBF]]</f>
        <v>-0.23789207642713706</v>
      </c>
      <c r="DG205" s="2">
        <f>Table7[[#This Row],[WaistCBF Res]]^2</f>
        <v>5.6592640026814821E-2</v>
      </c>
      <c r="DH205">
        <f>Regression!$O$29+(Regression!$O$28*Table83[[#This Row],[Gym]])</f>
        <v>44.347222222222221</v>
      </c>
      <c r="DI205" s="2">
        <f>Table83[[#This Row],[Waist]]-Table7[[#This Row],[Waist v  Gym]]</f>
        <v>1.1527777777777786</v>
      </c>
      <c r="DJ205" s="2">
        <f>Table7[[#This Row],[WaistGYM Res]]^2</f>
        <v>1.3288966049382733</v>
      </c>
      <c r="DK205">
        <f>Regression!$P$29+(Regression!$P$28*Table83[[#This Row],[Cardio]])</f>
        <v>44.291666666666664</v>
      </c>
      <c r="DL205" s="2">
        <f>Table83[[#This Row],[Waist]]-Table7[[#This Row],[Waist v Cardio]]</f>
        <v>1.2083333333333357</v>
      </c>
      <c r="DM205" s="2">
        <f>Table7[[#This Row],[WaistC Res]]^2</f>
        <v>1.4600694444444502</v>
      </c>
      <c r="DN205">
        <f>Regression!$Q$29+(Regression!$Q$28*Table83[[#This Row],[Calories]])</f>
        <v>44.10451169983817</v>
      </c>
      <c r="DO205" s="2">
        <f>Table83[[#This Row],[Waist]]-Table7[[#This Row],[Waist v Calories]]</f>
        <v>1.3954883001618299</v>
      </c>
      <c r="DP205" s="2">
        <f>Table7[[#This Row],[WaistCal Res]]^2</f>
        <v>1.9473875958885534</v>
      </c>
      <c r="DQ205">
        <f>Regression!$R$29+(Regression!$R$28*Table83[[#This Row],[Carbs]])</f>
        <v>44.14327845902654</v>
      </c>
      <c r="DR205" s="2">
        <f>Table83[[#This Row],[Waist]]-Table7[[#This Row],[Waist v Carbs]]</f>
        <v>1.3567215409734601</v>
      </c>
      <c r="DS205" s="2">
        <f>Table7[[#This Row],[WaistCarb Res]]^2</f>
        <v>1.8406933397414003</v>
      </c>
      <c r="DT205">
        <f>Regression!$S$29+(Regression!$S$28*Table83[[#This Row],[Fat ]])</f>
        <v>44.208535385519724</v>
      </c>
      <c r="DU205" s="2">
        <f>Table83[[#This Row],[Waist]]-Table7[[#This Row],[Waist v Fat]]</f>
        <v>1.2914646144802759</v>
      </c>
      <c r="DV205" s="2">
        <f>Table7[[#This Row],[WaistF Res]]^2</f>
        <v>1.6678808504546878</v>
      </c>
      <c r="DW205">
        <f>Regression!$T$29+(Regression!$T$28*Table83[[#This Row],[Protein]])</f>
        <v>44.248331598794394</v>
      </c>
      <c r="DX205" s="2">
        <f>Table83[[#This Row],[Waist]]-Table7[[#This Row],[Waist v Protein]]</f>
        <v>1.2516684012056061</v>
      </c>
      <c r="DY205" s="2">
        <f>Table7[[#This Row],[WaistP Res]]^2</f>
        <v>1.5666737865765981</v>
      </c>
      <c r="DZ205">
        <f>Regression!$U$29+(Regression!$U$28*Table83[[#This Row],[Fiber]])</f>
        <v>44.488813175855974</v>
      </c>
      <c r="EA205" s="2">
        <f>Table83[[#This Row],[Waist]]-Table7[[#This Row],[Waist v Fiber]]</f>
        <v>1.0111868241440263</v>
      </c>
      <c r="EB205" s="2">
        <f>Table7[[#This Row],[WaistFib Res]]^2</f>
        <v>1.0224987933224818</v>
      </c>
      <c r="EC205">
        <f>Regression!$V$29+(Regression!$V$28*Table83[[#This Row],[Sugar]])</f>
        <v>44.100710838028533</v>
      </c>
      <c r="ED205" s="2">
        <f>Table83[[#This Row],[Waist]]-Table7[[#This Row],[Waist v Sugar]]</f>
        <v>1.3992891619714669</v>
      </c>
      <c r="EE205" s="2">
        <f>Table7[[#This Row],[WaistSugar Res]]^2</f>
        <v>1.9580101588108101</v>
      </c>
      <c r="EF205">
        <f>Regression!$W$29+(Regression!$W$28*Table83[[#This Row],[Servings]])</f>
        <v>44.215194128910355</v>
      </c>
      <c r="EG205" s="2">
        <f>Table83[[#This Row],[Waist]]-Table7[[#This Row],[Waist v Servings]]</f>
        <v>1.2848058710896453</v>
      </c>
      <c r="EH205" s="2">
        <f>Table7[[#This Row],[WaistServ Res]]^2</f>
        <v>1.6507261263864221</v>
      </c>
      <c r="EI205">
        <f>Regression!$X$29+(Regression!$X$28*Table83[[#This Row],[Water]])</f>
        <v>44.442082352251923</v>
      </c>
      <c r="EJ205" s="2">
        <f>Table83[[#This Row],[Waist]]-Table7[[#This Row],[Waist v Water]]</f>
        <v>1.0579176477480772</v>
      </c>
      <c r="EK205" s="2">
        <f>Table7[[#This Row],[WaistWat Res]]^2</f>
        <v>1.1191897494168246</v>
      </c>
      <c r="EL205">
        <f>Regression!$Y$29+(Regression!$Y$28*Table83[[#This Row],[Fat Calories]])</f>
        <v>44.192637133297829</v>
      </c>
      <c r="EM205" s="2">
        <f>Table83[[#This Row],[Waist]]-Table7[[#This Row],[Waist v Fat Calories]]</f>
        <v>1.3073628667021708</v>
      </c>
      <c r="EN205" s="2">
        <f>Table7[[#This Row],[WaistFatCal Res]]^2</f>
        <v>1.709197665231718</v>
      </c>
    </row>
    <row r="206" spans="1:144" x14ac:dyDescent="0.25">
      <c r="A206">
        <f>Regression!$B$10+(Regression!$B$9*Table83[[#This Row],[Waist]])</f>
        <v>258.23421455025004</v>
      </c>
      <c r="B206" s="2">
        <f>Table83[[#This Row],[Weight]]-Table7[[#This Row],[Weight v Waist]]</f>
        <v>1.7657854497499557</v>
      </c>
      <c r="C206" s="2">
        <f>Table7[[#This Row],[Weight v Waist Res]]^2</f>
        <v>3.1179982545486533</v>
      </c>
      <c r="D206">
        <f>Regression!$C$10+(Regression!$C$9*Table83[[#This Row],[Neck]])</f>
        <v>253.29286486487842</v>
      </c>
      <c r="E206" s="2">
        <f>Table83[[#This Row],[Weight]]-Table7[[#This Row],[Weight v Neck]]</f>
        <v>6.7071351351215753</v>
      </c>
      <c r="F206" s="2">
        <f>Table7[[#This Row],[WN Res]]^2</f>
        <v>44.985661720782311</v>
      </c>
      <c r="G206">
        <f>Regression!$D$10+(Regression!$D$9*Table83[[#This Row],[Morning Body Temp]])</f>
        <v>255.69315343708564</v>
      </c>
      <c r="H206" s="2">
        <f>Table83[[#This Row],[Weight]]-Table7[[#This Row],[Weight v Morning Temp]]</f>
        <v>4.3068465629143589</v>
      </c>
      <c r="I206" s="2">
        <f>Table7[[#This Row],[WMT Res]]^2</f>
        <v>18.548927316487227</v>
      </c>
      <c r="J206">
        <f>Regression!$E$10+(Regression!$E$9*Table83[[#This Row],[Morning Systolic Pressure]])</f>
        <v>255.32487264807224</v>
      </c>
      <c r="K206" s="2">
        <f>Table83[[#This Row],[Weight]]-Table7[[#This Row],[Weight v Morning Sys]]</f>
        <v>4.6751273519277561</v>
      </c>
      <c r="L206" s="2">
        <f>Table7[[#This Row],[WMS Res]]^2</f>
        <v>21.856815756743032</v>
      </c>
      <c r="M206">
        <f>Regression!$F$10+(Regression!$F$9*Table83[[#This Row],[Morning Diastolic Pressure]])</f>
        <v>255.81144964056082</v>
      </c>
      <c r="N206" s="2">
        <f>Table83[[#This Row],[Weight]]-Table7[[#This Row],[Weight v Morning Dia]]</f>
        <v>4.1885503594391764</v>
      </c>
      <c r="O206" s="2">
        <f>Table7[[#This Row],[WMD Res]]^2</f>
        <v>17.543954113558055</v>
      </c>
      <c r="P206">
        <f>Regression!$G$10+(Regression!$G$9*Table83[[#This Row],[Morning Pulse]])</f>
        <v>255.10633391136972</v>
      </c>
      <c r="Q206" s="2">
        <f>Table83[[#This Row],[Weight]]-Table7[[#This Row],[Weight v Morning Pulse]]</f>
        <v>4.8936660886302832</v>
      </c>
      <c r="R206" s="2">
        <f>Table7[[#This Row],[WMP Res]]^2</f>
        <v>23.947967787010015</v>
      </c>
      <c r="S206">
        <f>Regression!$H$10+(Regression!$H$9*Table83[[#This Row],[Night Body Temp]])</f>
        <v>256.18654209378701</v>
      </c>
      <c r="T206" s="2">
        <f>Table83[[#This Row],[Weight]]-Table7[[#This Row],[Weight v Night Temp]]</f>
        <v>3.8134579062129887</v>
      </c>
      <c r="U206" s="2">
        <f>Table7[[#This Row],[WNT Res]]^2</f>
        <v>14.542461202458352</v>
      </c>
      <c r="V206">
        <f>Regression!$I$10+(Regression!$I$9*Table83[[#This Row],[Night Systolic Pressure]])</f>
        <v>253.39097438065477</v>
      </c>
      <c r="W206" s="2">
        <f>Table83[[#This Row],[Weight]]-Table7[[#This Row],[Weight v Night Sys]]</f>
        <v>6.6090256193452319</v>
      </c>
      <c r="X206" s="2">
        <f>Table7[[#This Row],[WNS Res]]^2</f>
        <v>43.679219637161623</v>
      </c>
      <c r="Y206">
        <f>Regression!$J$10+(Regression!$J$9*Table83[[#This Row],[Night Diastolic Pressure]])</f>
        <v>254.68465769008509</v>
      </c>
      <c r="Z206" s="2">
        <f>Table83[[#This Row],[Weight]]-Table7[[#This Row],[Weight v Night Dia]]</f>
        <v>5.3153423099149109</v>
      </c>
      <c r="AA206" s="2">
        <f>Table7[[#This Row],[WND Res]]^2</f>
        <v>28.252863871571581</v>
      </c>
      <c r="AB206">
        <f>Regression!$K$10+(Regression!$K$9*Table83[[#This Row],[Night Pulse]])</f>
        <v>254.95658520255759</v>
      </c>
      <c r="AC206" s="2">
        <f>Table83[[#This Row],[Weight]]-Table7[[#This Row],[Weight v Night Pulse]]</f>
        <v>5.0434147974424093</v>
      </c>
      <c r="AD206" s="2">
        <f>Table7[[#This Row],[WNP Res ]]^2</f>
        <v>25.436032819061058</v>
      </c>
      <c r="AE206">
        <f>Regression!$L$10+(Regression!$L$9*Table83[[#This Row],[Sleep]])</f>
        <v>255.13702972738133</v>
      </c>
      <c r="AF206" s="2">
        <f>Table83[[#This Row],[Weight]]-Table7[[#This Row],[Weight v Sleep]]</f>
        <v>4.8629702726186679</v>
      </c>
      <c r="AG206" s="2">
        <f>Table7[[#This Row],[WS Res]]^2</f>
        <v>23.648479872372882</v>
      </c>
      <c r="AH206">
        <f>Regression!$M$10+(Regression!$M$9*Table83[[#This Row],[BMI]])</f>
        <v>259.99999999998909</v>
      </c>
      <c r="AI206" s="2">
        <f>Table83[[#This Row],[Weight]]-Table7[[#This Row],[Weight v BMI]]</f>
        <v>1.0913936421275139E-11</v>
      </c>
      <c r="AJ206" s="2">
        <f>Table7[[#This Row],[WBMI Res]]^2</f>
        <v>1.1911400820763599E-22</v>
      </c>
      <c r="AK206">
        <f>Regression!$N$10+(Regression!$N$9*Table83[[#This Row],[CBF]])</f>
        <v>259.27809165285294</v>
      </c>
      <c r="AL206" s="2">
        <f>Table83[[#This Row],[Weight]]-Table7[[#This Row],[Weight v CBF]]</f>
        <v>0.72190834714706398</v>
      </c>
      <c r="AM206" s="2">
        <f>Table7[[#This Row],[WCBF Res]]^2</f>
        <v>0.52115166168060578</v>
      </c>
      <c r="AN206">
        <f>Regression!$O$10+(Regression!$O$9*Table83[[#This Row],[Gym]])</f>
        <v>255.46779661016953</v>
      </c>
      <c r="AO206" s="2">
        <f>Table83[[#This Row],[Weight]]-Table7[[#This Row],[Weight v Gym]]</f>
        <v>4.532203389830471</v>
      </c>
      <c r="AP206" s="2">
        <f>Table7[[#This Row],[WG Res]]^2</f>
        <v>20.540867566790812</v>
      </c>
      <c r="AQ206">
        <f>Regression!$P$10+(Regression!$P$9*Table83[[#This Row],[Cardio]])</f>
        <v>254.19242424242461</v>
      </c>
      <c r="AR206" s="2">
        <f>Table83[[#This Row],[Weight]]-Table7[[#This Row],[Weight v Cardio]]</f>
        <v>5.8075757575753926</v>
      </c>
      <c r="AS206" s="2">
        <f>Table7[[#This Row],[WC Res]]^2</f>
        <v>33.727936179977398</v>
      </c>
      <c r="AT206">
        <f>Regression!$Q$10+(Regression!$Q$9*Table83[[#This Row],[Calories]])</f>
        <v>253.77337321198431</v>
      </c>
      <c r="AU206" s="2">
        <f>Table83[[#This Row],[Weight]]-Table7[[#This Row],[Weight v Calories]]</f>
        <v>6.2266267880156931</v>
      </c>
      <c r="AV206" s="2">
        <f>Table7[[#This Row],[WCAL Res]]^2</f>
        <v>38.770881157234626</v>
      </c>
      <c r="AW206">
        <f>Regression!$R$10+(Regression!$R$9*Table83[[#This Row],[Carbs]])</f>
        <v>253.59041759114891</v>
      </c>
      <c r="AX206" s="2">
        <f>Table83[[#This Row],[Weight]]-Table7[[#This Row],[Weight v Carbs]]</f>
        <v>6.4095824088510938</v>
      </c>
      <c r="AY206" s="2">
        <f>Table7[[#This Row],[Wcarb Res]]^2</f>
        <v>41.082746655853391</v>
      </c>
      <c r="AZ206">
        <f>Regression!$S$10+(Regression!$S$9*Table83[[#This Row],[Fat ]])</f>
        <v>254.54546657037613</v>
      </c>
      <c r="BA206" s="2">
        <f>Table83[[#This Row],[Weight]]-Table7[[#This Row],[Weight v Fat]]</f>
        <v>5.454533429623865</v>
      </c>
      <c r="BB206" s="2">
        <f>Table7[[#This Row],[WF Res]]^2</f>
        <v>29.751934934884282</v>
      </c>
      <c r="BC206">
        <f>Regression!$T$10+(Regression!$T$9*Table83[[#This Row],[Protein]])</f>
        <v>255.37265306643553</v>
      </c>
      <c r="BD206" s="2">
        <f>Table83[[#This Row],[Weight]]-Table7[[#This Row],[Weight v Protein]]</f>
        <v>4.6273469335644677</v>
      </c>
      <c r="BE206" s="2">
        <f>Table7[[#This Row],[WP Res]]^2</f>
        <v>21.412339643568483</v>
      </c>
      <c r="BF206">
        <f>Regression!$U$10+(Regression!$U$9*Table83[[#This Row],[Fiber]])</f>
        <v>255.1469735503955</v>
      </c>
      <c r="BG206" s="2">
        <f>Table83[[#This Row],[Weight]]-Table7[[#This Row],[Weight v Fiber]]</f>
        <v>4.8530264496044992</v>
      </c>
      <c r="BH206" s="2">
        <f>Table7[[#This Row],[Wfib Res]]^2</f>
        <v>23.551865720560851</v>
      </c>
      <c r="BI206">
        <f>Regression!$V$10+(Regression!$V$9*Table83[[#This Row],[Sugar]])</f>
        <v>252.71284195958435</v>
      </c>
      <c r="BJ206" s="2">
        <f>Table83[[#This Row],[Weight]]-Table7[[#This Row],[Weight v Sugar]]</f>
        <v>7.2871580404156475</v>
      </c>
      <c r="BK206" s="2">
        <f>Table7[[#This Row],[Wsugar Res]]^2</f>
        <v>53.102672305994417</v>
      </c>
      <c r="BL206">
        <f>Regression!$W$10+(Regression!$W$9*Table83[[#This Row],[Servings]])</f>
        <v>255.20811282368868</v>
      </c>
      <c r="BM206" s="2">
        <f>Table83[[#This Row],[Weight]]-Table7[[#This Row],[Weight v Servings]]</f>
        <v>4.7918871763113202</v>
      </c>
      <c r="BN206" s="2">
        <f>Table7[[#This Row],[Wserv Res]]^2</f>
        <v>22.962182710496879</v>
      </c>
      <c r="BO206">
        <f>Regression!$X$10+(Regression!$X$9*Table83[[#This Row],[Water]])</f>
        <v>255.0206340268538</v>
      </c>
      <c r="BP206" s="2">
        <f>Table83[[#This Row],[Weight]]-Table7[[#This Row],[Weight v Water]]</f>
        <v>4.9793659731462014</v>
      </c>
      <c r="BQ206" s="2">
        <f>Table7[[#This Row],[Wwater Res]]^2</f>
        <v>24.794085494526218</v>
      </c>
      <c r="BR206">
        <f>Regression!$Y$10+(Regression!$Y$9*Table83[[#This Row],[Fat Calories]])</f>
        <v>254.50400870626723</v>
      </c>
      <c r="BS206" s="2">
        <f>Table83[[#This Row],[Weight]]-Table7[[#This Row],[Weight v Fat Calories]]</f>
        <v>5.4959912937327715</v>
      </c>
      <c r="BT206" s="2">
        <f>Table7[[#This Row],[WFC Res]]^2</f>
        <v>30.205920300786424</v>
      </c>
      <c r="BU206">
        <f>Regression!$B$29+(Regression!$B$28*Table83[[#This Row],[Weight]])</f>
        <v>45.119176157828555</v>
      </c>
      <c r="BV206" s="2">
        <f>Table83[[#This Row],[Waist]]-Table7[[#This Row],[Waist v Weight]]</f>
        <v>-0.11917615782855506</v>
      </c>
      <c r="BW206" s="2">
        <f>Table7[[#This Row],[WaistW Res]]^2</f>
        <v>1.4202956594776666E-2</v>
      </c>
      <c r="BX206">
        <f>Regression!$C$29+(Regression!$C$28*Table83[[#This Row],[Neck]])</f>
        <v>44.175585585585594</v>
      </c>
      <c r="BY206" s="2">
        <f>Table83[[#This Row],[Waist]]-Table7[[#This Row],[Waist v Neck]]</f>
        <v>0.82441441441440588</v>
      </c>
      <c r="BZ206" s="2">
        <f>Table7[[#This Row],[WaistN Res]]^2</f>
        <v>0.67965912669424777</v>
      </c>
      <c r="CA206">
        <f>Regression!$D$29+(Regression!$D$28*Table83[[#This Row],[Morning Body Temp]])</f>
        <v>44.610772436164225</v>
      </c>
      <c r="CB206" s="2">
        <f>Table83[[#This Row],[Waist]]-Table7[[#This Row],[Waist v Morning Temp]]</f>
        <v>0.3892275638357745</v>
      </c>
      <c r="CC206" s="2">
        <f>Table7[[#This Row],[WaistMT Res]]^2</f>
        <v>0.15149809644953191</v>
      </c>
      <c r="CD206">
        <f>Regression!$E$29+(Regression!$E$28*Table83[[#This Row],[Morning Systolic Pressure]])</f>
        <v>44.502836753606339</v>
      </c>
      <c r="CE206" s="2">
        <f>Table83[[#This Row],[Waist]]-Table7[[#This Row],[Waist v Morning Sys]]</f>
        <v>0.4971632463936615</v>
      </c>
      <c r="CF206" s="2">
        <f>Table7[[#This Row],[WaistMS Res]]^2</f>
        <v>0.24717129356468456</v>
      </c>
      <c r="CG206">
        <f>Regression!$F$29+(Regression!$F$28*Table83[[#This Row],[Morning Diastolic Pressure]])</f>
        <v>44.492266012826242</v>
      </c>
      <c r="CH206" s="2">
        <f>Table83[[#This Row],[Waist]]-Table7[[#This Row],[Waist v Morning Dia]]</f>
        <v>0.50773398717375784</v>
      </c>
      <c r="CI206" s="2">
        <f>Table7[[#This Row],[WaistMD Res]]^2</f>
        <v>0.25779380173136168</v>
      </c>
      <c r="CJ206">
        <f>Regression!$G$29+(Regression!$G$28*Table83[[#This Row],[Morning Pulse]])</f>
        <v>44.449539184638127</v>
      </c>
      <c r="CK206" s="2">
        <f>Table83[[#This Row],[Waist]]-Table7[[#This Row],[Waist v Morning Pulse]]</f>
        <v>0.5504608153618733</v>
      </c>
      <c r="CL206" s="2">
        <f>Table7[[#This Row],[WaistMP Res]]^2</f>
        <v>0.30300710924885838</v>
      </c>
      <c r="CM206">
        <f>Regression!$H$29+(Regression!$H$28*Table83[[#This Row],[Night Body Temp]])</f>
        <v>44.538020116512925</v>
      </c>
      <c r="CN206" s="2">
        <f>Table83[[#This Row],[Waist]]-Table7[[#This Row],[Waist v Night Temp]]</f>
        <v>0.46197988348707497</v>
      </c>
      <c r="CO206" s="2">
        <f>Table7[[#This Row],[WaistNT Res]]^2</f>
        <v>0.21342541274673135</v>
      </c>
      <c r="CP206">
        <f>Regression!$I$29+(Regression!$I$28*Table83[[#This Row],[Night Systolic Pressure]])</f>
        <v>44.209317371769785</v>
      </c>
      <c r="CQ206" s="2">
        <f>Table83[[#This Row],[Waist]]-Table7[[#This Row],[Waist v  Night Sys]]</f>
        <v>0.79068262823021485</v>
      </c>
      <c r="CR206" s="2">
        <f>Table7[[#This Row],[WaistNS Res]]^2</f>
        <v>0.6251790185850401</v>
      </c>
      <c r="CS206">
        <f>Regression!$J$29+(Regression!$J$28*Table83[[#This Row],[Night Diastolic Pressure]])</f>
        <v>44.27334461387187</v>
      </c>
      <c r="CT206" s="2">
        <f>Table83[[#This Row],[Waist]]-Table7[[#This Row],[Waist v Night Dia]]</f>
        <v>0.72665538612812952</v>
      </c>
      <c r="CU206" s="2">
        <f>Table7[[#This Row],[WaistND Res]]^2</f>
        <v>0.52802805018902099</v>
      </c>
      <c r="CV206">
        <f>Regression!$K$29+(Regression!$K$28*Table83[[#This Row],[Night Pulse]])</f>
        <v>44.468278611498164</v>
      </c>
      <c r="CW206" s="2">
        <f>Table83[[#This Row],[Waist]]-Table7[[#This Row],[Waist v Night Pulse]]</f>
        <v>0.53172138850183615</v>
      </c>
      <c r="CX206" s="2">
        <f>Table7[[#This Row],[WaistNP Res]]^2</f>
        <v>0.28272763499032055</v>
      </c>
      <c r="CY206">
        <f>Regression!$L$29+(Regression!$L$28*Table83[[#This Row],[Sleep]])</f>
        <v>44.456891852858099</v>
      </c>
      <c r="CZ206" s="2">
        <f>Table83[[#This Row],[Waist]]-Table7[[#This Row],[Waist v  Sleep]]</f>
        <v>0.54310814714190059</v>
      </c>
      <c r="DA206" s="2">
        <f>Table7[[#This Row],[WaistS Res]]^2</f>
        <v>0.29496645949190836</v>
      </c>
      <c r="DB206">
        <f>Regression!$M$29+(Regression!$M$28*Table83[[#This Row],[BMI]])</f>
        <v>45.119176157826445</v>
      </c>
      <c r="DC206" s="2">
        <f>Table83[[#This Row],[Waist]]-Table7[[#This Row],[Waist v BMI]]</f>
        <v>-0.11917615782644475</v>
      </c>
      <c r="DD206" s="2">
        <f>Table7[[#This Row],[WaistBMI Res]]^2</f>
        <v>1.4202956594273668E-2</v>
      </c>
      <c r="DE206">
        <f>Regression!$N$29+(Regression!$N$28*Table83[[#This Row],[CBF]])</f>
        <v>45.203183363709613</v>
      </c>
      <c r="DF206" s="2">
        <f>Table83[[#This Row],[Waist]]-Table7[[#This Row],[Waist v  CBF]]</f>
        <v>-0.20318336370961276</v>
      </c>
      <c r="DG206" s="2">
        <f>Table7[[#This Row],[WaistCBF Res]]^2</f>
        <v>4.1283479288352784E-2</v>
      </c>
      <c r="DH206">
        <f>Regression!$O$29+(Regression!$O$28*Table83[[#This Row],[Gym]])</f>
        <v>44.550847457627107</v>
      </c>
      <c r="DI206" s="2">
        <f>Table83[[#This Row],[Waist]]-Table7[[#This Row],[Waist v  Gym]]</f>
        <v>0.44915254237289304</v>
      </c>
      <c r="DJ206" s="2">
        <f>Table7[[#This Row],[WaistGYM Res]]^2</f>
        <v>0.20173800632003347</v>
      </c>
      <c r="DK206">
        <f>Regression!$P$29+(Regression!$P$28*Table83[[#This Row],[Cardio]])</f>
        <v>44.291666666666664</v>
      </c>
      <c r="DL206" s="2">
        <f>Table83[[#This Row],[Waist]]-Table7[[#This Row],[Waist v Cardio]]</f>
        <v>0.7083333333333357</v>
      </c>
      <c r="DM206" s="2">
        <f>Table7[[#This Row],[WaistC Res]]^2</f>
        <v>0.50173611111111449</v>
      </c>
      <c r="DN206">
        <f>Regression!$Q$29+(Regression!$Q$28*Table83[[#This Row],[Calories]])</f>
        <v>44.152096099075081</v>
      </c>
      <c r="DO206" s="2">
        <f>Table83[[#This Row],[Waist]]-Table7[[#This Row],[Waist v Calories]]</f>
        <v>0.84790390092491918</v>
      </c>
      <c r="DP206" s="2">
        <f>Table7[[#This Row],[WaistCal Res]]^2</f>
        <v>0.71894102520369518</v>
      </c>
      <c r="DQ206">
        <f>Regression!$R$29+(Regression!$R$28*Table83[[#This Row],[Carbs]])</f>
        <v>44.136121889543894</v>
      </c>
      <c r="DR206" s="2">
        <f>Table83[[#This Row],[Waist]]-Table7[[#This Row],[Waist v Carbs]]</f>
        <v>0.86387811045610619</v>
      </c>
      <c r="DS206" s="2">
        <f>Table7[[#This Row],[WaistCarb Res]]^2</f>
        <v>0.74628538972521241</v>
      </c>
      <c r="DT206">
        <f>Regression!$S$29+(Regression!$S$28*Table83[[#This Row],[Fat ]])</f>
        <v>44.27943198083144</v>
      </c>
      <c r="DU206" s="2">
        <f>Table83[[#This Row],[Waist]]-Table7[[#This Row],[Waist v Fat]]</f>
        <v>0.72056801916856017</v>
      </c>
      <c r="DV206" s="2">
        <f>Table7[[#This Row],[WaistF Res]]^2</f>
        <v>0.51921827024850253</v>
      </c>
      <c r="DW206">
        <f>Regression!$T$29+(Regression!$T$28*Table83[[#This Row],[Protein]])</f>
        <v>44.500691806074919</v>
      </c>
      <c r="DX206" s="2">
        <f>Table83[[#This Row],[Waist]]-Table7[[#This Row],[Waist v Protein]]</f>
        <v>0.49930819392508141</v>
      </c>
      <c r="DY206" s="2">
        <f>Table7[[#This Row],[WaistP Res]]^2</f>
        <v>0.24930867252072669</v>
      </c>
      <c r="DZ206">
        <f>Regression!$U$29+(Regression!$U$28*Table83[[#This Row],[Fiber]])</f>
        <v>44.46586006219318</v>
      </c>
      <c r="EA206" s="2">
        <f>Table83[[#This Row],[Waist]]-Table7[[#This Row],[Waist v Fiber]]</f>
        <v>0.53413993780682034</v>
      </c>
      <c r="EB206" s="2">
        <f>Table7[[#This Row],[WaistFib Res]]^2</f>
        <v>0.28530547316027388</v>
      </c>
      <c r="EC206">
        <f>Regression!$V$29+(Regression!$V$28*Table83[[#This Row],[Sugar]])</f>
        <v>44.022010973759883</v>
      </c>
      <c r="ED206" s="2">
        <f>Table83[[#This Row],[Waist]]-Table7[[#This Row],[Waist v Sugar]]</f>
        <v>0.97798902624011674</v>
      </c>
      <c r="EE206" s="2">
        <f>Table7[[#This Row],[WaistSugar Res]]^2</f>
        <v>0.95646253544609172</v>
      </c>
      <c r="EF206">
        <f>Regression!$W$29+(Regression!$W$28*Table83[[#This Row],[Servings]])</f>
        <v>44.467740537169277</v>
      </c>
      <c r="EG206" s="2">
        <f>Table83[[#This Row],[Waist]]-Table7[[#This Row],[Waist v Servings]]</f>
        <v>0.5322594628307229</v>
      </c>
      <c r="EH206" s="2">
        <f>Table7[[#This Row],[WaistServ Res]]^2</f>
        <v>0.28330013577284968</v>
      </c>
      <c r="EI206">
        <f>Regression!$X$29+(Regression!$X$28*Table83[[#This Row],[Water]])</f>
        <v>44.33031459742935</v>
      </c>
      <c r="EJ206" s="2">
        <f>Table83[[#This Row],[Waist]]-Table7[[#This Row],[Waist v Water]]</f>
        <v>0.66968540257065001</v>
      </c>
      <c r="EK206" s="2">
        <f>Table7[[#This Row],[WaistWat Res]]^2</f>
        <v>0.44847853841621355</v>
      </c>
      <c r="EL206">
        <f>Regression!$Y$29+(Regression!$Y$28*Table83[[#This Row],[Fat Calories]])</f>
        <v>44.267706336776477</v>
      </c>
      <c r="EM206" s="2">
        <f>Table83[[#This Row],[Waist]]-Table7[[#This Row],[Waist v Fat Calories]]</f>
        <v>0.73229366322352263</v>
      </c>
      <c r="EN206" s="2">
        <f>Table7[[#This Row],[WaistFatCal Res]]^2</f>
        <v>0.53625400919732602</v>
      </c>
    </row>
    <row r="207" spans="1:144" x14ac:dyDescent="0.25">
      <c r="A207">
        <f>Regression!$B$10+(Regression!$B$9*Table83[[#This Row],[Waist]])</f>
        <v>261.08819223590376</v>
      </c>
      <c r="B207" s="2">
        <f>Table83[[#This Row],[Weight]]-Table7[[#This Row],[Weight v Waist]]</f>
        <v>1.3118077640962156</v>
      </c>
      <c r="C207" s="2">
        <f>Table7[[#This Row],[Weight v Waist Res]]^2</f>
        <v>1.7208396099431125</v>
      </c>
      <c r="D207">
        <f>Regression!$C$10+(Regression!$C$9*Table83[[#This Row],[Neck]])</f>
        <v>253.29286486487842</v>
      </c>
      <c r="E207" s="2">
        <f>Table83[[#This Row],[Weight]]-Table7[[#This Row],[Weight v Neck]]</f>
        <v>9.1071351351215526</v>
      </c>
      <c r="F207" s="2">
        <f>Table7[[#This Row],[WN Res]]^2</f>
        <v>82.939910369365464</v>
      </c>
      <c r="G207">
        <f>Regression!$D$10+(Regression!$D$9*Table83[[#This Row],[Morning Body Temp]])</f>
        <v>255.83395054553034</v>
      </c>
      <c r="H207" s="2">
        <f>Table83[[#This Row],[Weight]]-Table7[[#This Row],[Weight v Morning Temp]]</f>
        <v>6.5660494544696348</v>
      </c>
      <c r="I207" s="2">
        <f>Table7[[#This Row],[WMT Res]]^2</f>
        <v>43.113005438540988</v>
      </c>
      <c r="J207">
        <f>Regression!$E$10+(Regression!$E$9*Table83[[#This Row],[Morning Systolic Pressure]])</f>
        <v>255.14456383261873</v>
      </c>
      <c r="K207" s="2">
        <f>Table83[[#This Row],[Weight]]-Table7[[#This Row],[Weight v Morning Sys]]</f>
        <v>7.255436167381248</v>
      </c>
      <c r="L207" s="2">
        <f>Table7[[#This Row],[WMS Res]]^2</f>
        <v>52.64135397894389</v>
      </c>
      <c r="M207">
        <f>Regression!$F$10+(Regression!$F$9*Table83[[#This Row],[Morning Diastolic Pressure]])</f>
        <v>256.52085938387495</v>
      </c>
      <c r="N207" s="2">
        <f>Table83[[#This Row],[Weight]]-Table7[[#This Row],[Weight v Morning Dia]]</f>
        <v>5.8791406161250279</v>
      </c>
      <c r="O207" s="2">
        <f>Table7[[#This Row],[WMD Res]]^2</f>
        <v>34.564294384170971</v>
      </c>
      <c r="P207">
        <f>Regression!$G$10+(Regression!$G$9*Table83[[#This Row],[Morning Pulse]])</f>
        <v>255.09719493258376</v>
      </c>
      <c r="Q207" s="2">
        <f>Table83[[#This Row],[Weight]]-Table7[[#This Row],[Weight v Morning Pulse]]</f>
        <v>7.3028050674162159</v>
      </c>
      <c r="R207" s="2">
        <f>Table7[[#This Row],[WMP Res]]^2</f>
        <v>53.330961852679962</v>
      </c>
      <c r="S207">
        <f>Regression!$H$10+(Regression!$H$9*Table83[[#This Row],[Night Body Temp]])</f>
        <v>255.67305924137855</v>
      </c>
      <c r="T207" s="2">
        <f>Table83[[#This Row],[Weight]]-Table7[[#This Row],[Weight v Night Temp]]</f>
        <v>6.7269407586214243</v>
      </c>
      <c r="U207" s="2">
        <f>Table7[[#This Row],[WNT Res]]^2</f>
        <v>45.251731970002183</v>
      </c>
      <c r="V207">
        <f>Regression!$I$10+(Regression!$I$9*Table83[[#This Row],[Night Systolic Pressure]])</f>
        <v>254.52006755496794</v>
      </c>
      <c r="W207" s="2">
        <f>Table83[[#This Row],[Weight]]-Table7[[#This Row],[Weight v Night Sys]]</f>
        <v>7.8799324450320398</v>
      </c>
      <c r="X207" s="2">
        <f>Table7[[#This Row],[WNS Res]]^2</f>
        <v>62.093335338268624</v>
      </c>
      <c r="Y207">
        <f>Regression!$J$10+(Regression!$J$9*Table83[[#This Row],[Night Diastolic Pressure]])</f>
        <v>254.80695529533338</v>
      </c>
      <c r="Z207" s="2">
        <f>Table83[[#This Row],[Weight]]-Table7[[#This Row],[Weight v Night Dia]]</f>
        <v>7.5930447046665961</v>
      </c>
      <c r="AA207" s="2">
        <f>Table7[[#This Row],[WND Res]]^2</f>
        <v>57.654327887065435</v>
      </c>
      <c r="AB207">
        <f>Regression!$K$10+(Regression!$K$9*Table83[[#This Row],[Night Pulse]])</f>
        <v>255.32514517739833</v>
      </c>
      <c r="AC207" s="2">
        <f>Table83[[#This Row],[Weight]]-Table7[[#This Row],[Weight v Night Pulse]]</f>
        <v>7.074854822601651</v>
      </c>
      <c r="AD207" s="2">
        <f>Table7[[#This Row],[WNP Res ]]^2</f>
        <v>50.053570760889841</v>
      </c>
      <c r="AE207">
        <f>Regression!$L$10+(Regression!$L$9*Table83[[#This Row],[Sleep]])</f>
        <v>254.97929263569441</v>
      </c>
      <c r="AF207" s="2">
        <f>Table83[[#This Row],[Weight]]-Table7[[#This Row],[Weight v Sleep]]</f>
        <v>7.4207073643055708</v>
      </c>
      <c r="AG207" s="2">
        <f>Table7[[#This Row],[WS Res]]^2</f>
        <v>55.066897786658934</v>
      </c>
      <c r="AH207">
        <f>Regression!$M$10+(Regression!$M$9*Table83[[#This Row],[BMI]])</f>
        <v>262.39999999998372</v>
      </c>
      <c r="AI207" s="2">
        <f>Table83[[#This Row],[Weight]]-Table7[[#This Row],[Weight v BMI]]</f>
        <v>1.6257217794191092E-11</v>
      </c>
      <c r="AJ207" s="2">
        <f>Table7[[#This Row],[WBMI Res]]^2</f>
        <v>2.6429713040776348E-22</v>
      </c>
      <c r="AK207">
        <f>Regression!$N$10+(Regression!$N$9*Table83[[#This Row],[CBF]])</f>
        <v>262.24752658837394</v>
      </c>
      <c r="AL207" s="2">
        <f>Table83[[#This Row],[Weight]]-Table7[[#This Row],[Weight v CBF]]</f>
        <v>0.15247341162603334</v>
      </c>
      <c r="AM207" s="2">
        <f>Table7[[#This Row],[WCBF Res]]^2</f>
        <v>2.3248141252881799E-2</v>
      </c>
      <c r="AN207">
        <f>Regression!$O$10+(Regression!$O$9*Table83[[#This Row],[Gym]])</f>
        <v>254.72962962962998</v>
      </c>
      <c r="AO207" s="2">
        <f>Table83[[#This Row],[Weight]]-Table7[[#This Row],[Weight v Gym]]</f>
        <v>7.6703703703699944</v>
      </c>
      <c r="AP207" s="2">
        <f>Table7[[#This Row],[WG Res]]^2</f>
        <v>58.834581618649928</v>
      </c>
      <c r="AQ207">
        <f>Regression!$P$10+(Regression!$P$9*Table83[[#This Row],[Cardio]])</f>
        <v>254.19242424242461</v>
      </c>
      <c r="AR207" s="2">
        <f>Table83[[#This Row],[Weight]]-Table7[[#This Row],[Weight v Cardio]]</f>
        <v>8.2075757575753698</v>
      </c>
      <c r="AS207" s="2">
        <f>Table7[[#This Row],[WC Res]]^2</f>
        <v>67.3642998163389</v>
      </c>
      <c r="AT207">
        <f>Regression!$Q$10+(Regression!$Q$9*Table83[[#This Row],[Calories]])</f>
        <v>253.94853547992884</v>
      </c>
      <c r="AU207" s="2">
        <f>Table83[[#This Row],[Weight]]-Table7[[#This Row],[Weight v Calories]]</f>
        <v>8.4514645200711414</v>
      </c>
      <c r="AV207" s="2">
        <f>Table7[[#This Row],[WCAL Res]]^2</f>
        <v>71.427252534021321</v>
      </c>
      <c r="AW207">
        <f>Regression!$R$10+(Regression!$R$9*Table83[[#This Row],[Carbs]])</f>
        <v>253.64516577446349</v>
      </c>
      <c r="AX207" s="2">
        <f>Table83[[#This Row],[Weight]]-Table7[[#This Row],[Weight v Carbs]]</f>
        <v>8.7548342255364844</v>
      </c>
      <c r="AY207" s="2">
        <f>Table7[[#This Row],[Wcarb Res]]^2</f>
        <v>76.647122316625016</v>
      </c>
      <c r="AZ207">
        <f>Regression!$S$10+(Regression!$S$9*Table83[[#This Row],[Fat ]])</f>
        <v>254.4507087053984</v>
      </c>
      <c r="BA207" s="2">
        <f>Table83[[#This Row],[Weight]]-Table7[[#This Row],[Weight v Fat]]</f>
        <v>7.9492912946015792</v>
      </c>
      <c r="BB207" s="2">
        <f>Table7[[#This Row],[WF Res]]^2</f>
        <v>63.19123208642845</v>
      </c>
      <c r="BC207">
        <f>Regression!$T$10+(Regression!$T$9*Table83[[#This Row],[Protein]])</f>
        <v>254.94925253331405</v>
      </c>
      <c r="BD207" s="2">
        <f>Table83[[#This Row],[Weight]]-Table7[[#This Row],[Weight v Protein]]</f>
        <v>7.4507474666859252</v>
      </c>
      <c r="BE207" s="2">
        <f>Table7[[#This Row],[WP Res]]^2</f>
        <v>55.513637812326735</v>
      </c>
      <c r="BF207">
        <f>Regression!$U$10+(Regression!$U$9*Table83[[#This Row],[Fiber]])</f>
        <v>254.98432168028484</v>
      </c>
      <c r="BG207" s="2">
        <f>Table83[[#This Row],[Weight]]-Table7[[#This Row],[Weight v Fiber]]</f>
        <v>7.4156783197151412</v>
      </c>
      <c r="BH207" s="2">
        <f>Table7[[#This Row],[Wfib Res]]^2</f>
        <v>54.992284941493182</v>
      </c>
      <c r="BI207">
        <f>Regression!$V$10+(Regression!$V$9*Table83[[#This Row],[Sugar]])</f>
        <v>252.40871224230477</v>
      </c>
      <c r="BJ207" s="2">
        <f>Table83[[#This Row],[Weight]]-Table7[[#This Row],[Weight v Sugar]]</f>
        <v>9.9912877576952042</v>
      </c>
      <c r="BK207" s="2">
        <f>Table7[[#This Row],[Wsugar Res]]^2</f>
        <v>99.825831057070062</v>
      </c>
      <c r="BL207">
        <f>Regression!$W$10+(Regression!$W$9*Table83[[#This Row],[Servings]])</f>
        <v>251.92077274995293</v>
      </c>
      <c r="BM207" s="2">
        <f>Table83[[#This Row],[Weight]]-Table7[[#This Row],[Weight v Servings]]</f>
        <v>10.479227250047046</v>
      </c>
      <c r="BN207" s="2">
        <f>Table7[[#This Row],[Wserv Res]]^2</f>
        <v>109.81420375812857</v>
      </c>
      <c r="BO207">
        <f>Regression!$X$10+(Regression!$X$9*Table83[[#This Row],[Water]])</f>
        <v>255.0206340268538</v>
      </c>
      <c r="BP207" s="2">
        <f>Table83[[#This Row],[Weight]]-Table7[[#This Row],[Weight v Water]]</f>
        <v>7.3793659731461787</v>
      </c>
      <c r="BQ207" s="2">
        <f>Table7[[#This Row],[Wwater Res]]^2</f>
        <v>54.455042165627646</v>
      </c>
      <c r="BR207">
        <f>Regression!$Y$10+(Regression!$Y$9*Table83[[#This Row],[Fat Calories]])</f>
        <v>254.4031624998216</v>
      </c>
      <c r="BS207" s="2">
        <f>Table83[[#This Row],[Weight]]-Table7[[#This Row],[Weight v Fat Calories]]</f>
        <v>7.9968375001783727</v>
      </c>
      <c r="BT207" s="2">
        <f>Table7[[#This Row],[WFC Res]]^2</f>
        <v>63.949410004259086</v>
      </c>
      <c r="BU207">
        <f>Regression!$B$29+(Regression!$B$28*Table83[[#This Row],[Weight]])</f>
        <v>45.446206183196516</v>
      </c>
      <c r="BV207" s="2">
        <f>Table83[[#This Row],[Waist]]-Table7[[#This Row],[Waist v Weight]]</f>
        <v>5.3793816803484162E-2</v>
      </c>
      <c r="BW207" s="2">
        <f>Table7[[#This Row],[WaistW Res]]^2</f>
        <v>2.893774726286815E-3</v>
      </c>
      <c r="BX207">
        <f>Regression!$C$29+(Regression!$C$28*Table83[[#This Row],[Neck]])</f>
        <v>44.175585585585594</v>
      </c>
      <c r="BY207" s="2">
        <f>Table83[[#This Row],[Waist]]-Table7[[#This Row],[Waist v Neck]]</f>
        <v>1.3244144144144059</v>
      </c>
      <c r="BZ207" s="2">
        <f>Table7[[#This Row],[WaistN Res]]^2</f>
        <v>1.7540735411086537</v>
      </c>
      <c r="CA207">
        <f>Regression!$D$29+(Regression!$D$28*Table83[[#This Row],[Morning Body Temp]])</f>
        <v>44.649066062515985</v>
      </c>
      <c r="CB207" s="2">
        <f>Table83[[#This Row],[Waist]]-Table7[[#This Row],[Waist v Morning Temp]]</f>
        <v>0.85093393748401525</v>
      </c>
      <c r="CC207" s="2">
        <f>Table7[[#This Row],[WaistMT Res]]^2</f>
        <v>0.72408856596204996</v>
      </c>
      <c r="CD207">
        <f>Regression!$E$29+(Regression!$E$28*Table83[[#This Row],[Morning Systolic Pressure]])</f>
        <v>44.460475132636631</v>
      </c>
      <c r="CE207" s="2">
        <f>Table83[[#This Row],[Waist]]-Table7[[#This Row],[Waist v Morning Sys]]</f>
        <v>1.0395248673633688</v>
      </c>
      <c r="CF207" s="2">
        <f>Table7[[#This Row],[WaistMS Res]]^2</f>
        <v>1.0806119498668294</v>
      </c>
      <c r="CG207">
        <f>Regression!$F$29+(Regression!$F$28*Table83[[#This Row],[Morning Diastolic Pressure]])</f>
        <v>44.531715357508219</v>
      </c>
      <c r="CH207" s="2">
        <f>Table83[[#This Row],[Waist]]-Table7[[#This Row],[Waist v Morning Dia]]</f>
        <v>0.96828464249178126</v>
      </c>
      <c r="CI207" s="2">
        <f>Table7[[#This Row],[WaistMD Res]]^2</f>
        <v>0.93757514888543669</v>
      </c>
      <c r="CJ207">
        <f>Regression!$G$29+(Regression!$G$28*Table83[[#This Row],[Morning Pulse]])</f>
        <v>44.445341671770059</v>
      </c>
      <c r="CK207" s="2">
        <f>Table83[[#This Row],[Waist]]-Table7[[#This Row],[Waist v Morning Pulse]]</f>
        <v>1.0546583282299409</v>
      </c>
      <c r="CL207" s="2">
        <f>Table7[[#This Row],[WaistMP Res]]^2</f>
        <v>1.1123041893047738</v>
      </c>
      <c r="CM207">
        <f>Regression!$H$29+(Regression!$H$28*Table83[[#This Row],[Night Body Temp]])</f>
        <v>44.497535497488492</v>
      </c>
      <c r="CN207" s="2">
        <f>Table83[[#This Row],[Waist]]-Table7[[#This Row],[Waist v Night Temp]]</f>
        <v>1.0024645025115078</v>
      </c>
      <c r="CO207" s="2">
        <f>Table7[[#This Row],[WaistNT Res]]^2</f>
        <v>1.0049350787956448</v>
      </c>
      <c r="CP207">
        <f>Regression!$I$29+(Regression!$I$28*Table83[[#This Row],[Night Systolic Pressure]])</f>
        <v>44.369258629351535</v>
      </c>
      <c r="CQ207" s="2">
        <f>Table83[[#This Row],[Waist]]-Table7[[#This Row],[Waist v  Night Sys]]</f>
        <v>1.1307413706484652</v>
      </c>
      <c r="CR207" s="2">
        <f>Table7[[#This Row],[WaistNS Res]]^2</f>
        <v>1.27857604729597</v>
      </c>
      <c r="CS207">
        <f>Regression!$J$29+(Regression!$J$28*Table83[[#This Row],[Night Diastolic Pressure]])</f>
        <v>44.324548449494195</v>
      </c>
      <c r="CT207" s="2">
        <f>Table83[[#This Row],[Waist]]-Table7[[#This Row],[Waist v Night Dia]]</f>
        <v>1.1754515505058052</v>
      </c>
      <c r="CU207" s="2">
        <f>Table7[[#This Row],[WaistND Res]]^2</f>
        <v>1.3816863475865016</v>
      </c>
      <c r="CV207">
        <f>Regression!$K$29+(Regression!$K$28*Table83[[#This Row],[Night Pulse]])</f>
        <v>44.433997655766582</v>
      </c>
      <c r="CW207" s="2">
        <f>Table83[[#This Row],[Waist]]-Table7[[#This Row],[Waist v Night Pulse]]</f>
        <v>1.0660023442334179</v>
      </c>
      <c r="CX207" s="2">
        <f>Table7[[#This Row],[WaistNP Res]]^2</f>
        <v>1.1363609979111424</v>
      </c>
      <c r="CY207">
        <f>Regression!$L$29+(Regression!$L$28*Table83[[#This Row],[Sleep]])</f>
        <v>44.432842368860271</v>
      </c>
      <c r="CZ207" s="2">
        <f>Table83[[#This Row],[Waist]]-Table7[[#This Row],[Waist v  Sleep]]</f>
        <v>1.0671576311397288</v>
      </c>
      <c r="DA207" s="2">
        <f>Table7[[#This Row],[WaistS Res]]^2</f>
        <v>1.1388254096997577</v>
      </c>
      <c r="DB207">
        <f>Regression!$M$29+(Regression!$M$28*Table83[[#This Row],[BMI]])</f>
        <v>45.446206183193354</v>
      </c>
      <c r="DC207" s="2">
        <f>Table83[[#This Row],[Waist]]-Table7[[#This Row],[Waist v BMI]]</f>
        <v>5.3793816806646078E-2</v>
      </c>
      <c r="DD207" s="2">
        <f>Table7[[#This Row],[WaistBMI Res]]^2</f>
        <v>2.8937747266269982E-3</v>
      </c>
      <c r="DE207">
        <f>Regression!$N$29+(Regression!$N$28*Table83[[#This Row],[CBF]])</f>
        <v>45.737892076427137</v>
      </c>
      <c r="DF207" s="2">
        <f>Table83[[#This Row],[Waist]]-Table7[[#This Row],[Waist v  CBF]]</f>
        <v>-0.23789207642713706</v>
      </c>
      <c r="DG207" s="2">
        <f>Table7[[#This Row],[WaistCBF Res]]^2</f>
        <v>5.6592640026814821E-2</v>
      </c>
      <c r="DH207">
        <f>Regression!$O$29+(Regression!$O$28*Table83[[#This Row],[Gym]])</f>
        <v>44.347222222222221</v>
      </c>
      <c r="DI207" s="2">
        <f>Table83[[#This Row],[Waist]]-Table7[[#This Row],[Waist v  Gym]]</f>
        <v>1.1527777777777786</v>
      </c>
      <c r="DJ207" s="2">
        <f>Table7[[#This Row],[WaistGYM Res]]^2</f>
        <v>1.3288966049382733</v>
      </c>
      <c r="DK207">
        <f>Regression!$P$29+(Regression!$P$28*Table83[[#This Row],[Cardio]])</f>
        <v>44.291666666666664</v>
      </c>
      <c r="DL207" s="2">
        <f>Table83[[#This Row],[Waist]]-Table7[[#This Row],[Waist v Cardio]]</f>
        <v>1.2083333333333357</v>
      </c>
      <c r="DM207" s="2">
        <f>Table7[[#This Row],[WaistC Res]]^2</f>
        <v>1.4600694444444502</v>
      </c>
      <c r="DN207">
        <f>Regression!$Q$29+(Regression!$Q$28*Table83[[#This Row],[Calories]])</f>
        <v>44.191451175642165</v>
      </c>
      <c r="DO207" s="2">
        <f>Table83[[#This Row],[Waist]]-Table7[[#This Row],[Waist v Calories]]</f>
        <v>1.3085488243578354</v>
      </c>
      <c r="DP207" s="2">
        <f>Table7[[#This Row],[WaistCal Res]]^2</f>
        <v>1.712300025728273</v>
      </c>
      <c r="DQ207">
        <f>Regression!$R$29+(Regression!$R$28*Table83[[#This Row],[Carbs]])</f>
        <v>44.147520126045272</v>
      </c>
      <c r="DR207" s="2">
        <f>Table83[[#This Row],[Waist]]-Table7[[#This Row],[Waist v Carbs]]</f>
        <v>1.3524798739547279</v>
      </c>
      <c r="DS207" s="2">
        <f>Table7[[#This Row],[WaistCarb Res]]^2</f>
        <v>1.8292018094525966</v>
      </c>
      <c r="DT207">
        <f>Regression!$S$29+(Regression!$S$28*Table83[[#This Row],[Fat ]])</f>
        <v>44.250466506840986</v>
      </c>
      <c r="DU207" s="2">
        <f>Table83[[#This Row],[Waist]]-Table7[[#This Row],[Waist v Fat]]</f>
        <v>1.2495334931590136</v>
      </c>
      <c r="DV207" s="2">
        <f>Table7[[#This Row],[WaistF Res]]^2</f>
        <v>1.5613339505261667</v>
      </c>
      <c r="DW207">
        <f>Regression!$T$29+(Regression!$T$28*Table83[[#This Row],[Protein]])</f>
        <v>44.42319378068624</v>
      </c>
      <c r="DX207" s="2">
        <f>Table83[[#This Row],[Waist]]-Table7[[#This Row],[Waist v Protein]]</f>
        <v>1.0768062193137595</v>
      </c>
      <c r="DY207" s="2">
        <f>Table7[[#This Row],[WaistP Res]]^2</f>
        <v>1.1595116339527924</v>
      </c>
      <c r="DZ207">
        <f>Regression!$U$29+(Regression!$U$28*Table83[[#This Row],[Fiber]])</f>
        <v>44.403099219334713</v>
      </c>
      <c r="EA207" s="2">
        <f>Table83[[#This Row],[Waist]]-Table7[[#This Row],[Waist v Fiber]]</f>
        <v>1.0969007806652868</v>
      </c>
      <c r="EB207" s="2">
        <f>Table7[[#This Row],[WaistFib Res]]^2</f>
        <v>1.2031913226241158</v>
      </c>
      <c r="EC207">
        <f>Regression!$V$29+(Regression!$V$28*Table83[[#This Row],[Sugar]])</f>
        <v>43.967377462017531</v>
      </c>
      <c r="ED207" s="2">
        <f>Table83[[#This Row],[Waist]]-Table7[[#This Row],[Waist v Sugar]]</f>
        <v>1.5326225379824692</v>
      </c>
      <c r="EE207" s="2">
        <f>Table7[[#This Row],[WaistSugar Res]]^2</f>
        <v>2.3489318439318252</v>
      </c>
      <c r="EF207">
        <f>Regression!$W$29+(Regression!$W$28*Table83[[#This Row],[Servings]])</f>
        <v>43.966147208987579</v>
      </c>
      <c r="EG207" s="2">
        <f>Table83[[#This Row],[Waist]]-Table7[[#This Row],[Waist v Servings]]</f>
        <v>1.5338527910124213</v>
      </c>
      <c r="EH207" s="2">
        <f>Table7[[#This Row],[WaistServ Res]]^2</f>
        <v>2.3527043844965947</v>
      </c>
      <c r="EI207">
        <f>Regression!$X$29+(Regression!$X$28*Table83[[#This Row],[Water]])</f>
        <v>44.33031459742935</v>
      </c>
      <c r="EJ207" s="2">
        <f>Table83[[#This Row],[Waist]]-Table7[[#This Row],[Waist v Water]]</f>
        <v>1.16968540257065</v>
      </c>
      <c r="EK207" s="2">
        <f>Table7[[#This Row],[WaistWat Res]]^2</f>
        <v>1.3681639409868636</v>
      </c>
      <c r="EL207">
        <f>Regression!$Y$29+(Regression!$Y$28*Table83[[#This Row],[Fat Calories]])</f>
        <v>44.237036104288094</v>
      </c>
      <c r="EM207" s="2">
        <f>Table83[[#This Row],[Waist]]-Table7[[#This Row],[Waist v Fat Calories]]</f>
        <v>1.2629638957119056</v>
      </c>
      <c r="EN207" s="2">
        <f>Table7[[#This Row],[WaistFatCal Res]]^2</f>
        <v>1.595077801871793</v>
      </c>
    </row>
    <row r="208" spans="1:144" x14ac:dyDescent="0.25">
      <c r="A208">
        <f>Regression!$B$10+(Regression!$B$9*Table83[[#This Row],[Waist]])</f>
        <v>263.94216992155748</v>
      </c>
      <c r="B208" s="2">
        <f>Table83[[#This Row],[Weight]]-Table7[[#This Row],[Weight v Waist]]</f>
        <v>1.2578300784425096</v>
      </c>
      <c r="C208" s="2">
        <f>Table7[[#This Row],[Weight v Waist Res]]^2</f>
        <v>1.5821365062346899</v>
      </c>
      <c r="D208">
        <f>Regression!$C$10+(Regression!$C$9*Table83[[#This Row],[Neck]])</f>
        <v>253.29286486487842</v>
      </c>
      <c r="E208" s="2">
        <f>Table83[[#This Row],[Weight]]-Table7[[#This Row],[Weight v Neck]]</f>
        <v>11.907135135121564</v>
      </c>
      <c r="F208" s="2">
        <f>Table7[[#This Row],[WN Res]]^2</f>
        <v>141.77986712604641</v>
      </c>
      <c r="G208">
        <f>Regression!$D$10+(Regression!$D$9*Table83[[#This Row],[Morning Body Temp]])</f>
        <v>255.27076211175142</v>
      </c>
      <c r="H208" s="2">
        <f>Table83[[#This Row],[Weight]]-Table7[[#This Row],[Weight v Morning Temp]]</f>
        <v>9.929237888248565</v>
      </c>
      <c r="I208" s="2">
        <f>Table7[[#This Row],[WMT Res]]^2</f>
        <v>98.589765041430823</v>
      </c>
      <c r="J208">
        <f>Regression!$E$10+(Regression!$E$9*Table83[[#This Row],[Morning Systolic Pressure]])</f>
        <v>254.1528653476243</v>
      </c>
      <c r="K208" s="2">
        <f>Table83[[#This Row],[Weight]]-Table7[[#This Row],[Weight v Morning Sys]]</f>
        <v>11.047134652375689</v>
      </c>
      <c r="L208" s="2">
        <f>Table7[[#This Row],[WMS Res]]^2</f>
        <v>122.03918402771974</v>
      </c>
      <c r="M208">
        <f>Regression!$F$10+(Regression!$F$9*Table83[[#This Row],[Morning Diastolic Pressure]])</f>
        <v>255.81144964056082</v>
      </c>
      <c r="N208" s="2">
        <f>Table83[[#This Row],[Weight]]-Table7[[#This Row],[Weight v Morning Dia]]</f>
        <v>9.388550359439165</v>
      </c>
      <c r="O208" s="2">
        <f>Table7[[#This Row],[WMD Res]]^2</f>
        <v>88.144877851725269</v>
      </c>
      <c r="P208">
        <f>Regression!$G$10+(Regression!$G$9*Table83[[#This Row],[Morning Pulse]])</f>
        <v>255.09902272834094</v>
      </c>
      <c r="Q208" s="2">
        <f>Table83[[#This Row],[Weight]]-Table7[[#This Row],[Weight v Morning Pulse]]</f>
        <v>10.100977271659048</v>
      </c>
      <c r="R208" s="2">
        <f>Table7[[#This Row],[WMP Res]]^2</f>
        <v>102.02974184257266</v>
      </c>
      <c r="S208">
        <f>Regression!$H$10+(Regression!$H$9*Table83[[#This Row],[Night Body Temp]])</f>
        <v>255.98114895282362</v>
      </c>
      <c r="T208" s="2">
        <f>Table83[[#This Row],[Weight]]-Table7[[#This Row],[Weight v Night Temp]]</f>
        <v>9.218851047176372</v>
      </c>
      <c r="U208" s="2">
        <f>Table7[[#This Row],[WNT Res]]^2</f>
        <v>84.987214630024894</v>
      </c>
      <c r="V208">
        <f>Regression!$I$10+(Regression!$I$9*Table83[[#This Row],[Night Systolic Pressure]])</f>
        <v>254.93064689108181</v>
      </c>
      <c r="W208" s="2">
        <f>Table83[[#This Row],[Weight]]-Table7[[#This Row],[Weight v Night Sys]]</f>
        <v>10.269353108918182</v>
      </c>
      <c r="X208" s="2">
        <f>Table7[[#This Row],[WNS Res]]^2</f>
        <v>105.45961327564753</v>
      </c>
      <c r="Y208">
        <f>Regression!$J$10+(Regression!$J$9*Table83[[#This Row],[Night Diastolic Pressure]])</f>
        <v>254.97001876899779</v>
      </c>
      <c r="Z208" s="2">
        <f>Table83[[#This Row],[Weight]]-Table7[[#This Row],[Weight v Night Dia]]</f>
        <v>10.229981231002199</v>
      </c>
      <c r="AA208" s="2">
        <f>Table7[[#This Row],[WND Res]]^2</f>
        <v>104.65251598665726</v>
      </c>
      <c r="AB208">
        <f>Regression!$K$10+(Regression!$K$9*Table83[[#This Row],[Night Pulse]])</f>
        <v>255.07943852750452</v>
      </c>
      <c r="AC208" s="2">
        <f>Table83[[#This Row],[Weight]]-Table7[[#This Row],[Weight v Night Pulse]]</f>
        <v>10.120561472495467</v>
      </c>
      <c r="AD208" s="2">
        <f>Table7[[#This Row],[WNP Res ]]^2</f>
        <v>102.42576451855962</v>
      </c>
      <c r="AE208">
        <f>Regression!$L$10+(Regression!$L$9*Table83[[#This Row],[Sleep]])</f>
        <v>255.29476681906823</v>
      </c>
      <c r="AF208" s="2">
        <f>Table83[[#This Row],[Weight]]-Table7[[#This Row],[Weight v Sleep]]</f>
        <v>9.9052331809317593</v>
      </c>
      <c r="AG208" s="2">
        <f>Table7[[#This Row],[WS Res]]^2</f>
        <v>98.113644368631498</v>
      </c>
      <c r="AH208">
        <f>Regression!$M$10+(Regression!$M$9*Table83[[#This Row],[BMI]])</f>
        <v>265.19999999997742</v>
      </c>
      <c r="AI208" s="2">
        <f>Table83[[#This Row],[Weight]]-Table7[[#This Row],[Weight v BMI]]</f>
        <v>2.2566837287740782E-11</v>
      </c>
      <c r="AJ208" s="2">
        <f>Table7[[#This Row],[WBMI Res]]^2</f>
        <v>5.0926214517136773E-22</v>
      </c>
      <c r="AK208">
        <f>Regression!$N$10+(Regression!$N$9*Table83[[#This Row],[CBF]])</f>
        <v>265.16619945865489</v>
      </c>
      <c r="AL208" s="2">
        <f>Table83[[#This Row],[Weight]]-Table7[[#This Row],[Weight v CBF]]</f>
        <v>3.3800541345101465E-2</v>
      </c>
      <c r="AM208" s="2">
        <f>Table7[[#This Row],[WCBF Res]]^2</f>
        <v>1.1424765952219135E-3</v>
      </c>
      <c r="AN208">
        <f>Regression!$O$10+(Regression!$O$9*Table83[[#This Row],[Gym]])</f>
        <v>254.72962962962998</v>
      </c>
      <c r="AO208" s="2">
        <f>Table83[[#This Row],[Weight]]-Table7[[#This Row],[Weight v Gym]]</f>
        <v>10.470370370370006</v>
      </c>
      <c r="AP208" s="2">
        <f>Table7[[#This Row],[WG Res]]^2</f>
        <v>109.62865569272213</v>
      </c>
      <c r="AQ208">
        <f>Regression!$P$10+(Regression!$P$9*Table83[[#This Row],[Cardio]])</f>
        <v>254.19242424242461</v>
      </c>
      <c r="AR208" s="2">
        <f>Table83[[#This Row],[Weight]]-Table7[[#This Row],[Weight v Cardio]]</f>
        <v>11.007575757575381</v>
      </c>
      <c r="AS208" s="2">
        <f>Table7[[#This Row],[WC Res]]^2</f>
        <v>121.16672405876123</v>
      </c>
      <c r="AT208">
        <f>Regression!$Q$10+(Regression!$Q$9*Table83[[#This Row],[Calories]])</f>
        <v>255.87569508411028</v>
      </c>
      <c r="AU208" s="2">
        <f>Table83[[#This Row],[Weight]]-Table7[[#This Row],[Weight v Calories]]</f>
        <v>9.3243049158897122</v>
      </c>
      <c r="AV208" s="2">
        <f>Table7[[#This Row],[WCAL Res]]^2</f>
        <v>86.942662164485057</v>
      </c>
      <c r="AW208">
        <f>Regression!$R$10+(Regression!$R$9*Table83[[#This Row],[Carbs]])</f>
        <v>256.05436797174769</v>
      </c>
      <c r="AX208" s="2">
        <f>Table83[[#This Row],[Weight]]-Table7[[#This Row],[Weight v Carbs]]</f>
        <v>9.1456320282522938</v>
      </c>
      <c r="AY208" s="2">
        <f>Table7[[#This Row],[Wcarb Res]]^2</f>
        <v>83.642585196194162</v>
      </c>
      <c r="AZ208">
        <f>Regression!$S$10+(Regression!$S$9*Table83[[#This Row],[Fat ]])</f>
        <v>255.45586327567176</v>
      </c>
      <c r="BA208" s="2">
        <f>Table83[[#This Row],[Weight]]-Table7[[#This Row],[Weight v Fat]]</f>
        <v>9.7441367243282286</v>
      </c>
      <c r="BB208" s="2">
        <f>Table7[[#This Row],[WF Res]]^2</f>
        <v>94.948200502402059</v>
      </c>
      <c r="BC208">
        <f>Regression!$T$10+(Regression!$T$9*Table83[[#This Row],[Protein]])</f>
        <v>255.65262157301345</v>
      </c>
      <c r="BD208" s="2">
        <f>Table83[[#This Row],[Weight]]-Table7[[#This Row],[Weight v Protein]]</f>
        <v>9.5473784269865405</v>
      </c>
      <c r="BE208" s="2">
        <f>Table7[[#This Row],[WP Res]]^2</f>
        <v>91.152434828087991</v>
      </c>
      <c r="BF208">
        <f>Regression!$U$10+(Regression!$U$9*Table83[[#This Row],[Fiber]])</f>
        <v>255.20598269209597</v>
      </c>
      <c r="BG208" s="2">
        <f>Table83[[#This Row],[Weight]]-Table7[[#This Row],[Weight v Fiber]]</f>
        <v>9.9940173079040164</v>
      </c>
      <c r="BH208" s="2">
        <f>Table7[[#This Row],[Wfib Res]]^2</f>
        <v>99.880381950685049</v>
      </c>
      <c r="BI208">
        <f>Regression!$V$10+(Regression!$V$9*Table83[[#This Row],[Sugar]])</f>
        <v>256.701281515348</v>
      </c>
      <c r="BJ208" s="2">
        <f>Table83[[#This Row],[Weight]]-Table7[[#This Row],[Weight v Sugar]]</f>
        <v>8.4987184846519881</v>
      </c>
      <c r="BK208" s="2">
        <f>Table7[[#This Row],[Wsugar Res]]^2</f>
        <v>72.228215881365387</v>
      </c>
      <c r="BL208">
        <f>Regression!$W$10+(Regression!$W$9*Table83[[#This Row],[Servings]])</f>
        <v>256.68091762649146</v>
      </c>
      <c r="BM208" s="2">
        <f>Table83[[#This Row],[Weight]]-Table7[[#This Row],[Weight v Servings]]</f>
        <v>8.5190823735085246</v>
      </c>
      <c r="BN208" s="2">
        <f>Table7[[#This Row],[Wserv Res]]^2</f>
        <v>72.574764486623636</v>
      </c>
      <c r="BO208">
        <f>Regression!$X$10+(Regression!$X$9*Table83[[#This Row],[Water]])</f>
        <v>255.0206340268538</v>
      </c>
      <c r="BP208" s="2">
        <f>Table83[[#This Row],[Weight]]-Table7[[#This Row],[Weight v Water]]</f>
        <v>10.17936597314619</v>
      </c>
      <c r="BQ208" s="2">
        <f>Table7[[#This Row],[Wwater Res]]^2</f>
        <v>103.61949161524647</v>
      </c>
      <c r="BR208">
        <f>Regression!$Y$10+(Regression!$Y$9*Table83[[#This Row],[Fat Calories]])</f>
        <v>255.47289982798281</v>
      </c>
      <c r="BS208" s="2">
        <f>Table83[[#This Row],[Weight]]-Table7[[#This Row],[Weight v Fat Calories]]</f>
        <v>9.7271001720171739</v>
      </c>
      <c r="BT208" s="2">
        <f>Table7[[#This Row],[WFC Res]]^2</f>
        <v>94.616477756456533</v>
      </c>
      <c r="BU208">
        <f>Regression!$B$29+(Regression!$B$28*Table83[[#This Row],[Weight]])</f>
        <v>45.827741212792461</v>
      </c>
      <c r="BV208" s="2">
        <f>Table83[[#This Row],[Waist]]-Table7[[#This Row],[Waist v Weight]]</f>
        <v>0.1722587872075394</v>
      </c>
      <c r="BW208" s="2">
        <f>Table7[[#This Row],[WaistW Res]]^2</f>
        <v>2.9673089770212338E-2</v>
      </c>
      <c r="BX208">
        <f>Regression!$C$29+(Regression!$C$28*Table83[[#This Row],[Neck]])</f>
        <v>44.175585585585594</v>
      </c>
      <c r="BY208" s="2">
        <f>Table83[[#This Row],[Waist]]-Table7[[#This Row],[Waist v Neck]]</f>
        <v>1.8244144144144059</v>
      </c>
      <c r="BZ208" s="2">
        <f>Table7[[#This Row],[WaistN Res]]^2</f>
        <v>3.3284879555230593</v>
      </c>
      <c r="CA208">
        <f>Regression!$D$29+(Regression!$D$28*Table83[[#This Row],[Morning Body Temp]])</f>
        <v>44.495891557108962</v>
      </c>
      <c r="CB208" s="2">
        <f>Table83[[#This Row],[Waist]]-Table7[[#This Row],[Waist v Morning Temp]]</f>
        <v>1.5041084428910381</v>
      </c>
      <c r="CC208" s="2">
        <f>Table7[[#This Row],[WaistMT Res]]^2</f>
        <v>2.2623422079761033</v>
      </c>
      <c r="CD208">
        <f>Regression!$E$29+(Regression!$E$28*Table83[[#This Row],[Morning Systolic Pressure]])</f>
        <v>44.227486217303237</v>
      </c>
      <c r="CE208" s="2">
        <f>Table83[[#This Row],[Waist]]-Table7[[#This Row],[Waist v Morning Sys]]</f>
        <v>1.7725137826967625</v>
      </c>
      <c r="CF208" s="2">
        <f>Table7[[#This Row],[WaistMS Res]]^2</f>
        <v>3.1418051098499857</v>
      </c>
      <c r="CG208">
        <f>Regression!$F$29+(Regression!$F$28*Table83[[#This Row],[Morning Diastolic Pressure]])</f>
        <v>44.492266012826242</v>
      </c>
      <c r="CH208" s="2">
        <f>Table83[[#This Row],[Waist]]-Table7[[#This Row],[Waist v Morning Dia]]</f>
        <v>1.5077339871737578</v>
      </c>
      <c r="CI208" s="2">
        <f>Table7[[#This Row],[WaistMD Res]]^2</f>
        <v>2.2732617760788774</v>
      </c>
      <c r="CJ208">
        <f>Regression!$G$29+(Regression!$G$28*Table83[[#This Row],[Morning Pulse]])</f>
        <v>44.446181174343671</v>
      </c>
      <c r="CK208" s="2">
        <f>Table83[[#This Row],[Waist]]-Table7[[#This Row],[Waist v Morning Pulse]]</f>
        <v>1.5538188256563288</v>
      </c>
      <c r="CL208" s="2">
        <f>Table7[[#This Row],[WaistMP Res]]^2</f>
        <v>2.4143529429640127</v>
      </c>
      <c r="CM208">
        <f>Regression!$H$29+(Regression!$H$28*Table83[[#This Row],[Night Body Temp]])</f>
        <v>44.521826268903155</v>
      </c>
      <c r="CN208" s="2">
        <f>Table83[[#This Row],[Waist]]-Table7[[#This Row],[Waist v Night Temp]]</f>
        <v>1.4781737310968452</v>
      </c>
      <c r="CO208" s="2">
        <f>Table7[[#This Row],[WaistNT Res]]^2</f>
        <v>2.1849975793047687</v>
      </c>
      <c r="CP208">
        <f>Regression!$I$29+(Regression!$I$28*Table83[[#This Row],[Night Systolic Pressure]])</f>
        <v>44.427419086653984</v>
      </c>
      <c r="CQ208" s="2">
        <f>Table83[[#This Row],[Waist]]-Table7[[#This Row],[Waist v  Night Sys]]</f>
        <v>1.572580913346016</v>
      </c>
      <c r="CR208" s="2">
        <f>Table7[[#This Row],[WaistNS Res]]^2</f>
        <v>2.4730107290201899</v>
      </c>
      <c r="CS208">
        <f>Regression!$J$29+(Regression!$J$28*Table83[[#This Row],[Night Diastolic Pressure]])</f>
        <v>44.392820230323963</v>
      </c>
      <c r="CT208" s="2">
        <f>Table83[[#This Row],[Waist]]-Table7[[#This Row],[Waist v Night Dia]]</f>
        <v>1.607179769676037</v>
      </c>
      <c r="CU208" s="2">
        <f>Table7[[#This Row],[WaistND Res]]^2</f>
        <v>2.5830268120559197</v>
      </c>
      <c r="CV208">
        <f>Regression!$K$29+(Regression!$K$28*Table83[[#This Row],[Night Pulse]])</f>
        <v>44.456851626254306</v>
      </c>
      <c r="CW208" s="2">
        <f>Table83[[#This Row],[Waist]]-Table7[[#This Row],[Waist v Night Pulse]]</f>
        <v>1.5431483737456944</v>
      </c>
      <c r="CX208" s="2">
        <f>Table7[[#This Row],[WaistNP Res]]^2</f>
        <v>2.3813069033939813</v>
      </c>
      <c r="CY208">
        <f>Regression!$L$29+(Regression!$L$28*Table83[[#This Row],[Sleep]])</f>
        <v>44.480941336855928</v>
      </c>
      <c r="CZ208" s="2">
        <f>Table83[[#This Row],[Waist]]-Table7[[#This Row],[Waist v  Sleep]]</f>
        <v>1.5190586631440723</v>
      </c>
      <c r="DA208" s="2">
        <f>Table7[[#This Row],[WaistS Res]]^2</f>
        <v>2.3075392220730562</v>
      </c>
      <c r="DB208">
        <f>Regression!$M$29+(Regression!$M$28*Table83[[#This Row],[BMI]])</f>
        <v>45.827741212788098</v>
      </c>
      <c r="DC208" s="2">
        <f>Table83[[#This Row],[Waist]]-Table7[[#This Row],[Waist v BMI]]</f>
        <v>0.17225878721190213</v>
      </c>
      <c r="DD208" s="2">
        <f>Table7[[#This Row],[WaistBMI Res]]^2</f>
        <v>2.9673089771715379E-2</v>
      </c>
      <c r="DE208">
        <f>Regression!$N$29+(Regression!$N$28*Table83[[#This Row],[CBF]])</f>
        <v>46.263460020227768</v>
      </c>
      <c r="DF208" s="2">
        <f>Table83[[#This Row],[Waist]]-Table7[[#This Row],[Waist v  CBF]]</f>
        <v>-0.26346002022776815</v>
      </c>
      <c r="DG208" s="2">
        <f>Table7[[#This Row],[WaistCBF Res]]^2</f>
        <v>6.9411182258415999E-2</v>
      </c>
      <c r="DH208">
        <f>Regression!$O$29+(Regression!$O$28*Table83[[#This Row],[Gym]])</f>
        <v>44.347222222222221</v>
      </c>
      <c r="DI208" s="2">
        <f>Table83[[#This Row],[Waist]]-Table7[[#This Row],[Waist v  Gym]]</f>
        <v>1.6527777777777786</v>
      </c>
      <c r="DJ208" s="2">
        <f>Table7[[#This Row],[WaistGYM Res]]^2</f>
        <v>2.7316743827160521</v>
      </c>
      <c r="DK208">
        <f>Regression!$P$29+(Regression!$P$28*Table83[[#This Row],[Cardio]])</f>
        <v>44.291666666666664</v>
      </c>
      <c r="DL208" s="2">
        <f>Table83[[#This Row],[Waist]]-Table7[[#This Row],[Waist v Cardio]]</f>
        <v>1.7083333333333357</v>
      </c>
      <c r="DM208" s="2">
        <f>Table7[[#This Row],[WaistC Res]]^2</f>
        <v>2.9184027777777857</v>
      </c>
      <c r="DN208">
        <f>Regression!$Q$29+(Regression!$Q$28*Table83[[#This Row],[Calories]])</f>
        <v>44.624441194951395</v>
      </c>
      <c r="DO208" s="2">
        <f>Table83[[#This Row],[Waist]]-Table7[[#This Row],[Waist v Calories]]</f>
        <v>1.3755588050486054</v>
      </c>
      <c r="DP208" s="2">
        <f>Table7[[#This Row],[WaistCal Res]]^2</f>
        <v>1.8921620261467471</v>
      </c>
      <c r="DQ208">
        <f>Regression!$R$29+(Regression!$R$28*Table83[[#This Row],[Carbs]])</f>
        <v>44.649101270144541</v>
      </c>
      <c r="DR208" s="2">
        <f>Table83[[#This Row],[Waist]]-Table7[[#This Row],[Waist v Carbs]]</f>
        <v>1.3508987298554587</v>
      </c>
      <c r="DS208" s="2">
        <f>Table7[[#This Row],[WaistCarb Res]]^2</f>
        <v>1.8249273783250914</v>
      </c>
      <c r="DT208">
        <f>Regression!$S$29+(Regression!$S$28*Table83[[#This Row],[Fat ]])</f>
        <v>44.557720987178641</v>
      </c>
      <c r="DU208" s="2">
        <f>Table83[[#This Row],[Waist]]-Table7[[#This Row],[Waist v Fat]]</f>
        <v>1.4422790128213592</v>
      </c>
      <c r="DV208" s="2">
        <f>Table7[[#This Row],[WaistF Res]]^2</f>
        <v>2.0801687508249542</v>
      </c>
      <c r="DW208">
        <f>Regression!$T$29+(Regression!$T$28*Table83[[#This Row],[Protein]])</f>
        <v>44.551936442615286</v>
      </c>
      <c r="DX208" s="2">
        <f>Table83[[#This Row],[Waist]]-Table7[[#This Row],[Waist v Protein]]</f>
        <v>1.4480635573847138</v>
      </c>
      <c r="DY208" s="2">
        <f>Table7[[#This Row],[WaistP Res]]^2</f>
        <v>2.0968880662256724</v>
      </c>
      <c r="DZ208">
        <f>Regression!$U$29+(Regression!$U$28*Table83[[#This Row],[Fiber]])</f>
        <v>44.488629326800805</v>
      </c>
      <c r="EA208" s="2">
        <f>Table83[[#This Row],[Waist]]-Table7[[#This Row],[Waist v Fiber]]</f>
        <v>1.5113706731991954</v>
      </c>
      <c r="EB208" s="2">
        <f>Table7[[#This Row],[WaistFib Res]]^2</f>
        <v>2.2842413118065892</v>
      </c>
      <c r="EC208">
        <f>Regression!$V$29+(Regression!$V$28*Table83[[#This Row],[Sugar]])</f>
        <v>44.738489656779095</v>
      </c>
      <c r="ED208" s="2">
        <f>Table83[[#This Row],[Waist]]-Table7[[#This Row],[Waist v Sugar]]</f>
        <v>1.2615103432209054</v>
      </c>
      <c r="EE208" s="2">
        <f>Table7[[#This Row],[WaistSugar Res]]^2</f>
        <v>1.5914083460533266</v>
      </c>
      <c r="EF208">
        <f>Regression!$W$29+(Regression!$W$28*Table83[[#This Row],[Servings]])</f>
        <v>44.692466013155801</v>
      </c>
      <c r="EG208" s="2">
        <f>Table83[[#This Row],[Waist]]-Table7[[#This Row],[Waist v Servings]]</f>
        <v>1.3075339868441986</v>
      </c>
      <c r="EH208" s="2">
        <f>Table7[[#This Row],[WaistServ Res]]^2</f>
        <v>1.7096451267526851</v>
      </c>
      <c r="EI208">
        <f>Regression!$X$29+(Regression!$X$28*Table83[[#This Row],[Water]])</f>
        <v>44.33031459742935</v>
      </c>
      <c r="EJ208" s="2">
        <f>Table83[[#This Row],[Waist]]-Table7[[#This Row],[Waist v Water]]</f>
        <v>1.66968540257065</v>
      </c>
      <c r="EK208" s="2">
        <f>Table7[[#This Row],[WaistWat Res]]^2</f>
        <v>2.7878493435575136</v>
      </c>
      <c r="EL208">
        <f>Regression!$Y$29+(Regression!$Y$28*Table83[[#This Row],[Fat Calories]])</f>
        <v>44.562373999609868</v>
      </c>
      <c r="EM208" s="2">
        <f>Table83[[#This Row],[Waist]]-Table7[[#This Row],[Waist v Fat Calories]]</f>
        <v>1.4376260003901322</v>
      </c>
      <c r="EN208" s="2">
        <f>Table7[[#This Row],[WaistFatCal Res]]^2</f>
        <v>2.0667685169977283</v>
      </c>
    </row>
    <row r="209" spans="1:144" x14ac:dyDescent="0.25">
      <c r="A209">
        <f>Regression!$B$10+(Regression!$B$9*Table83[[#This Row],[Waist]])</f>
        <v>261.08819223590376</v>
      </c>
      <c r="B209" s="2">
        <f>Table83[[#This Row],[Weight]]-Table7[[#This Row],[Weight v Waist]]</f>
        <v>0.51180776409626105</v>
      </c>
      <c r="C209" s="2">
        <f>Table7[[#This Row],[Weight v Waist Res]]^2</f>
        <v>0.26194718738921402</v>
      </c>
      <c r="D209">
        <f>Regression!$C$10+(Regression!$C$9*Table83[[#This Row],[Neck]])</f>
        <v>253.29286486487842</v>
      </c>
      <c r="E209" s="2">
        <f>Table83[[#This Row],[Weight]]-Table7[[#This Row],[Weight v Neck]]</f>
        <v>8.3071351351215981</v>
      </c>
      <c r="F209" s="2">
        <f>Table7[[#This Row],[WN Res]]^2</f>
        <v>69.008494153171725</v>
      </c>
      <c r="G209">
        <f>Regression!$D$10+(Regression!$D$9*Table83[[#This Row],[Morning Body Temp]])</f>
        <v>255.3411606659738</v>
      </c>
      <c r="H209" s="2">
        <f>Table83[[#This Row],[Weight]]-Table7[[#This Row],[Weight v Morning Temp]]</f>
        <v>6.2588393340262201</v>
      </c>
      <c r="I209" s="2">
        <f>Table7[[#This Row],[WMT Res]]^2</f>
        <v>39.17306980915378</v>
      </c>
      <c r="J209">
        <f>Regression!$E$10+(Regression!$E$9*Table83[[#This Row],[Morning Systolic Pressure]])</f>
        <v>254.73886899784827</v>
      </c>
      <c r="K209" s="2">
        <f>Table83[[#This Row],[Weight]]-Table7[[#This Row],[Weight v Morning Sys]]</f>
        <v>6.8611310021517511</v>
      </c>
      <c r="L209" s="2">
        <f>Table7[[#This Row],[WMS Res]]^2</f>
        <v>47.075118628687889</v>
      </c>
      <c r="M209">
        <f>Regression!$F$10+(Regression!$F$9*Table83[[#This Row],[Morning Diastolic Pressure]])</f>
        <v>255.60876114247105</v>
      </c>
      <c r="N209" s="2">
        <f>Table83[[#This Row],[Weight]]-Table7[[#This Row],[Weight v Morning Dia]]</f>
        <v>5.9912388575289697</v>
      </c>
      <c r="O209" s="2">
        <f>Table7[[#This Row],[WMD Res]]^2</f>
        <v>35.894943047965036</v>
      </c>
      <c r="P209">
        <f>Regression!$G$10+(Regression!$G$9*Table83[[#This Row],[Morning Pulse]])</f>
        <v>255.12278407318442</v>
      </c>
      <c r="Q209" s="2">
        <f>Table83[[#This Row],[Weight]]-Table7[[#This Row],[Weight v Morning Pulse]]</f>
        <v>6.4772159268156031</v>
      </c>
      <c r="R209" s="2">
        <f>Table7[[#This Row],[WMP Res]]^2</f>
        <v>41.954326162593709</v>
      </c>
      <c r="S209">
        <f>Regression!$H$10+(Regression!$H$9*Table83[[#This Row],[Night Body Temp]])</f>
        <v>255.05687981848845</v>
      </c>
      <c r="T209" s="2">
        <f>Table83[[#This Row],[Weight]]-Table7[[#This Row],[Weight v Night Temp]]</f>
        <v>6.5431201815115685</v>
      </c>
      <c r="U209" s="2">
        <f>Table7[[#This Row],[WNT Res]]^2</f>
        <v>42.812421709703983</v>
      </c>
      <c r="V209">
        <f>Regression!$I$10+(Regression!$I$9*Table83[[#This Row],[Night Systolic Pressure]])</f>
        <v>253.2883295466263</v>
      </c>
      <c r="W209" s="2">
        <f>Table83[[#This Row],[Weight]]-Table7[[#This Row],[Weight v Night Sys]]</f>
        <v>8.311670453373722</v>
      </c>
      <c r="X209" s="2">
        <f>Table7[[#This Row],[WNS Res]]^2</f>
        <v>69.083865725485737</v>
      </c>
      <c r="Y209">
        <f>Regression!$J$10+(Regression!$J$9*Table83[[#This Row],[Night Diastolic Pressure]])</f>
        <v>254.88848703216559</v>
      </c>
      <c r="Z209" s="2">
        <f>Table83[[#This Row],[Weight]]-Table7[[#This Row],[Weight v Night Dia]]</f>
        <v>6.7115129678344374</v>
      </c>
      <c r="AA209" s="2">
        <f>Table7[[#This Row],[WND Res]]^2</f>
        <v>45.044406317409816</v>
      </c>
      <c r="AB209">
        <f>Regression!$K$10+(Regression!$K$9*Table83[[#This Row],[Night Pulse]])</f>
        <v>255.17157852121468</v>
      </c>
      <c r="AC209" s="2">
        <f>Table83[[#This Row],[Weight]]-Table7[[#This Row],[Weight v Night Pulse]]</f>
        <v>6.4284214787853386</v>
      </c>
      <c r="AD209" s="2">
        <f>Table7[[#This Row],[WNP Res ]]^2</f>
        <v>41.324602708908678</v>
      </c>
      <c r="AE209">
        <f>Regression!$L$10+(Regression!$L$9*Table83[[#This Row],[Sleep]])</f>
        <v>254.34834426894676</v>
      </c>
      <c r="AF209" s="2">
        <f>Table83[[#This Row],[Weight]]-Table7[[#This Row],[Weight v Sleep]]</f>
        <v>7.2516557310532619</v>
      </c>
      <c r="AG209" s="2">
        <f>Table7[[#This Row],[WS Res]]^2</f>
        <v>52.586510841717619</v>
      </c>
      <c r="AH209">
        <f>Regression!$M$10+(Regression!$M$9*Table83[[#This Row],[BMI]])</f>
        <v>261.59999999998558</v>
      </c>
      <c r="AI209" s="2">
        <f>Table83[[#This Row],[Weight]]-Table7[[#This Row],[Weight v BMI]]</f>
        <v>1.4438228390645236E-11</v>
      </c>
      <c r="AJ209" s="2">
        <f>Table7[[#This Row],[WBMI Res]]^2</f>
        <v>2.0846243906043412E-22</v>
      </c>
      <c r="AK209">
        <f>Regression!$N$10+(Regression!$N$9*Table83[[#This Row],[CBF]])</f>
        <v>262.24752658837394</v>
      </c>
      <c r="AL209" s="2">
        <f>Table83[[#This Row],[Weight]]-Table7[[#This Row],[Weight v CBF]]</f>
        <v>-0.64752658837392119</v>
      </c>
      <c r="AM209" s="2">
        <f>Table7[[#This Row],[WCBF Res]]^2</f>
        <v>0.41929068265116959</v>
      </c>
      <c r="AN209">
        <f>Regression!$O$10+(Regression!$O$9*Table83[[#This Row],[Gym]])</f>
        <v>255.46779661016953</v>
      </c>
      <c r="AO209" s="2">
        <f>Table83[[#This Row],[Weight]]-Table7[[#This Row],[Weight v Gym]]</f>
        <v>6.1322033898304937</v>
      </c>
      <c r="AP209" s="2">
        <f>Table7[[#This Row],[WG Res]]^2</f>
        <v>37.603918414248596</v>
      </c>
      <c r="AQ209">
        <f>Regression!$P$10+(Regression!$P$9*Table83[[#This Row],[Cardio]])</f>
        <v>256.41063829787231</v>
      </c>
      <c r="AR209" s="2">
        <f>Table83[[#This Row],[Weight]]-Table7[[#This Row],[Weight v Cardio]]</f>
        <v>5.1893617021277123</v>
      </c>
      <c r="AS209" s="2">
        <f>Table7[[#This Row],[WC Res]]^2</f>
        <v>26.929474875509829</v>
      </c>
      <c r="AT209">
        <f>Regression!$Q$10+(Regression!$Q$9*Table83[[#This Row],[Calories]])</f>
        <v>255.07994858192794</v>
      </c>
      <c r="AU209" s="2">
        <f>Table83[[#This Row],[Weight]]-Table7[[#This Row],[Weight v Calories]]</f>
        <v>6.5200514180720859</v>
      </c>
      <c r="AV209" s="2">
        <f>Table7[[#This Row],[WCAL Res]]^2</f>
        <v>42.511070494303816</v>
      </c>
      <c r="AW209">
        <f>Regression!$R$10+(Regression!$R$9*Table83[[#This Row],[Carbs]])</f>
        <v>254.86587091488153</v>
      </c>
      <c r="AX209" s="2">
        <f>Table83[[#This Row],[Weight]]-Table7[[#This Row],[Weight v Carbs]]</f>
        <v>6.7341290851184965</v>
      </c>
      <c r="AY209" s="2">
        <f>Table7[[#This Row],[Wcarb Res]]^2</f>
        <v>45.348494535038881</v>
      </c>
      <c r="AZ209">
        <f>Regression!$S$10+(Regression!$S$9*Table83[[#This Row],[Fat ]])</f>
        <v>255.24985406786507</v>
      </c>
      <c r="BA209" s="2">
        <f>Table83[[#This Row],[Weight]]-Table7[[#This Row],[Weight v Fat]]</f>
        <v>6.35014593213495</v>
      </c>
      <c r="BB209" s="2">
        <f>Table7[[#This Row],[WF Res]]^2</f>
        <v>40.324353359410054</v>
      </c>
      <c r="BC209">
        <f>Regression!$T$10+(Regression!$T$9*Table83[[#This Row],[Protein]])</f>
        <v>254.90748905019143</v>
      </c>
      <c r="BD209" s="2">
        <f>Table83[[#This Row],[Weight]]-Table7[[#This Row],[Weight v Protein]]</f>
        <v>6.6925109498085931</v>
      </c>
      <c r="BE209" s="2">
        <f>Table7[[#This Row],[WP Res]]^2</f>
        <v>44.789702813307919</v>
      </c>
      <c r="BF209">
        <f>Regression!$U$10+(Regression!$U$9*Table83[[#This Row],[Fiber]])</f>
        <v>255.24442115610594</v>
      </c>
      <c r="BG209" s="2">
        <f>Table83[[#This Row],[Weight]]-Table7[[#This Row],[Weight v Fiber]]</f>
        <v>6.3555788438940795</v>
      </c>
      <c r="BH209" s="2">
        <f>Table7[[#This Row],[Wfib Res]]^2</f>
        <v>40.393382440954007</v>
      </c>
      <c r="BI209">
        <f>Regression!$V$10+(Regression!$V$9*Table83[[#This Row],[Sugar]])</f>
        <v>254.71070578187221</v>
      </c>
      <c r="BJ209" s="2">
        <f>Table83[[#This Row],[Weight]]-Table7[[#This Row],[Weight v Sugar]]</f>
        <v>6.8892942181278158</v>
      </c>
      <c r="BK209" s="2">
        <f>Table7[[#This Row],[Wsugar Res]]^2</f>
        <v>47.462374823929352</v>
      </c>
      <c r="BL209">
        <f>Regression!$W$10+(Regression!$W$9*Table83[[#This Row],[Servings]])</f>
        <v>256.36518007987451</v>
      </c>
      <c r="BM209" s="2">
        <f>Table83[[#This Row],[Weight]]-Table7[[#This Row],[Weight v Servings]]</f>
        <v>5.234819920125517</v>
      </c>
      <c r="BN209" s="2">
        <f>Table7[[#This Row],[Wserv Res]]^2</f>
        <v>27.403339596142924</v>
      </c>
      <c r="BO209">
        <f>Regression!$X$10+(Regression!$X$9*Table83[[#This Row],[Water]])</f>
        <v>255.10626599365665</v>
      </c>
      <c r="BP209" s="2">
        <f>Table83[[#This Row],[Weight]]-Table7[[#This Row],[Weight v Water]]</f>
        <v>6.4937340063433737</v>
      </c>
      <c r="BQ209" s="2">
        <f>Table7[[#This Row],[Wwater Res]]^2</f>
        <v>42.16858134514036</v>
      </c>
      <c r="BR209">
        <f>Regression!$Y$10+(Regression!$Y$9*Table83[[#This Row],[Fat Calories]])</f>
        <v>255.25365420541576</v>
      </c>
      <c r="BS209" s="2">
        <f>Table83[[#This Row],[Weight]]-Table7[[#This Row],[Weight v Fat Calories]]</f>
        <v>6.3463457945842663</v>
      </c>
      <c r="BT209" s="2">
        <f>Table7[[#This Row],[WFC Res]]^2</f>
        <v>40.2761049444374</v>
      </c>
      <c r="BU209">
        <f>Regression!$B$29+(Regression!$B$28*Table83[[#This Row],[Weight]])</f>
        <v>45.337196174740534</v>
      </c>
      <c r="BV209" s="2">
        <f>Table83[[#This Row],[Waist]]-Table7[[#This Row],[Waist v Weight]]</f>
        <v>0.16280382525946635</v>
      </c>
      <c r="BW209" s="2">
        <f>Table7[[#This Row],[WaistW Res]]^2</f>
        <v>2.6505085519114853E-2</v>
      </c>
      <c r="BX209">
        <f>Regression!$C$29+(Regression!$C$28*Table83[[#This Row],[Neck]])</f>
        <v>44.175585585585594</v>
      </c>
      <c r="BY209" s="2">
        <f>Table83[[#This Row],[Waist]]-Table7[[#This Row],[Waist v Neck]]</f>
        <v>1.3244144144144059</v>
      </c>
      <c r="BZ209" s="2">
        <f>Table7[[#This Row],[WaistN Res]]^2</f>
        <v>1.7540735411086537</v>
      </c>
      <c r="CA209">
        <f>Regression!$D$29+(Regression!$D$28*Table83[[#This Row],[Morning Body Temp]])</f>
        <v>44.515038370284842</v>
      </c>
      <c r="CB209" s="2">
        <f>Table83[[#This Row],[Waist]]-Table7[[#This Row],[Waist v Morning Temp]]</f>
        <v>0.98496162971515844</v>
      </c>
      <c r="CC209" s="2">
        <f>Table7[[#This Row],[WaistMT Res]]^2</f>
        <v>0.97014941201114091</v>
      </c>
      <c r="CD209">
        <f>Regression!$E$29+(Regression!$E$28*Table83[[#This Row],[Morning Systolic Pressure]])</f>
        <v>44.365161485454784</v>
      </c>
      <c r="CE209" s="2">
        <f>Table83[[#This Row],[Waist]]-Table7[[#This Row],[Waist v Morning Sys]]</f>
        <v>1.1348385145452156</v>
      </c>
      <c r="CF209" s="2">
        <f>Table7[[#This Row],[WaistMS Res]]^2</f>
        <v>1.2878584540951914</v>
      </c>
      <c r="CG209">
        <f>Regression!$F$29+(Regression!$F$28*Table83[[#This Row],[Morning Diastolic Pressure]])</f>
        <v>44.480994771488533</v>
      </c>
      <c r="CH209" s="2">
        <f>Table83[[#This Row],[Waist]]-Table7[[#This Row],[Waist v Morning Dia]]</f>
        <v>1.0190052285114675</v>
      </c>
      <c r="CI209" s="2">
        <f>Table7[[#This Row],[WaistMD Res]]^2</f>
        <v>1.0383716557337079</v>
      </c>
      <c r="CJ209">
        <f>Regression!$G$29+(Regression!$G$28*Table83[[#This Row],[Morning Pulse]])</f>
        <v>44.45709470780065</v>
      </c>
      <c r="CK209" s="2">
        <f>Table83[[#This Row],[Waist]]-Table7[[#This Row],[Waist v Morning Pulse]]</f>
        <v>1.0429052921993502</v>
      </c>
      <c r="CL209" s="2">
        <f>Table7[[#This Row],[WaistMP Res]]^2</f>
        <v>1.087651448497412</v>
      </c>
      <c r="CM209">
        <f>Regression!$H$29+(Regression!$H$28*Table83[[#This Row],[Night Body Temp]])</f>
        <v>44.448953954659181</v>
      </c>
      <c r="CN209" s="2">
        <f>Table83[[#This Row],[Waist]]-Table7[[#This Row],[Waist v Night Temp]]</f>
        <v>1.0510460453408186</v>
      </c>
      <c r="CO209" s="2">
        <f>Table7[[#This Row],[WaistNT Res]]^2</f>
        <v>1.1046977894265742</v>
      </c>
      <c r="CP209">
        <f>Regression!$I$29+(Regression!$I$28*Table83[[#This Row],[Night Systolic Pressure]])</f>
        <v>44.194777257444173</v>
      </c>
      <c r="CQ209" s="2">
        <f>Table83[[#This Row],[Waist]]-Table7[[#This Row],[Waist v  Night Sys]]</f>
        <v>1.3052227425558272</v>
      </c>
      <c r="CR209" s="2">
        <f>Table7[[#This Row],[WaistNS Res]]^2</f>
        <v>1.7036064076849551</v>
      </c>
      <c r="CS209">
        <f>Regression!$J$29+(Regression!$J$28*Table83[[#This Row],[Night Diastolic Pressure]])</f>
        <v>44.358684339909082</v>
      </c>
      <c r="CT209" s="2">
        <f>Table83[[#This Row],[Waist]]-Table7[[#This Row],[Waist v Night Dia]]</f>
        <v>1.1413156600909176</v>
      </c>
      <c r="CU209" s="2">
        <f>Table7[[#This Row],[WaistND Res]]^2</f>
        <v>1.3026014359687668</v>
      </c>
      <c r="CV209">
        <f>Regression!$K$29+(Regression!$K$28*Table83[[#This Row],[Night Pulse]])</f>
        <v>44.448281387321408</v>
      </c>
      <c r="CW209" s="2">
        <f>Table83[[#This Row],[Waist]]-Table7[[#This Row],[Waist v Night Pulse]]</f>
        <v>1.0517186126785916</v>
      </c>
      <c r="CX209" s="2">
        <f>Table7[[#This Row],[WaistNP Res]]^2</f>
        <v>1.1061120402545812</v>
      </c>
      <c r="CY209">
        <f>Regression!$L$29+(Regression!$L$28*Table83[[#This Row],[Sleep]])</f>
        <v>44.336644432868965</v>
      </c>
      <c r="CZ209" s="2">
        <f>Table83[[#This Row],[Waist]]-Table7[[#This Row],[Waist v  Sleep]]</f>
        <v>1.1633555671310347</v>
      </c>
      <c r="DA209" s="2">
        <f>Table7[[#This Row],[WaistS Res]]^2</f>
        <v>1.3533961755747714</v>
      </c>
      <c r="DB209">
        <f>Regression!$M$29+(Regression!$M$28*Table83[[#This Row],[BMI]])</f>
        <v>45.337196174737727</v>
      </c>
      <c r="DC209" s="2">
        <f>Table83[[#This Row],[Waist]]-Table7[[#This Row],[Waist v BMI]]</f>
        <v>0.16280382526227299</v>
      </c>
      <c r="DD209" s="2">
        <f>Table7[[#This Row],[WaistBMI Res]]^2</f>
        <v>2.6505085520028719E-2</v>
      </c>
      <c r="DE209">
        <f>Regression!$N$29+(Regression!$N$28*Table83[[#This Row],[CBF]])</f>
        <v>45.737892076427137</v>
      </c>
      <c r="DF209" s="2">
        <f>Table83[[#This Row],[Waist]]-Table7[[#This Row],[Waist v  CBF]]</f>
        <v>-0.23789207642713706</v>
      </c>
      <c r="DG209" s="2">
        <f>Table7[[#This Row],[WaistCBF Res]]^2</f>
        <v>5.6592640026814821E-2</v>
      </c>
      <c r="DH209">
        <f>Regression!$O$29+(Regression!$O$28*Table83[[#This Row],[Gym]])</f>
        <v>44.550847457627107</v>
      </c>
      <c r="DI209" s="2">
        <f>Table83[[#This Row],[Waist]]-Table7[[#This Row],[Waist v  Gym]]</f>
        <v>0.94915254237289304</v>
      </c>
      <c r="DJ209" s="2">
        <f>Table7[[#This Row],[WaistGYM Res]]^2</f>
        <v>0.90089054869292651</v>
      </c>
      <c r="DK209">
        <f>Regression!$P$29+(Regression!$P$28*Table83[[#This Row],[Cardio]])</f>
        <v>44.680851063829778</v>
      </c>
      <c r="DL209" s="2">
        <f>Table83[[#This Row],[Waist]]-Table7[[#This Row],[Waist v Cardio]]</f>
        <v>0.81914893617022244</v>
      </c>
      <c r="DM209" s="2">
        <f>Table7[[#This Row],[WaistC Res]]^2</f>
        <v>0.67100497962880712</v>
      </c>
      <c r="DN209">
        <f>Regression!$Q$29+(Regression!$Q$28*Table83[[#This Row],[Calories]])</f>
        <v>44.445654605300184</v>
      </c>
      <c r="DO209" s="2">
        <f>Table83[[#This Row],[Waist]]-Table7[[#This Row],[Waist v Calories]]</f>
        <v>1.0543453946998156</v>
      </c>
      <c r="DP209" s="2">
        <f>Table7[[#This Row],[WaistCal Res]]^2</f>
        <v>1.1116442113247098</v>
      </c>
      <c r="DQ209">
        <f>Regression!$R$29+(Regression!$R$28*Table83[[#This Row],[Carbs]])</f>
        <v>44.401663460975371</v>
      </c>
      <c r="DR209" s="2">
        <f>Table83[[#This Row],[Waist]]-Table7[[#This Row],[Waist v Carbs]]</f>
        <v>1.0983365390246291</v>
      </c>
      <c r="DS209" s="2">
        <f>Table7[[#This Row],[WaistCarb Res]]^2</f>
        <v>1.2063431529566007</v>
      </c>
      <c r="DT209">
        <f>Regression!$S$29+(Regression!$S$28*Table83[[#This Row],[Fat ]])</f>
        <v>44.494748332065313</v>
      </c>
      <c r="DU209" s="2">
        <f>Table83[[#This Row],[Waist]]-Table7[[#This Row],[Waist v Fat]]</f>
        <v>1.0052516679346866</v>
      </c>
      <c r="DV209" s="2">
        <f>Table7[[#This Row],[WaistF Res]]^2</f>
        <v>1.0105309158854694</v>
      </c>
      <c r="DW209">
        <f>Regression!$T$29+(Regression!$T$28*Table83[[#This Row],[Protein]])</f>
        <v>44.415549511909589</v>
      </c>
      <c r="DX209" s="2">
        <f>Table83[[#This Row],[Waist]]-Table7[[#This Row],[Waist v Protein]]</f>
        <v>1.0844504880904111</v>
      </c>
      <c r="DY209" s="2">
        <f>Table7[[#This Row],[WaistP Res]]^2</f>
        <v>1.176032861119531</v>
      </c>
      <c r="DZ209">
        <f>Regression!$U$29+(Regression!$U$28*Table83[[#This Row],[Fiber]])</f>
        <v>44.503461190693969</v>
      </c>
      <c r="EA209" s="2">
        <f>Table83[[#This Row],[Waist]]-Table7[[#This Row],[Waist v Fiber]]</f>
        <v>0.99653880930603123</v>
      </c>
      <c r="EB209" s="2">
        <f>Table7[[#This Row],[WaistFib Res]]^2</f>
        <v>0.99308959845308242</v>
      </c>
      <c r="EC209">
        <f>Regression!$V$29+(Regression!$V$28*Table83[[#This Row],[Sugar]])</f>
        <v>44.380904927204902</v>
      </c>
      <c r="ED209" s="2">
        <f>Table83[[#This Row],[Waist]]-Table7[[#This Row],[Waist v Sugar]]</f>
        <v>1.1190950727950977</v>
      </c>
      <c r="EE209" s="2">
        <f>Table7[[#This Row],[WaistSugar Res]]^2</f>
        <v>1.2523737819542651</v>
      </c>
      <c r="EF209">
        <f>Regression!$W$29+(Regression!$W$28*Table83[[#This Row],[Servings]])</f>
        <v>44.644289723728114</v>
      </c>
      <c r="EG209" s="2">
        <f>Table83[[#This Row],[Waist]]-Table7[[#This Row],[Waist v Servings]]</f>
        <v>0.85571027627188556</v>
      </c>
      <c r="EH209" s="2">
        <f>Table7[[#This Row],[WaistServ Res]]^2</f>
        <v>0.73224007691730675</v>
      </c>
      <c r="EI209">
        <f>Regression!$X$29+(Regression!$X$28*Table83[[#This Row],[Water]])</f>
        <v>44.442082352251923</v>
      </c>
      <c r="EJ209" s="2">
        <f>Table83[[#This Row],[Waist]]-Table7[[#This Row],[Waist v Water]]</f>
        <v>1.0579176477480772</v>
      </c>
      <c r="EK209" s="2">
        <f>Table7[[#This Row],[WaistWat Res]]^2</f>
        <v>1.1191897494168246</v>
      </c>
      <c r="EL209">
        <f>Regression!$Y$29+(Regression!$Y$28*Table83[[#This Row],[Fat Calories]])</f>
        <v>44.495695098606113</v>
      </c>
      <c r="EM209" s="2">
        <f>Table83[[#This Row],[Waist]]-Table7[[#This Row],[Waist v Fat Calories]]</f>
        <v>1.004304901393887</v>
      </c>
      <c r="EN209" s="2">
        <f>Table7[[#This Row],[WaistFatCal Res]]^2</f>
        <v>1.008628334963785</v>
      </c>
    </row>
    <row r="210" spans="1:144" x14ac:dyDescent="0.25">
      <c r="A210">
        <f>Regression!$B$10+(Regression!$B$9*Table83[[#This Row],[Waist]])</f>
        <v>258.23421455025004</v>
      </c>
      <c r="B210" s="2">
        <f>Table83[[#This Row],[Weight]]-Table7[[#This Row],[Weight v Waist]]</f>
        <v>-1.0342145502500557</v>
      </c>
      <c r="C210" s="2">
        <f>Table7[[#This Row],[Weight v Waist Res]]^2</f>
        <v>1.0695997359489251</v>
      </c>
      <c r="D210">
        <f>Regression!$C$10+(Regression!$C$9*Table83[[#This Row],[Neck]])</f>
        <v>253.29286486487842</v>
      </c>
      <c r="E210" s="2">
        <f>Table83[[#This Row],[Weight]]-Table7[[#This Row],[Weight v Neck]]</f>
        <v>3.907135135121564</v>
      </c>
      <c r="F210" s="2">
        <f>Table7[[#This Row],[WN Res]]^2</f>
        <v>15.265704964101403</v>
      </c>
      <c r="G210">
        <f>Regression!$D$10+(Regression!$D$9*Table83[[#This Row],[Morning Body Temp]])</f>
        <v>254.63717512375013</v>
      </c>
      <c r="H210" s="2">
        <f>Table83[[#This Row],[Weight]]-Table7[[#This Row],[Weight v Morning Temp]]</f>
        <v>2.5628248762498629</v>
      </c>
      <c r="I210" s="2">
        <f>Table7[[#This Row],[WMT Res]]^2</f>
        <v>6.5680713463251248</v>
      </c>
      <c r="J210">
        <f>Regression!$E$10+(Regression!$E$9*Table83[[#This Row],[Morning Systolic Pressure]])</f>
        <v>254.91917781330181</v>
      </c>
      <c r="K210" s="2">
        <f>Table83[[#This Row],[Weight]]-Table7[[#This Row],[Weight v Morning Sys]]</f>
        <v>2.2808221866981739</v>
      </c>
      <c r="L210" s="2">
        <f>Table7[[#This Row],[WMS Res]]^2</f>
        <v>5.2021498473346401</v>
      </c>
      <c r="M210">
        <f>Regression!$F$10+(Regression!$F$9*Table83[[#This Row],[Morning Diastolic Pressure]])</f>
        <v>255.10203989724667</v>
      </c>
      <c r="N210" s="2">
        <f>Table83[[#This Row],[Weight]]-Table7[[#This Row],[Weight v Morning Dia]]</f>
        <v>2.0979601027533192</v>
      </c>
      <c r="O210" s="2">
        <f>Table7[[#This Row],[WMD Res]]^2</f>
        <v>4.4014365927447177</v>
      </c>
      <c r="P210">
        <f>Regression!$G$10+(Regression!$G$9*Table83[[#This Row],[Morning Pulse]])</f>
        <v>255.10998950288408</v>
      </c>
      <c r="Q210" s="2">
        <f>Table83[[#This Row],[Weight]]-Table7[[#This Row],[Weight v Morning Pulse]]</f>
        <v>2.0900104971159124</v>
      </c>
      <c r="R210" s="2">
        <f>Table7[[#This Row],[WMP Res]]^2</f>
        <v>4.3681438780547035</v>
      </c>
      <c r="S210">
        <f>Regression!$H$10+(Regression!$H$9*Table83[[#This Row],[Night Body Temp]])</f>
        <v>255.57036267089688</v>
      </c>
      <c r="T210" s="2">
        <f>Table83[[#This Row],[Weight]]-Table7[[#This Row],[Weight v Night Temp]]</f>
        <v>1.6296373291031045</v>
      </c>
      <c r="U210" s="2">
        <f>Table7[[#This Row],[WNT Res]]^2</f>
        <v>2.6557178244063002</v>
      </c>
      <c r="V210">
        <f>Regression!$I$10+(Regression!$I$9*Table83[[#This Row],[Night Systolic Pressure]])</f>
        <v>254.314777886911</v>
      </c>
      <c r="W210" s="2">
        <f>Table83[[#This Row],[Weight]]-Table7[[#This Row],[Weight v Night Sys]]</f>
        <v>2.8852221130889859</v>
      </c>
      <c r="X210" s="2">
        <f>Table7[[#This Row],[WNS Res]]^2</f>
        <v>8.3245066418576723</v>
      </c>
      <c r="Y210">
        <f>Regression!$J$10+(Regression!$J$9*Table83[[#This Row],[Night Diastolic Pressure]])</f>
        <v>255.41844332157493</v>
      </c>
      <c r="Z210" s="2">
        <f>Table83[[#This Row],[Weight]]-Table7[[#This Row],[Weight v Night Dia]]</f>
        <v>1.781556678425062</v>
      </c>
      <c r="AA210" s="2">
        <f>Table7[[#This Row],[WND Res]]^2</f>
        <v>3.1739441984409398</v>
      </c>
      <c r="AB210">
        <f>Regression!$K$10+(Regression!$K$9*Table83[[#This Row],[Night Pulse]])</f>
        <v>255.14086518997797</v>
      </c>
      <c r="AC210" s="2">
        <f>Table83[[#This Row],[Weight]]-Table7[[#This Row],[Weight v Night Pulse]]</f>
        <v>2.0591348100220159</v>
      </c>
      <c r="AD210" s="2">
        <f>Table7[[#This Row],[WNP Res ]]^2</f>
        <v>4.2400361658444039</v>
      </c>
      <c r="AE210">
        <f>Regression!$L$10+(Regression!$L$9*Table83[[#This Row],[Sleep]])</f>
        <v>256.00458373165935</v>
      </c>
      <c r="AF210" s="2">
        <f>Table83[[#This Row],[Weight]]-Table7[[#This Row],[Weight v Sleep]]</f>
        <v>1.1954162683406366</v>
      </c>
      <c r="AG210" s="2">
        <f>Table7[[#This Row],[WS Res]]^2</f>
        <v>1.4290200546134531</v>
      </c>
      <c r="AH210">
        <f>Regression!$M$10+(Regression!$M$9*Table83[[#This Row],[BMI]])</f>
        <v>257.19999999999538</v>
      </c>
      <c r="AI210" s="2">
        <f>Table83[[#This Row],[Weight]]-Table7[[#This Row],[Weight v BMI]]</f>
        <v>4.6043169277254492E-12</v>
      </c>
      <c r="AJ210" s="2">
        <f>Table7[[#This Row],[WBMI Res]]^2</f>
        <v>2.1199734370939119E-23</v>
      </c>
      <c r="AK210">
        <f>Regression!$N$10+(Regression!$N$9*Table83[[#This Row],[CBF]])</f>
        <v>259.27809165285294</v>
      </c>
      <c r="AL210" s="2">
        <f>Table83[[#This Row],[Weight]]-Table7[[#This Row],[Weight v CBF]]</f>
        <v>-2.0780916528529474</v>
      </c>
      <c r="AM210" s="2">
        <f>Table7[[#This Row],[WCBF Res]]^2</f>
        <v>4.3184649176570948</v>
      </c>
      <c r="AN210">
        <f>Regression!$O$10+(Regression!$O$9*Table83[[#This Row],[Gym]])</f>
        <v>255.46779661016953</v>
      </c>
      <c r="AO210" s="2">
        <f>Table83[[#This Row],[Weight]]-Table7[[#This Row],[Weight v Gym]]</f>
        <v>1.7322033898304596</v>
      </c>
      <c r="AP210" s="2">
        <f>Table7[[#This Row],[WG Res]]^2</f>
        <v>3.0005285837401354</v>
      </c>
      <c r="AQ210">
        <f>Regression!$P$10+(Regression!$P$9*Table83[[#This Row],[Cardio]])</f>
        <v>256.41063829787231</v>
      </c>
      <c r="AR210" s="2">
        <f>Table83[[#This Row],[Weight]]-Table7[[#This Row],[Weight v Cardio]]</f>
        <v>0.7893617021276782</v>
      </c>
      <c r="AS210" s="2">
        <f>Table7[[#This Row],[WC Res]]^2</f>
        <v>0.62309189678590537</v>
      </c>
      <c r="AT210">
        <f>Regression!$Q$10+(Regression!$Q$9*Table83[[#This Row],[Calories]])</f>
        <v>254.86477841820323</v>
      </c>
      <c r="AU210" s="2">
        <f>Table83[[#This Row],[Weight]]-Table7[[#This Row],[Weight v Calories]]</f>
        <v>2.335221581796759</v>
      </c>
      <c r="AV210" s="2">
        <f>Table7[[#This Row],[WCAL Res]]^2</f>
        <v>5.4532598360893569</v>
      </c>
      <c r="AW210">
        <f>Regression!$R$10+(Regression!$R$9*Table83[[#This Row],[Carbs]])</f>
        <v>254.7214353484294</v>
      </c>
      <c r="AX210" s="2">
        <f>Table83[[#This Row],[Weight]]-Table7[[#This Row],[Weight v Carbs]]</f>
        <v>2.4785646515705935</v>
      </c>
      <c r="AY210" s="2">
        <f>Table7[[#This Row],[Wcarb Res]]^2</f>
        <v>6.1432827320152574</v>
      </c>
      <c r="AZ210">
        <f>Regression!$S$10+(Regression!$S$9*Table83[[#This Row],[Fat ]])</f>
        <v>255.04315170527443</v>
      </c>
      <c r="BA210" s="2">
        <f>Table83[[#This Row],[Weight]]-Table7[[#This Row],[Weight v Fat]]</f>
        <v>2.1568482947255632</v>
      </c>
      <c r="BB210" s="2">
        <f>Table7[[#This Row],[WF Res]]^2</f>
        <v>4.6519945664605702</v>
      </c>
      <c r="BC210">
        <f>Regression!$T$10+(Regression!$T$9*Table83[[#This Row],[Protein]])</f>
        <v>254.53162352602922</v>
      </c>
      <c r="BD210" s="2">
        <f>Table83[[#This Row],[Weight]]-Table7[[#This Row],[Weight v Protein]]</f>
        <v>2.6683764739707669</v>
      </c>
      <c r="BE210" s="2">
        <f>Table7[[#This Row],[WP Res]]^2</f>
        <v>7.120233006840663</v>
      </c>
      <c r="BF210">
        <f>Regression!$U$10+(Regression!$U$9*Table83[[#This Row],[Fiber]])</f>
        <v>255.24021476005331</v>
      </c>
      <c r="BG210" s="2">
        <f>Table83[[#This Row],[Weight]]-Table7[[#This Row],[Weight v Fiber]]</f>
        <v>1.9597852399466831</v>
      </c>
      <c r="BH210" s="2">
        <f>Table7[[#This Row],[Wfib Res]]^2</f>
        <v>3.8407581867128782</v>
      </c>
      <c r="BI210">
        <f>Regression!$V$10+(Regression!$V$9*Table83[[#This Row],[Sugar]])</f>
        <v>254.2976214136315</v>
      </c>
      <c r="BJ210" s="2">
        <f>Table83[[#This Row],[Weight]]-Table7[[#This Row],[Weight v Sugar]]</f>
        <v>2.902378586368485</v>
      </c>
      <c r="BK210" s="2">
        <f>Table7[[#This Row],[Wsugar Res]]^2</f>
        <v>8.4238014586103258</v>
      </c>
      <c r="BL210">
        <f>Regression!$W$10+(Regression!$W$9*Table83[[#This Row],[Servings]])</f>
        <v>254.11156830141854</v>
      </c>
      <c r="BM210" s="2">
        <f>Table83[[#This Row],[Weight]]-Table7[[#This Row],[Weight v Servings]]</f>
        <v>3.0884316985814451</v>
      </c>
      <c r="BN210" s="2">
        <f>Table7[[#This Row],[Wserv Res]]^2</f>
        <v>9.5384103568026699</v>
      </c>
      <c r="BO210">
        <f>Regression!$X$10+(Regression!$X$9*Table83[[#This Row],[Water]])</f>
        <v>255.1490819770581</v>
      </c>
      <c r="BP210" s="2">
        <f>Table83[[#This Row],[Weight]]-Table7[[#This Row],[Weight v Water]]</f>
        <v>2.050918022941886</v>
      </c>
      <c r="BQ210" s="2">
        <f>Table7[[#This Row],[Wwater Res]]^2</f>
        <v>4.2062647368278538</v>
      </c>
      <c r="BR210">
        <f>Regression!$Y$10+(Regression!$Y$9*Table83[[#This Row],[Fat Calories]])</f>
        <v>255.03367089178249</v>
      </c>
      <c r="BS210" s="2">
        <f>Table83[[#This Row],[Weight]]-Table7[[#This Row],[Weight v Fat Calories]]</f>
        <v>2.1663291082174965</v>
      </c>
      <c r="BT210" s="2">
        <f>Table7[[#This Row],[WFC Res]]^2</f>
        <v>4.6929818051104135</v>
      </c>
      <c r="BU210">
        <f>Regression!$B$29+(Regression!$B$28*Table83[[#This Row],[Weight]])</f>
        <v>44.73764112823261</v>
      </c>
      <c r="BV210" s="2">
        <f>Table83[[#This Row],[Waist]]-Table7[[#This Row],[Waist v Weight]]</f>
        <v>0.2623588717673897</v>
      </c>
      <c r="BW210" s="2">
        <f>Table7[[#This Row],[WaistW Res]]^2</f>
        <v>6.8832177595057636E-2</v>
      </c>
      <c r="BX210">
        <f>Regression!$C$29+(Regression!$C$28*Table83[[#This Row],[Neck]])</f>
        <v>44.175585585585594</v>
      </c>
      <c r="BY210" s="2">
        <f>Table83[[#This Row],[Waist]]-Table7[[#This Row],[Waist v Neck]]</f>
        <v>0.82441441441440588</v>
      </c>
      <c r="BZ210" s="2">
        <f>Table7[[#This Row],[WaistN Res]]^2</f>
        <v>0.67965912669424777</v>
      </c>
      <c r="CA210">
        <f>Regression!$D$29+(Regression!$D$28*Table83[[#This Row],[Morning Body Temp]])</f>
        <v>44.323570238526059</v>
      </c>
      <c r="CB210" s="2">
        <f>Table83[[#This Row],[Waist]]-Table7[[#This Row],[Waist v Morning Temp]]</f>
        <v>0.67642976147394052</v>
      </c>
      <c r="CC210" s="2">
        <f>Table7[[#This Row],[WaistMT Res]]^2</f>
        <v>0.45755722220769207</v>
      </c>
      <c r="CD210">
        <f>Regression!$E$29+(Regression!$E$28*Table83[[#This Row],[Morning Systolic Pressure]])</f>
        <v>44.407523106424492</v>
      </c>
      <c r="CE210" s="2">
        <f>Table83[[#This Row],[Waist]]-Table7[[#This Row],[Waist v Morning Sys]]</f>
        <v>0.59247689357550826</v>
      </c>
      <c r="CF210" s="2">
        <f>Table7[[#This Row],[WaistMS Res]]^2</f>
        <v>0.35102886942088413</v>
      </c>
      <c r="CG210">
        <f>Regression!$F$29+(Regression!$F$28*Table83[[#This Row],[Morning Diastolic Pressure]])</f>
        <v>44.452816668144258</v>
      </c>
      <c r="CH210" s="2">
        <f>Table83[[#This Row],[Waist]]-Table7[[#This Row],[Waist v Morning Dia]]</f>
        <v>0.54718333185574153</v>
      </c>
      <c r="CI210" s="2">
        <f>Table7[[#This Row],[WaistMD Res]]^2</f>
        <v>0.29940959866075056</v>
      </c>
      <c r="CJ210">
        <f>Regression!$G$29+(Regression!$G$28*Table83[[#This Row],[Morning Pulse]])</f>
        <v>44.451218189785358</v>
      </c>
      <c r="CK210" s="2">
        <f>Table83[[#This Row],[Waist]]-Table7[[#This Row],[Waist v Morning Pulse]]</f>
        <v>0.54878181021464201</v>
      </c>
      <c r="CL210" s="2">
        <f>Table7[[#This Row],[WaistMP Res]]^2</f>
        <v>0.30116147522245934</v>
      </c>
      <c r="CM210">
        <f>Regression!$H$29+(Regression!$H$28*Table83[[#This Row],[Night Body Temp]])</f>
        <v>44.489438573683607</v>
      </c>
      <c r="CN210" s="2">
        <f>Table83[[#This Row],[Waist]]-Table7[[#This Row],[Waist v Night Temp]]</f>
        <v>0.5105614263163929</v>
      </c>
      <c r="CO210" s="2">
        <f>Table7[[#This Row],[WaistNT Res]]^2</f>
        <v>0.2606729700422295</v>
      </c>
      <c r="CP210">
        <f>Regression!$I$29+(Regression!$I$28*Table83[[#This Row],[Night Systolic Pressure]])</f>
        <v>44.340178400700303</v>
      </c>
      <c r="CQ210" s="2">
        <f>Table83[[#This Row],[Waist]]-Table7[[#This Row],[Waist v  Night Sys]]</f>
        <v>0.65982159929969697</v>
      </c>
      <c r="CR210" s="2">
        <f>Table7[[#This Row],[WaistNS Res]]^2</f>
        <v>0.43536454290240989</v>
      </c>
      <c r="CS210">
        <f>Regression!$J$29+(Regression!$J$28*Table83[[#This Row],[Night Diastolic Pressure]])</f>
        <v>44.580567627605824</v>
      </c>
      <c r="CT210" s="2">
        <f>Table83[[#This Row],[Waist]]-Table7[[#This Row],[Waist v Night Dia]]</f>
        <v>0.41943237239417641</v>
      </c>
      <c r="CU210" s="2">
        <f>Table7[[#This Row],[WaistND Res]]^2</f>
        <v>0.17592351501220707</v>
      </c>
      <c r="CV210">
        <f>Regression!$K$29+(Regression!$K$28*Table83[[#This Row],[Night Pulse]])</f>
        <v>44.451138133632369</v>
      </c>
      <c r="CW210" s="2">
        <f>Table83[[#This Row],[Waist]]-Table7[[#This Row],[Waist v Night Pulse]]</f>
        <v>0.54886186636763057</v>
      </c>
      <c r="CX210" s="2">
        <f>Table7[[#This Row],[WaistNP Res]]^2</f>
        <v>0.30124934835255873</v>
      </c>
      <c r="CY210">
        <f>Regression!$L$29+(Regression!$L$28*Table83[[#This Row],[Sleep]])</f>
        <v>44.589164014846155</v>
      </c>
      <c r="CZ210" s="2">
        <f>Table83[[#This Row],[Waist]]-Table7[[#This Row],[Waist v  Sleep]]</f>
        <v>0.41083598515384523</v>
      </c>
      <c r="DA210" s="2">
        <f>Table7[[#This Row],[WaistS Res]]^2</f>
        <v>0.16878620669733055</v>
      </c>
      <c r="DB210">
        <f>Regression!$M$29+(Regression!$M$28*Table83[[#This Row],[BMI]])</f>
        <v>44.737641128231708</v>
      </c>
      <c r="DC210" s="2">
        <f>Table83[[#This Row],[Waist]]-Table7[[#This Row],[Waist v BMI]]</f>
        <v>0.26235887176829209</v>
      </c>
      <c r="DD210" s="2">
        <f>Table7[[#This Row],[WaistBMI Res]]^2</f>
        <v>6.8832177595531133E-2</v>
      </c>
      <c r="DE210">
        <f>Regression!$N$29+(Regression!$N$28*Table83[[#This Row],[CBF]])</f>
        <v>45.203183363709613</v>
      </c>
      <c r="DF210" s="2">
        <f>Table83[[#This Row],[Waist]]-Table7[[#This Row],[Waist v  CBF]]</f>
        <v>-0.20318336370961276</v>
      </c>
      <c r="DG210" s="2">
        <f>Table7[[#This Row],[WaistCBF Res]]^2</f>
        <v>4.1283479288352784E-2</v>
      </c>
      <c r="DH210">
        <f>Regression!$O$29+(Regression!$O$28*Table83[[#This Row],[Gym]])</f>
        <v>44.550847457627107</v>
      </c>
      <c r="DI210" s="2">
        <f>Table83[[#This Row],[Waist]]-Table7[[#This Row],[Waist v  Gym]]</f>
        <v>0.44915254237289304</v>
      </c>
      <c r="DJ210" s="2">
        <f>Table7[[#This Row],[WaistGYM Res]]^2</f>
        <v>0.20173800632003347</v>
      </c>
      <c r="DK210">
        <f>Regression!$P$29+(Regression!$P$28*Table83[[#This Row],[Cardio]])</f>
        <v>44.680851063829778</v>
      </c>
      <c r="DL210" s="2">
        <f>Table83[[#This Row],[Waist]]-Table7[[#This Row],[Waist v Cardio]]</f>
        <v>0.31914893617022244</v>
      </c>
      <c r="DM210" s="2">
        <f>Table7[[#This Row],[WaistC Res]]^2</f>
        <v>0.10185604345858472</v>
      </c>
      <c r="DN210">
        <f>Regression!$Q$29+(Regression!$Q$28*Table83[[#This Row],[Calories]])</f>
        <v>44.397310641912931</v>
      </c>
      <c r="DO210" s="2">
        <f>Table83[[#This Row],[Waist]]-Table7[[#This Row],[Waist v Calories]]</f>
        <v>0.60268935808706914</v>
      </c>
      <c r="DP210" s="2">
        <f>Table7[[#This Row],[WaistCal Res]]^2</f>
        <v>0.36323446235140344</v>
      </c>
      <c r="DQ210">
        <f>Regression!$R$29+(Regression!$R$28*Table83[[#This Row],[Carbs]])</f>
        <v>44.371592860528743</v>
      </c>
      <c r="DR210" s="2">
        <f>Table83[[#This Row],[Waist]]-Table7[[#This Row],[Waist v Carbs]]</f>
        <v>0.62840713947125693</v>
      </c>
      <c r="DS210" s="2">
        <f>Table7[[#This Row],[WaistCarb Res]]^2</f>
        <v>0.39489553293844776</v>
      </c>
      <c r="DT210">
        <f>Regression!$S$29+(Regression!$S$28*Table83[[#This Row],[Fat ]])</f>
        <v>44.431563794203548</v>
      </c>
      <c r="DU210" s="2">
        <f>Table83[[#This Row],[Waist]]-Table7[[#This Row],[Waist v Fat]]</f>
        <v>0.56843620579645204</v>
      </c>
      <c r="DV210" s="2">
        <f>Table7[[#This Row],[WaistF Res]]^2</f>
        <v>0.3231197200602664</v>
      </c>
      <c r="DW210">
        <f>Regression!$T$29+(Regression!$T$28*Table83[[#This Row],[Protein]])</f>
        <v>44.346752158917369</v>
      </c>
      <c r="DX210" s="2">
        <f>Table83[[#This Row],[Waist]]-Table7[[#This Row],[Waist v Protein]]</f>
        <v>0.65324784108263145</v>
      </c>
      <c r="DY210" s="2">
        <f>Table7[[#This Row],[WaistP Res]]^2</f>
        <v>0.42673274187911892</v>
      </c>
      <c r="DZ210">
        <f>Regression!$U$29+(Regression!$U$28*Table83[[#This Row],[Fiber]])</f>
        <v>44.501838110913326</v>
      </c>
      <c r="EA210" s="2">
        <f>Table83[[#This Row],[Waist]]-Table7[[#This Row],[Waist v Fiber]]</f>
        <v>0.49816188908667414</v>
      </c>
      <c r="EB210" s="2">
        <f>Table7[[#This Row],[WaistFib Res]]^2</f>
        <v>0.24816526773840383</v>
      </c>
      <c r="EC210">
        <f>Regression!$V$29+(Regression!$V$28*Table83[[#This Row],[Sugar]])</f>
        <v>44.30669892759154</v>
      </c>
      <c r="ED210" s="2">
        <f>Table83[[#This Row],[Waist]]-Table7[[#This Row],[Waist v Sugar]]</f>
        <v>0.69330107240845962</v>
      </c>
      <c r="EE210" s="2">
        <f>Table7[[#This Row],[WaistSugar Res]]^2</f>
        <v>0.48066637700272019</v>
      </c>
      <c r="EF210">
        <f>Regression!$W$29+(Regression!$W$28*Table83[[#This Row],[Servings]])</f>
        <v>44.300426111497508</v>
      </c>
      <c r="EG210" s="2">
        <f>Table83[[#This Row],[Waist]]-Table7[[#This Row],[Waist v Servings]]</f>
        <v>0.69957388850249203</v>
      </c>
      <c r="EH210" s="2">
        <f>Table7[[#This Row],[WaistServ Res]]^2</f>
        <v>0.48940362547449712</v>
      </c>
      <c r="EI210">
        <f>Regression!$X$29+(Regression!$X$28*Table83[[#This Row],[Water]])</f>
        <v>44.497966229663206</v>
      </c>
      <c r="EJ210" s="2">
        <f>Table83[[#This Row],[Waist]]-Table7[[#This Row],[Waist v Water]]</f>
        <v>0.5020337703367943</v>
      </c>
      <c r="EK210" s="2">
        <f>Table7[[#This Row],[WaistWat Res]]^2</f>
        <v>0.25203790655857711</v>
      </c>
      <c r="EL210">
        <f>Regression!$Y$29+(Regression!$Y$28*Table83[[#This Row],[Fat Calories]])</f>
        <v>44.428791844527495</v>
      </c>
      <c r="EM210" s="2">
        <f>Table83[[#This Row],[Waist]]-Table7[[#This Row],[Waist v Fat Calories]]</f>
        <v>0.57120815547250459</v>
      </c>
      <c r="EN210" s="2">
        <f>Table7[[#This Row],[WaistFatCal Res]]^2</f>
        <v>0.32627875687830099</v>
      </c>
    </row>
    <row r="211" spans="1:144" x14ac:dyDescent="0.25">
      <c r="A211">
        <f>Regression!$B$10+(Regression!$B$9*Table83[[#This Row],[Waist]])</f>
        <v>261.08819223590376</v>
      </c>
      <c r="B211" s="2">
        <f>Table83[[#This Row],[Weight]]-Table7[[#This Row],[Weight v Waist]]</f>
        <v>-3.4881922359037389</v>
      </c>
      <c r="C211" s="2">
        <f>Table7[[#This Row],[Weight v Waist Res]]^2</f>
        <v>12.167485074619126</v>
      </c>
      <c r="D211">
        <f>Regression!$C$10+(Regression!$C$9*Table83[[#This Row],[Neck]])</f>
        <v>253.29286486487842</v>
      </c>
      <c r="E211" s="2">
        <f>Table83[[#This Row],[Weight]]-Table7[[#This Row],[Weight v Neck]]</f>
        <v>4.3071351351215981</v>
      </c>
      <c r="F211" s="2">
        <f>Table7[[#This Row],[WN Res]]^2</f>
        <v>18.551413072198947</v>
      </c>
      <c r="G211">
        <f>Regression!$D$10+(Regression!$D$9*Table83[[#This Row],[Morning Body Temp]])</f>
        <v>254.7075736779725</v>
      </c>
      <c r="H211" s="2">
        <f>Table83[[#This Row],[Weight]]-Table7[[#This Row],[Weight v Morning Temp]]</f>
        <v>2.8924263220275179</v>
      </c>
      <c r="I211" s="2">
        <f>Table7[[#This Row],[WMT Res]]^2</f>
        <v>8.3661300283576345</v>
      </c>
      <c r="J211">
        <f>Regression!$E$10+(Regression!$E$9*Table83[[#This Row],[Morning Systolic Pressure]])</f>
        <v>254.91917781330181</v>
      </c>
      <c r="K211" s="2">
        <f>Table83[[#This Row],[Weight]]-Table7[[#This Row],[Weight v Morning Sys]]</f>
        <v>2.680822186698208</v>
      </c>
      <c r="L211" s="2">
        <f>Table7[[#This Row],[WMS Res]]^2</f>
        <v>7.1868075966933622</v>
      </c>
      <c r="M211">
        <f>Regression!$F$10+(Regression!$F$9*Table83[[#This Row],[Morning Diastolic Pressure]])</f>
        <v>255.91279388960569</v>
      </c>
      <c r="N211" s="2">
        <f>Table83[[#This Row],[Weight]]-Table7[[#This Row],[Weight v Morning Dia]]</f>
        <v>1.6872061103943281</v>
      </c>
      <c r="O211" s="2">
        <f>Table7[[#This Row],[WMD Res]]^2</f>
        <v>2.8466644589519579</v>
      </c>
      <c r="P211">
        <f>Regression!$G$10+(Regression!$G$9*Table83[[#This Row],[Morning Pulse]])</f>
        <v>255.1081617071269</v>
      </c>
      <c r="Q211" s="2">
        <f>Table83[[#This Row],[Weight]]-Table7[[#This Row],[Weight v Morning Pulse]]</f>
        <v>2.4918382928731262</v>
      </c>
      <c r="R211" s="2">
        <f>Table7[[#This Row],[WMP Res]]^2</f>
        <v>6.2092580778288555</v>
      </c>
      <c r="S211">
        <f>Regression!$H$10+(Regression!$H$9*Table83[[#This Row],[Night Body Temp]])</f>
        <v>256.08384552330529</v>
      </c>
      <c r="T211" s="2">
        <f>Table83[[#This Row],[Weight]]-Table7[[#This Row],[Weight v Night Temp]]</f>
        <v>1.5161544766947372</v>
      </c>
      <c r="U211" s="2">
        <f>Table7[[#This Row],[WNT Res]]^2</f>
        <v>2.2987243972014926</v>
      </c>
      <c r="V211">
        <f>Regression!$I$10+(Regression!$I$9*Table83[[#This Row],[Night Systolic Pressure]])</f>
        <v>256.77825390359425</v>
      </c>
      <c r="W211" s="2">
        <f>Table83[[#This Row],[Weight]]-Table7[[#This Row],[Weight v Night Sys]]</f>
        <v>0.82174609640577501</v>
      </c>
      <c r="X211" s="2">
        <f>Table7[[#This Row],[WNS Res]]^2</f>
        <v>0.67526664695812932</v>
      </c>
      <c r="Y211">
        <f>Regression!$J$10+(Regression!$J$9*Table83[[#This Row],[Night Diastolic Pressure]])</f>
        <v>255.29614571632661</v>
      </c>
      <c r="Z211" s="2">
        <f>Table83[[#This Row],[Weight]]-Table7[[#This Row],[Weight v Night Dia]]</f>
        <v>2.3038542836734166</v>
      </c>
      <c r="AA211" s="2">
        <f>Table7[[#This Row],[WND Res]]^2</f>
        <v>5.3077445604003515</v>
      </c>
      <c r="AB211">
        <f>Regression!$K$10+(Regression!$K$9*Table83[[#This Row],[Night Pulse]])</f>
        <v>255.01801186503107</v>
      </c>
      <c r="AC211" s="2">
        <f>Table83[[#This Row],[Weight]]-Table7[[#This Row],[Weight v Night Pulse]]</f>
        <v>2.5819881349689524</v>
      </c>
      <c r="AD211" s="2">
        <f>Table7[[#This Row],[WNP Res ]]^2</f>
        <v>6.666662729120449</v>
      </c>
      <c r="AE211">
        <f>Regression!$L$10+(Regression!$L$9*Table83[[#This Row],[Sleep]])</f>
        <v>254.82155554400751</v>
      </c>
      <c r="AF211" s="2">
        <f>Table83[[#This Row],[Weight]]-Table7[[#This Row],[Weight v Sleep]]</f>
        <v>2.7784444559925134</v>
      </c>
      <c r="AG211" s="2">
        <f>Table7[[#This Row],[WS Res]]^2</f>
        <v>7.7197535950355336</v>
      </c>
      <c r="AH211">
        <f>Regression!$M$10+(Regression!$M$9*Table83[[#This Row],[BMI]])</f>
        <v>257.59999999999445</v>
      </c>
      <c r="AI211" s="2">
        <f>Table83[[#This Row],[Weight]]-Table7[[#This Row],[Weight v BMI]]</f>
        <v>5.5706550483591855E-12</v>
      </c>
      <c r="AJ211" s="2">
        <f>Table7[[#This Row],[WBMI Res]]^2</f>
        <v>3.1032197667809679E-23</v>
      </c>
      <c r="AK211">
        <f>Regression!$N$10+(Regression!$N$9*Table83[[#This Row],[CBF]])</f>
        <v>262.24752658837394</v>
      </c>
      <c r="AL211" s="2">
        <f>Table83[[#This Row],[Weight]]-Table7[[#This Row],[Weight v CBF]]</f>
        <v>-4.6475265883739212</v>
      </c>
      <c r="AM211" s="2">
        <f>Table7[[#This Row],[WCBF Res]]^2</f>
        <v>21.599503389642539</v>
      </c>
      <c r="AN211">
        <f>Regression!$O$10+(Regression!$O$9*Table83[[#This Row],[Gym]])</f>
        <v>254.72962962962998</v>
      </c>
      <c r="AO211" s="2">
        <f>Table83[[#This Row],[Weight]]-Table7[[#This Row],[Weight v Gym]]</f>
        <v>2.8703703703700398</v>
      </c>
      <c r="AP211" s="2">
        <f>Table7[[#This Row],[WG Res]]^2</f>
        <v>8.2390260630982404</v>
      </c>
      <c r="AQ211">
        <f>Regression!$P$10+(Regression!$P$9*Table83[[#This Row],[Cardio]])</f>
        <v>256.41063829787231</v>
      </c>
      <c r="AR211" s="2">
        <f>Table83[[#This Row],[Weight]]-Table7[[#This Row],[Weight v Cardio]]</f>
        <v>1.1893617021277123</v>
      </c>
      <c r="AS211" s="2">
        <f>Table7[[#This Row],[WC Res]]^2</f>
        <v>1.414581258488129</v>
      </c>
      <c r="AT211">
        <f>Regression!$Q$10+(Regression!$Q$9*Table83[[#This Row],[Calories]])</f>
        <v>254.44633855284053</v>
      </c>
      <c r="AU211" s="2">
        <f>Table83[[#This Row],[Weight]]-Table7[[#This Row],[Weight v Calories]]</f>
        <v>3.153661447159493</v>
      </c>
      <c r="AV211" s="2">
        <f>Table7[[#This Row],[WCAL Res]]^2</f>
        <v>9.9455805233001087</v>
      </c>
      <c r="AW211">
        <f>Regression!$R$10+(Regression!$R$9*Table83[[#This Row],[Carbs]])</f>
        <v>254.31917674238073</v>
      </c>
      <c r="AX211" s="2">
        <f>Table83[[#This Row],[Weight]]-Table7[[#This Row],[Weight v Carbs]]</f>
        <v>3.2808232576192893</v>
      </c>
      <c r="AY211" s="2">
        <f>Table7[[#This Row],[Wcarb Res]]^2</f>
        <v>10.763801247735646</v>
      </c>
      <c r="AZ211">
        <f>Regression!$S$10+(Regression!$S$9*Table83[[#This Row],[Fat ]])</f>
        <v>254.83803398266681</v>
      </c>
      <c r="BA211" s="2">
        <f>Table83[[#This Row],[Weight]]-Table7[[#This Row],[Weight v Fat]]</f>
        <v>2.7619660173332079</v>
      </c>
      <c r="BB211" s="2">
        <f>Table7[[#This Row],[WF Res]]^2</f>
        <v>7.6284562809034622</v>
      </c>
      <c r="BC211">
        <f>Regression!$T$10+(Regression!$T$9*Table83[[#This Row],[Protein]])</f>
        <v>253.43887159439078</v>
      </c>
      <c r="BD211" s="2">
        <f>Table83[[#This Row],[Weight]]-Table7[[#This Row],[Weight v Protein]]</f>
        <v>4.1611284056092472</v>
      </c>
      <c r="BE211" s="2">
        <f>Table7[[#This Row],[WP Res]]^2</f>
        <v>17.314989607968155</v>
      </c>
      <c r="BF211">
        <f>Regression!$U$10+(Regression!$U$9*Table83[[#This Row],[Fiber]])</f>
        <v>255.65447472158962</v>
      </c>
      <c r="BG211" s="2">
        <f>Table83[[#This Row],[Weight]]-Table7[[#This Row],[Weight v Fiber]]</f>
        <v>1.9455252784104005</v>
      </c>
      <c r="BH211" s="2">
        <f>Table7[[#This Row],[Wfib Res]]^2</f>
        <v>3.7850686089338663</v>
      </c>
      <c r="BI211">
        <f>Regression!$V$10+(Regression!$V$9*Table83[[#This Row],[Sugar]])</f>
        <v>254.48587746896663</v>
      </c>
      <c r="BJ211" s="2">
        <f>Table83[[#This Row],[Weight]]-Table7[[#This Row],[Weight v Sugar]]</f>
        <v>3.114122531033388</v>
      </c>
      <c r="BK211" s="2">
        <f>Table7[[#This Row],[Wsugar Res]]^2</f>
        <v>9.6977591382897952</v>
      </c>
      <c r="BL211">
        <f>Regression!$W$10+(Regression!$W$9*Table83[[#This Row],[Servings]])</f>
        <v>253.64471504443529</v>
      </c>
      <c r="BM211" s="2">
        <f>Table83[[#This Row],[Weight]]-Table7[[#This Row],[Weight v Servings]]</f>
        <v>3.9552849555647356</v>
      </c>
      <c r="BN211" s="2">
        <f>Table7[[#This Row],[Wserv Res]]^2</f>
        <v>15.644279079716732</v>
      </c>
      <c r="BO211">
        <f>Regression!$X$10+(Regression!$X$9*Table83[[#This Row],[Water]])</f>
        <v>255.19189796045953</v>
      </c>
      <c r="BP211" s="2">
        <f>Table83[[#This Row],[Weight]]-Table7[[#This Row],[Weight v Water]]</f>
        <v>2.4081020395404948</v>
      </c>
      <c r="BQ211" s="2">
        <f>Table7[[#This Row],[Wwater Res]]^2</f>
        <v>5.7989554328390911</v>
      </c>
      <c r="BR211">
        <f>Regression!$Y$10+(Regression!$Y$9*Table83[[#This Row],[Fat Calories]])</f>
        <v>254.81537403373696</v>
      </c>
      <c r="BS211" s="2">
        <f>Table83[[#This Row],[Weight]]-Table7[[#This Row],[Weight v Fat Calories]]</f>
        <v>2.7846259662630644</v>
      </c>
      <c r="BT211" s="2">
        <f>Table7[[#This Row],[WFC Res]]^2</f>
        <v>7.7541417719865047</v>
      </c>
      <c r="BU211">
        <f>Regression!$B$29+(Regression!$B$28*Table83[[#This Row],[Weight]])</f>
        <v>44.792146132460601</v>
      </c>
      <c r="BV211" s="2">
        <f>Table83[[#This Row],[Waist]]-Table7[[#This Row],[Waist v Weight]]</f>
        <v>0.70785386753939861</v>
      </c>
      <c r="BW211" s="2">
        <f>Table7[[#This Row],[WaistW Res]]^2</f>
        <v>0.50105709779048446</v>
      </c>
      <c r="BX211">
        <f>Regression!$C$29+(Regression!$C$28*Table83[[#This Row],[Neck]])</f>
        <v>44.175585585585594</v>
      </c>
      <c r="BY211" s="2">
        <f>Table83[[#This Row],[Waist]]-Table7[[#This Row],[Waist v Neck]]</f>
        <v>1.3244144144144059</v>
      </c>
      <c r="BZ211" s="2">
        <f>Table7[[#This Row],[WaistN Res]]^2</f>
        <v>1.7540735411086537</v>
      </c>
      <c r="CA211">
        <f>Regression!$D$29+(Regression!$D$28*Table83[[#This Row],[Morning Body Temp]])</f>
        <v>44.342717051701939</v>
      </c>
      <c r="CB211" s="2">
        <f>Table83[[#This Row],[Waist]]-Table7[[#This Row],[Waist v Morning Temp]]</f>
        <v>1.1572829482980609</v>
      </c>
      <c r="CC211" s="2">
        <f>Table7[[#This Row],[WaistMT Res]]^2</f>
        <v>1.3393038224214522</v>
      </c>
      <c r="CD211">
        <f>Regression!$E$29+(Regression!$E$28*Table83[[#This Row],[Morning Systolic Pressure]])</f>
        <v>44.407523106424492</v>
      </c>
      <c r="CE211" s="2">
        <f>Table83[[#This Row],[Waist]]-Table7[[#This Row],[Waist v Morning Sys]]</f>
        <v>1.0924768935755083</v>
      </c>
      <c r="CF211" s="2">
        <f>Table7[[#This Row],[WaistMS Res]]^2</f>
        <v>1.1935057629963923</v>
      </c>
      <c r="CG211">
        <f>Regression!$F$29+(Regression!$F$28*Table83[[#This Row],[Morning Diastolic Pressure]])</f>
        <v>44.497901633495097</v>
      </c>
      <c r="CH211" s="2">
        <f>Table83[[#This Row],[Waist]]-Table7[[#This Row],[Waist v Morning Dia]]</f>
        <v>1.002098366504903</v>
      </c>
      <c r="CI211" s="2">
        <f>Table7[[#This Row],[WaistMD Res]]^2</f>
        <v>1.0042011361517948</v>
      </c>
      <c r="CJ211">
        <f>Regression!$G$29+(Regression!$G$28*Table83[[#This Row],[Morning Pulse]])</f>
        <v>44.450378687211739</v>
      </c>
      <c r="CK211" s="2">
        <f>Table83[[#This Row],[Waist]]-Table7[[#This Row],[Waist v Morning Pulse]]</f>
        <v>1.0496213127882612</v>
      </c>
      <c r="CL211" s="2">
        <f>Table7[[#This Row],[WaistMP Res]]^2</f>
        <v>1.1017049002593529</v>
      </c>
      <c r="CM211">
        <f>Regression!$H$29+(Regression!$H$28*Table83[[#This Row],[Night Body Temp]])</f>
        <v>44.52992319270804</v>
      </c>
      <c r="CN211" s="2">
        <f>Table83[[#This Row],[Waist]]-Table7[[#This Row],[Waist v Night Temp]]</f>
        <v>0.97007680729196011</v>
      </c>
      <c r="CO211" s="2">
        <f>Table7[[#This Row],[WaistNT Res]]^2</f>
        <v>0.94104901204576274</v>
      </c>
      <c r="CP211">
        <f>Regression!$I$29+(Regression!$I$28*Table83[[#This Row],[Night Systolic Pressure]])</f>
        <v>44.689141144515027</v>
      </c>
      <c r="CQ211" s="2">
        <f>Table83[[#This Row],[Waist]]-Table7[[#This Row],[Waist v  Night Sys]]</f>
        <v>0.81085885548497316</v>
      </c>
      <c r="CR211" s="2">
        <f>Table7[[#This Row],[WaistNS Res]]^2</f>
        <v>0.65749208351840061</v>
      </c>
      <c r="CS211">
        <f>Regression!$J$29+(Regression!$J$28*Table83[[#This Row],[Night Diastolic Pressure]])</f>
        <v>44.529363791983499</v>
      </c>
      <c r="CT211" s="2">
        <f>Table83[[#This Row],[Waist]]-Table7[[#This Row],[Waist v Night Dia]]</f>
        <v>0.97063620801650075</v>
      </c>
      <c r="CU211" s="2">
        <f>Table7[[#This Row],[WaistND Res]]^2</f>
        <v>0.9421346483126517</v>
      </c>
      <c r="CV211">
        <f>Regression!$K$29+(Regression!$K$28*Table83[[#This Row],[Night Pulse]])</f>
        <v>44.462565118876235</v>
      </c>
      <c r="CW211" s="2">
        <f>Table83[[#This Row],[Waist]]-Table7[[#This Row],[Waist v Night Pulse]]</f>
        <v>1.0374348811237653</v>
      </c>
      <c r="CX211" s="2">
        <f>Table7[[#This Row],[WaistNP Res]]^2</f>
        <v>1.0762711325722809</v>
      </c>
      <c r="CY211">
        <f>Regression!$L$29+(Regression!$L$28*Table83[[#This Row],[Sleep]])</f>
        <v>44.408792884862443</v>
      </c>
      <c r="CZ211" s="2">
        <f>Table83[[#This Row],[Waist]]-Table7[[#This Row],[Waist v  Sleep]]</f>
        <v>1.0912071151375571</v>
      </c>
      <c r="DA211" s="2">
        <f>Table7[[#This Row],[WaistS Res]]^2</f>
        <v>1.1907329681268297</v>
      </c>
      <c r="DB211">
        <f>Regression!$M$29+(Regression!$M$28*Table83[[#This Row],[BMI]])</f>
        <v>44.792146132459528</v>
      </c>
      <c r="DC211" s="2">
        <f>Table83[[#This Row],[Waist]]-Table7[[#This Row],[Waist v BMI]]</f>
        <v>0.70785386754047153</v>
      </c>
      <c r="DD211" s="2">
        <f>Table7[[#This Row],[WaistBMI Res]]^2</f>
        <v>0.50105709779200336</v>
      </c>
      <c r="DE211">
        <f>Regression!$N$29+(Regression!$N$28*Table83[[#This Row],[CBF]])</f>
        <v>45.737892076427137</v>
      </c>
      <c r="DF211" s="2">
        <f>Table83[[#This Row],[Waist]]-Table7[[#This Row],[Waist v  CBF]]</f>
        <v>-0.23789207642713706</v>
      </c>
      <c r="DG211" s="2">
        <f>Table7[[#This Row],[WaistCBF Res]]^2</f>
        <v>5.6592640026814821E-2</v>
      </c>
      <c r="DH211">
        <f>Regression!$O$29+(Regression!$O$28*Table83[[#This Row],[Gym]])</f>
        <v>44.347222222222221</v>
      </c>
      <c r="DI211" s="2">
        <f>Table83[[#This Row],[Waist]]-Table7[[#This Row],[Waist v  Gym]]</f>
        <v>1.1527777777777786</v>
      </c>
      <c r="DJ211" s="2">
        <f>Table7[[#This Row],[WaistGYM Res]]^2</f>
        <v>1.3288966049382733</v>
      </c>
      <c r="DK211">
        <f>Regression!$P$29+(Regression!$P$28*Table83[[#This Row],[Cardio]])</f>
        <v>44.680851063829778</v>
      </c>
      <c r="DL211" s="2">
        <f>Table83[[#This Row],[Waist]]-Table7[[#This Row],[Waist v Cardio]]</f>
        <v>0.81914893617022244</v>
      </c>
      <c r="DM211" s="2">
        <f>Table7[[#This Row],[WaistC Res]]^2</f>
        <v>0.67100497962880712</v>
      </c>
      <c r="DN211">
        <f>Regression!$Q$29+(Regression!$Q$28*Table83[[#This Row],[Calories]])</f>
        <v>44.303296485021079</v>
      </c>
      <c r="DO211" s="2">
        <f>Table83[[#This Row],[Waist]]-Table7[[#This Row],[Waist v Calories]]</f>
        <v>1.1967035149789211</v>
      </c>
      <c r="DP211" s="2">
        <f>Table7[[#This Row],[WaistCal Res]]^2</f>
        <v>1.432099302762905</v>
      </c>
      <c r="DQ211">
        <f>Regression!$R$29+(Regression!$R$28*Table83[[#This Row],[Carbs]])</f>
        <v>44.287845082084452</v>
      </c>
      <c r="DR211" s="2">
        <f>Table83[[#This Row],[Waist]]-Table7[[#This Row],[Waist v Carbs]]</f>
        <v>1.212154917915548</v>
      </c>
      <c r="DS211" s="2">
        <f>Table7[[#This Row],[WaistCarb Res]]^2</f>
        <v>1.4693195450268488</v>
      </c>
      <c r="DT211">
        <f>Regression!$S$29+(Regression!$S$28*Table83[[#This Row],[Fat ]])</f>
        <v>44.368863647249327</v>
      </c>
      <c r="DU211" s="2">
        <f>Table83[[#This Row],[Waist]]-Table7[[#This Row],[Waist v Fat]]</f>
        <v>1.1311363527506728</v>
      </c>
      <c r="DV211" s="2">
        <f>Table7[[#This Row],[WaistF Res]]^2</f>
        <v>1.2794694485140945</v>
      </c>
      <c r="DW211">
        <f>Regression!$T$29+(Regression!$T$28*Table83[[#This Row],[Protein]])</f>
        <v>44.146737963570693</v>
      </c>
      <c r="DX211" s="2">
        <f>Table83[[#This Row],[Waist]]-Table7[[#This Row],[Waist v Protein]]</f>
        <v>1.3532620364293066</v>
      </c>
      <c r="DY211" s="2">
        <f>Table7[[#This Row],[WaistP Res]]^2</f>
        <v>1.831318139240794</v>
      </c>
      <c r="DZ211">
        <f>Regression!$U$29+(Regression!$U$28*Table83[[#This Row],[Fiber]])</f>
        <v>44.661684439952403</v>
      </c>
      <c r="EA211" s="2">
        <f>Table83[[#This Row],[Waist]]-Table7[[#This Row],[Waist v Fiber]]</f>
        <v>0.83831556004759733</v>
      </c>
      <c r="EB211" s="2">
        <f>Table7[[#This Row],[WaistFib Res]]^2</f>
        <v>0.70277297821791673</v>
      </c>
      <c r="EC211">
        <f>Regression!$V$29+(Regression!$V$28*Table83[[#This Row],[Sugar]])</f>
        <v>44.340517028307644</v>
      </c>
      <c r="ED211" s="2">
        <f>Table83[[#This Row],[Waist]]-Table7[[#This Row],[Waist v Sugar]]</f>
        <v>1.1594829716923556</v>
      </c>
      <c r="EE211" s="2">
        <f>Table7[[#This Row],[WaistSugar Res]]^2</f>
        <v>1.3444007616445359</v>
      </c>
      <c r="EF211">
        <f>Regression!$W$29+(Regression!$W$28*Table83[[#This Row],[Servings]])</f>
        <v>44.229192082254961</v>
      </c>
      <c r="EG211" s="2">
        <f>Table83[[#This Row],[Waist]]-Table7[[#This Row],[Waist v Servings]]</f>
        <v>1.2708079177450387</v>
      </c>
      <c r="EH211" s="2">
        <f>Table7[[#This Row],[WaistServ Res]]^2</f>
        <v>1.6149527638034809</v>
      </c>
      <c r="EI211">
        <f>Regression!$X$29+(Regression!$X$28*Table83[[#This Row],[Water]])</f>
        <v>44.553850107074496</v>
      </c>
      <c r="EJ211" s="2">
        <f>Table83[[#This Row],[Waist]]-Table7[[#This Row],[Waist v Water]]</f>
        <v>0.94614989292550433</v>
      </c>
      <c r="EK211" s="2">
        <f>Table7[[#This Row],[WaistWat Res]]^2</f>
        <v>0.89519961988294328</v>
      </c>
      <c r="EL211">
        <f>Regression!$Y$29+(Regression!$Y$28*Table83[[#This Row],[Fat Calories]])</f>
        <v>44.362401490108461</v>
      </c>
      <c r="EM211" s="2">
        <f>Table83[[#This Row],[Waist]]-Table7[[#This Row],[Waist v Fat Calories]]</f>
        <v>1.1375985098915393</v>
      </c>
      <c r="EN211" s="2">
        <f>Table7[[#This Row],[WaistFatCal Res]]^2</f>
        <v>1.2941303697074507</v>
      </c>
    </row>
    <row r="212" spans="1:144" x14ac:dyDescent="0.25">
      <c r="A212">
        <f>Regression!$B$10+(Regression!$B$9*Table83[[#This Row],[Waist]])</f>
        <v>258.23421455025004</v>
      </c>
      <c r="B212" s="2">
        <f>Table83[[#This Row],[Weight]]-Table7[[#This Row],[Weight v Waist]]</f>
        <v>2.565785449749967</v>
      </c>
      <c r="C212" s="2">
        <f>Table7[[#This Row],[Weight v Waist Res]]^2</f>
        <v>6.5832549741486401</v>
      </c>
      <c r="D212">
        <f>Regression!$C$10+(Regression!$C$9*Table83[[#This Row],[Neck]])</f>
        <v>253.29286486487842</v>
      </c>
      <c r="E212" s="2">
        <f>Table83[[#This Row],[Weight]]-Table7[[#This Row],[Weight v Neck]]</f>
        <v>7.5071351351215867</v>
      </c>
      <c r="F212" s="2">
        <f>Table7[[#This Row],[WN Res]]^2</f>
        <v>56.357077936977007</v>
      </c>
      <c r="G212">
        <f>Regression!$D$10+(Regression!$D$9*Table83[[#This Row],[Morning Body Temp]])</f>
        <v>254.7075736779725</v>
      </c>
      <c r="H212" s="2">
        <f>Table83[[#This Row],[Weight]]-Table7[[#This Row],[Weight v Morning Temp]]</f>
        <v>6.0924263220275066</v>
      </c>
      <c r="I212" s="2">
        <f>Table7[[#This Row],[WMT Res]]^2</f>
        <v>37.117658489333614</v>
      </c>
      <c r="J212">
        <f>Regression!$E$10+(Regression!$E$9*Table83[[#This Row],[Morning Systolic Pressure]])</f>
        <v>255.14456383261873</v>
      </c>
      <c r="K212" s="2">
        <f>Table83[[#This Row],[Weight]]-Table7[[#This Row],[Weight v Morning Sys]]</f>
        <v>5.6554361673812821</v>
      </c>
      <c r="L212" s="2">
        <f>Table7[[#This Row],[WMS Res]]^2</f>
        <v>31.983958243324285</v>
      </c>
      <c r="M212">
        <f>Regression!$F$10+(Regression!$F$9*Table83[[#This Row],[Morning Diastolic Pressure]])</f>
        <v>255.71010539151592</v>
      </c>
      <c r="N212" s="2">
        <f>Table83[[#This Row],[Weight]]-Table7[[#This Row],[Weight v Morning Dia]]</f>
        <v>5.0898946084840873</v>
      </c>
      <c r="O212" s="2">
        <f>Table7[[#This Row],[WMD Res]]^2</f>
        <v>25.907027125475381</v>
      </c>
      <c r="P212">
        <f>Regression!$G$10+(Regression!$G$9*Table83[[#This Row],[Morning Pulse]])</f>
        <v>255.1081617071269</v>
      </c>
      <c r="Q212" s="2">
        <f>Table83[[#This Row],[Weight]]-Table7[[#This Row],[Weight v Morning Pulse]]</f>
        <v>5.6918382928731148</v>
      </c>
      <c r="R212" s="2">
        <f>Table7[[#This Row],[WMP Res]]^2</f>
        <v>32.397023152216732</v>
      </c>
      <c r="S212">
        <f>Regression!$H$10+(Regression!$H$9*Table83[[#This Row],[Night Body Temp]])</f>
        <v>255.77575581186025</v>
      </c>
      <c r="T212" s="2">
        <f>Table83[[#This Row],[Weight]]-Table7[[#This Row],[Weight v Night Temp]]</f>
        <v>5.024244188139761</v>
      </c>
      <c r="U212" s="2">
        <f>Table7[[#This Row],[WNT Res]]^2</f>
        <v>25.243029662056166</v>
      </c>
      <c r="V212">
        <f>Regression!$I$10+(Regression!$I$9*Table83[[#This Row],[Night Systolic Pressure]])</f>
        <v>255.75180556330957</v>
      </c>
      <c r="W212" s="2">
        <f>Table83[[#This Row],[Weight]]-Table7[[#This Row],[Weight v Night Sys]]</f>
        <v>5.0481944366904372</v>
      </c>
      <c r="X212" s="2">
        <f>Table7[[#This Row],[WNS Res]]^2</f>
        <v>25.484267070632281</v>
      </c>
      <c r="Y212">
        <f>Regression!$J$10+(Regression!$J$9*Table83[[#This Row],[Night Diastolic Pressure]])</f>
        <v>255.2146139794944</v>
      </c>
      <c r="Z212" s="2">
        <f>Table83[[#This Row],[Weight]]-Table7[[#This Row],[Weight v Night Dia]]</f>
        <v>5.5853860205056094</v>
      </c>
      <c r="AA212" s="2">
        <f>Table7[[#This Row],[WND Res]]^2</f>
        <v>31.196536998059489</v>
      </c>
      <c r="AB212">
        <f>Regression!$K$10+(Regression!$K$9*Table83[[#This Row],[Night Pulse]])</f>
        <v>254.92587187132088</v>
      </c>
      <c r="AC212" s="2">
        <f>Table83[[#This Row],[Weight]]-Table7[[#This Row],[Weight v Night Pulse]]</f>
        <v>5.874128128679132</v>
      </c>
      <c r="AD212" s="2">
        <f>Table7[[#This Row],[WNP Res ]]^2</f>
        <v>34.505381272139402</v>
      </c>
      <c r="AE212">
        <f>Regression!$L$10+(Regression!$L$9*Table83[[#This Row],[Sleep]])</f>
        <v>255.61024100244205</v>
      </c>
      <c r="AF212" s="2">
        <f>Table83[[#This Row],[Weight]]-Table7[[#This Row],[Weight v Sleep]]</f>
        <v>5.1897589975579592</v>
      </c>
      <c r="AG212" s="2">
        <f>Table7[[#This Row],[WS Res]]^2</f>
        <v>26.933598452733793</v>
      </c>
      <c r="AH212">
        <f>Regression!$M$10+(Regression!$M$9*Table83[[#This Row],[BMI]])</f>
        <v>260.79999999998734</v>
      </c>
      <c r="AI212" s="2">
        <f>Table83[[#This Row],[Weight]]-Table7[[#This Row],[Weight v BMI]]</f>
        <v>1.2676082405960187E-11</v>
      </c>
      <c r="AJ212" s="2">
        <f>Table7[[#This Row],[WBMI Res]]^2</f>
        <v>1.6068306516269341E-22</v>
      </c>
      <c r="AK212">
        <f>Regression!$N$10+(Regression!$N$9*Table83[[#This Row],[CBF]])</f>
        <v>259.27809165285294</v>
      </c>
      <c r="AL212" s="2">
        <f>Table83[[#This Row],[Weight]]-Table7[[#This Row],[Weight v CBF]]</f>
        <v>1.5219083471470753</v>
      </c>
      <c r="AM212" s="2">
        <f>Table7[[#This Row],[WCBF Res]]^2</f>
        <v>2.316205017115943</v>
      </c>
      <c r="AN212">
        <f>Regression!$O$10+(Regression!$O$9*Table83[[#This Row],[Gym]])</f>
        <v>254.72962962962998</v>
      </c>
      <c r="AO212" s="2">
        <f>Table83[[#This Row],[Weight]]-Table7[[#This Row],[Weight v Gym]]</f>
        <v>6.0703703703700285</v>
      </c>
      <c r="AP212" s="2">
        <f>Table7[[#This Row],[WG Res]]^2</f>
        <v>36.849396433466353</v>
      </c>
      <c r="AQ212">
        <f>Regression!$P$10+(Regression!$P$9*Table83[[#This Row],[Cardio]])</f>
        <v>256.41063829787231</v>
      </c>
      <c r="AR212" s="2">
        <f>Table83[[#This Row],[Weight]]-Table7[[#This Row],[Weight v Cardio]]</f>
        <v>4.3893617021277009</v>
      </c>
      <c r="AS212" s="2">
        <f>Table7[[#This Row],[WC Res]]^2</f>
        <v>19.26649615210539</v>
      </c>
      <c r="AT212">
        <f>Regression!$Q$10+(Regression!$Q$9*Table83[[#This Row],[Calories]])</f>
        <v>255.63150332412084</v>
      </c>
      <c r="AU212" s="2">
        <f>Table83[[#This Row],[Weight]]-Table7[[#This Row],[Weight v Calories]]</f>
        <v>5.1684966758791688</v>
      </c>
      <c r="AV212" s="2">
        <f>Table7[[#This Row],[WCAL Res]]^2</f>
        <v>26.713357888574016</v>
      </c>
      <c r="AW212">
        <f>Regression!$R$10+(Regression!$R$9*Table83[[#This Row],[Carbs]])</f>
        <v>255.41382051986176</v>
      </c>
      <c r="AX212" s="2">
        <f>Table83[[#This Row],[Weight]]-Table7[[#This Row],[Weight v Carbs]]</f>
        <v>5.386179480138253</v>
      </c>
      <c r="AY212" s="2">
        <f>Table7[[#This Row],[Wcarb Res]]^2</f>
        <v>29.01092939226238</v>
      </c>
      <c r="AZ212">
        <f>Regression!$S$10+(Regression!$S$9*Table83[[#This Row],[Fat ]])</f>
        <v>255.54544852315746</v>
      </c>
      <c r="BA212" s="2">
        <f>Table83[[#This Row],[Weight]]-Table7[[#This Row],[Weight v Fat]]</f>
        <v>5.2545514768425505</v>
      </c>
      <c r="BB212" s="2">
        <f>Table7[[#This Row],[WF Res]]^2</f>
        <v>27.61031122278823</v>
      </c>
      <c r="BC212">
        <f>Regression!$T$10+(Regression!$T$9*Table83[[#This Row],[Protein]])</f>
        <v>255.76779583632859</v>
      </c>
      <c r="BD212" s="2">
        <f>Table83[[#This Row],[Weight]]-Table7[[#This Row],[Weight v Protein]]</f>
        <v>5.0322041636714232</v>
      </c>
      <c r="BE212" s="2">
        <f>Table7[[#This Row],[WP Res]]^2</f>
        <v>25.323078744872006</v>
      </c>
      <c r="BF212">
        <f>Regression!$U$10+(Regression!$U$9*Table83[[#This Row],[Fiber]])</f>
        <v>255.19156954948826</v>
      </c>
      <c r="BG212" s="2">
        <f>Table83[[#This Row],[Weight]]-Table7[[#This Row],[Weight v Fiber]]</f>
        <v>5.6084304505117473</v>
      </c>
      <c r="BH212" s="2">
        <f>Table7[[#This Row],[Wfib Res]]^2</f>
        <v>31.4544921182274</v>
      </c>
      <c r="BI212">
        <f>Regression!$V$10+(Regression!$V$9*Table83[[#This Row],[Sugar]])</f>
        <v>255.22052209376017</v>
      </c>
      <c r="BJ212" s="2">
        <f>Table83[[#This Row],[Weight]]-Table7[[#This Row],[Weight v Sugar]]</f>
        <v>5.5794779062398447</v>
      </c>
      <c r="BK212" s="2">
        <f>Table7[[#This Row],[Wsugar Res]]^2</f>
        <v>31.130573706218563</v>
      </c>
      <c r="BL212">
        <f>Regression!$W$10+(Regression!$W$9*Table83[[#This Row],[Servings]])</f>
        <v>254.75361894605243</v>
      </c>
      <c r="BM212" s="2">
        <f>Table83[[#This Row],[Weight]]-Table7[[#This Row],[Weight v Servings]]</f>
        <v>6.0463810539475844</v>
      </c>
      <c r="BN212" s="2">
        <f>Table7[[#This Row],[Wserv Res]]^2</f>
        <v>36.5587238495363</v>
      </c>
      <c r="BO212">
        <f>Regression!$X$10+(Regression!$X$9*Table83[[#This Row],[Water]])</f>
        <v>255.19189796045953</v>
      </c>
      <c r="BP212" s="2">
        <f>Table83[[#This Row],[Weight]]-Table7[[#This Row],[Weight v Water]]</f>
        <v>5.6081020395404835</v>
      </c>
      <c r="BQ212" s="2">
        <f>Table7[[#This Row],[Wwater Res]]^2</f>
        <v>31.450808485898129</v>
      </c>
      <c r="BR212">
        <f>Regression!$Y$10+(Regression!$Y$9*Table83[[#This Row],[Fat Calories]])</f>
        <v>255.56824106814847</v>
      </c>
      <c r="BS212" s="2">
        <f>Table83[[#This Row],[Weight]]-Table7[[#This Row],[Weight v Fat Calories]]</f>
        <v>5.2317589318515445</v>
      </c>
      <c r="BT212" s="2">
        <f>Table7[[#This Row],[WFC Res]]^2</f>
        <v>27.371301521008412</v>
      </c>
      <c r="BU212">
        <f>Regression!$B$29+(Regression!$B$28*Table83[[#This Row],[Weight]])</f>
        <v>45.228186166284544</v>
      </c>
      <c r="BV212" s="2">
        <f>Table83[[#This Row],[Waist]]-Table7[[#This Row],[Waist v Weight]]</f>
        <v>-0.22818616628454436</v>
      </c>
      <c r="BW212" s="2">
        <f>Table7[[#This Row],[WaistW Res]]^2</f>
        <v>5.2068926483637729E-2</v>
      </c>
      <c r="BX212">
        <f>Regression!$C$29+(Regression!$C$28*Table83[[#This Row],[Neck]])</f>
        <v>44.175585585585594</v>
      </c>
      <c r="BY212" s="2">
        <f>Table83[[#This Row],[Waist]]-Table7[[#This Row],[Waist v Neck]]</f>
        <v>0.82441441441440588</v>
      </c>
      <c r="BZ212" s="2">
        <f>Table7[[#This Row],[WaistN Res]]^2</f>
        <v>0.67965912669424777</v>
      </c>
      <c r="CA212">
        <f>Regression!$D$29+(Regression!$D$28*Table83[[#This Row],[Morning Body Temp]])</f>
        <v>44.342717051701939</v>
      </c>
      <c r="CB212" s="2">
        <f>Table83[[#This Row],[Waist]]-Table7[[#This Row],[Waist v Morning Temp]]</f>
        <v>0.65728294829806089</v>
      </c>
      <c r="CC212" s="2">
        <f>Table7[[#This Row],[WaistMT Res]]^2</f>
        <v>0.43202087412339141</v>
      </c>
      <c r="CD212">
        <f>Regression!$E$29+(Regression!$E$28*Table83[[#This Row],[Morning Systolic Pressure]])</f>
        <v>44.460475132636631</v>
      </c>
      <c r="CE212" s="2">
        <f>Table83[[#This Row],[Waist]]-Table7[[#This Row],[Waist v Morning Sys]]</f>
        <v>0.5395248673633688</v>
      </c>
      <c r="CF212" s="2">
        <f>Table7[[#This Row],[WaistMS Res]]^2</f>
        <v>0.29108708250346071</v>
      </c>
      <c r="CG212">
        <f>Regression!$F$29+(Regression!$F$28*Table83[[#This Row],[Morning Diastolic Pressure]])</f>
        <v>44.486630392157387</v>
      </c>
      <c r="CH212" s="2">
        <f>Table83[[#This Row],[Waist]]-Table7[[#This Row],[Waist v Morning Dia]]</f>
        <v>0.51336960784261265</v>
      </c>
      <c r="CI212" s="2">
        <f>Table7[[#This Row],[WaistMD Res]]^2</f>
        <v>0.26354835425647788</v>
      </c>
      <c r="CJ212">
        <f>Regression!$G$29+(Regression!$G$28*Table83[[#This Row],[Morning Pulse]])</f>
        <v>44.450378687211739</v>
      </c>
      <c r="CK212" s="2">
        <f>Table83[[#This Row],[Waist]]-Table7[[#This Row],[Waist v Morning Pulse]]</f>
        <v>0.54962131278826121</v>
      </c>
      <c r="CL212" s="2">
        <f>Table7[[#This Row],[WaistMP Res]]^2</f>
        <v>0.30208358747109165</v>
      </c>
      <c r="CM212">
        <f>Regression!$H$29+(Regression!$H$28*Table83[[#This Row],[Night Body Temp]])</f>
        <v>44.505632421293377</v>
      </c>
      <c r="CN212" s="2">
        <f>Table83[[#This Row],[Waist]]-Table7[[#This Row],[Waist v Night Temp]]</f>
        <v>0.49436757870662262</v>
      </c>
      <c r="CO212" s="2">
        <f>Table7[[#This Row],[WaistNT Res]]^2</f>
        <v>0.24439930287624873</v>
      </c>
      <c r="CP212">
        <f>Regression!$I$29+(Regression!$I$28*Table83[[#This Row],[Night Systolic Pressure]])</f>
        <v>44.54374000125889</v>
      </c>
      <c r="CQ212" s="2">
        <f>Table83[[#This Row],[Waist]]-Table7[[#This Row],[Waist v  Night Sys]]</f>
        <v>0.45625999874111045</v>
      </c>
      <c r="CR212" s="2">
        <f>Table7[[#This Row],[WaistNS Res]]^2</f>
        <v>0.20817318645123811</v>
      </c>
      <c r="CS212">
        <f>Regression!$J$29+(Regression!$J$28*Table83[[#This Row],[Night Diastolic Pressure]])</f>
        <v>44.495227901568619</v>
      </c>
      <c r="CT212" s="2">
        <f>Table83[[#This Row],[Waist]]-Table7[[#This Row],[Waist v Night Dia]]</f>
        <v>0.50477209843138127</v>
      </c>
      <c r="CU212" s="2">
        <f>Table7[[#This Row],[WaistND Res]]^2</f>
        <v>0.25479487135482004</v>
      </c>
      <c r="CV212">
        <f>Regression!$K$29+(Regression!$K$28*Table83[[#This Row],[Night Pulse]])</f>
        <v>44.471135357809125</v>
      </c>
      <c r="CW212" s="2">
        <f>Table83[[#This Row],[Waist]]-Table7[[#This Row],[Waist v Night Pulse]]</f>
        <v>0.52886464219087514</v>
      </c>
      <c r="CX212" s="2">
        <f>Table7[[#This Row],[WaistNP Res]]^2</f>
        <v>0.27969780975968239</v>
      </c>
      <c r="CY212">
        <f>Regression!$L$29+(Regression!$L$28*Table83[[#This Row],[Sleep]])</f>
        <v>44.529040304851584</v>
      </c>
      <c r="CZ212" s="2">
        <f>Table83[[#This Row],[Waist]]-Table7[[#This Row],[Waist v  Sleep]]</f>
        <v>0.47095969514841585</v>
      </c>
      <c r="DA212" s="2">
        <f>Table7[[#This Row],[WaistS Res]]^2</f>
        <v>0.22180303445428878</v>
      </c>
      <c r="DB212">
        <f>Regression!$M$29+(Regression!$M$28*Table83[[#This Row],[BMI]])</f>
        <v>45.228186166282086</v>
      </c>
      <c r="DC212" s="2">
        <f>Table83[[#This Row],[Waist]]-Table7[[#This Row],[Waist v BMI]]</f>
        <v>-0.22818616628208588</v>
      </c>
      <c r="DD212" s="2">
        <f>Table7[[#This Row],[WaistBMI Res]]^2</f>
        <v>5.2068926482515744E-2</v>
      </c>
      <c r="DE212">
        <f>Regression!$N$29+(Regression!$N$28*Table83[[#This Row],[CBF]])</f>
        <v>45.203183363709613</v>
      </c>
      <c r="DF212" s="2">
        <f>Table83[[#This Row],[Waist]]-Table7[[#This Row],[Waist v  CBF]]</f>
        <v>-0.20318336370961276</v>
      </c>
      <c r="DG212" s="2">
        <f>Table7[[#This Row],[WaistCBF Res]]^2</f>
        <v>4.1283479288352784E-2</v>
      </c>
      <c r="DH212">
        <f>Regression!$O$29+(Regression!$O$28*Table83[[#This Row],[Gym]])</f>
        <v>44.347222222222221</v>
      </c>
      <c r="DI212" s="2">
        <f>Table83[[#This Row],[Waist]]-Table7[[#This Row],[Waist v  Gym]]</f>
        <v>0.65277777777777857</v>
      </c>
      <c r="DJ212" s="2">
        <f>Table7[[#This Row],[WaistGYM Res]]^2</f>
        <v>0.42611882716049487</v>
      </c>
      <c r="DK212">
        <f>Regression!$P$29+(Regression!$P$28*Table83[[#This Row],[Cardio]])</f>
        <v>44.680851063829778</v>
      </c>
      <c r="DL212" s="2">
        <f>Table83[[#This Row],[Waist]]-Table7[[#This Row],[Waist v Cardio]]</f>
        <v>0.31914893617022244</v>
      </c>
      <c r="DM212" s="2">
        <f>Table7[[#This Row],[WaistC Res]]^2</f>
        <v>0.10185604345858472</v>
      </c>
      <c r="DN212">
        <f>Regression!$Q$29+(Regression!$Q$28*Table83[[#This Row],[Calories]])</f>
        <v>44.569576722572677</v>
      </c>
      <c r="DO212" s="2">
        <f>Table83[[#This Row],[Waist]]-Table7[[#This Row],[Waist v Calories]]</f>
        <v>0.43042327742732311</v>
      </c>
      <c r="DP212" s="2">
        <f>Table7[[#This Row],[WaistCal Res]]^2</f>
        <v>0.18526419775127836</v>
      </c>
      <c r="DQ212">
        <f>Regression!$R$29+(Regression!$R$28*Table83[[#This Row],[Carbs]])</f>
        <v>44.515743213220553</v>
      </c>
      <c r="DR212" s="2">
        <f>Table83[[#This Row],[Waist]]-Table7[[#This Row],[Waist v Carbs]]</f>
        <v>0.48425678677944717</v>
      </c>
      <c r="DS212" s="2">
        <f>Table7[[#This Row],[WaistCarb Res]]^2</f>
        <v>0.23450463554195497</v>
      </c>
      <c r="DT212">
        <f>Regression!$S$29+(Regression!$S$28*Table83[[#This Row],[Fat ]])</f>
        <v>44.585105301468388</v>
      </c>
      <c r="DU212" s="2">
        <f>Table83[[#This Row],[Waist]]-Table7[[#This Row],[Waist v Fat]]</f>
        <v>0.41489469853161154</v>
      </c>
      <c r="DV212" s="2">
        <f>Table7[[#This Row],[WaistF Res]]^2</f>
        <v>0.17213761086963683</v>
      </c>
      <c r="DW212">
        <f>Regression!$T$29+(Regression!$T$28*Table83[[#This Row],[Protein]])</f>
        <v>44.573017611117159</v>
      </c>
      <c r="DX212" s="2">
        <f>Table83[[#This Row],[Waist]]-Table7[[#This Row],[Waist v Protein]]</f>
        <v>0.42698238888284124</v>
      </c>
      <c r="DY212" s="2">
        <f>Table7[[#This Row],[WaistP Res]]^2</f>
        <v>0.18231396041609788</v>
      </c>
      <c r="DZ212">
        <f>Regression!$U$29+(Regression!$U$28*Table83[[#This Row],[Fiber]])</f>
        <v>44.483067872280273</v>
      </c>
      <c r="EA212" s="2">
        <f>Table83[[#This Row],[Waist]]-Table7[[#This Row],[Waist v Fiber]]</f>
        <v>0.51693212771972696</v>
      </c>
      <c r="EB212" s="2">
        <f>Table7[[#This Row],[WaistFib Res]]^2</f>
        <v>0.26721882466884411</v>
      </c>
      <c r="EC212">
        <f>Regression!$V$29+(Regression!$V$28*Table83[[#This Row],[Sugar]])</f>
        <v>44.472487741640528</v>
      </c>
      <c r="ED212" s="2">
        <f>Table83[[#This Row],[Waist]]-Table7[[#This Row],[Waist v Sugar]]</f>
        <v>0.52751225835947224</v>
      </c>
      <c r="EE212" s="2">
        <f>Table7[[#This Row],[WaistSugar Res]]^2</f>
        <v>0.27826918271951057</v>
      </c>
      <c r="EF212">
        <f>Regression!$W$29+(Regression!$W$28*Table83[[#This Row],[Servings]])</f>
        <v>44.398392343307876</v>
      </c>
      <c r="EG212" s="2">
        <f>Table83[[#This Row],[Waist]]-Table7[[#This Row],[Waist v Servings]]</f>
        <v>0.60160765669212424</v>
      </c>
      <c r="EH212" s="2">
        <f>Table7[[#This Row],[WaistServ Res]]^2</f>
        <v>0.36193177259058884</v>
      </c>
      <c r="EI212">
        <f>Regression!$X$29+(Regression!$X$28*Table83[[#This Row],[Water]])</f>
        <v>44.553850107074496</v>
      </c>
      <c r="EJ212" s="2">
        <f>Table83[[#This Row],[Waist]]-Table7[[#This Row],[Waist v Water]]</f>
        <v>0.44614989292550433</v>
      </c>
      <c r="EK212" s="2">
        <f>Table7[[#This Row],[WaistWat Res]]^2</f>
        <v>0.19904972695743897</v>
      </c>
      <c r="EL212">
        <f>Regression!$Y$29+(Regression!$Y$28*Table83[[#This Row],[Fat Calories]])</f>
        <v>44.59137001348757</v>
      </c>
      <c r="EM212" s="2">
        <f>Table83[[#This Row],[Waist]]-Table7[[#This Row],[Waist v Fat Calories]]</f>
        <v>0.40862998651243032</v>
      </c>
      <c r="EN212" s="2">
        <f>Table7[[#This Row],[WaistFatCal Res]]^2</f>
        <v>0.16697846587714898</v>
      </c>
    </row>
    <row r="213" spans="1:144" x14ac:dyDescent="0.25">
      <c r="A213">
        <f>Regression!$B$10+(Regression!$B$9*Table83[[#This Row],[Waist]])</f>
        <v>261.08819223590376</v>
      </c>
      <c r="B213" s="2">
        <f>Table83[[#This Row],[Weight]]-Table7[[#This Row],[Weight v Waist]]</f>
        <v>0.11180776409622695</v>
      </c>
      <c r="C213" s="2">
        <f>Table7[[#This Row],[Weight v Waist Res]]^2</f>
        <v>1.2500976112197536E-2</v>
      </c>
      <c r="D213">
        <f>Regression!$C$10+(Regression!$C$9*Table83[[#This Row],[Neck]])</f>
        <v>253.29286486487842</v>
      </c>
      <c r="E213" s="2">
        <f>Table83[[#This Row],[Weight]]-Table7[[#This Row],[Weight v Neck]]</f>
        <v>7.907135135121564</v>
      </c>
      <c r="F213" s="2">
        <f>Table7[[#This Row],[WN Res]]^2</f>
        <v>62.522786045073914</v>
      </c>
      <c r="G213">
        <f>Regression!$D$10+(Regression!$D$9*Table83[[#This Row],[Morning Body Temp]])</f>
        <v>254.84837078641723</v>
      </c>
      <c r="H213" s="2">
        <f>Table83[[#This Row],[Weight]]-Table7[[#This Row],[Weight v Morning Temp]]</f>
        <v>6.3516292135827541</v>
      </c>
      <c r="I213" s="2">
        <f>Table7[[#This Row],[WMT Res]]^2</f>
        <v>40.343193666837877</v>
      </c>
      <c r="J213">
        <f>Regression!$E$10+(Regression!$E$9*Table83[[#This Row],[Morning Systolic Pressure]])</f>
        <v>254.55856018239473</v>
      </c>
      <c r="K213" s="2">
        <f>Table83[[#This Row],[Weight]]-Table7[[#This Row],[Weight v Morning Sys]]</f>
        <v>6.64143981760526</v>
      </c>
      <c r="L213" s="2">
        <f>Table7[[#This Row],[WMS Res]]^2</f>
        <v>44.108722850872589</v>
      </c>
      <c r="M213">
        <f>Regression!$F$10+(Regression!$F$9*Table83[[#This Row],[Morning Diastolic Pressure]])</f>
        <v>255.60876114247105</v>
      </c>
      <c r="N213" s="2">
        <f>Table83[[#This Row],[Weight]]-Table7[[#This Row],[Weight v Morning Dia]]</f>
        <v>5.5912388575289356</v>
      </c>
      <c r="O213" s="2">
        <f>Table7[[#This Row],[WMD Res]]^2</f>
        <v>31.261951961941477</v>
      </c>
      <c r="P213">
        <f>Regression!$G$10+(Regression!$G$9*Table83[[#This Row],[Morning Pulse]])</f>
        <v>255.10267831985533</v>
      </c>
      <c r="Q213" s="2">
        <f>Table83[[#This Row],[Weight]]-Table7[[#This Row],[Weight v Morning Pulse]]</f>
        <v>6.0973216801446597</v>
      </c>
      <c r="R213" s="2">
        <f>Table7[[#This Row],[WMP Res]]^2</f>
        <v>37.177331671162094</v>
      </c>
      <c r="S213">
        <f>Regression!$H$10+(Regression!$H$9*Table83[[#This Row],[Night Body Temp]])</f>
        <v>256.08384552330529</v>
      </c>
      <c r="T213" s="2">
        <f>Table83[[#This Row],[Weight]]-Table7[[#This Row],[Weight v Night Temp]]</f>
        <v>5.1161544766947031</v>
      </c>
      <c r="U213" s="2">
        <f>Table7[[#This Row],[WNT Res]]^2</f>
        <v>26.175036629403252</v>
      </c>
      <c r="V213">
        <f>Regression!$I$10+(Regression!$I$9*Table83[[#This Row],[Night Systolic Pressure]])</f>
        <v>255.95709523136651</v>
      </c>
      <c r="W213" s="2">
        <f>Table83[[#This Row],[Weight]]-Table7[[#This Row],[Weight v Night Sys]]</f>
        <v>5.2429047686334798</v>
      </c>
      <c r="X213" s="2">
        <f>Table7[[#This Row],[WNS Res]]^2</f>
        <v>27.488050412959684</v>
      </c>
      <c r="Y213">
        <f>Regression!$J$10+(Regression!$J$9*Table83[[#This Row],[Night Diastolic Pressure]])</f>
        <v>254.76618942691729</v>
      </c>
      <c r="Z213" s="2">
        <f>Table83[[#This Row],[Weight]]-Table7[[#This Row],[Weight v Night Dia]]</f>
        <v>6.4338105730826953</v>
      </c>
      <c r="AA213" s="2">
        <f>Table7[[#This Row],[WND Res]]^2</f>
        <v>41.393918490310682</v>
      </c>
      <c r="AB213">
        <f>Regression!$K$10+(Regression!$K$9*Table83[[#This Row],[Night Pulse]])</f>
        <v>254.89515854008414</v>
      </c>
      <c r="AC213" s="2">
        <f>Table83[[#This Row],[Weight]]-Table7[[#This Row],[Weight v Night Pulse]]</f>
        <v>6.3048414599158491</v>
      </c>
      <c r="AD213" s="2">
        <f>Table7[[#This Row],[WNP Res ]]^2</f>
        <v>39.751025834673818</v>
      </c>
      <c r="AE213">
        <f>Regression!$L$10+(Regression!$L$9*Table83[[#This Row],[Sleep]])</f>
        <v>255.13702972738133</v>
      </c>
      <c r="AF213" s="2">
        <f>Table83[[#This Row],[Weight]]-Table7[[#This Row],[Weight v Sleep]]</f>
        <v>6.0629702726186565</v>
      </c>
      <c r="AG213" s="2">
        <f>Table7[[#This Row],[WS Res]]^2</f>
        <v>36.759608526657544</v>
      </c>
      <c r="AH213">
        <f>Regression!$M$10+(Regression!$M$9*Table83[[#This Row],[BMI]])</f>
        <v>261.1999999999864</v>
      </c>
      <c r="AI213" s="2">
        <f>Table83[[#This Row],[Weight]]-Table7[[#This Row],[Weight v BMI]]</f>
        <v>1.3585577107733116E-11</v>
      </c>
      <c r="AJ213" s="2">
        <f>Table7[[#This Row],[WBMI Res]]^2</f>
        <v>1.8456790535016209E-22</v>
      </c>
      <c r="AK213">
        <f>Regression!$N$10+(Regression!$N$9*Table83[[#This Row],[CBF]])</f>
        <v>262.24752658837394</v>
      </c>
      <c r="AL213" s="2">
        <f>Table83[[#This Row],[Weight]]-Table7[[#This Row],[Weight v CBF]]</f>
        <v>-1.0475265883739553</v>
      </c>
      <c r="AM213" s="2">
        <f>Table7[[#This Row],[WCBF Res]]^2</f>
        <v>1.0973119533503779</v>
      </c>
      <c r="AN213">
        <f>Regression!$O$10+(Regression!$O$9*Table83[[#This Row],[Gym]])</f>
        <v>254.72962962962998</v>
      </c>
      <c r="AO213" s="2">
        <f>Table83[[#This Row],[Weight]]-Table7[[#This Row],[Weight v Gym]]</f>
        <v>6.4703703703700057</v>
      </c>
      <c r="AP213" s="2">
        <f>Table7[[#This Row],[WG Res]]^2</f>
        <v>41.865692729762088</v>
      </c>
      <c r="AQ213">
        <f>Regression!$P$10+(Regression!$P$9*Table83[[#This Row],[Cardio]])</f>
        <v>256.41063829787231</v>
      </c>
      <c r="AR213" s="2">
        <f>Table83[[#This Row],[Weight]]-Table7[[#This Row],[Weight v Cardio]]</f>
        <v>4.7893617021276782</v>
      </c>
      <c r="AS213" s="2">
        <f>Table7[[#This Row],[WC Res]]^2</f>
        <v>22.93798551380733</v>
      </c>
      <c r="AT213">
        <f>Regression!$Q$10+(Regression!$Q$9*Table83[[#This Row],[Calories]])</f>
        <v>255.11504424778778</v>
      </c>
      <c r="AU213" s="2">
        <f>Table83[[#This Row],[Weight]]-Table7[[#This Row],[Weight v Calories]]</f>
        <v>6.0849557522122097</v>
      </c>
      <c r="AV213" s="2">
        <f>Table7[[#This Row],[WCAL Res]]^2</f>
        <v>37.026686506380457</v>
      </c>
      <c r="AW213">
        <f>Regression!$R$10+(Regression!$R$9*Table83[[#This Row],[Carbs]])</f>
        <v>255.11504424778778</v>
      </c>
      <c r="AX213" s="2">
        <f>Table83[[#This Row],[Weight]]-Table7[[#This Row],[Weight v Carbs]]</f>
        <v>6.0849557522122097</v>
      </c>
      <c r="AY213" s="2">
        <f>Table7[[#This Row],[Wcarb Res]]^2</f>
        <v>37.026686506380457</v>
      </c>
      <c r="AZ213">
        <f>Regression!$S$10+(Regression!$S$9*Table83[[#This Row],[Fat ]])</f>
        <v>255.11504424778781</v>
      </c>
      <c r="BA213" s="2">
        <f>Table83[[#This Row],[Weight]]-Table7[[#This Row],[Weight v Fat]]</f>
        <v>6.0849557522121813</v>
      </c>
      <c r="BB213" s="2">
        <f>Table7[[#This Row],[WF Res]]^2</f>
        <v>37.026686506380116</v>
      </c>
      <c r="BC213">
        <f>Regression!$T$10+(Regression!$T$9*Table83[[#This Row],[Protein]])</f>
        <v>255.11504424778781</v>
      </c>
      <c r="BD213" s="2">
        <f>Table83[[#This Row],[Weight]]-Table7[[#This Row],[Weight v Protein]]</f>
        <v>6.0849557522121813</v>
      </c>
      <c r="BE213" s="2">
        <f>Table7[[#This Row],[WP Res]]^2</f>
        <v>37.026686506380116</v>
      </c>
      <c r="BF213">
        <f>Regression!$U$10+(Regression!$U$9*Table83[[#This Row],[Fiber]])</f>
        <v>255.11504424778781</v>
      </c>
      <c r="BG213" s="2">
        <f>Table83[[#This Row],[Weight]]-Table7[[#This Row],[Weight v Fiber]]</f>
        <v>6.0849557522121813</v>
      </c>
      <c r="BH213" s="2">
        <f>Table7[[#This Row],[Wfib Res]]^2</f>
        <v>37.026686506380116</v>
      </c>
      <c r="BI213">
        <f>Regression!$V$10+(Regression!$V$9*Table83[[#This Row],[Sugar]])</f>
        <v>255.11504424778781</v>
      </c>
      <c r="BJ213" s="2">
        <f>Table83[[#This Row],[Weight]]-Table7[[#This Row],[Weight v Sugar]]</f>
        <v>6.0849557522121813</v>
      </c>
      <c r="BK213" s="2">
        <f>Table7[[#This Row],[Wsugar Res]]^2</f>
        <v>37.026686506380116</v>
      </c>
      <c r="BL213">
        <f>Regression!$W$10+(Regression!$W$9*Table83[[#This Row],[Servings]])</f>
        <v>255.11504424778784</v>
      </c>
      <c r="BM213" s="2">
        <f>Table83[[#This Row],[Weight]]-Table7[[#This Row],[Weight v Servings]]</f>
        <v>6.0849557522121529</v>
      </c>
      <c r="BN213" s="2">
        <f>Table7[[#This Row],[Wserv Res]]^2</f>
        <v>37.026686506379768</v>
      </c>
      <c r="BO213">
        <f>Regression!$X$10+(Regression!$X$9*Table83[[#This Row],[Water]])</f>
        <v>255.11504424778781</v>
      </c>
      <c r="BP213" s="2">
        <f>Table83[[#This Row],[Weight]]-Table7[[#This Row],[Weight v Water]]</f>
        <v>6.0849557522121813</v>
      </c>
      <c r="BQ213" s="2">
        <f>Table7[[#This Row],[Wwater Res]]^2</f>
        <v>37.026686506380116</v>
      </c>
      <c r="BR213">
        <f>Regression!$Y$10+(Regression!$Y$9*Table83[[#This Row],[Fat Calories]])</f>
        <v>255.11504424778781</v>
      </c>
      <c r="BS213" s="2">
        <f>Table83[[#This Row],[Weight]]-Table7[[#This Row],[Weight v Fat Calories]]</f>
        <v>6.0849557522121813</v>
      </c>
      <c r="BT213" s="2">
        <f>Table7[[#This Row],[WFC Res]]^2</f>
        <v>37.026686506380116</v>
      </c>
      <c r="BU213">
        <f>Regression!$B$29+(Regression!$B$28*Table83[[#This Row],[Weight]])</f>
        <v>45.282691170512535</v>
      </c>
      <c r="BV213" s="2">
        <f>Table83[[#This Row],[Waist]]-Table7[[#This Row],[Waist v Weight]]</f>
        <v>0.21730882948746455</v>
      </c>
      <c r="BW213" s="2">
        <f>Table7[[#This Row],[WaistW Res]]^2</f>
        <v>4.7223127373211944E-2</v>
      </c>
      <c r="BX213">
        <f>Regression!$C$29+(Regression!$C$28*Table83[[#This Row],[Neck]])</f>
        <v>44.175585585585594</v>
      </c>
      <c r="BY213" s="2">
        <f>Table83[[#This Row],[Waist]]-Table7[[#This Row],[Waist v Neck]]</f>
        <v>1.3244144144144059</v>
      </c>
      <c r="BZ213" s="2">
        <f>Table7[[#This Row],[WaistN Res]]^2</f>
        <v>1.7540735411086537</v>
      </c>
      <c r="CA213">
        <f>Regression!$D$29+(Regression!$D$28*Table83[[#This Row],[Morning Body Temp]])</f>
        <v>44.381010678053698</v>
      </c>
      <c r="CB213" s="2">
        <f>Table83[[#This Row],[Waist]]-Table7[[#This Row],[Waist v Morning Temp]]</f>
        <v>1.1189893219463016</v>
      </c>
      <c r="CC213" s="2">
        <f>Table7[[#This Row],[WaistMT Res]]^2</f>
        <v>1.2521371026298438</v>
      </c>
      <c r="CD213">
        <f>Regression!$E$29+(Regression!$E$28*Table83[[#This Row],[Morning Systolic Pressure]])</f>
        <v>44.322799864485077</v>
      </c>
      <c r="CE213" s="2">
        <f>Table83[[#This Row],[Waist]]-Table7[[#This Row],[Waist v Morning Sys]]</f>
        <v>1.1772001355149229</v>
      </c>
      <c r="CF213" s="2">
        <f>Table7[[#This Row],[WaistMS Res]]^2</f>
        <v>1.3858001590563527</v>
      </c>
      <c r="CG213">
        <f>Regression!$F$29+(Regression!$F$28*Table83[[#This Row],[Morning Diastolic Pressure]])</f>
        <v>44.480994771488533</v>
      </c>
      <c r="CH213" s="2">
        <f>Table83[[#This Row],[Waist]]-Table7[[#This Row],[Waist v Morning Dia]]</f>
        <v>1.0190052285114675</v>
      </c>
      <c r="CI213" s="2">
        <f>Table7[[#This Row],[WaistMD Res]]^2</f>
        <v>1.0383716557337079</v>
      </c>
      <c r="CJ213">
        <f>Regression!$G$29+(Regression!$G$28*Table83[[#This Row],[Morning Pulse]])</f>
        <v>44.447860179490903</v>
      </c>
      <c r="CK213" s="2">
        <f>Table83[[#This Row],[Waist]]-Table7[[#This Row],[Waist v Morning Pulse]]</f>
        <v>1.0521398205090975</v>
      </c>
      <c r="CL213" s="2">
        <f>Table7[[#This Row],[WaistMP Res]]^2</f>
        <v>1.1069982019009159</v>
      </c>
      <c r="CM213">
        <f>Regression!$H$29+(Regression!$H$28*Table83[[#This Row],[Night Body Temp]])</f>
        <v>44.52992319270804</v>
      </c>
      <c r="CN213" s="2">
        <f>Table83[[#This Row],[Waist]]-Table7[[#This Row],[Waist v Night Temp]]</f>
        <v>0.97007680729196011</v>
      </c>
      <c r="CO213" s="2">
        <f>Table7[[#This Row],[WaistNT Res]]^2</f>
        <v>0.94104901204576274</v>
      </c>
      <c r="CP213">
        <f>Regression!$I$29+(Regression!$I$28*Table83[[#This Row],[Night Systolic Pressure]])</f>
        <v>44.572820229910121</v>
      </c>
      <c r="CQ213" s="2">
        <f>Table83[[#This Row],[Waist]]-Table7[[#This Row],[Waist v  Night Sys]]</f>
        <v>0.92717977008987873</v>
      </c>
      <c r="CR213" s="2">
        <f>Table7[[#This Row],[WaistNS Res]]^2</f>
        <v>0.85966232606392035</v>
      </c>
      <c r="CS213">
        <f>Regression!$J$29+(Regression!$J$28*Table83[[#This Row],[Night Diastolic Pressure]])</f>
        <v>44.307480504286751</v>
      </c>
      <c r="CT213" s="2">
        <f>Table83[[#This Row],[Waist]]-Table7[[#This Row],[Waist v Night Dia]]</f>
        <v>1.192519495713249</v>
      </c>
      <c r="CU213" s="2">
        <f>Table7[[#This Row],[WaistND Res]]^2</f>
        <v>1.4221027476561816</v>
      </c>
      <c r="CV213">
        <f>Regression!$K$29+(Regression!$K$28*Table83[[#This Row],[Night Pulse]])</f>
        <v>44.473992104120093</v>
      </c>
      <c r="CW213" s="2">
        <f>Table83[[#This Row],[Waist]]-Table7[[#This Row],[Waist v Night Pulse]]</f>
        <v>1.026007895879907</v>
      </c>
      <c r="CX213" s="2">
        <f>Table7[[#This Row],[WaistNP Res]]^2</f>
        <v>1.0526922024079142</v>
      </c>
      <c r="CY213">
        <f>Regression!$L$29+(Regression!$L$28*Table83[[#This Row],[Sleep]])</f>
        <v>44.456891852858099</v>
      </c>
      <c r="CZ213" s="2">
        <f>Table83[[#This Row],[Waist]]-Table7[[#This Row],[Waist v  Sleep]]</f>
        <v>1.0431081471419006</v>
      </c>
      <c r="DA213" s="2">
        <f>Table7[[#This Row],[WaistS Res]]^2</f>
        <v>1.0880746066338089</v>
      </c>
      <c r="DB213">
        <f>Regression!$M$29+(Regression!$M$28*Table83[[#This Row],[BMI]])</f>
        <v>45.282691170509899</v>
      </c>
      <c r="DC213" s="2">
        <f>Table83[[#This Row],[Waist]]-Table7[[#This Row],[Waist v BMI]]</f>
        <v>0.21730882949010066</v>
      </c>
      <c r="DD213" s="2">
        <f>Table7[[#This Row],[WaistBMI Res]]^2</f>
        <v>4.7223127374357646E-2</v>
      </c>
      <c r="DE213">
        <f>Regression!$N$29+(Regression!$N$28*Table83[[#This Row],[CBF]])</f>
        <v>45.737892076427137</v>
      </c>
      <c r="DF213" s="2">
        <f>Table83[[#This Row],[Waist]]-Table7[[#This Row],[Waist v  CBF]]</f>
        <v>-0.23789207642713706</v>
      </c>
      <c r="DG213" s="2">
        <f>Table7[[#This Row],[WaistCBF Res]]^2</f>
        <v>5.6592640026814821E-2</v>
      </c>
      <c r="DH213">
        <f>Regression!$O$29+(Regression!$O$28*Table83[[#This Row],[Gym]])</f>
        <v>44.347222222222221</v>
      </c>
      <c r="DI213" s="2">
        <f>Table83[[#This Row],[Waist]]-Table7[[#This Row],[Waist v  Gym]]</f>
        <v>1.1527777777777786</v>
      </c>
      <c r="DJ213" s="2">
        <f>Table7[[#This Row],[WaistGYM Res]]^2</f>
        <v>1.3288966049382733</v>
      </c>
      <c r="DK213">
        <f>Regression!$P$29+(Regression!$P$28*Table83[[#This Row],[Cardio]])</f>
        <v>44.680851063829778</v>
      </c>
      <c r="DL213" s="2">
        <f>Table83[[#This Row],[Waist]]-Table7[[#This Row],[Waist v Cardio]]</f>
        <v>0.81914893617022244</v>
      </c>
      <c r="DM213" s="2">
        <f>Table7[[#This Row],[WaistC Res]]^2</f>
        <v>0.67100497962880712</v>
      </c>
      <c r="DN213">
        <f>Regression!$Q$29+(Regression!$Q$28*Table83[[#This Row],[Calories]])</f>
        <v>44.453539823008846</v>
      </c>
      <c r="DO213" s="2">
        <f>Table83[[#This Row],[Waist]]-Table7[[#This Row],[Waist v Calories]]</f>
        <v>1.0464601769911539</v>
      </c>
      <c r="DP213" s="2">
        <f>Table7[[#This Row],[WaistCal Res]]^2</f>
        <v>1.0950789020283571</v>
      </c>
      <c r="DQ213">
        <f>Regression!$R$29+(Regression!$R$28*Table83[[#This Row],[Carbs]])</f>
        <v>44.453539823008846</v>
      </c>
      <c r="DR213" s="2">
        <f>Table83[[#This Row],[Waist]]-Table7[[#This Row],[Waist v Carbs]]</f>
        <v>1.0464601769911539</v>
      </c>
      <c r="DS213" s="2">
        <f>Table7[[#This Row],[WaistCarb Res]]^2</f>
        <v>1.0950789020283571</v>
      </c>
      <c r="DT213">
        <f>Regression!$S$29+(Regression!$S$28*Table83[[#This Row],[Fat ]])</f>
        <v>44.453539823008846</v>
      </c>
      <c r="DU213" s="2">
        <f>Table83[[#This Row],[Waist]]-Table7[[#This Row],[Waist v Fat]]</f>
        <v>1.0464601769911539</v>
      </c>
      <c r="DV213" s="2">
        <f>Table7[[#This Row],[WaistF Res]]^2</f>
        <v>1.0950789020283571</v>
      </c>
      <c r="DW213">
        <f>Regression!$T$29+(Regression!$T$28*Table83[[#This Row],[Protein]])</f>
        <v>44.453539823008846</v>
      </c>
      <c r="DX213" s="2">
        <f>Table83[[#This Row],[Waist]]-Table7[[#This Row],[Waist v Protein]]</f>
        <v>1.0464601769911539</v>
      </c>
      <c r="DY213" s="2">
        <f>Table7[[#This Row],[WaistP Res]]^2</f>
        <v>1.0950789020283571</v>
      </c>
      <c r="DZ213">
        <f>Regression!$U$29+(Regression!$U$28*Table83[[#This Row],[Fiber]])</f>
        <v>44.453539823008846</v>
      </c>
      <c r="EA213" s="2">
        <f>Table83[[#This Row],[Waist]]-Table7[[#This Row],[Waist v Fiber]]</f>
        <v>1.0464601769911539</v>
      </c>
      <c r="EB213" s="2">
        <f>Table7[[#This Row],[WaistFib Res]]^2</f>
        <v>1.0950789020283571</v>
      </c>
      <c r="EC213">
        <f>Regression!$V$29+(Regression!$V$28*Table83[[#This Row],[Sugar]])</f>
        <v>44.453539823008846</v>
      </c>
      <c r="ED213" s="2">
        <f>Table83[[#This Row],[Waist]]-Table7[[#This Row],[Waist v Sugar]]</f>
        <v>1.0464601769911539</v>
      </c>
      <c r="EE213" s="2">
        <f>Table7[[#This Row],[WaistSugar Res]]^2</f>
        <v>1.0950789020283571</v>
      </c>
      <c r="EF213">
        <f>Regression!$W$29+(Regression!$W$28*Table83[[#This Row],[Servings]])</f>
        <v>44.453539823008846</v>
      </c>
      <c r="EG213" s="2">
        <f>Table83[[#This Row],[Waist]]-Table7[[#This Row],[Waist v Servings]]</f>
        <v>1.0464601769911539</v>
      </c>
      <c r="EH213" s="2">
        <f>Table7[[#This Row],[WaistServ Res]]^2</f>
        <v>1.0950789020283571</v>
      </c>
      <c r="EI213">
        <f>Regression!$X$29+(Regression!$X$28*Table83[[#This Row],[Water]])</f>
        <v>44.453539823008846</v>
      </c>
      <c r="EJ213" s="2">
        <f>Table83[[#This Row],[Waist]]-Table7[[#This Row],[Waist v Water]]</f>
        <v>1.0464601769911539</v>
      </c>
      <c r="EK213" s="2">
        <f>Table7[[#This Row],[WaistWat Res]]^2</f>
        <v>1.0950789020283571</v>
      </c>
      <c r="EL213">
        <f>Regression!$Y$29+(Regression!$Y$28*Table83[[#This Row],[Fat Calories]])</f>
        <v>44.453539823008846</v>
      </c>
      <c r="EM213" s="2">
        <f>Table83[[#This Row],[Waist]]-Table7[[#This Row],[Waist v Fat Calories]]</f>
        <v>1.0464601769911539</v>
      </c>
      <c r="EN213" s="2">
        <f>Table7[[#This Row],[WaistFatCal Res]]^2</f>
        <v>1.0950789020283571</v>
      </c>
    </row>
    <row r="214" spans="1:144" x14ac:dyDescent="0.25">
      <c r="A214">
        <f>Regression!$B$10+(Regression!$B$9*Table83[[#This Row],[Waist]])</f>
        <v>261.08819223590376</v>
      </c>
      <c r="B214" s="2">
        <f>Table83[[#This Row],[Weight]]-Table7[[#This Row],[Weight v Waist]]</f>
        <v>0.51180776409626105</v>
      </c>
      <c r="C214" s="2">
        <f>Table7[[#This Row],[Weight v Waist Res]]^2</f>
        <v>0.26194718738921402</v>
      </c>
      <c r="D214">
        <f>Regression!$C$10+(Regression!$C$9*Table83[[#This Row],[Neck]])</f>
        <v>253.29286486487842</v>
      </c>
      <c r="E214" s="2">
        <f>Table83[[#This Row],[Weight]]-Table7[[#This Row],[Weight v Neck]]</f>
        <v>8.3071351351215981</v>
      </c>
      <c r="F214" s="2">
        <f>Table7[[#This Row],[WN Res]]^2</f>
        <v>69.008494153171725</v>
      </c>
      <c r="G214">
        <f>Regression!$D$10+(Regression!$D$9*Table83[[#This Row],[Morning Body Temp]])</f>
        <v>255.9747476539751</v>
      </c>
      <c r="H214" s="2">
        <f>Table83[[#This Row],[Weight]]-Table7[[#This Row],[Weight v Morning Temp]]</f>
        <v>5.6252523460249222</v>
      </c>
      <c r="I214" s="2">
        <f>Table7[[#This Row],[WMT Res]]^2</f>
        <v>31.643463956458891</v>
      </c>
      <c r="J214">
        <f>Regression!$E$10+(Regression!$E$9*Table83[[#This Row],[Morning Systolic Pressure]])</f>
        <v>255.2347182403455</v>
      </c>
      <c r="K214" s="2">
        <f>Table83[[#This Row],[Weight]]-Table7[[#This Row],[Weight v Morning Sys]]</f>
        <v>6.3652817596545219</v>
      </c>
      <c r="L214" s="2">
        <f>Table7[[#This Row],[WMS Res]]^2</f>
        <v>40.516811879790566</v>
      </c>
      <c r="M214">
        <f>Regression!$F$10+(Regression!$F$9*Table83[[#This Row],[Morning Diastolic Pressure]])</f>
        <v>255.60876114247105</v>
      </c>
      <c r="N214" s="2">
        <f>Table83[[#This Row],[Weight]]-Table7[[#This Row],[Weight v Morning Dia]]</f>
        <v>5.9912388575289697</v>
      </c>
      <c r="O214" s="2">
        <f>Table7[[#This Row],[WMD Res]]^2</f>
        <v>35.894943047965036</v>
      </c>
      <c r="P214">
        <f>Regression!$G$10+(Regression!$G$9*Table83[[#This Row],[Morning Pulse]])</f>
        <v>255.11547289015564</v>
      </c>
      <c r="Q214" s="2">
        <f>Table83[[#This Row],[Weight]]-Table7[[#This Row],[Weight v Morning Pulse]]</f>
        <v>6.4845271098443789</v>
      </c>
      <c r="R214" s="2">
        <f>Table7[[#This Row],[WMP Res]]^2</f>
        <v>42.049091838306694</v>
      </c>
      <c r="S214">
        <f>Regression!$H$10+(Regression!$H$9*Table83[[#This Row],[Night Body Temp]])</f>
        <v>255.77575581186025</v>
      </c>
      <c r="T214" s="2">
        <f>Table83[[#This Row],[Weight]]-Table7[[#This Row],[Weight v Night Temp]]</f>
        <v>5.8242441881397724</v>
      </c>
      <c r="U214" s="2">
        <f>Table7[[#This Row],[WNT Res]]^2</f>
        <v>33.921820363079917</v>
      </c>
      <c r="V214">
        <f>Regression!$I$10+(Regression!$I$9*Table83[[#This Row],[Night Systolic Pressure]])</f>
        <v>255.54651589525261</v>
      </c>
      <c r="W214" s="2">
        <f>Table83[[#This Row],[Weight]]-Table7[[#This Row],[Weight v Night Sys]]</f>
        <v>6.0534841047474117</v>
      </c>
      <c r="X214" s="2">
        <f>Table7[[#This Row],[WNS Res]]^2</f>
        <v>36.644669806429576</v>
      </c>
      <c r="Y214">
        <f>Regression!$J$10+(Regression!$J$9*Table83[[#This Row],[Night Diastolic Pressure]])</f>
        <v>254.97001876899779</v>
      </c>
      <c r="Z214" s="2">
        <f>Table83[[#This Row],[Weight]]-Table7[[#This Row],[Weight v Night Dia]]</f>
        <v>6.6299812310022332</v>
      </c>
      <c r="AA214" s="2">
        <f>Table7[[#This Row],[WND Res]]^2</f>
        <v>43.956651123441887</v>
      </c>
      <c r="AB214">
        <f>Regression!$K$10+(Regression!$K$9*Table83[[#This Row],[Night Pulse]])</f>
        <v>254.95658520255759</v>
      </c>
      <c r="AC214" s="2">
        <f>Table83[[#This Row],[Weight]]-Table7[[#This Row],[Weight v Night Pulse]]</f>
        <v>6.643414797442432</v>
      </c>
      <c r="AD214" s="2">
        <f>Table7[[#This Row],[WNP Res ]]^2</f>
        <v>44.134960170877072</v>
      </c>
      <c r="AE214">
        <f>Regression!$L$10+(Regression!$L$9*Table83[[#This Row],[Sleep]])</f>
        <v>254.97929263569441</v>
      </c>
      <c r="AF214" s="2">
        <f>Table83[[#This Row],[Weight]]-Table7[[#This Row],[Weight v Sleep]]</f>
        <v>6.6207073643056162</v>
      </c>
      <c r="AG214" s="2">
        <f>Table7[[#This Row],[WS Res]]^2</f>
        <v>43.83376600377062</v>
      </c>
      <c r="AH214">
        <f>Regression!$M$10+(Regression!$M$9*Table83[[#This Row],[BMI]])</f>
        <v>261.59999999998558</v>
      </c>
      <c r="AI214" s="2">
        <f>Table83[[#This Row],[Weight]]-Table7[[#This Row],[Weight v BMI]]</f>
        <v>1.4438228390645236E-11</v>
      </c>
      <c r="AJ214" s="2">
        <f>Table7[[#This Row],[WBMI Res]]^2</f>
        <v>2.0846243906043412E-22</v>
      </c>
      <c r="AK214">
        <f>Regression!$N$10+(Regression!$N$9*Table83[[#This Row],[CBF]])</f>
        <v>262.24752658837394</v>
      </c>
      <c r="AL214" s="2">
        <f>Table83[[#This Row],[Weight]]-Table7[[#This Row],[Weight v CBF]]</f>
        <v>-0.64752658837392119</v>
      </c>
      <c r="AM214" s="2">
        <f>Table7[[#This Row],[WCBF Res]]^2</f>
        <v>0.41929068265116959</v>
      </c>
      <c r="AN214">
        <f>Regression!$O$10+(Regression!$O$9*Table83[[#This Row],[Gym]])</f>
        <v>254.72962962962998</v>
      </c>
      <c r="AO214" s="2">
        <f>Table83[[#This Row],[Weight]]-Table7[[#This Row],[Weight v Gym]]</f>
        <v>6.8703703703700398</v>
      </c>
      <c r="AP214" s="2">
        <f>Table7[[#This Row],[WG Res]]^2</f>
        <v>47.201989026058556</v>
      </c>
      <c r="AQ214">
        <f>Regression!$P$10+(Regression!$P$9*Table83[[#This Row],[Cardio]])</f>
        <v>254.19242424242461</v>
      </c>
      <c r="AR214" s="2">
        <f>Table83[[#This Row],[Weight]]-Table7[[#This Row],[Weight v Cardio]]</f>
        <v>7.4075757575754153</v>
      </c>
      <c r="AS214" s="2">
        <f>Table7[[#This Row],[WC Res]]^2</f>
        <v>54.872178604218988</v>
      </c>
      <c r="AT214">
        <f>Regression!$Q$10+(Regression!$Q$9*Table83[[#This Row],[Calories]])</f>
        <v>255.11504424778778</v>
      </c>
      <c r="AU214" s="2">
        <f>Table83[[#This Row],[Weight]]-Table7[[#This Row],[Weight v Calories]]</f>
        <v>6.4849557522122439</v>
      </c>
      <c r="AV214" s="2">
        <f>Table7[[#This Row],[WCAL Res]]^2</f>
        <v>42.054651108150672</v>
      </c>
      <c r="AW214">
        <f>Regression!$R$10+(Regression!$R$9*Table83[[#This Row],[Carbs]])</f>
        <v>255.11504424778778</v>
      </c>
      <c r="AX214" s="2">
        <f>Table83[[#This Row],[Weight]]-Table7[[#This Row],[Weight v Carbs]]</f>
        <v>6.4849557522122439</v>
      </c>
      <c r="AY214" s="2">
        <f>Table7[[#This Row],[Wcarb Res]]^2</f>
        <v>42.054651108150672</v>
      </c>
      <c r="AZ214">
        <f>Regression!$S$10+(Regression!$S$9*Table83[[#This Row],[Fat ]])</f>
        <v>255.11504424778781</v>
      </c>
      <c r="BA214" s="2">
        <f>Table83[[#This Row],[Weight]]-Table7[[#This Row],[Weight v Fat]]</f>
        <v>6.4849557522122154</v>
      </c>
      <c r="BB214" s="2">
        <f>Table7[[#This Row],[WF Res]]^2</f>
        <v>42.054651108150303</v>
      </c>
      <c r="BC214">
        <f>Regression!$T$10+(Regression!$T$9*Table83[[#This Row],[Protein]])</f>
        <v>255.11504424778781</v>
      </c>
      <c r="BD214" s="2">
        <f>Table83[[#This Row],[Weight]]-Table7[[#This Row],[Weight v Protein]]</f>
        <v>6.4849557522122154</v>
      </c>
      <c r="BE214" s="2">
        <f>Table7[[#This Row],[WP Res]]^2</f>
        <v>42.054651108150303</v>
      </c>
      <c r="BF214">
        <f>Regression!$U$10+(Regression!$U$9*Table83[[#This Row],[Fiber]])</f>
        <v>255.11504424778781</v>
      </c>
      <c r="BG214" s="2">
        <f>Table83[[#This Row],[Weight]]-Table7[[#This Row],[Weight v Fiber]]</f>
        <v>6.4849557522122154</v>
      </c>
      <c r="BH214" s="2">
        <f>Table7[[#This Row],[Wfib Res]]^2</f>
        <v>42.054651108150303</v>
      </c>
      <c r="BI214">
        <f>Regression!$V$10+(Regression!$V$9*Table83[[#This Row],[Sugar]])</f>
        <v>255.11504424778781</v>
      </c>
      <c r="BJ214" s="2">
        <f>Table83[[#This Row],[Weight]]-Table7[[#This Row],[Weight v Sugar]]</f>
        <v>6.4849557522122154</v>
      </c>
      <c r="BK214" s="2">
        <f>Table7[[#This Row],[Wsugar Res]]^2</f>
        <v>42.054651108150303</v>
      </c>
      <c r="BL214">
        <f>Regression!$W$10+(Regression!$W$9*Table83[[#This Row],[Servings]])</f>
        <v>255.11504424778784</v>
      </c>
      <c r="BM214" s="2">
        <f>Table83[[#This Row],[Weight]]-Table7[[#This Row],[Weight v Servings]]</f>
        <v>6.484955752212187</v>
      </c>
      <c r="BN214" s="2">
        <f>Table7[[#This Row],[Wserv Res]]^2</f>
        <v>42.054651108149933</v>
      </c>
      <c r="BO214">
        <f>Regression!$X$10+(Regression!$X$9*Table83[[#This Row],[Water]])</f>
        <v>255.11504424778781</v>
      </c>
      <c r="BP214" s="2">
        <f>Table83[[#This Row],[Weight]]-Table7[[#This Row],[Weight v Water]]</f>
        <v>6.4849557522122154</v>
      </c>
      <c r="BQ214" s="2">
        <f>Table7[[#This Row],[Wwater Res]]^2</f>
        <v>42.054651108150303</v>
      </c>
      <c r="BR214">
        <f>Regression!$Y$10+(Regression!$Y$9*Table83[[#This Row],[Fat Calories]])</f>
        <v>255.11504424778781</v>
      </c>
      <c r="BS214" s="2">
        <f>Table83[[#This Row],[Weight]]-Table7[[#This Row],[Weight v Fat Calories]]</f>
        <v>6.4849557522122154</v>
      </c>
      <c r="BT214" s="2">
        <f>Table7[[#This Row],[WFC Res]]^2</f>
        <v>42.054651108150303</v>
      </c>
      <c r="BU214">
        <f>Regression!$B$29+(Regression!$B$28*Table83[[#This Row],[Weight]])</f>
        <v>45.337196174740534</v>
      </c>
      <c r="BV214" s="2">
        <f>Table83[[#This Row],[Waist]]-Table7[[#This Row],[Waist v Weight]]</f>
        <v>0.16280382525946635</v>
      </c>
      <c r="BW214" s="2">
        <f>Table7[[#This Row],[WaistW Res]]^2</f>
        <v>2.6505085519114853E-2</v>
      </c>
      <c r="BX214">
        <f>Regression!$C$29+(Regression!$C$28*Table83[[#This Row],[Neck]])</f>
        <v>44.175585585585594</v>
      </c>
      <c r="BY214" s="2">
        <f>Table83[[#This Row],[Waist]]-Table7[[#This Row],[Waist v Neck]]</f>
        <v>1.3244144144144059</v>
      </c>
      <c r="BZ214" s="2">
        <f>Table7[[#This Row],[WaistN Res]]^2</f>
        <v>1.7540735411086537</v>
      </c>
      <c r="CA214">
        <f>Regression!$D$29+(Regression!$D$28*Table83[[#This Row],[Morning Body Temp]])</f>
        <v>44.687359688867737</v>
      </c>
      <c r="CB214" s="2">
        <f>Table83[[#This Row],[Waist]]-Table7[[#This Row],[Waist v Morning Temp]]</f>
        <v>0.81264031113226309</v>
      </c>
      <c r="CC214" s="2">
        <f>Table7[[#This Row],[WaistMT Res]]^2</f>
        <v>0.66038427527714139</v>
      </c>
      <c r="CD214">
        <f>Regression!$E$29+(Regression!$E$28*Table83[[#This Row],[Morning Systolic Pressure]])</f>
        <v>44.481655943121481</v>
      </c>
      <c r="CE214" s="2">
        <f>Table83[[#This Row],[Waist]]-Table7[[#This Row],[Waist v Morning Sys]]</f>
        <v>1.0183440568785187</v>
      </c>
      <c r="CF214" s="2">
        <f>Table7[[#This Row],[WaistMS Res]]^2</f>
        <v>1.0370246181797997</v>
      </c>
      <c r="CG214">
        <f>Regression!$F$29+(Regression!$F$28*Table83[[#This Row],[Morning Diastolic Pressure]])</f>
        <v>44.480994771488533</v>
      </c>
      <c r="CH214" s="2">
        <f>Table83[[#This Row],[Waist]]-Table7[[#This Row],[Waist v Morning Dia]]</f>
        <v>1.0190052285114675</v>
      </c>
      <c r="CI214" s="2">
        <f>Table7[[#This Row],[WaistMD Res]]^2</f>
        <v>1.0383716557337079</v>
      </c>
      <c r="CJ214">
        <f>Regression!$G$29+(Regression!$G$28*Table83[[#This Row],[Morning Pulse]])</f>
        <v>44.453736697506194</v>
      </c>
      <c r="CK214" s="2">
        <f>Table83[[#This Row],[Waist]]-Table7[[#This Row],[Waist v Morning Pulse]]</f>
        <v>1.0462633024938057</v>
      </c>
      <c r="CL214" s="2">
        <f>Table7[[#This Row],[WaistMP Res]]^2</f>
        <v>1.0946668981452448</v>
      </c>
      <c r="CM214">
        <f>Regression!$H$29+(Regression!$H$28*Table83[[#This Row],[Night Body Temp]])</f>
        <v>44.505632421293377</v>
      </c>
      <c r="CN214" s="2">
        <f>Table83[[#This Row],[Waist]]-Table7[[#This Row],[Waist v Night Temp]]</f>
        <v>0.99436757870662262</v>
      </c>
      <c r="CO214" s="2">
        <f>Table7[[#This Row],[WaistNT Res]]^2</f>
        <v>0.98876688158287129</v>
      </c>
      <c r="CP214">
        <f>Regression!$I$29+(Regression!$I$28*Table83[[#This Row],[Night Systolic Pressure]])</f>
        <v>44.514659772607665</v>
      </c>
      <c r="CQ214" s="2">
        <f>Table83[[#This Row],[Waist]]-Table7[[#This Row],[Waist v  Night Sys]]</f>
        <v>0.98534022739233507</v>
      </c>
      <c r="CR214" s="2">
        <f>Table7[[#This Row],[WaistNS Res]]^2</f>
        <v>0.97089536371757856</v>
      </c>
      <c r="CS214">
        <f>Regression!$J$29+(Regression!$J$28*Table83[[#This Row],[Night Diastolic Pressure]])</f>
        <v>44.392820230323963</v>
      </c>
      <c r="CT214" s="2">
        <f>Table83[[#This Row],[Waist]]-Table7[[#This Row],[Waist v Night Dia]]</f>
        <v>1.107179769676037</v>
      </c>
      <c r="CU214" s="2">
        <f>Table7[[#This Row],[WaistND Res]]^2</f>
        <v>1.2258470423798824</v>
      </c>
      <c r="CV214">
        <f>Regression!$K$29+(Regression!$K$28*Table83[[#This Row],[Night Pulse]])</f>
        <v>44.468278611498164</v>
      </c>
      <c r="CW214" s="2">
        <f>Table83[[#This Row],[Waist]]-Table7[[#This Row],[Waist v Night Pulse]]</f>
        <v>1.0317213885018361</v>
      </c>
      <c r="CX214" s="2">
        <f>Table7[[#This Row],[WaistNP Res]]^2</f>
        <v>1.0644490234921566</v>
      </c>
      <c r="CY214">
        <f>Regression!$L$29+(Regression!$L$28*Table83[[#This Row],[Sleep]])</f>
        <v>44.432842368860271</v>
      </c>
      <c r="CZ214" s="2">
        <f>Table83[[#This Row],[Waist]]-Table7[[#This Row],[Waist v  Sleep]]</f>
        <v>1.0671576311397288</v>
      </c>
      <c r="DA214" s="2">
        <f>Table7[[#This Row],[WaistS Res]]^2</f>
        <v>1.1388254096997577</v>
      </c>
      <c r="DB214">
        <f>Regression!$M$29+(Regression!$M$28*Table83[[#This Row],[BMI]])</f>
        <v>45.337196174737727</v>
      </c>
      <c r="DC214" s="2">
        <f>Table83[[#This Row],[Waist]]-Table7[[#This Row],[Waist v BMI]]</f>
        <v>0.16280382526227299</v>
      </c>
      <c r="DD214" s="2">
        <f>Table7[[#This Row],[WaistBMI Res]]^2</f>
        <v>2.6505085520028719E-2</v>
      </c>
      <c r="DE214">
        <f>Regression!$N$29+(Regression!$N$28*Table83[[#This Row],[CBF]])</f>
        <v>45.737892076427137</v>
      </c>
      <c r="DF214" s="2">
        <f>Table83[[#This Row],[Waist]]-Table7[[#This Row],[Waist v  CBF]]</f>
        <v>-0.23789207642713706</v>
      </c>
      <c r="DG214" s="2">
        <f>Table7[[#This Row],[WaistCBF Res]]^2</f>
        <v>5.6592640026814821E-2</v>
      </c>
      <c r="DH214">
        <f>Regression!$O$29+(Regression!$O$28*Table83[[#This Row],[Gym]])</f>
        <v>44.347222222222221</v>
      </c>
      <c r="DI214" s="2">
        <f>Table83[[#This Row],[Waist]]-Table7[[#This Row],[Waist v  Gym]]</f>
        <v>1.1527777777777786</v>
      </c>
      <c r="DJ214" s="2">
        <f>Table7[[#This Row],[WaistGYM Res]]^2</f>
        <v>1.3288966049382733</v>
      </c>
      <c r="DK214">
        <f>Regression!$P$29+(Regression!$P$28*Table83[[#This Row],[Cardio]])</f>
        <v>44.291666666666664</v>
      </c>
      <c r="DL214" s="2">
        <f>Table83[[#This Row],[Waist]]-Table7[[#This Row],[Waist v Cardio]]</f>
        <v>1.2083333333333357</v>
      </c>
      <c r="DM214" s="2">
        <f>Table7[[#This Row],[WaistC Res]]^2</f>
        <v>1.4600694444444502</v>
      </c>
      <c r="DN214">
        <f>Regression!$Q$29+(Regression!$Q$28*Table83[[#This Row],[Calories]])</f>
        <v>44.453539823008846</v>
      </c>
      <c r="DO214" s="2">
        <f>Table83[[#This Row],[Waist]]-Table7[[#This Row],[Waist v Calories]]</f>
        <v>1.0464601769911539</v>
      </c>
      <c r="DP214" s="2">
        <f>Table7[[#This Row],[WaistCal Res]]^2</f>
        <v>1.0950789020283571</v>
      </c>
      <c r="DQ214">
        <f>Regression!$R$29+(Regression!$R$28*Table83[[#This Row],[Carbs]])</f>
        <v>44.453539823008846</v>
      </c>
      <c r="DR214" s="2">
        <f>Table83[[#This Row],[Waist]]-Table7[[#This Row],[Waist v Carbs]]</f>
        <v>1.0464601769911539</v>
      </c>
      <c r="DS214" s="2">
        <f>Table7[[#This Row],[WaistCarb Res]]^2</f>
        <v>1.0950789020283571</v>
      </c>
      <c r="DT214">
        <f>Regression!$S$29+(Regression!$S$28*Table83[[#This Row],[Fat ]])</f>
        <v>44.453539823008846</v>
      </c>
      <c r="DU214" s="2">
        <f>Table83[[#This Row],[Waist]]-Table7[[#This Row],[Waist v Fat]]</f>
        <v>1.0464601769911539</v>
      </c>
      <c r="DV214" s="2">
        <f>Table7[[#This Row],[WaistF Res]]^2</f>
        <v>1.0950789020283571</v>
      </c>
      <c r="DW214">
        <f>Regression!$T$29+(Regression!$T$28*Table83[[#This Row],[Protein]])</f>
        <v>44.453539823008846</v>
      </c>
      <c r="DX214" s="2">
        <f>Table83[[#This Row],[Waist]]-Table7[[#This Row],[Waist v Protein]]</f>
        <v>1.0464601769911539</v>
      </c>
      <c r="DY214" s="2">
        <f>Table7[[#This Row],[WaistP Res]]^2</f>
        <v>1.0950789020283571</v>
      </c>
      <c r="DZ214">
        <f>Regression!$U$29+(Regression!$U$28*Table83[[#This Row],[Fiber]])</f>
        <v>44.453539823008846</v>
      </c>
      <c r="EA214" s="2">
        <f>Table83[[#This Row],[Waist]]-Table7[[#This Row],[Waist v Fiber]]</f>
        <v>1.0464601769911539</v>
      </c>
      <c r="EB214" s="2">
        <f>Table7[[#This Row],[WaistFib Res]]^2</f>
        <v>1.0950789020283571</v>
      </c>
      <c r="EC214">
        <f>Regression!$V$29+(Regression!$V$28*Table83[[#This Row],[Sugar]])</f>
        <v>44.453539823008846</v>
      </c>
      <c r="ED214" s="2">
        <f>Table83[[#This Row],[Waist]]-Table7[[#This Row],[Waist v Sugar]]</f>
        <v>1.0464601769911539</v>
      </c>
      <c r="EE214" s="2">
        <f>Table7[[#This Row],[WaistSugar Res]]^2</f>
        <v>1.0950789020283571</v>
      </c>
      <c r="EF214">
        <f>Regression!$W$29+(Regression!$W$28*Table83[[#This Row],[Servings]])</f>
        <v>44.453539823008846</v>
      </c>
      <c r="EG214" s="2">
        <f>Table83[[#This Row],[Waist]]-Table7[[#This Row],[Waist v Servings]]</f>
        <v>1.0464601769911539</v>
      </c>
      <c r="EH214" s="2">
        <f>Table7[[#This Row],[WaistServ Res]]^2</f>
        <v>1.0950789020283571</v>
      </c>
      <c r="EI214">
        <f>Regression!$X$29+(Regression!$X$28*Table83[[#This Row],[Water]])</f>
        <v>44.453539823008846</v>
      </c>
      <c r="EJ214" s="2">
        <f>Table83[[#This Row],[Waist]]-Table7[[#This Row],[Waist v Water]]</f>
        <v>1.0464601769911539</v>
      </c>
      <c r="EK214" s="2">
        <f>Table7[[#This Row],[WaistWat Res]]^2</f>
        <v>1.0950789020283571</v>
      </c>
      <c r="EL214">
        <f>Regression!$Y$29+(Regression!$Y$28*Table83[[#This Row],[Fat Calories]])</f>
        <v>44.453539823008846</v>
      </c>
      <c r="EM214" s="2">
        <f>Table83[[#This Row],[Waist]]-Table7[[#This Row],[Waist v Fat Calories]]</f>
        <v>1.0464601769911539</v>
      </c>
      <c r="EN214" s="2">
        <f>Table7[[#This Row],[WaistFatCal Res]]^2</f>
        <v>1.0950789020283571</v>
      </c>
    </row>
    <row r="215" spans="1:144" x14ac:dyDescent="0.25">
      <c r="A215">
        <f>Regression!$B$10+(Regression!$B$9*Table83[[#This Row],[Waist]])</f>
        <v>258.23421455025004</v>
      </c>
      <c r="B215" s="2">
        <f>Table83[[#This Row],[Weight]]-Table7[[#This Row],[Weight v Waist]]</f>
        <v>5.1657854497499329</v>
      </c>
      <c r="C215" s="2">
        <f>Table7[[#This Row],[Weight v Waist Res]]^2</f>
        <v>26.685339312848118</v>
      </c>
      <c r="D215">
        <f>Regression!$C$10+(Regression!$C$9*Table83[[#This Row],[Neck]])</f>
        <v>253.29286486487842</v>
      </c>
      <c r="E215" s="2">
        <f>Table83[[#This Row],[Weight]]-Table7[[#This Row],[Weight v Neck]]</f>
        <v>10.107135135121553</v>
      </c>
      <c r="F215" s="2">
        <f>Table7[[#This Row],[WN Res]]^2</f>
        <v>102.15418063960857</v>
      </c>
      <c r="G215">
        <f>Regression!$D$10+(Regression!$D$9*Table83[[#This Row],[Morning Body Temp]])</f>
        <v>255.41155922019615</v>
      </c>
      <c r="H215" s="2">
        <f>Table83[[#This Row],[Weight]]-Table7[[#This Row],[Weight v Morning Temp]]</f>
        <v>7.9884407798038239</v>
      </c>
      <c r="I215" s="2">
        <f>Table7[[#This Row],[WMT Res]]^2</f>
        <v>63.815186092432725</v>
      </c>
      <c r="J215">
        <f>Regression!$E$10+(Regression!$E$9*Table83[[#This Row],[Morning Systolic Pressure]])</f>
        <v>254.91917781330181</v>
      </c>
      <c r="K215" s="2">
        <f>Table83[[#This Row],[Weight]]-Table7[[#This Row],[Weight v Morning Sys]]</f>
        <v>8.4808221866981626</v>
      </c>
      <c r="L215" s="2">
        <f>Table7[[#This Row],[WMS Res]]^2</f>
        <v>71.9243449623918</v>
      </c>
      <c r="M215">
        <f>Regression!$F$10+(Regression!$F$9*Table83[[#This Row],[Morning Diastolic Pressure]])</f>
        <v>255.50741689342618</v>
      </c>
      <c r="N215" s="2">
        <f>Table83[[#This Row],[Weight]]-Table7[[#This Row],[Weight v Morning Dia]]</f>
        <v>7.8925831065737952</v>
      </c>
      <c r="O215" s="2">
        <f>Table7[[#This Row],[WMD Res]]^2</f>
        <v>62.292868094174061</v>
      </c>
      <c r="P215">
        <f>Regression!$G$10+(Regression!$G$9*Table83[[#This Row],[Morning Pulse]])</f>
        <v>255.10450611561251</v>
      </c>
      <c r="Q215" s="2">
        <f>Table83[[#This Row],[Weight]]-Table7[[#This Row],[Weight v Morning Pulse]]</f>
        <v>8.2954938843874686</v>
      </c>
      <c r="R215" s="2">
        <f>Table7[[#This Row],[WMP Res]]^2</f>
        <v>68.815218785909892</v>
      </c>
      <c r="S215">
        <f>Regression!$H$10+(Regression!$H$9*Table83[[#This Row],[Night Body Temp]])</f>
        <v>254.85148667752509</v>
      </c>
      <c r="T215" s="2">
        <f>Table83[[#This Row],[Weight]]-Table7[[#This Row],[Weight v Night Temp]]</f>
        <v>8.5485133224748893</v>
      </c>
      <c r="U215" s="2">
        <f>Table7[[#This Row],[WNT Res]]^2</f>
        <v>73.077080024530673</v>
      </c>
      <c r="V215">
        <f>Regression!$I$10+(Regression!$I$9*Table83[[#This Row],[Night Systolic Pressure]])</f>
        <v>255.54651589525261</v>
      </c>
      <c r="W215" s="2">
        <f>Table83[[#This Row],[Weight]]-Table7[[#This Row],[Weight v Night Sys]]</f>
        <v>7.8534841047473662</v>
      </c>
      <c r="X215" s="2">
        <f>Table7[[#This Row],[WNS Res]]^2</f>
        <v>61.677212583519541</v>
      </c>
      <c r="Y215">
        <f>Regression!$J$10+(Regression!$J$9*Table83[[#This Row],[Night Diastolic Pressure]])</f>
        <v>255.01078463741391</v>
      </c>
      <c r="Z215" s="2">
        <f>Table83[[#This Row],[Weight]]-Table7[[#This Row],[Weight v Night Dia]]</f>
        <v>8.3892153625860715</v>
      </c>
      <c r="AA215" s="2">
        <f>Table7[[#This Row],[WND Res]]^2</f>
        <v>70.378934399850152</v>
      </c>
      <c r="AB215">
        <f>Regression!$K$10+(Regression!$K$9*Table83[[#This Row],[Night Pulse]])</f>
        <v>254.95658520255759</v>
      </c>
      <c r="AC215" s="2">
        <f>Table83[[#This Row],[Weight]]-Table7[[#This Row],[Weight v Night Pulse]]</f>
        <v>8.4434147974423865</v>
      </c>
      <c r="AD215" s="2">
        <f>Table7[[#This Row],[WNP Res ]]^2</f>
        <v>71.291253441669056</v>
      </c>
      <c r="AE215">
        <f>Regression!$L$10+(Regression!$L$9*Table83[[#This Row],[Sleep]])</f>
        <v>255.76797809412898</v>
      </c>
      <c r="AF215" s="2">
        <f>Table83[[#This Row],[Weight]]-Table7[[#This Row],[Weight v Sleep]]</f>
        <v>7.6320219058709995</v>
      </c>
      <c r="AG215" s="2">
        <f>Table7[[#This Row],[WS Res]]^2</f>
        <v>58.2477583716948</v>
      </c>
      <c r="AH215">
        <f>Regression!$M$10+(Regression!$M$9*Table83[[#This Row],[BMI]])</f>
        <v>263.39999999998145</v>
      </c>
      <c r="AI215" s="2">
        <f>Table83[[#This Row],[Weight]]-Table7[[#This Row],[Weight v BMI]]</f>
        <v>1.8530954548623413E-11</v>
      </c>
      <c r="AJ215" s="2">
        <f>Table7[[#This Row],[WBMI Res]]^2</f>
        <v>3.4339627648314675E-22</v>
      </c>
      <c r="AK215">
        <f>Regression!$N$10+(Regression!$N$9*Table83[[#This Row],[CBF]])</f>
        <v>259.27809165285294</v>
      </c>
      <c r="AL215" s="2">
        <f>Table83[[#This Row],[Weight]]-Table7[[#This Row],[Weight v CBF]]</f>
        <v>4.1219083471470412</v>
      </c>
      <c r="AM215" s="2">
        <f>Table7[[#This Row],[WCBF Res]]^2</f>
        <v>16.990128422280453</v>
      </c>
      <c r="AN215">
        <f>Regression!$O$10+(Regression!$O$9*Table83[[#This Row],[Gym]])</f>
        <v>255.46779661016953</v>
      </c>
      <c r="AO215" s="2">
        <f>Table83[[#This Row],[Weight]]-Table7[[#This Row],[Weight v Gym]]</f>
        <v>7.9322033898304483</v>
      </c>
      <c r="AP215" s="2">
        <f>Table7[[#This Row],[WG Res]]^2</f>
        <v>62.919850617637657</v>
      </c>
      <c r="AQ215">
        <f>Regression!$P$10+(Regression!$P$9*Table83[[#This Row],[Cardio]])</f>
        <v>256.41063829787231</v>
      </c>
      <c r="AR215" s="2">
        <f>Table83[[#This Row],[Weight]]-Table7[[#This Row],[Weight v Cardio]]</f>
        <v>6.9893617021276668</v>
      </c>
      <c r="AS215" s="2">
        <f>Table7[[#This Row],[WC Res]]^2</f>
        <v>48.851177003168957</v>
      </c>
      <c r="AT215">
        <f>Regression!$Q$10+(Regression!$Q$9*Table83[[#This Row],[Calories]])</f>
        <v>255.11504424778778</v>
      </c>
      <c r="AU215" s="2">
        <f>Table83[[#This Row],[Weight]]-Table7[[#This Row],[Weight v Calories]]</f>
        <v>8.2849557522121984</v>
      </c>
      <c r="AV215" s="2">
        <f>Table7[[#This Row],[WCAL Res]]^2</f>
        <v>68.640491816113993</v>
      </c>
      <c r="AW215">
        <f>Regression!$R$10+(Regression!$R$9*Table83[[#This Row],[Carbs]])</f>
        <v>255.11504424778778</v>
      </c>
      <c r="AX215" s="2">
        <f>Table83[[#This Row],[Weight]]-Table7[[#This Row],[Weight v Carbs]]</f>
        <v>8.2849557522121984</v>
      </c>
      <c r="AY215" s="2">
        <f>Table7[[#This Row],[Wcarb Res]]^2</f>
        <v>68.640491816113993</v>
      </c>
      <c r="AZ215">
        <f>Regression!$S$10+(Regression!$S$9*Table83[[#This Row],[Fat ]])</f>
        <v>255.11504424778781</v>
      </c>
      <c r="BA215" s="2">
        <f>Table83[[#This Row],[Weight]]-Table7[[#This Row],[Weight v Fat]]</f>
        <v>8.28495575221217</v>
      </c>
      <c r="BB215" s="2">
        <f>Table7[[#This Row],[WF Res]]^2</f>
        <v>68.640491816113524</v>
      </c>
      <c r="BC215">
        <f>Regression!$T$10+(Regression!$T$9*Table83[[#This Row],[Protein]])</f>
        <v>255.11504424778781</v>
      </c>
      <c r="BD215" s="2">
        <f>Table83[[#This Row],[Weight]]-Table7[[#This Row],[Weight v Protein]]</f>
        <v>8.28495575221217</v>
      </c>
      <c r="BE215" s="2">
        <f>Table7[[#This Row],[WP Res]]^2</f>
        <v>68.640491816113524</v>
      </c>
      <c r="BF215">
        <f>Regression!$U$10+(Regression!$U$9*Table83[[#This Row],[Fiber]])</f>
        <v>255.11504424778781</v>
      </c>
      <c r="BG215" s="2">
        <f>Table83[[#This Row],[Weight]]-Table7[[#This Row],[Weight v Fiber]]</f>
        <v>8.28495575221217</v>
      </c>
      <c r="BH215" s="2">
        <f>Table7[[#This Row],[Wfib Res]]^2</f>
        <v>68.640491816113524</v>
      </c>
      <c r="BI215">
        <f>Regression!$V$10+(Regression!$V$9*Table83[[#This Row],[Sugar]])</f>
        <v>255.11504424778781</v>
      </c>
      <c r="BJ215" s="2">
        <f>Table83[[#This Row],[Weight]]-Table7[[#This Row],[Weight v Sugar]]</f>
        <v>8.28495575221217</v>
      </c>
      <c r="BK215" s="2">
        <f>Table7[[#This Row],[Wsugar Res]]^2</f>
        <v>68.640491816113524</v>
      </c>
      <c r="BL215">
        <f>Regression!$W$10+(Regression!$W$9*Table83[[#This Row],[Servings]])</f>
        <v>255.11504424778784</v>
      </c>
      <c r="BM215" s="2">
        <f>Table83[[#This Row],[Weight]]-Table7[[#This Row],[Weight v Servings]]</f>
        <v>8.2849557522121415</v>
      </c>
      <c r="BN215" s="2">
        <f>Table7[[#This Row],[Wserv Res]]^2</f>
        <v>68.640491816113055</v>
      </c>
      <c r="BO215">
        <f>Regression!$X$10+(Regression!$X$9*Table83[[#This Row],[Water]])</f>
        <v>255.11504424778781</v>
      </c>
      <c r="BP215" s="2">
        <f>Table83[[#This Row],[Weight]]-Table7[[#This Row],[Weight v Water]]</f>
        <v>8.28495575221217</v>
      </c>
      <c r="BQ215" s="2">
        <f>Table7[[#This Row],[Wwater Res]]^2</f>
        <v>68.640491816113524</v>
      </c>
      <c r="BR215">
        <f>Regression!$Y$10+(Regression!$Y$9*Table83[[#This Row],[Fat Calories]])</f>
        <v>255.11504424778781</v>
      </c>
      <c r="BS215" s="2">
        <f>Table83[[#This Row],[Weight]]-Table7[[#This Row],[Weight v Fat Calories]]</f>
        <v>8.28495575221217</v>
      </c>
      <c r="BT215" s="2">
        <f>Table7[[#This Row],[WFC Res]]^2</f>
        <v>68.640491816113524</v>
      </c>
      <c r="BU215">
        <f>Regression!$B$29+(Regression!$B$28*Table83[[#This Row],[Weight]])</f>
        <v>45.582468693766494</v>
      </c>
      <c r="BV215" s="2">
        <f>Table83[[#This Row],[Waist]]-Table7[[#This Row],[Waist v Weight]]</f>
        <v>-0.58246869376649357</v>
      </c>
      <c r="BW215" s="2">
        <f>Table7[[#This Row],[WaistW Res]]^2</f>
        <v>0.33926977921804524</v>
      </c>
      <c r="BX215">
        <f>Regression!$C$29+(Regression!$C$28*Table83[[#This Row],[Neck]])</f>
        <v>44.175585585585594</v>
      </c>
      <c r="BY215" s="2">
        <f>Table83[[#This Row],[Waist]]-Table7[[#This Row],[Waist v Neck]]</f>
        <v>0.82441441441440588</v>
      </c>
      <c r="BZ215" s="2">
        <f>Table7[[#This Row],[WaistN Res]]^2</f>
        <v>0.67965912669424777</v>
      </c>
      <c r="CA215">
        <f>Regression!$D$29+(Regression!$D$28*Table83[[#This Row],[Morning Body Temp]])</f>
        <v>44.534185183460714</v>
      </c>
      <c r="CB215" s="2">
        <f>Table83[[#This Row],[Waist]]-Table7[[#This Row],[Waist v Morning Temp]]</f>
        <v>0.46581481653928591</v>
      </c>
      <c r="CC215" s="2">
        <f>Table7[[#This Row],[WaistMT Res]]^2</f>
        <v>0.21698344330752858</v>
      </c>
      <c r="CD215">
        <f>Regression!$E$29+(Regression!$E$28*Table83[[#This Row],[Morning Systolic Pressure]])</f>
        <v>44.407523106424492</v>
      </c>
      <c r="CE215" s="2">
        <f>Table83[[#This Row],[Waist]]-Table7[[#This Row],[Waist v Morning Sys]]</f>
        <v>0.59247689357550826</v>
      </c>
      <c r="CF215" s="2">
        <f>Table7[[#This Row],[WaistMS Res]]^2</f>
        <v>0.35102886942088413</v>
      </c>
      <c r="CG215">
        <f>Regression!$F$29+(Regression!$F$28*Table83[[#This Row],[Morning Diastolic Pressure]])</f>
        <v>44.475359150819678</v>
      </c>
      <c r="CH215" s="2">
        <f>Table83[[#This Row],[Waist]]-Table7[[#This Row],[Waist v Morning Dia]]</f>
        <v>0.52464084918032228</v>
      </c>
      <c r="CI215" s="2">
        <f>Table7[[#This Row],[WaistMD Res]]^2</f>
        <v>0.27524802062864967</v>
      </c>
      <c r="CJ215">
        <f>Regression!$G$29+(Regression!$G$28*Table83[[#This Row],[Morning Pulse]])</f>
        <v>44.448699682064515</v>
      </c>
      <c r="CK215" s="2">
        <f>Table83[[#This Row],[Waist]]-Table7[[#This Row],[Waist v Morning Pulse]]</f>
        <v>0.5513003179354854</v>
      </c>
      <c r="CL215" s="2">
        <f>Table7[[#This Row],[WaistMP Res]]^2</f>
        <v>0.30393204055576728</v>
      </c>
      <c r="CM215">
        <f>Regression!$H$29+(Regression!$H$28*Table83[[#This Row],[Night Body Temp]])</f>
        <v>44.432760107049404</v>
      </c>
      <c r="CN215" s="2">
        <f>Table83[[#This Row],[Waist]]-Table7[[#This Row],[Waist v Night Temp]]</f>
        <v>0.56723989295059596</v>
      </c>
      <c r="CO215" s="2">
        <f>Table7[[#This Row],[WaistNT Res]]^2</f>
        <v>0.32176109615460358</v>
      </c>
      <c r="CP215">
        <f>Regression!$I$29+(Regression!$I$28*Table83[[#This Row],[Night Systolic Pressure]])</f>
        <v>44.514659772607665</v>
      </c>
      <c r="CQ215" s="2">
        <f>Table83[[#This Row],[Waist]]-Table7[[#This Row],[Waist v  Night Sys]]</f>
        <v>0.48534022739233507</v>
      </c>
      <c r="CR215" s="2">
        <f>Table7[[#This Row],[WaistNS Res]]^2</f>
        <v>0.2355551363252435</v>
      </c>
      <c r="CS215">
        <f>Regression!$J$29+(Regression!$J$28*Table83[[#This Row],[Night Diastolic Pressure]])</f>
        <v>44.409888175531407</v>
      </c>
      <c r="CT215" s="2">
        <f>Table83[[#This Row],[Waist]]-Table7[[#This Row],[Waist v Night Dia]]</f>
        <v>0.59011182446859323</v>
      </c>
      <c r="CU215" s="2">
        <f>Table7[[#This Row],[WaistND Res]]^2</f>
        <v>0.34823196537765178</v>
      </c>
      <c r="CV215">
        <f>Regression!$K$29+(Regression!$K$28*Table83[[#This Row],[Night Pulse]])</f>
        <v>44.468278611498164</v>
      </c>
      <c r="CW215" s="2">
        <f>Table83[[#This Row],[Waist]]-Table7[[#This Row],[Waist v Night Pulse]]</f>
        <v>0.53172138850183615</v>
      </c>
      <c r="CX215" s="2">
        <f>Table7[[#This Row],[WaistNP Res]]^2</f>
        <v>0.28272763499032055</v>
      </c>
      <c r="CY215">
        <f>Regression!$L$29+(Regression!$L$28*Table83[[#This Row],[Sleep]])</f>
        <v>44.553089788849412</v>
      </c>
      <c r="CZ215" s="2">
        <f>Table83[[#This Row],[Waist]]-Table7[[#This Row],[Waist v  Sleep]]</f>
        <v>0.4469102111505876</v>
      </c>
      <c r="DA215" s="2">
        <f>Table7[[#This Row],[WaistS Res]]^2</f>
        <v>0.19972873683066281</v>
      </c>
      <c r="DB215">
        <f>Regression!$M$29+(Regression!$M$28*Table83[[#This Row],[BMI]])</f>
        <v>45.582468693762905</v>
      </c>
      <c r="DC215" s="2">
        <f>Table83[[#This Row],[Waist]]-Table7[[#This Row],[Waist v BMI]]</f>
        <v>-0.58246869376290533</v>
      </c>
      <c r="DD215" s="2">
        <f>Table7[[#This Row],[WaistBMI Res]]^2</f>
        <v>0.3392697792138652</v>
      </c>
      <c r="DE215">
        <f>Regression!$N$29+(Regression!$N$28*Table83[[#This Row],[CBF]])</f>
        <v>45.203183363709613</v>
      </c>
      <c r="DF215" s="2">
        <f>Table83[[#This Row],[Waist]]-Table7[[#This Row],[Waist v  CBF]]</f>
        <v>-0.20318336370961276</v>
      </c>
      <c r="DG215" s="2">
        <f>Table7[[#This Row],[WaistCBF Res]]^2</f>
        <v>4.1283479288352784E-2</v>
      </c>
      <c r="DH215">
        <f>Regression!$O$29+(Regression!$O$28*Table83[[#This Row],[Gym]])</f>
        <v>44.550847457627107</v>
      </c>
      <c r="DI215" s="2">
        <f>Table83[[#This Row],[Waist]]-Table7[[#This Row],[Waist v  Gym]]</f>
        <v>0.44915254237289304</v>
      </c>
      <c r="DJ215" s="2">
        <f>Table7[[#This Row],[WaistGYM Res]]^2</f>
        <v>0.20173800632003347</v>
      </c>
      <c r="DK215">
        <f>Regression!$P$29+(Regression!$P$28*Table83[[#This Row],[Cardio]])</f>
        <v>44.680851063829778</v>
      </c>
      <c r="DL215" s="2">
        <f>Table83[[#This Row],[Waist]]-Table7[[#This Row],[Waist v Cardio]]</f>
        <v>0.31914893617022244</v>
      </c>
      <c r="DM215" s="2">
        <f>Table7[[#This Row],[WaistC Res]]^2</f>
        <v>0.10185604345858472</v>
      </c>
      <c r="DN215">
        <f>Regression!$Q$29+(Regression!$Q$28*Table83[[#This Row],[Calories]])</f>
        <v>44.453539823008846</v>
      </c>
      <c r="DO215" s="2">
        <f>Table83[[#This Row],[Waist]]-Table7[[#This Row],[Waist v Calories]]</f>
        <v>0.5464601769911539</v>
      </c>
      <c r="DP215" s="2">
        <f>Table7[[#This Row],[WaistCal Res]]^2</f>
        <v>0.29861872503720327</v>
      </c>
      <c r="DQ215">
        <f>Regression!$R$29+(Regression!$R$28*Table83[[#This Row],[Carbs]])</f>
        <v>44.453539823008846</v>
      </c>
      <c r="DR215" s="2">
        <f>Table83[[#This Row],[Waist]]-Table7[[#This Row],[Waist v Carbs]]</f>
        <v>0.5464601769911539</v>
      </c>
      <c r="DS215" s="2">
        <f>Table7[[#This Row],[WaistCarb Res]]^2</f>
        <v>0.29861872503720327</v>
      </c>
      <c r="DT215">
        <f>Regression!$S$29+(Regression!$S$28*Table83[[#This Row],[Fat ]])</f>
        <v>44.453539823008846</v>
      </c>
      <c r="DU215" s="2">
        <f>Table83[[#This Row],[Waist]]-Table7[[#This Row],[Waist v Fat]]</f>
        <v>0.5464601769911539</v>
      </c>
      <c r="DV215" s="2">
        <f>Table7[[#This Row],[WaistF Res]]^2</f>
        <v>0.29861872503720327</v>
      </c>
      <c r="DW215">
        <f>Regression!$T$29+(Regression!$T$28*Table83[[#This Row],[Protein]])</f>
        <v>44.453539823008846</v>
      </c>
      <c r="DX215" s="2">
        <f>Table83[[#This Row],[Waist]]-Table7[[#This Row],[Waist v Protein]]</f>
        <v>0.5464601769911539</v>
      </c>
      <c r="DY215" s="2">
        <f>Table7[[#This Row],[WaistP Res]]^2</f>
        <v>0.29861872503720327</v>
      </c>
      <c r="DZ215">
        <f>Regression!$U$29+(Regression!$U$28*Table83[[#This Row],[Fiber]])</f>
        <v>44.453539823008846</v>
      </c>
      <c r="EA215" s="2">
        <f>Table83[[#This Row],[Waist]]-Table7[[#This Row],[Waist v Fiber]]</f>
        <v>0.5464601769911539</v>
      </c>
      <c r="EB215" s="2">
        <f>Table7[[#This Row],[WaistFib Res]]^2</f>
        <v>0.29861872503720327</v>
      </c>
      <c r="EC215">
        <f>Regression!$V$29+(Regression!$V$28*Table83[[#This Row],[Sugar]])</f>
        <v>44.453539823008846</v>
      </c>
      <c r="ED215" s="2">
        <f>Table83[[#This Row],[Waist]]-Table7[[#This Row],[Waist v Sugar]]</f>
        <v>0.5464601769911539</v>
      </c>
      <c r="EE215" s="2">
        <f>Table7[[#This Row],[WaistSugar Res]]^2</f>
        <v>0.29861872503720327</v>
      </c>
      <c r="EF215">
        <f>Regression!$W$29+(Regression!$W$28*Table83[[#This Row],[Servings]])</f>
        <v>44.453539823008846</v>
      </c>
      <c r="EG215" s="2">
        <f>Table83[[#This Row],[Waist]]-Table7[[#This Row],[Waist v Servings]]</f>
        <v>0.5464601769911539</v>
      </c>
      <c r="EH215" s="2">
        <f>Table7[[#This Row],[WaistServ Res]]^2</f>
        <v>0.29861872503720327</v>
      </c>
      <c r="EI215">
        <f>Regression!$X$29+(Regression!$X$28*Table83[[#This Row],[Water]])</f>
        <v>44.453539823008846</v>
      </c>
      <c r="EJ215" s="2">
        <f>Table83[[#This Row],[Waist]]-Table7[[#This Row],[Waist v Water]]</f>
        <v>0.5464601769911539</v>
      </c>
      <c r="EK215" s="2">
        <f>Table7[[#This Row],[WaistWat Res]]^2</f>
        <v>0.29861872503720327</v>
      </c>
      <c r="EL215">
        <f>Regression!$Y$29+(Regression!$Y$28*Table83[[#This Row],[Fat Calories]])</f>
        <v>44.453539823008846</v>
      </c>
      <c r="EM215" s="2">
        <f>Table83[[#This Row],[Waist]]-Table7[[#This Row],[Waist v Fat Calories]]</f>
        <v>0.5464601769911539</v>
      </c>
      <c r="EN215" s="2">
        <f>Table7[[#This Row],[WaistFatCal Res]]^2</f>
        <v>0.29861872503720327</v>
      </c>
    </row>
    <row r="216" spans="1:144" x14ac:dyDescent="0.25">
      <c r="A216">
        <f>Regression!$B$10+(Regression!$B$9*Table83[[#This Row],[Waist]])</f>
        <v>255.38023686459636</v>
      </c>
      <c r="B216" s="2">
        <f>Table83[[#This Row],[Weight]]-Table7[[#This Row],[Weight v Waist]]</f>
        <v>0.81976313540363321</v>
      </c>
      <c r="C216" s="2">
        <f>Table7[[#This Row],[Weight v Waist Res]]^2</f>
        <v>0.67201159816679545</v>
      </c>
      <c r="D216">
        <f>Regression!$C$10+(Regression!$C$9*Table83[[#This Row],[Neck]])</f>
        <v>253.29286486487842</v>
      </c>
      <c r="E216" s="2">
        <f>Table83[[#This Row],[Weight]]-Table7[[#This Row],[Weight v Neck]]</f>
        <v>2.907135135121564</v>
      </c>
      <c r="F216" s="2">
        <f>Table7[[#This Row],[WN Res]]^2</f>
        <v>8.4514346938582747</v>
      </c>
      <c r="G216">
        <f>Regression!$D$10+(Regression!$D$9*Table83[[#This Row],[Morning Body Temp]])</f>
        <v>254.98916789486196</v>
      </c>
      <c r="H216" s="2">
        <f>Table83[[#This Row],[Weight]]-Table7[[#This Row],[Weight v Morning Temp]]</f>
        <v>1.2108321051380244</v>
      </c>
      <c r="I216" s="2">
        <f>Table7[[#This Row],[WMT Res]]^2</f>
        <v>1.4661143868329798</v>
      </c>
      <c r="J216">
        <f>Regression!$E$10+(Regression!$E$9*Table83[[#This Row],[Morning Systolic Pressure]])</f>
        <v>254.46840577466799</v>
      </c>
      <c r="K216" s="2">
        <f>Table83[[#This Row],[Weight]]-Table7[[#This Row],[Weight v Morning Sys]]</f>
        <v>1.7315942253320031</v>
      </c>
      <c r="L216" s="2">
        <f>Table7[[#This Row],[WMS Res]]^2</f>
        <v>2.99841856120314</v>
      </c>
      <c r="M216">
        <f>Regression!$F$10+(Regression!$F$9*Table83[[#This Row],[Morning Diastolic Pressure]])</f>
        <v>255.40607264438131</v>
      </c>
      <c r="N216" s="2">
        <f>Table83[[#This Row],[Weight]]-Table7[[#This Row],[Weight v Morning Dia]]</f>
        <v>0.79392735561867767</v>
      </c>
      <c r="O216" s="2">
        <f>Table7[[#This Row],[WMD Res]]^2</f>
        <v>0.63032064599966631</v>
      </c>
      <c r="P216">
        <f>Regression!$G$10+(Regression!$G$9*Table83[[#This Row],[Morning Pulse]])</f>
        <v>255.09536713682655</v>
      </c>
      <c r="Q216" s="2">
        <f>Table83[[#This Row],[Weight]]-Table7[[#This Row],[Weight v Morning Pulse]]</f>
        <v>1.1046328631734355</v>
      </c>
      <c r="R216" s="2">
        <f>Table7[[#This Row],[WMP Res]]^2</f>
        <v>1.2202137624027418</v>
      </c>
      <c r="S216">
        <f>Regression!$H$10+(Regression!$H$9*Table83[[#This Row],[Night Body Temp]])</f>
        <v>254.95418324800676</v>
      </c>
      <c r="T216" s="2">
        <f>Table83[[#This Row],[Weight]]-Table7[[#This Row],[Weight v Night Temp]]</f>
        <v>1.2458167519932317</v>
      </c>
      <c r="U216" s="2">
        <f>Table7[[#This Row],[WNT Res]]^2</f>
        <v>1.5520593795469655</v>
      </c>
      <c r="V216">
        <f>Regression!$I$10+(Regression!$I$9*Table83[[#This Row],[Night Systolic Pressure]])</f>
        <v>256.16238489942344</v>
      </c>
      <c r="W216" s="2">
        <f>Table83[[#This Row],[Weight]]-Table7[[#This Row],[Weight v Night Sys]]</f>
        <v>3.7615100576545046E-2</v>
      </c>
      <c r="X216" s="2">
        <f>Table7[[#This Row],[WNS Res]]^2</f>
        <v>1.4148957913835995E-3</v>
      </c>
      <c r="Y216">
        <f>Regression!$J$10+(Regression!$J$9*Table83[[#This Row],[Night Diastolic Pressure]])</f>
        <v>254.9292529005817</v>
      </c>
      <c r="Z216" s="2">
        <f>Table83[[#This Row],[Weight]]-Table7[[#This Row],[Weight v Night Dia]]</f>
        <v>1.270747099418287</v>
      </c>
      <c r="AA216" s="2">
        <f>Table7[[#This Row],[WND Res]]^2</f>
        <v>1.6147981906799898</v>
      </c>
      <c r="AB216">
        <f>Regression!$K$10+(Regression!$K$9*Table83[[#This Row],[Night Pulse]])</f>
        <v>254.80301854637398</v>
      </c>
      <c r="AC216" s="2">
        <f>Table83[[#This Row],[Weight]]-Table7[[#This Row],[Weight v Night Pulse]]</f>
        <v>1.3969814536260117</v>
      </c>
      <c r="AD216" s="2">
        <f>Table7[[#This Row],[WNP Res ]]^2</f>
        <v>1.9515571817750446</v>
      </c>
      <c r="AE216">
        <f>Regression!$L$10+(Regression!$L$9*Table83[[#This Row],[Sleep]])</f>
        <v>256.55666355256352</v>
      </c>
      <c r="AF216" s="2">
        <f>Table83[[#This Row],[Weight]]-Table7[[#This Row],[Weight v Sleep]]</f>
        <v>-0.35666355256353199</v>
      </c>
      <c r="AG216" s="2">
        <f>Table7[[#This Row],[WS Res]]^2</f>
        <v>0.12720888972723934</v>
      </c>
      <c r="AH216">
        <f>Regression!$M$10+(Regression!$M$9*Table83[[#This Row],[BMI]])</f>
        <v>256.19999999999766</v>
      </c>
      <c r="AI216" s="2">
        <f>Table83[[#This Row],[Weight]]-Table7[[#This Row],[Weight v BMI]]</f>
        <v>2.3305801732931286E-12</v>
      </c>
      <c r="AJ216" s="2">
        <f>Table7[[#This Row],[WBMI Res]]^2</f>
        <v>5.4316039441470294E-24</v>
      </c>
      <c r="AK216">
        <f>Regression!$N$10+(Regression!$N$9*Table83[[#This Row],[CBF]])</f>
        <v>256.25609762651322</v>
      </c>
      <c r="AL216" s="2">
        <f>Table83[[#This Row],[Weight]]-Table7[[#This Row],[Weight v CBF]]</f>
        <v>-5.6097626513235355E-2</v>
      </c>
      <c r="AM216" s="2">
        <f>Table7[[#This Row],[WCBF Res]]^2</f>
        <v>3.146943700418446E-3</v>
      </c>
      <c r="AN216">
        <f>Regression!$O$10+(Regression!$O$9*Table83[[#This Row],[Gym]])</f>
        <v>254.72962962962998</v>
      </c>
      <c r="AO216" s="2">
        <f>Table83[[#This Row],[Weight]]-Table7[[#This Row],[Weight v Gym]]</f>
        <v>1.4703703703700057</v>
      </c>
      <c r="AP216" s="2">
        <f>Table7[[#This Row],[WG Res]]^2</f>
        <v>2.1619890260620278</v>
      </c>
      <c r="AQ216">
        <f>Regression!$P$10+(Regression!$P$9*Table83[[#This Row],[Cardio]])</f>
        <v>256.41063829787231</v>
      </c>
      <c r="AR216" s="2">
        <f>Table83[[#This Row],[Weight]]-Table7[[#This Row],[Weight v Cardio]]</f>
        <v>-0.2106382978723218</v>
      </c>
      <c r="AS216" s="2">
        <f>Table7[[#This Row],[WC Res]]^2</f>
        <v>4.4368492530548968E-2</v>
      </c>
      <c r="AT216">
        <f>Regression!$Q$10+(Regression!$Q$9*Table83[[#This Row],[Calories]])</f>
        <v>255.11504424778778</v>
      </c>
      <c r="AU216" s="2">
        <f>Table83[[#This Row],[Weight]]-Table7[[#This Row],[Weight v Calories]]</f>
        <v>1.0849557522122097</v>
      </c>
      <c r="AV216" s="2">
        <f>Table7[[#This Row],[WCAL Res]]^2</f>
        <v>1.1771289842583619</v>
      </c>
      <c r="AW216">
        <f>Regression!$R$10+(Regression!$R$9*Table83[[#This Row],[Carbs]])</f>
        <v>255.11504424778778</v>
      </c>
      <c r="AX216" s="2">
        <f>Table83[[#This Row],[Weight]]-Table7[[#This Row],[Weight v Carbs]]</f>
        <v>1.0849557522122097</v>
      </c>
      <c r="AY216" s="2">
        <f>Table7[[#This Row],[Wcarb Res]]^2</f>
        <v>1.1771289842583619</v>
      </c>
      <c r="AZ216">
        <f>Regression!$S$10+(Regression!$S$9*Table83[[#This Row],[Fat ]])</f>
        <v>255.11504424778781</v>
      </c>
      <c r="BA216" s="2">
        <f>Table83[[#This Row],[Weight]]-Table7[[#This Row],[Weight v Fat]]</f>
        <v>1.0849557522121813</v>
      </c>
      <c r="BB216" s="2">
        <f>Table7[[#This Row],[WF Res]]^2</f>
        <v>1.1771289842583001</v>
      </c>
      <c r="BC216">
        <f>Regression!$T$10+(Regression!$T$9*Table83[[#This Row],[Protein]])</f>
        <v>255.11504424778781</v>
      </c>
      <c r="BD216" s="2">
        <f>Table83[[#This Row],[Weight]]-Table7[[#This Row],[Weight v Protein]]</f>
        <v>1.0849557522121813</v>
      </c>
      <c r="BE216" s="2">
        <f>Table7[[#This Row],[WP Res]]^2</f>
        <v>1.1771289842583001</v>
      </c>
      <c r="BF216">
        <f>Regression!$U$10+(Regression!$U$9*Table83[[#This Row],[Fiber]])</f>
        <v>255.11504424778781</v>
      </c>
      <c r="BG216" s="2">
        <f>Table83[[#This Row],[Weight]]-Table7[[#This Row],[Weight v Fiber]]</f>
        <v>1.0849557522121813</v>
      </c>
      <c r="BH216" s="2">
        <f>Table7[[#This Row],[Wfib Res]]^2</f>
        <v>1.1771289842583001</v>
      </c>
      <c r="BI216">
        <f>Regression!$V$10+(Regression!$V$9*Table83[[#This Row],[Sugar]])</f>
        <v>255.11504424778781</v>
      </c>
      <c r="BJ216" s="2">
        <f>Table83[[#This Row],[Weight]]-Table7[[#This Row],[Weight v Sugar]]</f>
        <v>1.0849557522121813</v>
      </c>
      <c r="BK216" s="2">
        <f>Table7[[#This Row],[Wsugar Res]]^2</f>
        <v>1.1771289842583001</v>
      </c>
      <c r="BL216">
        <f>Regression!$W$10+(Regression!$W$9*Table83[[#This Row],[Servings]])</f>
        <v>255.11504424778784</v>
      </c>
      <c r="BM216" s="2">
        <f>Table83[[#This Row],[Weight]]-Table7[[#This Row],[Weight v Servings]]</f>
        <v>1.0849557522121529</v>
      </c>
      <c r="BN216" s="2">
        <f>Table7[[#This Row],[Wserv Res]]^2</f>
        <v>1.1771289842582384</v>
      </c>
      <c r="BO216">
        <f>Regression!$X$10+(Regression!$X$9*Table83[[#This Row],[Water]])</f>
        <v>255.11504424778781</v>
      </c>
      <c r="BP216" s="2">
        <f>Table83[[#This Row],[Weight]]-Table7[[#This Row],[Weight v Water]]</f>
        <v>1.0849557522121813</v>
      </c>
      <c r="BQ216" s="2">
        <f>Table7[[#This Row],[Wwater Res]]^2</f>
        <v>1.1771289842583001</v>
      </c>
      <c r="BR216">
        <f>Regression!$Y$10+(Regression!$Y$9*Table83[[#This Row],[Fat Calories]])</f>
        <v>255.11504424778781</v>
      </c>
      <c r="BS216" s="2">
        <f>Table83[[#This Row],[Weight]]-Table7[[#This Row],[Weight v Fat Calories]]</f>
        <v>1.0849557522121813</v>
      </c>
      <c r="BT216" s="2">
        <f>Table7[[#This Row],[WFC Res]]^2</f>
        <v>1.1771289842583001</v>
      </c>
      <c r="BU216">
        <f>Regression!$B$29+(Regression!$B$28*Table83[[#This Row],[Weight]])</f>
        <v>44.601378617662625</v>
      </c>
      <c r="BV216" s="2">
        <f>Table83[[#This Row],[Waist]]-Table7[[#This Row],[Waist v Weight]]</f>
        <v>-0.10137861766262546</v>
      </c>
      <c r="BW216" s="2">
        <f>Table7[[#This Row],[WaistW Res]]^2</f>
        <v>1.0277624119184795E-2</v>
      </c>
      <c r="BX216">
        <f>Regression!$C$29+(Regression!$C$28*Table83[[#This Row],[Neck]])</f>
        <v>44.175585585585594</v>
      </c>
      <c r="BY216" s="2">
        <f>Table83[[#This Row],[Waist]]-Table7[[#This Row],[Waist v Neck]]</f>
        <v>0.32441441441440588</v>
      </c>
      <c r="BZ216" s="2">
        <f>Table7[[#This Row],[WaistN Res]]^2</f>
        <v>0.10524471227984188</v>
      </c>
      <c r="CA216">
        <f>Regression!$D$29+(Regression!$D$28*Table83[[#This Row],[Morning Body Temp]])</f>
        <v>44.419304304405451</v>
      </c>
      <c r="CB216" s="2">
        <f>Table83[[#This Row],[Waist]]-Table7[[#This Row],[Waist v Morning Temp]]</f>
        <v>8.0695695594549477E-2</v>
      </c>
      <c r="CC216" s="2">
        <f>Table7[[#This Row],[WaistMT Res]]^2</f>
        <v>6.511795287488192E-3</v>
      </c>
      <c r="CD216">
        <f>Regression!$E$29+(Regression!$E$28*Table83[[#This Row],[Morning Systolic Pressure]])</f>
        <v>44.301619054000227</v>
      </c>
      <c r="CE216" s="2">
        <f>Table83[[#This Row],[Waist]]-Table7[[#This Row],[Waist v Morning Sys]]</f>
        <v>0.19838094599977296</v>
      </c>
      <c r="CF216" s="2">
        <f>Table7[[#This Row],[WaistMS Res]]^2</f>
        <v>3.9354999735764833E-2</v>
      </c>
      <c r="CG216">
        <f>Regression!$F$29+(Regression!$F$28*Table83[[#This Row],[Morning Diastolic Pressure]])</f>
        <v>44.469723530150823</v>
      </c>
      <c r="CH216" s="2">
        <f>Table83[[#This Row],[Waist]]-Table7[[#This Row],[Waist v Morning Dia]]</f>
        <v>3.027646984917709E-2</v>
      </c>
      <c r="CI216" s="2">
        <f>Table7[[#This Row],[WaistMD Res]]^2</f>
        <v>9.1666462652812938E-4</v>
      </c>
      <c r="CJ216">
        <f>Regression!$G$29+(Regression!$G$28*Table83[[#This Row],[Morning Pulse]])</f>
        <v>44.444502169196447</v>
      </c>
      <c r="CK216" s="2">
        <f>Table83[[#This Row],[Waist]]-Table7[[#This Row],[Waist v Morning Pulse]]</f>
        <v>5.5497830803552972E-2</v>
      </c>
      <c r="CL216" s="2">
        <f>Table7[[#This Row],[WaistMP Res]]^2</f>
        <v>3.0800092238997931E-3</v>
      </c>
      <c r="CM216">
        <f>Regression!$H$29+(Regression!$H$28*Table83[[#This Row],[Night Body Temp]])</f>
        <v>44.440857030854289</v>
      </c>
      <c r="CN216" s="2">
        <f>Table83[[#This Row],[Waist]]-Table7[[#This Row],[Waist v Night Temp]]</f>
        <v>5.9142969145710822E-2</v>
      </c>
      <c r="CO216" s="2">
        <f>Table7[[#This Row],[WaistNT Res]]^2</f>
        <v>3.4978907993705021E-3</v>
      </c>
      <c r="CP216">
        <f>Regression!$I$29+(Regression!$I$28*Table83[[#This Row],[Night Systolic Pressure]])</f>
        <v>44.601900458561346</v>
      </c>
      <c r="CQ216" s="2">
        <f>Table83[[#This Row],[Waist]]-Table7[[#This Row],[Waist v  Night Sys]]</f>
        <v>-0.10190045856134589</v>
      </c>
      <c r="CR216" s="2">
        <f>Table7[[#This Row],[WaistNS Res]]^2</f>
        <v>1.038370345501257E-2</v>
      </c>
      <c r="CS216">
        <f>Regression!$J$29+(Regression!$J$28*Table83[[#This Row],[Night Diastolic Pressure]])</f>
        <v>44.375752285116519</v>
      </c>
      <c r="CT216" s="2">
        <f>Table83[[#This Row],[Waist]]-Table7[[#This Row],[Waist v Night Dia]]</f>
        <v>0.12424771488348085</v>
      </c>
      <c r="CU216" s="2">
        <f>Table7[[#This Row],[WaistND Res]]^2</f>
        <v>1.543749465376675E-2</v>
      </c>
      <c r="CV216">
        <f>Regression!$K$29+(Regression!$K$28*Table83[[#This Row],[Night Pulse]])</f>
        <v>44.482562343052983</v>
      </c>
      <c r="CW216" s="2">
        <f>Table83[[#This Row],[Waist]]-Table7[[#This Row],[Waist v Night Pulse]]</f>
        <v>1.7437656947016933E-2</v>
      </c>
      <c r="CX216" s="2">
        <f>Table7[[#This Row],[WaistNP Res]]^2</f>
        <v>3.0407187980184791E-4</v>
      </c>
      <c r="CY216">
        <f>Regression!$L$29+(Regression!$L$28*Table83[[#This Row],[Sleep]])</f>
        <v>44.673337208838547</v>
      </c>
      <c r="CZ216" s="2">
        <f>Table83[[#This Row],[Waist]]-Table7[[#This Row],[Waist v  Sleep]]</f>
        <v>-0.17333720883854653</v>
      </c>
      <c r="DA216" s="2">
        <f>Table7[[#This Row],[WaistS Res]]^2</f>
        <v>3.0045787967937894E-2</v>
      </c>
      <c r="DB216">
        <f>Regression!$M$29+(Regression!$M$28*Table83[[#This Row],[BMI]])</f>
        <v>44.601378617662157</v>
      </c>
      <c r="DC216" s="2">
        <f>Table83[[#This Row],[Waist]]-Table7[[#This Row],[Waist v BMI]]</f>
        <v>-0.1013786176621565</v>
      </c>
      <c r="DD216" s="2">
        <f>Table7[[#This Row],[WaistBMI Res]]^2</f>
        <v>1.0277624119089709E-2</v>
      </c>
      <c r="DE216">
        <f>Regression!$N$29+(Regression!$N$28*Table83[[#This Row],[CBF]])</f>
        <v>44.659010290127611</v>
      </c>
      <c r="DF216" s="2">
        <f>Table83[[#This Row],[Waist]]-Table7[[#This Row],[Waist v  CBF]]</f>
        <v>-0.15901029012761114</v>
      </c>
      <c r="DG216" s="2">
        <f>Table7[[#This Row],[WaistCBF Res]]^2</f>
        <v>2.5284272366467068E-2</v>
      </c>
      <c r="DH216">
        <f>Regression!$O$29+(Regression!$O$28*Table83[[#This Row],[Gym]])</f>
        <v>44.347222222222221</v>
      </c>
      <c r="DI216" s="2">
        <f>Table83[[#This Row],[Waist]]-Table7[[#This Row],[Waist v  Gym]]</f>
        <v>0.15277777777777857</v>
      </c>
      <c r="DJ216" s="2">
        <f>Table7[[#This Row],[WaistGYM Res]]^2</f>
        <v>2.3341049382716292E-2</v>
      </c>
      <c r="DK216">
        <f>Regression!$P$29+(Regression!$P$28*Table83[[#This Row],[Cardio]])</f>
        <v>44.680851063829778</v>
      </c>
      <c r="DL216" s="2">
        <f>Table83[[#This Row],[Waist]]-Table7[[#This Row],[Waist v Cardio]]</f>
        <v>-0.18085106382977756</v>
      </c>
      <c r="DM216" s="2">
        <f>Table7[[#This Row],[WaistC Res]]^2</f>
        <v>3.2707107288362278E-2</v>
      </c>
      <c r="DN216">
        <f>Regression!$Q$29+(Regression!$Q$28*Table83[[#This Row],[Calories]])</f>
        <v>44.453539823008846</v>
      </c>
      <c r="DO216" s="2">
        <f>Table83[[#This Row],[Waist]]-Table7[[#This Row],[Waist v Calories]]</f>
        <v>4.6460176991153901E-2</v>
      </c>
      <c r="DP216" s="2">
        <f>Table7[[#This Row],[WaistCal Res]]^2</f>
        <v>2.1585480460493463E-3</v>
      </c>
      <c r="DQ216">
        <f>Regression!$R$29+(Regression!$R$28*Table83[[#This Row],[Carbs]])</f>
        <v>44.453539823008846</v>
      </c>
      <c r="DR216" s="2">
        <f>Table83[[#This Row],[Waist]]-Table7[[#This Row],[Waist v Carbs]]</f>
        <v>4.6460176991153901E-2</v>
      </c>
      <c r="DS216" s="2">
        <f>Table7[[#This Row],[WaistCarb Res]]^2</f>
        <v>2.1585480460493463E-3</v>
      </c>
      <c r="DT216">
        <f>Regression!$S$29+(Regression!$S$28*Table83[[#This Row],[Fat ]])</f>
        <v>44.453539823008846</v>
      </c>
      <c r="DU216" s="2">
        <f>Table83[[#This Row],[Waist]]-Table7[[#This Row],[Waist v Fat]]</f>
        <v>4.6460176991153901E-2</v>
      </c>
      <c r="DV216" s="2">
        <f>Table7[[#This Row],[WaistF Res]]^2</f>
        <v>2.1585480460493463E-3</v>
      </c>
      <c r="DW216">
        <f>Regression!$T$29+(Regression!$T$28*Table83[[#This Row],[Protein]])</f>
        <v>44.453539823008846</v>
      </c>
      <c r="DX216" s="2">
        <f>Table83[[#This Row],[Waist]]-Table7[[#This Row],[Waist v Protein]]</f>
        <v>4.6460176991153901E-2</v>
      </c>
      <c r="DY216" s="2">
        <f>Table7[[#This Row],[WaistP Res]]^2</f>
        <v>2.1585480460493463E-3</v>
      </c>
      <c r="DZ216">
        <f>Regression!$U$29+(Regression!$U$28*Table83[[#This Row],[Fiber]])</f>
        <v>44.453539823008846</v>
      </c>
      <c r="EA216" s="2">
        <f>Table83[[#This Row],[Waist]]-Table7[[#This Row],[Waist v Fiber]]</f>
        <v>4.6460176991153901E-2</v>
      </c>
      <c r="EB216" s="2">
        <f>Table7[[#This Row],[WaistFib Res]]^2</f>
        <v>2.1585480460493463E-3</v>
      </c>
      <c r="EC216">
        <f>Regression!$V$29+(Regression!$V$28*Table83[[#This Row],[Sugar]])</f>
        <v>44.453539823008846</v>
      </c>
      <c r="ED216" s="2">
        <f>Table83[[#This Row],[Waist]]-Table7[[#This Row],[Waist v Sugar]]</f>
        <v>4.6460176991153901E-2</v>
      </c>
      <c r="EE216" s="2">
        <f>Table7[[#This Row],[WaistSugar Res]]^2</f>
        <v>2.1585480460493463E-3</v>
      </c>
      <c r="EF216">
        <f>Regression!$W$29+(Regression!$W$28*Table83[[#This Row],[Servings]])</f>
        <v>44.453539823008846</v>
      </c>
      <c r="EG216" s="2">
        <f>Table83[[#This Row],[Waist]]-Table7[[#This Row],[Waist v Servings]]</f>
        <v>4.6460176991153901E-2</v>
      </c>
      <c r="EH216" s="2">
        <f>Table7[[#This Row],[WaistServ Res]]^2</f>
        <v>2.1585480460493463E-3</v>
      </c>
      <c r="EI216">
        <f>Regression!$X$29+(Regression!$X$28*Table83[[#This Row],[Water]])</f>
        <v>44.453539823008846</v>
      </c>
      <c r="EJ216" s="2">
        <f>Table83[[#This Row],[Waist]]-Table7[[#This Row],[Waist v Water]]</f>
        <v>4.6460176991153901E-2</v>
      </c>
      <c r="EK216" s="2">
        <f>Table7[[#This Row],[WaistWat Res]]^2</f>
        <v>2.1585480460493463E-3</v>
      </c>
      <c r="EL216">
        <f>Regression!$Y$29+(Regression!$Y$28*Table83[[#This Row],[Fat Calories]])</f>
        <v>44.453539823008846</v>
      </c>
      <c r="EM216" s="2">
        <f>Table83[[#This Row],[Waist]]-Table7[[#This Row],[Waist v Fat Calories]]</f>
        <v>4.6460176991153901E-2</v>
      </c>
      <c r="EN216" s="2">
        <f>Table7[[#This Row],[WaistFatCal Res]]^2</f>
        <v>2.1585480460493463E-3</v>
      </c>
    </row>
    <row r="217" spans="1:144" x14ac:dyDescent="0.25">
      <c r="A217">
        <f>Regression!$B$10+(Regression!$B$9*Table83[[#This Row],[Waist]])</f>
        <v>255.38023686459636</v>
      </c>
      <c r="B217" s="2">
        <f>Table83[[#This Row],[Weight]]-Table7[[#This Row],[Weight v Waist]]</f>
        <v>1.419763135403656</v>
      </c>
      <c r="C217" s="2">
        <f>Table7[[#This Row],[Weight v Waist Res]]^2</f>
        <v>2.01572736065122</v>
      </c>
      <c r="D217">
        <f>Regression!$C$10+(Regression!$C$9*Table83[[#This Row],[Neck]])</f>
        <v>253.29286486487842</v>
      </c>
      <c r="E217" s="2">
        <f>Table83[[#This Row],[Weight]]-Table7[[#This Row],[Weight v Neck]]</f>
        <v>3.5071351351215867</v>
      </c>
      <c r="F217" s="2">
        <f>Table7[[#This Row],[WN Res]]^2</f>
        <v>12.299996856004309</v>
      </c>
      <c r="G217">
        <f>Regression!$D$10+(Regression!$D$9*Table83[[#This Row],[Morning Body Temp]])</f>
        <v>254.84837078641723</v>
      </c>
      <c r="H217" s="2">
        <f>Table83[[#This Row],[Weight]]-Table7[[#This Row],[Weight v Morning Temp]]</f>
        <v>1.9516292135827769</v>
      </c>
      <c r="I217" s="2">
        <f>Table7[[#This Row],[WMT Res]]^2</f>
        <v>3.808856587309728</v>
      </c>
      <c r="J217">
        <f>Regression!$E$10+(Regression!$E$9*Table83[[#This Row],[Morning Systolic Pressure]])</f>
        <v>255.68549027897933</v>
      </c>
      <c r="K217" s="2">
        <f>Table83[[#This Row],[Weight]]-Table7[[#This Row],[Weight v Morning Sys]]</f>
        <v>1.1145097210206814</v>
      </c>
      <c r="L217" s="2">
        <f>Table7[[#This Row],[WMS Res]]^2</f>
        <v>1.2421319182495969</v>
      </c>
      <c r="M217">
        <f>Regression!$F$10+(Regression!$F$9*Table83[[#This Row],[Morning Diastolic Pressure]])</f>
        <v>255.40607264438131</v>
      </c>
      <c r="N217" s="2">
        <f>Table83[[#This Row],[Weight]]-Table7[[#This Row],[Weight v Morning Dia]]</f>
        <v>1.3939273556187004</v>
      </c>
      <c r="O217" s="2">
        <f>Table7[[#This Row],[WMD Res]]^2</f>
        <v>1.9430334727421428</v>
      </c>
      <c r="P217">
        <f>Regression!$G$10+(Regression!$G$9*Table83[[#This Row],[Morning Pulse]])</f>
        <v>255.13375084772755</v>
      </c>
      <c r="Q217" s="2">
        <f>Table83[[#This Row],[Weight]]-Table7[[#This Row],[Weight v Morning Pulse]]</f>
        <v>1.6662491522724565</v>
      </c>
      <c r="R217" s="2">
        <f>Table7[[#This Row],[WMP Res]]^2</f>
        <v>2.7763862374486799</v>
      </c>
      <c r="S217">
        <f>Regression!$H$10+(Regression!$H$9*Table83[[#This Row],[Night Body Temp]])</f>
        <v>254.64609353656169</v>
      </c>
      <c r="T217" s="2">
        <f>Table83[[#This Row],[Weight]]-Table7[[#This Row],[Weight v Night Temp]]</f>
        <v>2.153906463438318</v>
      </c>
      <c r="U217" s="2">
        <f>Table7[[#This Row],[WNT Res]]^2</f>
        <v>4.6393130532413629</v>
      </c>
      <c r="V217">
        <f>Regression!$I$10+(Regression!$I$9*Table83[[#This Row],[Night Systolic Pressure]])</f>
        <v>254.10948821885404</v>
      </c>
      <c r="W217" s="2">
        <f>Table83[[#This Row],[Weight]]-Table7[[#This Row],[Weight v Night Sys]]</f>
        <v>2.6905117811459718</v>
      </c>
      <c r="X217" s="2">
        <f>Table7[[#This Row],[WNS Res]]^2</f>
        <v>7.2388536444852694</v>
      </c>
      <c r="Y217">
        <f>Regression!$J$10+(Regression!$J$9*Table83[[#This Row],[Night Diastolic Pressure]])</f>
        <v>254.8477211637495</v>
      </c>
      <c r="Z217" s="2">
        <f>Table83[[#This Row],[Weight]]-Table7[[#This Row],[Weight v Night Dia]]</f>
        <v>1.9522788362505139</v>
      </c>
      <c r="AA217" s="2">
        <f>Table7[[#This Row],[WND Res]]^2</f>
        <v>3.811392654471661</v>
      </c>
      <c r="AB217">
        <f>Regression!$K$10+(Regression!$K$9*Table83[[#This Row],[Night Pulse]])</f>
        <v>254.77230521513724</v>
      </c>
      <c r="AC217" s="2">
        <f>Table83[[#This Row],[Weight]]-Table7[[#This Row],[Weight v Night Pulse]]</f>
        <v>2.0276947848627742</v>
      </c>
      <c r="AD217" s="2">
        <f>Table7[[#This Row],[WNP Res ]]^2</f>
        <v>4.1115461405596925</v>
      </c>
      <c r="AE217">
        <f>Regression!$L$10+(Regression!$L$9*Table83[[#This Row],[Sleep]])</f>
        <v>254.03287008557294</v>
      </c>
      <c r="AF217" s="2">
        <f>Table83[[#This Row],[Weight]]-Table7[[#This Row],[Weight v Sleep]]</f>
        <v>2.7671299144270733</v>
      </c>
      <c r="AG217" s="2">
        <f>Table7[[#This Row],[WS Res]]^2</f>
        <v>7.6570079633171826</v>
      </c>
      <c r="AH217">
        <f>Regression!$M$10+(Regression!$M$9*Table83[[#This Row],[BMI]])</f>
        <v>256.79999999999632</v>
      </c>
      <c r="AI217" s="2">
        <f>Table83[[#This Row],[Weight]]-Table7[[#This Row],[Weight v BMI]]</f>
        <v>3.694822225952521E-12</v>
      </c>
      <c r="AJ217" s="2">
        <f>Table7[[#This Row],[WBMI Res]]^2</f>
        <v>1.3651711281392742E-23</v>
      </c>
      <c r="AK217">
        <f>Regression!$N$10+(Regression!$N$9*Table83[[#This Row],[CBF]])</f>
        <v>256.25609762651322</v>
      </c>
      <c r="AL217" s="2">
        <f>Table83[[#This Row],[Weight]]-Table7[[#This Row],[Weight v CBF]]</f>
        <v>0.54390237348678738</v>
      </c>
      <c r="AM217" s="2">
        <f>Table7[[#This Row],[WCBF Res]]^2</f>
        <v>0.29582979188456077</v>
      </c>
      <c r="AN217">
        <f>Regression!$O$10+(Regression!$O$9*Table83[[#This Row],[Gym]])</f>
        <v>255.46779661016953</v>
      </c>
      <c r="AO217" s="2">
        <f>Table83[[#This Row],[Weight]]-Table7[[#This Row],[Weight v Gym]]</f>
        <v>1.3322033898304824</v>
      </c>
      <c r="AP217" s="2">
        <f>Table7[[#This Row],[WG Res]]^2</f>
        <v>1.7747658718758281</v>
      </c>
      <c r="AQ217">
        <f>Regression!$P$10+(Regression!$P$9*Table83[[#This Row],[Cardio]])</f>
        <v>256.41063829787231</v>
      </c>
      <c r="AR217" s="2">
        <f>Table83[[#This Row],[Weight]]-Table7[[#This Row],[Weight v Cardio]]</f>
        <v>0.38936170212770094</v>
      </c>
      <c r="AS217" s="2">
        <f>Table7[[#This Row],[WC Res]]^2</f>
        <v>0.15160253508378052</v>
      </c>
      <c r="AT217">
        <f>Regression!$Q$10+(Regression!$Q$9*Table83[[#This Row],[Calories]])</f>
        <v>255.11504424778778</v>
      </c>
      <c r="AU217" s="2">
        <f>Table83[[#This Row],[Weight]]-Table7[[#This Row],[Weight v Calories]]</f>
        <v>1.6849557522122325</v>
      </c>
      <c r="AV217" s="2">
        <f>Table7[[#This Row],[WCAL Res]]^2</f>
        <v>2.8390758869130903</v>
      </c>
      <c r="AW217">
        <f>Regression!$R$10+(Regression!$R$9*Table83[[#This Row],[Carbs]])</f>
        <v>255.11504424778778</v>
      </c>
      <c r="AX217" s="2">
        <f>Table83[[#This Row],[Weight]]-Table7[[#This Row],[Weight v Carbs]]</f>
        <v>1.6849557522122325</v>
      </c>
      <c r="AY217" s="2">
        <f>Table7[[#This Row],[Wcarb Res]]^2</f>
        <v>2.8390758869130903</v>
      </c>
      <c r="AZ217">
        <f>Regression!$S$10+(Regression!$S$9*Table83[[#This Row],[Fat ]])</f>
        <v>255.11504424778781</v>
      </c>
      <c r="BA217" s="2">
        <f>Table83[[#This Row],[Weight]]-Table7[[#This Row],[Weight v Fat]]</f>
        <v>1.6849557522122041</v>
      </c>
      <c r="BB217" s="2">
        <f>Table7[[#This Row],[WF Res]]^2</f>
        <v>2.8390758869129944</v>
      </c>
      <c r="BC217">
        <f>Regression!$T$10+(Regression!$T$9*Table83[[#This Row],[Protein]])</f>
        <v>255.11504424778781</v>
      </c>
      <c r="BD217" s="2">
        <f>Table83[[#This Row],[Weight]]-Table7[[#This Row],[Weight v Protein]]</f>
        <v>1.6849557522122041</v>
      </c>
      <c r="BE217" s="2">
        <f>Table7[[#This Row],[WP Res]]^2</f>
        <v>2.8390758869129944</v>
      </c>
      <c r="BF217">
        <f>Regression!$U$10+(Regression!$U$9*Table83[[#This Row],[Fiber]])</f>
        <v>255.11504424778781</v>
      </c>
      <c r="BG217" s="2">
        <f>Table83[[#This Row],[Weight]]-Table7[[#This Row],[Weight v Fiber]]</f>
        <v>1.6849557522122041</v>
      </c>
      <c r="BH217" s="2">
        <f>Table7[[#This Row],[Wfib Res]]^2</f>
        <v>2.8390758869129944</v>
      </c>
      <c r="BI217">
        <f>Regression!$V$10+(Regression!$V$9*Table83[[#This Row],[Sugar]])</f>
        <v>255.11504424778781</v>
      </c>
      <c r="BJ217" s="2">
        <f>Table83[[#This Row],[Weight]]-Table7[[#This Row],[Weight v Sugar]]</f>
        <v>1.6849557522122041</v>
      </c>
      <c r="BK217" s="2">
        <f>Table7[[#This Row],[Wsugar Res]]^2</f>
        <v>2.8390758869129944</v>
      </c>
      <c r="BL217">
        <f>Regression!$W$10+(Regression!$W$9*Table83[[#This Row],[Servings]])</f>
        <v>255.11504424778784</v>
      </c>
      <c r="BM217" s="2">
        <f>Table83[[#This Row],[Weight]]-Table7[[#This Row],[Weight v Servings]]</f>
        <v>1.6849557522121756</v>
      </c>
      <c r="BN217" s="2">
        <f>Table7[[#This Row],[Wserv Res]]^2</f>
        <v>2.8390758869128985</v>
      </c>
      <c r="BO217">
        <f>Regression!$X$10+(Regression!$X$9*Table83[[#This Row],[Water]])</f>
        <v>255.11504424778781</v>
      </c>
      <c r="BP217" s="2">
        <f>Table83[[#This Row],[Weight]]-Table7[[#This Row],[Weight v Water]]</f>
        <v>1.6849557522122041</v>
      </c>
      <c r="BQ217" s="2">
        <f>Table7[[#This Row],[Wwater Res]]^2</f>
        <v>2.8390758869129944</v>
      </c>
      <c r="BR217">
        <f>Regression!$Y$10+(Regression!$Y$9*Table83[[#This Row],[Fat Calories]])</f>
        <v>255.11504424778781</v>
      </c>
      <c r="BS217" s="2">
        <f>Table83[[#This Row],[Weight]]-Table7[[#This Row],[Weight v Fat Calories]]</f>
        <v>1.6849557522122041</v>
      </c>
      <c r="BT217" s="2">
        <f>Table7[[#This Row],[WFC Res]]^2</f>
        <v>2.8390758869129944</v>
      </c>
      <c r="BU217">
        <f>Regression!$B$29+(Regression!$B$28*Table83[[#This Row],[Weight]])</f>
        <v>44.683136124004619</v>
      </c>
      <c r="BV217" s="2">
        <f>Table83[[#This Row],[Waist]]-Table7[[#This Row],[Waist v Weight]]</f>
        <v>-0.18313612400461921</v>
      </c>
      <c r="BW217" s="2">
        <f>Table7[[#This Row],[WaistW Res]]^2</f>
        <v>3.3538839915435263E-2</v>
      </c>
      <c r="BX217">
        <f>Regression!$C$29+(Regression!$C$28*Table83[[#This Row],[Neck]])</f>
        <v>44.175585585585594</v>
      </c>
      <c r="BY217" s="2">
        <f>Table83[[#This Row],[Waist]]-Table7[[#This Row],[Waist v Neck]]</f>
        <v>0.32441441441440588</v>
      </c>
      <c r="BZ217" s="2">
        <f>Table7[[#This Row],[WaistN Res]]^2</f>
        <v>0.10524471227984188</v>
      </c>
      <c r="CA217">
        <f>Regression!$D$29+(Regression!$D$28*Table83[[#This Row],[Morning Body Temp]])</f>
        <v>44.381010678053698</v>
      </c>
      <c r="CB217" s="2">
        <f>Table83[[#This Row],[Waist]]-Table7[[#This Row],[Waist v Morning Temp]]</f>
        <v>0.11898932194630163</v>
      </c>
      <c r="CC217" s="2">
        <f>Table7[[#This Row],[WaistMT Res]]^2</f>
        <v>1.4158458737240618E-2</v>
      </c>
      <c r="CD217">
        <f>Regression!$E$29+(Regression!$E$28*Table83[[#This Row],[Morning Systolic Pressure]])</f>
        <v>44.587559995545753</v>
      </c>
      <c r="CE217" s="2">
        <f>Table83[[#This Row],[Waist]]-Table7[[#This Row],[Waist v Morning Sys]]</f>
        <v>-8.7559995545753111E-2</v>
      </c>
      <c r="CF217" s="2">
        <f>Table7[[#This Row],[WaistMS Res]]^2</f>
        <v>7.6667528199723042E-3</v>
      </c>
      <c r="CG217">
        <f>Regression!$F$29+(Regression!$F$28*Table83[[#This Row],[Morning Diastolic Pressure]])</f>
        <v>44.469723530150823</v>
      </c>
      <c r="CH217" s="2">
        <f>Table83[[#This Row],[Waist]]-Table7[[#This Row],[Waist v Morning Dia]]</f>
        <v>3.027646984917709E-2</v>
      </c>
      <c r="CI217" s="2">
        <f>Table7[[#This Row],[WaistMD Res]]^2</f>
        <v>9.1666462652812938E-4</v>
      </c>
      <c r="CJ217">
        <f>Regression!$G$29+(Regression!$G$28*Table83[[#This Row],[Morning Pulse]])</f>
        <v>44.462131723242337</v>
      </c>
      <c r="CK217" s="2">
        <f>Table83[[#This Row],[Waist]]-Table7[[#This Row],[Waist v Morning Pulse]]</f>
        <v>3.7868276757663466E-2</v>
      </c>
      <c r="CL217" s="2">
        <f>Table7[[#This Row],[WaistMP Res]]^2</f>
        <v>1.434006384594995E-3</v>
      </c>
      <c r="CM217">
        <f>Regression!$H$29+(Regression!$H$28*Table83[[#This Row],[Night Body Temp]])</f>
        <v>44.416566259439634</v>
      </c>
      <c r="CN217" s="2">
        <f>Table83[[#This Row],[Waist]]-Table7[[#This Row],[Waist v Night Temp]]</f>
        <v>8.3433740560366232E-2</v>
      </c>
      <c r="CO217" s="2">
        <f>Table7[[#This Row],[WaistNT Res]]^2</f>
        <v>6.9611890638945012E-3</v>
      </c>
      <c r="CP217">
        <f>Regression!$I$29+(Regression!$I$28*Table83[[#This Row],[Night Systolic Pressure]])</f>
        <v>44.311098172049078</v>
      </c>
      <c r="CQ217" s="2">
        <f>Table83[[#This Row],[Waist]]-Table7[[#This Row],[Waist v  Night Sys]]</f>
        <v>0.18890182795092159</v>
      </c>
      <c r="CR217" s="2">
        <f>Table7[[#This Row],[WaistNS Res]]^2</f>
        <v>3.5683900603199578E-2</v>
      </c>
      <c r="CS217">
        <f>Regression!$J$29+(Regression!$J$28*Table83[[#This Row],[Night Diastolic Pressure]])</f>
        <v>44.341616394701639</v>
      </c>
      <c r="CT217" s="2">
        <f>Table83[[#This Row],[Waist]]-Table7[[#This Row],[Waist v Night Dia]]</f>
        <v>0.15838360529836137</v>
      </c>
      <c r="CU217" s="2">
        <f>Table7[[#This Row],[WaistND Res]]^2</f>
        <v>2.5085366427307125E-2</v>
      </c>
      <c r="CV217">
        <f>Regression!$K$29+(Regression!$K$28*Table83[[#This Row],[Night Pulse]])</f>
        <v>44.485419089363951</v>
      </c>
      <c r="CW217" s="2">
        <f>Table83[[#This Row],[Waist]]-Table7[[#This Row],[Waist v Night Pulse]]</f>
        <v>1.4580910636048827E-2</v>
      </c>
      <c r="CX217" s="2">
        <f>Table7[[#This Row],[WaistNP Res]]^2</f>
        <v>2.1260295497644181E-4</v>
      </c>
      <c r="CY217">
        <f>Regression!$L$29+(Regression!$L$28*Table83[[#This Row],[Sleep]])</f>
        <v>44.288545464873309</v>
      </c>
      <c r="CZ217" s="2">
        <f>Table83[[#This Row],[Waist]]-Table7[[#This Row],[Waist v  Sleep]]</f>
        <v>0.21145453512669121</v>
      </c>
      <c r="DA217" s="2">
        <f>Table7[[#This Row],[WaistS Res]]^2</f>
        <v>4.4713020425645088E-2</v>
      </c>
      <c r="DB217">
        <f>Regression!$M$29+(Regression!$M$28*Table83[[#This Row],[BMI]])</f>
        <v>44.683136124003887</v>
      </c>
      <c r="DC217" s="2">
        <f>Table83[[#This Row],[Waist]]-Table7[[#This Row],[Waist v BMI]]</f>
        <v>-0.18313612400388735</v>
      </c>
      <c r="DD217" s="2">
        <f>Table7[[#This Row],[WaistBMI Res]]^2</f>
        <v>3.35388399151672E-2</v>
      </c>
      <c r="DE217">
        <f>Regression!$N$29+(Regression!$N$28*Table83[[#This Row],[CBF]])</f>
        <v>44.659010290127611</v>
      </c>
      <c r="DF217" s="2">
        <f>Table83[[#This Row],[Waist]]-Table7[[#This Row],[Waist v  CBF]]</f>
        <v>-0.15901029012761114</v>
      </c>
      <c r="DG217" s="2">
        <f>Table7[[#This Row],[WaistCBF Res]]^2</f>
        <v>2.5284272366467068E-2</v>
      </c>
      <c r="DH217">
        <f>Regression!$O$29+(Regression!$O$28*Table83[[#This Row],[Gym]])</f>
        <v>44.550847457627107</v>
      </c>
      <c r="DI217" s="2">
        <f>Table83[[#This Row],[Waist]]-Table7[[#This Row],[Waist v  Gym]]</f>
        <v>-5.0847457627106962E-2</v>
      </c>
      <c r="DJ217" s="2">
        <f>Table7[[#This Row],[WaistGYM Res]]^2</f>
        <v>2.5854639471404378E-3</v>
      </c>
      <c r="DK217">
        <f>Regression!$P$29+(Regression!$P$28*Table83[[#This Row],[Cardio]])</f>
        <v>44.680851063829778</v>
      </c>
      <c r="DL217" s="2">
        <f>Table83[[#This Row],[Waist]]-Table7[[#This Row],[Waist v Cardio]]</f>
        <v>-0.18085106382977756</v>
      </c>
      <c r="DM217" s="2">
        <f>Table7[[#This Row],[WaistC Res]]^2</f>
        <v>3.2707107288362278E-2</v>
      </c>
      <c r="DN217">
        <f>Regression!$Q$29+(Regression!$Q$28*Table83[[#This Row],[Calories]])</f>
        <v>44.453539823008846</v>
      </c>
      <c r="DO217" s="2">
        <f>Table83[[#This Row],[Waist]]-Table7[[#This Row],[Waist v Calories]]</f>
        <v>4.6460176991153901E-2</v>
      </c>
      <c r="DP217" s="2">
        <f>Table7[[#This Row],[WaistCal Res]]^2</f>
        <v>2.1585480460493463E-3</v>
      </c>
      <c r="DQ217">
        <f>Regression!$R$29+(Regression!$R$28*Table83[[#This Row],[Carbs]])</f>
        <v>44.453539823008846</v>
      </c>
      <c r="DR217" s="2">
        <f>Table83[[#This Row],[Waist]]-Table7[[#This Row],[Waist v Carbs]]</f>
        <v>4.6460176991153901E-2</v>
      </c>
      <c r="DS217" s="2">
        <f>Table7[[#This Row],[WaistCarb Res]]^2</f>
        <v>2.1585480460493463E-3</v>
      </c>
      <c r="DT217">
        <f>Regression!$S$29+(Regression!$S$28*Table83[[#This Row],[Fat ]])</f>
        <v>44.453539823008846</v>
      </c>
      <c r="DU217" s="2">
        <f>Table83[[#This Row],[Waist]]-Table7[[#This Row],[Waist v Fat]]</f>
        <v>4.6460176991153901E-2</v>
      </c>
      <c r="DV217" s="2">
        <f>Table7[[#This Row],[WaistF Res]]^2</f>
        <v>2.1585480460493463E-3</v>
      </c>
      <c r="DW217">
        <f>Regression!$T$29+(Regression!$T$28*Table83[[#This Row],[Protein]])</f>
        <v>44.453539823008846</v>
      </c>
      <c r="DX217" s="2">
        <f>Table83[[#This Row],[Waist]]-Table7[[#This Row],[Waist v Protein]]</f>
        <v>4.6460176991153901E-2</v>
      </c>
      <c r="DY217" s="2">
        <f>Table7[[#This Row],[WaistP Res]]^2</f>
        <v>2.1585480460493463E-3</v>
      </c>
      <c r="DZ217">
        <f>Regression!$U$29+(Regression!$U$28*Table83[[#This Row],[Fiber]])</f>
        <v>44.453539823008846</v>
      </c>
      <c r="EA217" s="2">
        <f>Table83[[#This Row],[Waist]]-Table7[[#This Row],[Waist v Fiber]]</f>
        <v>4.6460176991153901E-2</v>
      </c>
      <c r="EB217" s="2">
        <f>Table7[[#This Row],[WaistFib Res]]^2</f>
        <v>2.1585480460493463E-3</v>
      </c>
      <c r="EC217">
        <f>Regression!$V$29+(Regression!$V$28*Table83[[#This Row],[Sugar]])</f>
        <v>44.453539823008846</v>
      </c>
      <c r="ED217" s="2">
        <f>Table83[[#This Row],[Waist]]-Table7[[#This Row],[Waist v Sugar]]</f>
        <v>4.6460176991153901E-2</v>
      </c>
      <c r="EE217" s="2">
        <f>Table7[[#This Row],[WaistSugar Res]]^2</f>
        <v>2.1585480460493463E-3</v>
      </c>
      <c r="EF217">
        <f>Regression!$W$29+(Regression!$W$28*Table83[[#This Row],[Servings]])</f>
        <v>44.453539823008846</v>
      </c>
      <c r="EG217" s="2">
        <f>Table83[[#This Row],[Waist]]-Table7[[#This Row],[Waist v Servings]]</f>
        <v>4.6460176991153901E-2</v>
      </c>
      <c r="EH217" s="2">
        <f>Table7[[#This Row],[WaistServ Res]]^2</f>
        <v>2.1585480460493463E-3</v>
      </c>
      <c r="EI217">
        <f>Regression!$X$29+(Regression!$X$28*Table83[[#This Row],[Water]])</f>
        <v>44.453539823008846</v>
      </c>
      <c r="EJ217" s="2">
        <f>Table83[[#This Row],[Waist]]-Table7[[#This Row],[Waist v Water]]</f>
        <v>4.6460176991153901E-2</v>
      </c>
      <c r="EK217" s="2">
        <f>Table7[[#This Row],[WaistWat Res]]^2</f>
        <v>2.1585480460493463E-3</v>
      </c>
      <c r="EL217">
        <f>Regression!$Y$29+(Regression!$Y$28*Table83[[#This Row],[Fat Calories]])</f>
        <v>44.453539823008846</v>
      </c>
      <c r="EM217" s="2">
        <f>Table83[[#This Row],[Waist]]-Table7[[#This Row],[Waist v Fat Calories]]</f>
        <v>4.6460176991153901E-2</v>
      </c>
      <c r="EN217" s="2">
        <f>Table7[[#This Row],[WaistFatCal Res]]^2</f>
        <v>2.1585480460493463E-3</v>
      </c>
    </row>
    <row r="218" spans="1:144" x14ac:dyDescent="0.25">
      <c r="A218">
        <f>Regression!$B$10+(Regression!$B$9*Table83[[#This Row],[Waist]])</f>
        <v>258.23421455025004</v>
      </c>
      <c r="B218" s="2">
        <f>Table83[[#This Row],[Weight]]-Table7[[#This Row],[Weight v Waist]]</f>
        <v>-0.23421455025004434</v>
      </c>
      <c r="C218" s="2">
        <f>Table7[[#This Row],[Weight v Waist Res]]^2</f>
        <v>5.4856455548830542E-2</v>
      </c>
      <c r="D218">
        <f>Regression!$C$10+(Regression!$C$9*Table83[[#This Row],[Neck]])</f>
        <v>253.29286486487842</v>
      </c>
      <c r="E218" s="2">
        <f>Table83[[#This Row],[Weight]]-Table7[[#This Row],[Weight v Neck]]</f>
        <v>4.7071351351215753</v>
      </c>
      <c r="F218" s="2">
        <f>Table7[[#This Row],[WN Res]]^2</f>
        <v>22.157121180296013</v>
      </c>
      <c r="G218">
        <f>Regression!$D$10+(Regression!$D$9*Table83[[#This Row],[Morning Body Temp]])</f>
        <v>255.12996500330669</v>
      </c>
      <c r="H218" s="2">
        <f>Table83[[#This Row],[Weight]]-Table7[[#This Row],[Weight v Morning Temp]]</f>
        <v>2.8700349966933061</v>
      </c>
      <c r="I218" s="2">
        <f>Table7[[#This Row],[WMT Res]]^2</f>
        <v>8.237100882244345</v>
      </c>
      <c r="J218">
        <f>Regression!$E$10+(Regression!$E$9*Table83[[#This Row],[Morning Systolic Pressure]])</f>
        <v>255.00933222102856</v>
      </c>
      <c r="K218" s="2">
        <f>Table83[[#This Row],[Weight]]-Table7[[#This Row],[Weight v Morning Sys]]</f>
        <v>2.9906677789714422</v>
      </c>
      <c r="L218" s="2">
        <f>Table7[[#This Row],[WMS Res]]^2</f>
        <v>8.9440937641779783</v>
      </c>
      <c r="M218">
        <f>Regression!$F$10+(Regression!$F$9*Table83[[#This Row],[Morning Diastolic Pressure]])</f>
        <v>254.69666290106716</v>
      </c>
      <c r="N218" s="2">
        <f>Table83[[#This Row],[Weight]]-Table7[[#This Row],[Weight v Morning Dia]]</f>
        <v>3.3033370989328432</v>
      </c>
      <c r="O218" s="2">
        <f>Table7[[#This Row],[WMD Res]]^2</f>
        <v>10.912035989186053</v>
      </c>
      <c r="P218">
        <f>Regression!$G$10+(Regression!$G$9*Table83[[#This Row],[Morning Pulse]])</f>
        <v>255.10085052409812</v>
      </c>
      <c r="Q218" s="2">
        <f>Table83[[#This Row],[Weight]]-Table7[[#This Row],[Weight v Morning Pulse]]</f>
        <v>2.8991494759018792</v>
      </c>
      <c r="R218" s="2">
        <f>Table7[[#This Row],[WMP Res]]^2</f>
        <v>8.405067683622141</v>
      </c>
      <c r="S218">
        <f>Regression!$H$10+(Regression!$H$9*Table83[[#This Row],[Night Body Temp]])</f>
        <v>255.05687981848845</v>
      </c>
      <c r="T218" s="2">
        <f>Table83[[#This Row],[Weight]]-Table7[[#This Row],[Weight v Night Temp]]</f>
        <v>2.9431201815115458</v>
      </c>
      <c r="U218" s="2">
        <f>Table7[[#This Row],[WNT Res]]^2</f>
        <v>8.6619564028205538</v>
      </c>
      <c r="V218">
        <f>Regression!$I$10+(Regression!$I$9*Table83[[#This Row],[Night Systolic Pressure]])</f>
        <v>255.03329172511027</v>
      </c>
      <c r="W218" s="2">
        <f>Table83[[#This Row],[Weight]]-Table7[[#This Row],[Weight v Night Sys]]</f>
        <v>2.9667082748897258</v>
      </c>
      <c r="X218" s="2">
        <f>Table7[[#This Row],[WNS Res]]^2</f>
        <v>8.8013579882991735</v>
      </c>
      <c r="Y218">
        <f>Regression!$J$10+(Regression!$J$9*Table83[[#This Row],[Night Diastolic Pressure]])</f>
        <v>254.9292529005817</v>
      </c>
      <c r="Z218" s="2">
        <f>Table83[[#This Row],[Weight]]-Table7[[#This Row],[Weight v Night Dia]]</f>
        <v>3.0707470994182984</v>
      </c>
      <c r="AA218" s="2">
        <f>Table7[[#This Row],[WND Res]]^2</f>
        <v>9.4294877485858937</v>
      </c>
      <c r="AB218">
        <f>Regression!$K$10+(Regression!$K$9*Table83[[#This Row],[Night Pulse]])</f>
        <v>254.92587187132088</v>
      </c>
      <c r="AC218" s="2">
        <f>Table83[[#This Row],[Weight]]-Table7[[#This Row],[Weight v Night Pulse]]</f>
        <v>3.0741281286791207</v>
      </c>
      <c r="AD218" s="2">
        <f>Table7[[#This Row],[WNP Res ]]^2</f>
        <v>9.4502637515361929</v>
      </c>
      <c r="AE218">
        <f>Regression!$L$10+(Regression!$L$9*Table83[[#This Row],[Sleep]])</f>
        <v>254.34834426894676</v>
      </c>
      <c r="AF218" s="2">
        <f>Table83[[#This Row],[Weight]]-Table7[[#This Row],[Weight v Sleep]]</f>
        <v>3.6516557310532392</v>
      </c>
      <c r="AG218" s="2">
        <f>Table7[[#This Row],[WS Res]]^2</f>
        <v>13.334589578133967</v>
      </c>
      <c r="AH218">
        <f>Regression!$M$10+(Regression!$M$9*Table83[[#This Row],[BMI]])</f>
        <v>257.99999999999352</v>
      </c>
      <c r="AI218" s="2">
        <f>Table83[[#This Row],[Weight]]-Table7[[#This Row],[Weight v BMI]]</f>
        <v>6.4801497501321137E-12</v>
      </c>
      <c r="AJ218" s="2">
        <f>Table7[[#This Row],[WBMI Res]]^2</f>
        <v>4.1992340784137296E-23</v>
      </c>
      <c r="AK218">
        <f>Regression!$N$10+(Regression!$N$9*Table83[[#This Row],[CBF]])</f>
        <v>259.27809165285294</v>
      </c>
      <c r="AL218" s="2">
        <f>Table83[[#This Row],[Weight]]-Table7[[#This Row],[Weight v CBF]]</f>
        <v>-1.278091652852936</v>
      </c>
      <c r="AM218" s="2">
        <f>Table7[[#This Row],[WCBF Res]]^2</f>
        <v>1.6335182730923499</v>
      </c>
      <c r="AN218">
        <f>Regression!$O$10+(Regression!$O$9*Table83[[#This Row],[Gym]])</f>
        <v>255.46779661016953</v>
      </c>
      <c r="AO218" s="2">
        <f>Table83[[#This Row],[Weight]]-Table7[[#This Row],[Weight v Gym]]</f>
        <v>2.532203389830471</v>
      </c>
      <c r="AP218" s="2">
        <f>Table7[[#This Row],[WG Res]]^2</f>
        <v>6.4120540074689281</v>
      </c>
      <c r="AQ218">
        <f>Regression!$P$10+(Regression!$P$9*Table83[[#This Row],[Cardio]])</f>
        <v>256.41063829787231</v>
      </c>
      <c r="AR218" s="2">
        <f>Table83[[#This Row],[Weight]]-Table7[[#This Row],[Weight v Cardio]]</f>
        <v>1.5893617021276896</v>
      </c>
      <c r="AS218" s="2">
        <f>Table7[[#This Row],[WC Res]]^2</f>
        <v>2.5260706201902265</v>
      </c>
      <c r="AT218">
        <f>Regression!$Q$10+(Regression!$Q$9*Table83[[#This Row],[Calories]])</f>
        <v>255.11504424778778</v>
      </c>
      <c r="AU218" s="2">
        <f>Table83[[#This Row],[Weight]]-Table7[[#This Row],[Weight v Calories]]</f>
        <v>2.8849557522122211</v>
      </c>
      <c r="AV218" s="2">
        <f>Table7[[#This Row],[WCAL Res]]^2</f>
        <v>8.322969692222383</v>
      </c>
      <c r="AW218">
        <f>Regression!$R$10+(Regression!$R$9*Table83[[#This Row],[Carbs]])</f>
        <v>255.11504424778778</v>
      </c>
      <c r="AX218" s="2">
        <f>Table83[[#This Row],[Weight]]-Table7[[#This Row],[Weight v Carbs]]</f>
        <v>2.8849557522122211</v>
      </c>
      <c r="AY218" s="2">
        <f>Table7[[#This Row],[Wcarb Res]]^2</f>
        <v>8.322969692222383</v>
      </c>
      <c r="AZ218">
        <f>Regression!$S$10+(Regression!$S$9*Table83[[#This Row],[Fat ]])</f>
        <v>255.11504424778781</v>
      </c>
      <c r="BA218" s="2">
        <f>Table83[[#This Row],[Weight]]-Table7[[#This Row],[Weight v Fat]]</f>
        <v>2.8849557522121927</v>
      </c>
      <c r="BB218" s="2">
        <f>Table7[[#This Row],[WF Res]]^2</f>
        <v>8.3229696922222178</v>
      </c>
      <c r="BC218">
        <f>Regression!$T$10+(Regression!$T$9*Table83[[#This Row],[Protein]])</f>
        <v>255.11504424778781</v>
      </c>
      <c r="BD218" s="2">
        <f>Table83[[#This Row],[Weight]]-Table7[[#This Row],[Weight v Protein]]</f>
        <v>2.8849557522121927</v>
      </c>
      <c r="BE218" s="2">
        <f>Table7[[#This Row],[WP Res]]^2</f>
        <v>8.3229696922222178</v>
      </c>
      <c r="BF218">
        <f>Regression!$U$10+(Regression!$U$9*Table83[[#This Row],[Fiber]])</f>
        <v>255.11504424778781</v>
      </c>
      <c r="BG218" s="2">
        <f>Table83[[#This Row],[Weight]]-Table7[[#This Row],[Weight v Fiber]]</f>
        <v>2.8849557522121927</v>
      </c>
      <c r="BH218" s="2">
        <f>Table7[[#This Row],[Wfib Res]]^2</f>
        <v>8.3229696922222178</v>
      </c>
      <c r="BI218">
        <f>Regression!$V$10+(Regression!$V$9*Table83[[#This Row],[Sugar]])</f>
        <v>255.11504424778781</v>
      </c>
      <c r="BJ218" s="2">
        <f>Table83[[#This Row],[Weight]]-Table7[[#This Row],[Weight v Sugar]]</f>
        <v>2.8849557522121927</v>
      </c>
      <c r="BK218" s="2">
        <f>Table7[[#This Row],[Wsugar Res]]^2</f>
        <v>8.3229696922222178</v>
      </c>
      <c r="BL218">
        <f>Regression!$W$10+(Regression!$W$9*Table83[[#This Row],[Servings]])</f>
        <v>255.11504424778784</v>
      </c>
      <c r="BM218" s="2">
        <f>Table83[[#This Row],[Weight]]-Table7[[#This Row],[Weight v Servings]]</f>
        <v>2.8849557522121643</v>
      </c>
      <c r="BN218" s="2">
        <f>Table7[[#This Row],[Wserv Res]]^2</f>
        <v>8.3229696922220544</v>
      </c>
      <c r="BO218">
        <f>Regression!$X$10+(Regression!$X$9*Table83[[#This Row],[Water]])</f>
        <v>255.11504424778781</v>
      </c>
      <c r="BP218" s="2">
        <f>Table83[[#This Row],[Weight]]-Table7[[#This Row],[Weight v Water]]</f>
        <v>2.8849557522121927</v>
      </c>
      <c r="BQ218" s="2">
        <f>Table7[[#This Row],[Wwater Res]]^2</f>
        <v>8.3229696922222178</v>
      </c>
      <c r="BR218">
        <f>Regression!$Y$10+(Regression!$Y$9*Table83[[#This Row],[Fat Calories]])</f>
        <v>255.11504424778781</v>
      </c>
      <c r="BS218" s="2">
        <f>Table83[[#This Row],[Weight]]-Table7[[#This Row],[Weight v Fat Calories]]</f>
        <v>2.8849557522121927</v>
      </c>
      <c r="BT218" s="2">
        <f>Table7[[#This Row],[WFC Res]]^2</f>
        <v>8.3229696922222178</v>
      </c>
      <c r="BU218">
        <f>Regression!$B$29+(Regression!$B$28*Table83[[#This Row],[Weight]])</f>
        <v>44.846651136688592</v>
      </c>
      <c r="BV218" s="2">
        <f>Table83[[#This Row],[Waist]]-Table7[[#This Row],[Waist v Weight]]</f>
        <v>0.15334886331140751</v>
      </c>
      <c r="BW218" s="2">
        <f>Table7[[#This Row],[WaistW Res]]^2</f>
        <v>2.3515873878900743E-2</v>
      </c>
      <c r="BX218">
        <f>Regression!$C$29+(Regression!$C$28*Table83[[#This Row],[Neck]])</f>
        <v>44.175585585585594</v>
      </c>
      <c r="BY218" s="2">
        <f>Table83[[#This Row],[Waist]]-Table7[[#This Row],[Waist v Neck]]</f>
        <v>0.82441441441440588</v>
      </c>
      <c r="BZ218" s="2">
        <f>Table7[[#This Row],[WaistN Res]]^2</f>
        <v>0.67965912669424777</v>
      </c>
      <c r="CA218">
        <f>Regression!$D$29+(Regression!$D$28*Table83[[#This Row],[Morning Body Temp]])</f>
        <v>44.457597930757203</v>
      </c>
      <c r="CB218" s="2">
        <f>Table83[[#This Row],[Waist]]-Table7[[#This Row],[Waist v Morning Temp]]</f>
        <v>0.54240206924279732</v>
      </c>
      <c r="CC218" s="2">
        <f>Table7[[#This Row],[WaistMT Res]]^2</f>
        <v>0.29420000471886831</v>
      </c>
      <c r="CD218">
        <f>Regression!$E$29+(Regression!$E$28*Table83[[#This Row],[Morning Systolic Pressure]])</f>
        <v>44.428703916909349</v>
      </c>
      <c r="CE218" s="2">
        <f>Table83[[#This Row],[Waist]]-Table7[[#This Row],[Waist v Morning Sys]]</f>
        <v>0.57129608309065105</v>
      </c>
      <c r="CF218" s="2">
        <f>Table7[[#This Row],[WaistMS Res]]^2</f>
        <v>0.32637921455472008</v>
      </c>
      <c r="CG218">
        <f>Regression!$F$29+(Regression!$F$28*Table83[[#This Row],[Morning Diastolic Pressure]])</f>
        <v>44.430274185468846</v>
      </c>
      <c r="CH218" s="2">
        <f>Table83[[#This Row],[Waist]]-Table7[[#This Row],[Waist v Morning Dia]]</f>
        <v>0.56972581453115367</v>
      </c>
      <c r="CI218" s="2">
        <f>Table7[[#This Row],[WaistMD Res]]^2</f>
        <v>0.32458750374318651</v>
      </c>
      <c r="CJ218">
        <f>Regression!$G$29+(Regression!$G$28*Table83[[#This Row],[Morning Pulse]])</f>
        <v>44.447020676917283</v>
      </c>
      <c r="CK218" s="2">
        <f>Table83[[#This Row],[Waist]]-Table7[[#This Row],[Waist v Morning Pulse]]</f>
        <v>0.55297932308271669</v>
      </c>
      <c r="CL218" s="2">
        <f>Table7[[#This Row],[WaistMP Res]]^2</f>
        <v>0.30578613175701957</v>
      </c>
      <c r="CM218">
        <f>Regression!$H$29+(Regression!$H$28*Table83[[#This Row],[Night Body Temp]])</f>
        <v>44.448953954659181</v>
      </c>
      <c r="CN218" s="2">
        <f>Table83[[#This Row],[Waist]]-Table7[[#This Row],[Waist v Night Temp]]</f>
        <v>0.55104604534081858</v>
      </c>
      <c r="CO218" s="2">
        <f>Table7[[#This Row],[WaistNT Res]]^2</f>
        <v>0.30365174408575546</v>
      </c>
      <c r="CP218">
        <f>Regression!$I$29+(Regression!$I$28*Table83[[#This Row],[Night Systolic Pressure]])</f>
        <v>44.441959200979596</v>
      </c>
      <c r="CQ218" s="2">
        <f>Table83[[#This Row],[Waist]]-Table7[[#This Row],[Waist v  Night Sys]]</f>
        <v>0.55804079902040371</v>
      </c>
      <c r="CR218" s="2">
        <f>Table7[[#This Row],[WaistNS Res]]^2</f>
        <v>0.31140953337133059</v>
      </c>
      <c r="CS218">
        <f>Regression!$J$29+(Regression!$J$28*Table83[[#This Row],[Night Diastolic Pressure]])</f>
        <v>44.375752285116519</v>
      </c>
      <c r="CT218" s="2">
        <f>Table83[[#This Row],[Waist]]-Table7[[#This Row],[Waist v Night Dia]]</f>
        <v>0.62424771488348085</v>
      </c>
      <c r="CU218" s="2">
        <f>Table7[[#This Row],[WaistND Res]]^2</f>
        <v>0.38968520953724761</v>
      </c>
      <c r="CV218">
        <f>Regression!$K$29+(Regression!$K$28*Table83[[#This Row],[Night Pulse]])</f>
        <v>44.471135357809125</v>
      </c>
      <c r="CW218" s="2">
        <f>Table83[[#This Row],[Waist]]-Table7[[#This Row],[Waist v Night Pulse]]</f>
        <v>0.52886464219087514</v>
      </c>
      <c r="CX218" s="2">
        <f>Table7[[#This Row],[WaistNP Res]]^2</f>
        <v>0.27969780975968239</v>
      </c>
      <c r="CY218">
        <f>Regression!$L$29+(Regression!$L$28*Table83[[#This Row],[Sleep]])</f>
        <v>44.336644432868965</v>
      </c>
      <c r="CZ218" s="2">
        <f>Table83[[#This Row],[Waist]]-Table7[[#This Row],[Waist v  Sleep]]</f>
        <v>0.66335556713103472</v>
      </c>
      <c r="DA218" s="2">
        <f>Table7[[#This Row],[WaistS Res]]^2</f>
        <v>0.44004060844373671</v>
      </c>
      <c r="DB218">
        <f>Regression!$M$29+(Regression!$M$28*Table83[[#This Row],[BMI]])</f>
        <v>44.846651136687342</v>
      </c>
      <c r="DC218" s="2">
        <f>Table83[[#This Row],[Waist]]-Table7[[#This Row],[Waist v BMI]]</f>
        <v>0.15334886331265807</v>
      </c>
      <c r="DD218" s="2">
        <f>Table7[[#This Row],[WaistBMI Res]]^2</f>
        <v>2.3515873879284287E-2</v>
      </c>
      <c r="DE218">
        <f>Regression!$N$29+(Regression!$N$28*Table83[[#This Row],[CBF]])</f>
        <v>45.203183363709613</v>
      </c>
      <c r="DF218" s="2">
        <f>Table83[[#This Row],[Waist]]-Table7[[#This Row],[Waist v  CBF]]</f>
        <v>-0.20318336370961276</v>
      </c>
      <c r="DG218" s="2">
        <f>Table7[[#This Row],[WaistCBF Res]]^2</f>
        <v>4.1283479288352784E-2</v>
      </c>
      <c r="DH218">
        <f>Regression!$O$29+(Regression!$O$28*Table83[[#This Row],[Gym]])</f>
        <v>44.550847457627107</v>
      </c>
      <c r="DI218" s="2">
        <f>Table83[[#This Row],[Waist]]-Table7[[#This Row],[Waist v  Gym]]</f>
        <v>0.44915254237289304</v>
      </c>
      <c r="DJ218" s="2">
        <f>Table7[[#This Row],[WaistGYM Res]]^2</f>
        <v>0.20173800632003347</v>
      </c>
      <c r="DK218">
        <f>Regression!$P$29+(Regression!$P$28*Table83[[#This Row],[Cardio]])</f>
        <v>44.680851063829778</v>
      </c>
      <c r="DL218" s="2">
        <f>Table83[[#This Row],[Waist]]-Table7[[#This Row],[Waist v Cardio]]</f>
        <v>0.31914893617022244</v>
      </c>
      <c r="DM218" s="2">
        <f>Table7[[#This Row],[WaistC Res]]^2</f>
        <v>0.10185604345858472</v>
      </c>
      <c r="DN218">
        <f>Regression!$Q$29+(Regression!$Q$28*Table83[[#This Row],[Calories]])</f>
        <v>44.453539823008846</v>
      </c>
      <c r="DO218" s="2">
        <f>Table83[[#This Row],[Waist]]-Table7[[#This Row],[Waist v Calories]]</f>
        <v>0.5464601769911539</v>
      </c>
      <c r="DP218" s="2">
        <f>Table7[[#This Row],[WaistCal Res]]^2</f>
        <v>0.29861872503720327</v>
      </c>
      <c r="DQ218">
        <f>Regression!$R$29+(Regression!$R$28*Table83[[#This Row],[Carbs]])</f>
        <v>44.453539823008846</v>
      </c>
      <c r="DR218" s="2">
        <f>Table83[[#This Row],[Waist]]-Table7[[#This Row],[Waist v Carbs]]</f>
        <v>0.5464601769911539</v>
      </c>
      <c r="DS218" s="2">
        <f>Table7[[#This Row],[WaistCarb Res]]^2</f>
        <v>0.29861872503720327</v>
      </c>
      <c r="DT218">
        <f>Regression!$S$29+(Regression!$S$28*Table83[[#This Row],[Fat ]])</f>
        <v>44.453539823008846</v>
      </c>
      <c r="DU218" s="2">
        <f>Table83[[#This Row],[Waist]]-Table7[[#This Row],[Waist v Fat]]</f>
        <v>0.5464601769911539</v>
      </c>
      <c r="DV218" s="2">
        <f>Table7[[#This Row],[WaistF Res]]^2</f>
        <v>0.29861872503720327</v>
      </c>
      <c r="DW218">
        <f>Regression!$T$29+(Regression!$T$28*Table83[[#This Row],[Protein]])</f>
        <v>44.453539823008846</v>
      </c>
      <c r="DX218" s="2">
        <f>Table83[[#This Row],[Waist]]-Table7[[#This Row],[Waist v Protein]]</f>
        <v>0.5464601769911539</v>
      </c>
      <c r="DY218" s="2">
        <f>Table7[[#This Row],[WaistP Res]]^2</f>
        <v>0.29861872503720327</v>
      </c>
      <c r="DZ218">
        <f>Regression!$U$29+(Regression!$U$28*Table83[[#This Row],[Fiber]])</f>
        <v>44.453539823008846</v>
      </c>
      <c r="EA218" s="2">
        <f>Table83[[#This Row],[Waist]]-Table7[[#This Row],[Waist v Fiber]]</f>
        <v>0.5464601769911539</v>
      </c>
      <c r="EB218" s="2">
        <f>Table7[[#This Row],[WaistFib Res]]^2</f>
        <v>0.29861872503720327</v>
      </c>
      <c r="EC218">
        <f>Regression!$V$29+(Regression!$V$28*Table83[[#This Row],[Sugar]])</f>
        <v>44.453539823008846</v>
      </c>
      <c r="ED218" s="2">
        <f>Table83[[#This Row],[Waist]]-Table7[[#This Row],[Waist v Sugar]]</f>
        <v>0.5464601769911539</v>
      </c>
      <c r="EE218" s="2">
        <f>Table7[[#This Row],[WaistSugar Res]]^2</f>
        <v>0.29861872503720327</v>
      </c>
      <c r="EF218">
        <f>Regression!$W$29+(Regression!$W$28*Table83[[#This Row],[Servings]])</f>
        <v>44.453539823008846</v>
      </c>
      <c r="EG218" s="2">
        <f>Table83[[#This Row],[Waist]]-Table7[[#This Row],[Waist v Servings]]</f>
        <v>0.5464601769911539</v>
      </c>
      <c r="EH218" s="2">
        <f>Table7[[#This Row],[WaistServ Res]]^2</f>
        <v>0.29861872503720327</v>
      </c>
      <c r="EI218">
        <f>Regression!$X$29+(Regression!$X$28*Table83[[#This Row],[Water]])</f>
        <v>44.453539823008846</v>
      </c>
      <c r="EJ218" s="2">
        <f>Table83[[#This Row],[Waist]]-Table7[[#This Row],[Waist v Water]]</f>
        <v>0.5464601769911539</v>
      </c>
      <c r="EK218" s="2">
        <f>Table7[[#This Row],[WaistWat Res]]^2</f>
        <v>0.29861872503720327</v>
      </c>
      <c r="EL218">
        <f>Regression!$Y$29+(Regression!$Y$28*Table83[[#This Row],[Fat Calories]])</f>
        <v>44.453539823008846</v>
      </c>
      <c r="EM218" s="2">
        <f>Table83[[#This Row],[Waist]]-Table7[[#This Row],[Waist v Fat Calories]]</f>
        <v>0.5464601769911539</v>
      </c>
      <c r="EN218" s="2">
        <f>Table7[[#This Row],[WaistFatCal Res]]^2</f>
        <v>0.29861872503720327</v>
      </c>
    </row>
    <row r="219" spans="1:144" x14ac:dyDescent="0.25">
      <c r="A219">
        <f>Regression!$B$10+(Regression!$B$9*Table83[[#This Row],[Waist]])</f>
        <v>255.38023686459636</v>
      </c>
      <c r="B219" s="2">
        <f>Table83[[#This Row],[Weight]]-Table7[[#This Row],[Weight v Waist]]</f>
        <v>3.419763135403656</v>
      </c>
      <c r="C219" s="2">
        <f>Table7[[#This Row],[Weight v Waist Res]]^2</f>
        <v>11.694779902265843</v>
      </c>
      <c r="D219">
        <f>Regression!$C$10+(Regression!$C$9*Table83[[#This Row],[Neck]])</f>
        <v>253.29286486487842</v>
      </c>
      <c r="E219" s="2">
        <f>Table83[[#This Row],[Weight]]-Table7[[#This Row],[Weight v Neck]]</f>
        <v>5.5071351351215867</v>
      </c>
      <c r="F219" s="2">
        <f>Table7[[#This Row],[WN Res]]^2</f>
        <v>30.328537396490656</v>
      </c>
      <c r="G219">
        <f>Regression!$D$10+(Regression!$D$9*Table83[[#This Row],[Morning Body Temp]])</f>
        <v>255.12996500330669</v>
      </c>
      <c r="H219" s="2">
        <f>Table83[[#This Row],[Weight]]-Table7[[#This Row],[Weight v Morning Temp]]</f>
        <v>3.6700349966933175</v>
      </c>
      <c r="I219" s="2">
        <f>Table7[[#This Row],[WMT Res]]^2</f>
        <v>13.469156876953718</v>
      </c>
      <c r="J219">
        <f>Regression!$E$10+(Regression!$E$9*Table83[[#This Row],[Morning Systolic Pressure]])</f>
        <v>255.09948662875533</v>
      </c>
      <c r="K219" s="2">
        <f>Table83[[#This Row],[Weight]]-Table7[[#This Row],[Weight v Morning Sys]]</f>
        <v>3.700513371244682</v>
      </c>
      <c r="L219" s="2">
        <f>Table7[[#This Row],[WMS Res]]^2</f>
        <v>13.693799210760682</v>
      </c>
      <c r="M219">
        <f>Regression!$F$10+(Regression!$F$9*Table83[[#This Row],[Morning Diastolic Pressure]])</f>
        <v>255.71010539151592</v>
      </c>
      <c r="N219" s="2">
        <f>Table83[[#This Row],[Weight]]-Table7[[#This Row],[Weight v Morning Dia]]</f>
        <v>3.0898946084840873</v>
      </c>
      <c r="O219" s="2">
        <f>Table7[[#This Row],[WMD Res]]^2</f>
        <v>9.5474486915390315</v>
      </c>
      <c r="P219">
        <f>Regression!$G$10+(Regression!$G$9*Table83[[#This Row],[Morning Pulse]])</f>
        <v>255.1246118689416</v>
      </c>
      <c r="Q219" s="2">
        <f>Table83[[#This Row],[Weight]]-Table7[[#This Row],[Weight v Morning Pulse]]</f>
        <v>3.675388131058412</v>
      </c>
      <c r="R219" s="2">
        <f>Table7[[#This Row],[WMP Res]]^2</f>
        <v>13.508477913925047</v>
      </c>
      <c r="S219">
        <f>Regression!$H$10+(Regression!$H$9*Table83[[#This Row],[Night Body Temp]])</f>
        <v>256.18654209378701</v>
      </c>
      <c r="T219" s="2">
        <f>Table83[[#This Row],[Weight]]-Table7[[#This Row],[Weight v Night Temp]]</f>
        <v>2.6134579062130001</v>
      </c>
      <c r="U219" s="2">
        <f>Table7[[#This Row],[WNT Res]]^2</f>
        <v>6.8301622275472385</v>
      </c>
      <c r="V219">
        <f>Regression!$I$10+(Regression!$I$9*Table83[[#This Row],[Night Systolic Pressure]])</f>
        <v>256.05974006539498</v>
      </c>
      <c r="W219" s="2">
        <f>Table83[[#This Row],[Weight]]-Table7[[#This Row],[Weight v Night Sys]]</f>
        <v>2.7402599346050351</v>
      </c>
      <c r="X219" s="2">
        <f>Table7[[#This Row],[WNS Res]]^2</f>
        <v>7.5090245092015913</v>
      </c>
      <c r="Y219">
        <f>Regression!$J$10+(Regression!$J$9*Table83[[#This Row],[Night Diastolic Pressure]])</f>
        <v>255.41844332157493</v>
      </c>
      <c r="Z219" s="2">
        <f>Table83[[#This Row],[Weight]]-Table7[[#This Row],[Weight v Night Dia]]</f>
        <v>3.3815566784250848</v>
      </c>
      <c r="AA219" s="2">
        <f>Table7[[#This Row],[WND Res]]^2</f>
        <v>11.434925569401292</v>
      </c>
      <c r="AB219">
        <f>Regression!$K$10+(Regression!$K$9*Table83[[#This Row],[Night Pulse]])</f>
        <v>255.57085182729213</v>
      </c>
      <c r="AC219" s="2">
        <f>Table83[[#This Row],[Weight]]-Table7[[#This Row],[Weight v Night Pulse]]</f>
        <v>3.2291481727078803</v>
      </c>
      <c r="AD219" s="2">
        <f>Table7[[#This Row],[WNP Res ]]^2</f>
        <v>10.427397921302642</v>
      </c>
      <c r="AE219">
        <f>Regression!$L$10+(Regression!$L$9*Table83[[#This Row],[Sleep]])</f>
        <v>255.29476681906823</v>
      </c>
      <c r="AF219" s="2">
        <f>Table83[[#This Row],[Weight]]-Table7[[#This Row],[Weight v Sleep]]</f>
        <v>3.505233180931782</v>
      </c>
      <c r="AG219" s="2">
        <f>Table7[[#This Row],[WS Res]]^2</f>
        <v>12.28665965270514</v>
      </c>
      <c r="AH219">
        <f>Regression!$M$10+(Regression!$M$9*Table83[[#This Row],[BMI]])</f>
        <v>258.79999999999177</v>
      </c>
      <c r="AI219" s="2">
        <f>Table83[[#This Row],[Weight]]-Table7[[#This Row],[Weight v BMI]]</f>
        <v>8.2422957348171622E-12</v>
      </c>
      <c r="AJ219" s="2">
        <f>Table7[[#This Row],[WBMI Res]]^2</f>
        <v>6.7935438980185183E-23</v>
      </c>
      <c r="AK219">
        <f>Regression!$N$10+(Regression!$N$9*Table83[[#This Row],[CBF]])</f>
        <v>256.25609762651322</v>
      </c>
      <c r="AL219" s="2">
        <f>Table83[[#This Row],[Weight]]-Table7[[#This Row],[Weight v CBF]]</f>
        <v>2.5439023734867874</v>
      </c>
      <c r="AM219" s="2">
        <f>Table7[[#This Row],[WCBF Res]]^2</f>
        <v>6.4714392858317105</v>
      </c>
      <c r="AN219">
        <f>Regression!$O$10+(Regression!$O$9*Table83[[#This Row],[Gym]])</f>
        <v>254.72962962962998</v>
      </c>
      <c r="AO219" s="2">
        <f>Table83[[#This Row],[Weight]]-Table7[[#This Row],[Weight v Gym]]</f>
        <v>4.0703703703700285</v>
      </c>
      <c r="AP219" s="2">
        <f>Table7[[#This Row],[WG Res]]^2</f>
        <v>16.567914951986243</v>
      </c>
      <c r="AQ219">
        <f>Regression!$P$10+(Regression!$P$9*Table83[[#This Row],[Cardio]])</f>
        <v>254.19242424242461</v>
      </c>
      <c r="AR219" s="2">
        <f>Table83[[#This Row],[Weight]]-Table7[[#This Row],[Weight v Cardio]]</f>
        <v>4.6075757575754039</v>
      </c>
      <c r="AS219" s="2">
        <f>Table7[[#This Row],[WC Res]]^2</f>
        <v>21.229754361796559</v>
      </c>
      <c r="AT219">
        <f>Regression!$Q$10+(Regression!$Q$9*Table83[[#This Row],[Calories]])</f>
        <v>255.11504424778778</v>
      </c>
      <c r="AU219" s="2">
        <f>Table83[[#This Row],[Weight]]-Table7[[#This Row],[Weight v Calories]]</f>
        <v>3.6849557522122325</v>
      </c>
      <c r="AV219" s="2">
        <f>Table7[[#This Row],[WCAL Res]]^2</f>
        <v>13.57889889576202</v>
      </c>
      <c r="AW219">
        <f>Regression!$R$10+(Regression!$R$9*Table83[[#This Row],[Carbs]])</f>
        <v>255.11504424778778</v>
      </c>
      <c r="AX219" s="2">
        <f>Table83[[#This Row],[Weight]]-Table7[[#This Row],[Weight v Carbs]]</f>
        <v>3.6849557522122325</v>
      </c>
      <c r="AY219" s="2">
        <f>Table7[[#This Row],[Wcarb Res]]^2</f>
        <v>13.57889889576202</v>
      </c>
      <c r="AZ219">
        <f>Regression!$S$10+(Regression!$S$9*Table83[[#This Row],[Fat ]])</f>
        <v>255.11504424778781</v>
      </c>
      <c r="BA219" s="2">
        <f>Table83[[#This Row],[Weight]]-Table7[[#This Row],[Weight v Fat]]</f>
        <v>3.6849557522122041</v>
      </c>
      <c r="BB219" s="2">
        <f>Table7[[#This Row],[WF Res]]^2</f>
        <v>13.57889889576181</v>
      </c>
      <c r="BC219">
        <f>Regression!$T$10+(Regression!$T$9*Table83[[#This Row],[Protein]])</f>
        <v>255.11504424778781</v>
      </c>
      <c r="BD219" s="2">
        <f>Table83[[#This Row],[Weight]]-Table7[[#This Row],[Weight v Protein]]</f>
        <v>3.6849557522122041</v>
      </c>
      <c r="BE219" s="2">
        <f>Table7[[#This Row],[WP Res]]^2</f>
        <v>13.57889889576181</v>
      </c>
      <c r="BF219">
        <f>Regression!$U$10+(Regression!$U$9*Table83[[#This Row],[Fiber]])</f>
        <v>255.11504424778781</v>
      </c>
      <c r="BG219" s="2">
        <f>Table83[[#This Row],[Weight]]-Table7[[#This Row],[Weight v Fiber]]</f>
        <v>3.6849557522122041</v>
      </c>
      <c r="BH219" s="2">
        <f>Table7[[#This Row],[Wfib Res]]^2</f>
        <v>13.57889889576181</v>
      </c>
      <c r="BI219">
        <f>Regression!$V$10+(Regression!$V$9*Table83[[#This Row],[Sugar]])</f>
        <v>255.11504424778781</v>
      </c>
      <c r="BJ219" s="2">
        <f>Table83[[#This Row],[Weight]]-Table7[[#This Row],[Weight v Sugar]]</f>
        <v>3.6849557522122041</v>
      </c>
      <c r="BK219" s="2">
        <f>Table7[[#This Row],[Wsugar Res]]^2</f>
        <v>13.57889889576181</v>
      </c>
      <c r="BL219">
        <f>Regression!$W$10+(Regression!$W$9*Table83[[#This Row],[Servings]])</f>
        <v>255.11504424778784</v>
      </c>
      <c r="BM219" s="2">
        <f>Table83[[#This Row],[Weight]]-Table7[[#This Row],[Weight v Servings]]</f>
        <v>3.6849557522121756</v>
      </c>
      <c r="BN219" s="2">
        <f>Table7[[#This Row],[Wserv Res]]^2</f>
        <v>13.578898895761601</v>
      </c>
      <c r="BO219">
        <f>Regression!$X$10+(Regression!$X$9*Table83[[#This Row],[Water]])</f>
        <v>255.11504424778781</v>
      </c>
      <c r="BP219" s="2">
        <f>Table83[[#This Row],[Weight]]-Table7[[#This Row],[Weight v Water]]</f>
        <v>3.6849557522122041</v>
      </c>
      <c r="BQ219" s="2">
        <f>Table7[[#This Row],[Wwater Res]]^2</f>
        <v>13.57889889576181</v>
      </c>
      <c r="BR219">
        <f>Regression!$Y$10+(Regression!$Y$9*Table83[[#This Row],[Fat Calories]])</f>
        <v>255.11504424778781</v>
      </c>
      <c r="BS219" s="2">
        <f>Table83[[#This Row],[Weight]]-Table7[[#This Row],[Weight v Fat Calories]]</f>
        <v>3.6849557522122041</v>
      </c>
      <c r="BT219" s="2">
        <f>Table7[[#This Row],[WFC Res]]^2</f>
        <v>13.57889889576181</v>
      </c>
      <c r="BU219">
        <f>Regression!$B$29+(Regression!$B$28*Table83[[#This Row],[Weight]])</f>
        <v>44.955661145144582</v>
      </c>
      <c r="BV219" s="2">
        <f>Table83[[#This Row],[Waist]]-Table7[[#This Row],[Waist v Weight]]</f>
        <v>-0.45566114514458178</v>
      </c>
      <c r="BW219" s="2">
        <f>Table7[[#This Row],[WaistW Res]]^2</f>
        <v>0.20762707919447163</v>
      </c>
      <c r="BX219">
        <f>Regression!$C$29+(Regression!$C$28*Table83[[#This Row],[Neck]])</f>
        <v>44.175585585585594</v>
      </c>
      <c r="BY219" s="2">
        <f>Table83[[#This Row],[Waist]]-Table7[[#This Row],[Waist v Neck]]</f>
        <v>0.32441441441440588</v>
      </c>
      <c r="BZ219" s="2">
        <f>Table7[[#This Row],[WaistN Res]]^2</f>
        <v>0.10524471227984188</v>
      </c>
      <c r="CA219">
        <f>Regression!$D$29+(Regression!$D$28*Table83[[#This Row],[Morning Body Temp]])</f>
        <v>44.457597930757203</v>
      </c>
      <c r="CB219" s="2">
        <f>Table83[[#This Row],[Waist]]-Table7[[#This Row],[Waist v Morning Temp]]</f>
        <v>4.2402069242797324E-2</v>
      </c>
      <c r="CC219" s="2">
        <f>Table7[[#This Row],[WaistMT Res]]^2</f>
        <v>1.7979354760709789E-3</v>
      </c>
      <c r="CD219">
        <f>Regression!$E$29+(Regression!$E$28*Table83[[#This Row],[Morning Systolic Pressure]])</f>
        <v>44.449884727394206</v>
      </c>
      <c r="CE219" s="2">
        <f>Table83[[#This Row],[Waist]]-Table7[[#This Row],[Waist v Morning Sys]]</f>
        <v>5.0115272605793848E-2</v>
      </c>
      <c r="CF219" s="2">
        <f>Table7[[#This Row],[WaistMS Res]]^2</f>
        <v>2.5115405483530314E-3</v>
      </c>
      <c r="CG219">
        <f>Regression!$F$29+(Regression!$F$28*Table83[[#This Row],[Morning Diastolic Pressure]])</f>
        <v>44.486630392157387</v>
      </c>
      <c r="CH219" s="2">
        <f>Table83[[#This Row],[Waist]]-Table7[[#This Row],[Waist v Morning Dia]]</f>
        <v>1.3369607842612652E-2</v>
      </c>
      <c r="CI219" s="2">
        <f>Table7[[#This Row],[WaistMD Res]]^2</f>
        <v>1.7874641386524971E-4</v>
      </c>
      <c r="CJ219">
        <f>Regression!$G$29+(Regression!$G$28*Table83[[#This Row],[Morning Pulse]])</f>
        <v>44.457934210374262</v>
      </c>
      <c r="CK219" s="2">
        <f>Table83[[#This Row],[Waist]]-Table7[[#This Row],[Waist v Morning Pulse]]</f>
        <v>4.2065789625738148E-2</v>
      </c>
      <c r="CL219" s="2">
        <f>Table7[[#This Row],[WaistMP Res]]^2</f>
        <v>1.7695306568368593E-3</v>
      </c>
      <c r="CM219">
        <f>Regression!$H$29+(Regression!$H$28*Table83[[#This Row],[Night Body Temp]])</f>
        <v>44.538020116512925</v>
      </c>
      <c r="CN219" s="2">
        <f>Table83[[#This Row],[Waist]]-Table7[[#This Row],[Waist v Night Temp]]</f>
        <v>-3.8020116512925028E-2</v>
      </c>
      <c r="CO219" s="2">
        <f>Table7[[#This Row],[WaistNT Res]]^2</f>
        <v>1.4455292596563943E-3</v>
      </c>
      <c r="CP219">
        <f>Regression!$I$29+(Regression!$I$28*Table83[[#This Row],[Night Systolic Pressure]])</f>
        <v>44.587360344235734</v>
      </c>
      <c r="CQ219" s="2">
        <f>Table83[[#This Row],[Waist]]-Table7[[#This Row],[Waist v  Night Sys]]</f>
        <v>-8.7360344235733578E-2</v>
      </c>
      <c r="CR219" s="2">
        <f>Table7[[#This Row],[WaistNS Res]]^2</f>
        <v>7.6318297449858687E-3</v>
      </c>
      <c r="CS219">
        <f>Regression!$J$29+(Regression!$J$28*Table83[[#This Row],[Night Diastolic Pressure]])</f>
        <v>44.580567627605824</v>
      </c>
      <c r="CT219" s="2">
        <f>Table83[[#This Row],[Waist]]-Table7[[#This Row],[Waist v Night Dia]]</f>
        <v>-8.0567627605823589E-2</v>
      </c>
      <c r="CU219" s="2">
        <f>Table7[[#This Row],[WaistND Res]]^2</f>
        <v>6.4911426180306675E-3</v>
      </c>
      <c r="CV219">
        <f>Regression!$K$29+(Regression!$K$28*Table83[[#This Row],[Night Pulse]])</f>
        <v>44.411143685278866</v>
      </c>
      <c r="CW219" s="2">
        <f>Table83[[#This Row],[Waist]]-Table7[[#This Row],[Waist v Night Pulse]]</f>
        <v>8.8856314721134311E-2</v>
      </c>
      <c r="CX219" s="2">
        <f>Table7[[#This Row],[WaistNP Res]]^2</f>
        <v>7.8954446658212694E-3</v>
      </c>
      <c r="CY219">
        <f>Regression!$L$29+(Regression!$L$28*Table83[[#This Row],[Sleep]])</f>
        <v>44.480941336855928</v>
      </c>
      <c r="CZ219" s="2">
        <f>Table83[[#This Row],[Waist]]-Table7[[#This Row],[Waist v  Sleep]]</f>
        <v>1.9058663144072341E-2</v>
      </c>
      <c r="DA219" s="2">
        <f>Table7[[#This Row],[WaistS Res]]^2</f>
        <v>3.6323264083922143E-4</v>
      </c>
      <c r="DB219">
        <f>Regression!$M$29+(Regression!$M$28*Table83[[#This Row],[BMI]])</f>
        <v>44.955661145142983</v>
      </c>
      <c r="DC219" s="2">
        <f>Table83[[#This Row],[Waist]]-Table7[[#This Row],[Waist v BMI]]</f>
        <v>-0.45566114514298306</v>
      </c>
      <c r="DD219" s="2">
        <f>Table7[[#This Row],[WaistBMI Res]]^2</f>
        <v>0.20762707919301468</v>
      </c>
      <c r="DE219">
        <f>Regression!$N$29+(Regression!$N$28*Table83[[#This Row],[CBF]])</f>
        <v>44.659010290127611</v>
      </c>
      <c r="DF219" s="2">
        <f>Table83[[#This Row],[Waist]]-Table7[[#This Row],[Waist v  CBF]]</f>
        <v>-0.15901029012761114</v>
      </c>
      <c r="DG219" s="2">
        <f>Table7[[#This Row],[WaistCBF Res]]^2</f>
        <v>2.5284272366467068E-2</v>
      </c>
      <c r="DH219">
        <f>Regression!$O$29+(Regression!$O$28*Table83[[#This Row],[Gym]])</f>
        <v>44.347222222222221</v>
      </c>
      <c r="DI219" s="2">
        <f>Table83[[#This Row],[Waist]]-Table7[[#This Row],[Waist v  Gym]]</f>
        <v>0.15277777777777857</v>
      </c>
      <c r="DJ219" s="2">
        <f>Table7[[#This Row],[WaistGYM Res]]^2</f>
        <v>2.3341049382716292E-2</v>
      </c>
      <c r="DK219">
        <f>Regression!$P$29+(Regression!$P$28*Table83[[#This Row],[Cardio]])</f>
        <v>44.291666666666664</v>
      </c>
      <c r="DL219" s="2">
        <f>Table83[[#This Row],[Waist]]-Table7[[#This Row],[Waist v Cardio]]</f>
        <v>0.2083333333333357</v>
      </c>
      <c r="DM219" s="2">
        <f>Table7[[#This Row],[WaistC Res]]^2</f>
        <v>4.3402777777778762E-2</v>
      </c>
      <c r="DN219">
        <f>Regression!$Q$29+(Regression!$Q$28*Table83[[#This Row],[Calories]])</f>
        <v>44.453539823008846</v>
      </c>
      <c r="DO219" s="2">
        <f>Table83[[#This Row],[Waist]]-Table7[[#This Row],[Waist v Calories]]</f>
        <v>4.6460176991153901E-2</v>
      </c>
      <c r="DP219" s="2">
        <f>Table7[[#This Row],[WaistCal Res]]^2</f>
        <v>2.1585480460493463E-3</v>
      </c>
      <c r="DQ219">
        <f>Regression!$R$29+(Regression!$R$28*Table83[[#This Row],[Carbs]])</f>
        <v>44.453539823008846</v>
      </c>
      <c r="DR219" s="2">
        <f>Table83[[#This Row],[Waist]]-Table7[[#This Row],[Waist v Carbs]]</f>
        <v>4.6460176991153901E-2</v>
      </c>
      <c r="DS219" s="2">
        <f>Table7[[#This Row],[WaistCarb Res]]^2</f>
        <v>2.1585480460493463E-3</v>
      </c>
      <c r="DT219">
        <f>Regression!$S$29+(Regression!$S$28*Table83[[#This Row],[Fat ]])</f>
        <v>44.453539823008846</v>
      </c>
      <c r="DU219" s="2">
        <f>Table83[[#This Row],[Waist]]-Table7[[#This Row],[Waist v Fat]]</f>
        <v>4.6460176991153901E-2</v>
      </c>
      <c r="DV219" s="2">
        <f>Table7[[#This Row],[WaistF Res]]^2</f>
        <v>2.1585480460493463E-3</v>
      </c>
      <c r="DW219">
        <f>Regression!$T$29+(Regression!$T$28*Table83[[#This Row],[Protein]])</f>
        <v>44.453539823008846</v>
      </c>
      <c r="DX219" s="2">
        <f>Table83[[#This Row],[Waist]]-Table7[[#This Row],[Waist v Protein]]</f>
        <v>4.6460176991153901E-2</v>
      </c>
      <c r="DY219" s="2">
        <f>Table7[[#This Row],[WaistP Res]]^2</f>
        <v>2.1585480460493463E-3</v>
      </c>
      <c r="DZ219">
        <f>Regression!$U$29+(Regression!$U$28*Table83[[#This Row],[Fiber]])</f>
        <v>44.453539823008846</v>
      </c>
      <c r="EA219" s="2">
        <f>Table83[[#This Row],[Waist]]-Table7[[#This Row],[Waist v Fiber]]</f>
        <v>4.6460176991153901E-2</v>
      </c>
      <c r="EB219" s="2">
        <f>Table7[[#This Row],[WaistFib Res]]^2</f>
        <v>2.1585480460493463E-3</v>
      </c>
      <c r="EC219">
        <f>Regression!$V$29+(Regression!$V$28*Table83[[#This Row],[Sugar]])</f>
        <v>44.453539823008846</v>
      </c>
      <c r="ED219" s="2">
        <f>Table83[[#This Row],[Waist]]-Table7[[#This Row],[Waist v Sugar]]</f>
        <v>4.6460176991153901E-2</v>
      </c>
      <c r="EE219" s="2">
        <f>Table7[[#This Row],[WaistSugar Res]]^2</f>
        <v>2.1585480460493463E-3</v>
      </c>
      <c r="EF219">
        <f>Regression!$W$29+(Regression!$W$28*Table83[[#This Row],[Servings]])</f>
        <v>44.453539823008846</v>
      </c>
      <c r="EG219" s="2">
        <f>Table83[[#This Row],[Waist]]-Table7[[#This Row],[Waist v Servings]]</f>
        <v>4.6460176991153901E-2</v>
      </c>
      <c r="EH219" s="2">
        <f>Table7[[#This Row],[WaistServ Res]]^2</f>
        <v>2.1585480460493463E-3</v>
      </c>
      <c r="EI219">
        <f>Regression!$X$29+(Regression!$X$28*Table83[[#This Row],[Water]])</f>
        <v>44.453539823008846</v>
      </c>
      <c r="EJ219" s="2">
        <f>Table83[[#This Row],[Waist]]-Table7[[#This Row],[Waist v Water]]</f>
        <v>4.6460176991153901E-2</v>
      </c>
      <c r="EK219" s="2">
        <f>Table7[[#This Row],[WaistWat Res]]^2</f>
        <v>2.1585480460493463E-3</v>
      </c>
      <c r="EL219">
        <f>Regression!$Y$29+(Regression!$Y$28*Table83[[#This Row],[Fat Calories]])</f>
        <v>44.453539823008846</v>
      </c>
      <c r="EM219" s="2">
        <f>Table83[[#This Row],[Waist]]-Table7[[#This Row],[Waist v Fat Calories]]</f>
        <v>4.6460176991153901E-2</v>
      </c>
      <c r="EN219" s="2">
        <f>Table7[[#This Row],[WaistFatCal Res]]^2</f>
        <v>2.1585480460493463E-3</v>
      </c>
    </row>
    <row r="220" spans="1:144" x14ac:dyDescent="0.25">
      <c r="A220">
        <f>Regression!$B$10+(Regression!$B$9*Table83[[#This Row],[Waist]])</f>
        <v>255.38023686459636</v>
      </c>
      <c r="B220" s="2">
        <f>Table83[[#This Row],[Weight]]-Table7[[#This Row],[Weight v Waist]]</f>
        <v>3.419763135403656</v>
      </c>
      <c r="C220" s="2">
        <f>Table7[[#This Row],[Weight v Waist Res]]^2</f>
        <v>11.694779902265843</v>
      </c>
      <c r="D220">
        <f>Regression!$C$10+(Regression!$C$9*Table83[[#This Row],[Neck]])</f>
        <v>253.29286486487842</v>
      </c>
      <c r="E220" s="2">
        <f>Table83[[#This Row],[Weight]]-Table7[[#This Row],[Weight v Neck]]</f>
        <v>5.5071351351215867</v>
      </c>
      <c r="F220" s="2">
        <f>Table7[[#This Row],[WN Res]]^2</f>
        <v>30.328537396490656</v>
      </c>
      <c r="G220">
        <f>Regression!$D$10+(Regression!$D$9*Table83[[#This Row],[Morning Body Temp]])</f>
        <v>255.12996500330669</v>
      </c>
      <c r="H220" s="2">
        <f>Table83[[#This Row],[Weight]]-Table7[[#This Row],[Weight v Morning Temp]]</f>
        <v>3.6700349966933175</v>
      </c>
      <c r="I220" s="2">
        <f>Table7[[#This Row],[WMT Res]]^2</f>
        <v>13.469156876953718</v>
      </c>
      <c r="J220">
        <f>Regression!$E$10+(Regression!$E$9*Table83[[#This Row],[Morning Systolic Pressure]])</f>
        <v>254.87410060943841</v>
      </c>
      <c r="K220" s="2">
        <f>Table83[[#This Row],[Weight]]-Table7[[#This Row],[Weight v Morning Sys]]</f>
        <v>3.9258993905615966</v>
      </c>
      <c r="L220" s="2">
        <f>Table7[[#This Row],[WMS Res]]^2</f>
        <v>15.412686024811917</v>
      </c>
      <c r="M220">
        <f>Regression!$F$10+(Regression!$F$9*Table83[[#This Row],[Morning Diastolic Pressure]])</f>
        <v>255.50741689342618</v>
      </c>
      <c r="N220" s="2">
        <f>Table83[[#This Row],[Weight]]-Table7[[#This Row],[Weight v Morning Dia]]</f>
        <v>3.2925831065738294</v>
      </c>
      <c r="O220" s="2">
        <f>Table7[[#This Row],[WMD Res]]^2</f>
        <v>10.841103513695369</v>
      </c>
      <c r="P220">
        <f>Regression!$G$10+(Regression!$G$9*Table83[[#This Row],[Morning Pulse]])</f>
        <v>255.09353934106937</v>
      </c>
      <c r="Q220" s="2">
        <f>Table83[[#This Row],[Weight]]-Table7[[#This Row],[Weight v Morning Pulse]]</f>
        <v>3.7064606589306379</v>
      </c>
      <c r="R220" s="2">
        <f>Table7[[#This Row],[WMP Res]]^2</f>
        <v>13.737850616200539</v>
      </c>
      <c r="S220">
        <f>Regression!$H$10+(Regression!$H$9*Table83[[#This Row],[Night Body Temp]])</f>
        <v>255.26227295945182</v>
      </c>
      <c r="T220" s="2">
        <f>Table83[[#This Row],[Weight]]-Table7[[#This Row],[Weight v Night Temp]]</f>
        <v>3.5377270405481909</v>
      </c>
      <c r="U220" s="2">
        <f>Table7[[#This Row],[WNT Res]]^2</f>
        <v>12.515512613425861</v>
      </c>
      <c r="V220">
        <f>Regression!$I$10+(Regression!$I$9*Table83[[#This Row],[Night Systolic Pressure]])</f>
        <v>253.39097438065477</v>
      </c>
      <c r="W220" s="2">
        <f>Table83[[#This Row],[Weight]]-Table7[[#This Row],[Weight v Night Sys]]</f>
        <v>5.4090256193452433</v>
      </c>
      <c r="X220" s="2">
        <f>Table7[[#This Row],[WNS Res]]^2</f>
        <v>29.257558150733193</v>
      </c>
      <c r="Y220">
        <f>Regression!$J$10+(Regression!$J$9*Table83[[#This Row],[Night Diastolic Pressure]])</f>
        <v>255.01078463741391</v>
      </c>
      <c r="Z220" s="2">
        <f>Table83[[#This Row],[Weight]]-Table7[[#This Row],[Weight v Night Dia]]</f>
        <v>3.7892153625861056</v>
      </c>
      <c r="AA220" s="2">
        <f>Table7[[#This Row],[WND Res]]^2</f>
        <v>14.358153064058552</v>
      </c>
      <c r="AB220">
        <f>Regression!$K$10+(Regression!$K$9*Table83[[#This Row],[Night Pulse]])</f>
        <v>255.04872519626778</v>
      </c>
      <c r="AC220" s="2">
        <f>Table83[[#This Row],[Weight]]-Table7[[#This Row],[Weight v Night Pulse]]</f>
        <v>3.7512748037322297</v>
      </c>
      <c r="AD220" s="2">
        <f>Table7[[#This Row],[WNP Res ]]^2</f>
        <v>14.072062653116278</v>
      </c>
      <c r="AE220">
        <f>Regression!$L$10+(Regression!$L$9*Table83[[#This Row],[Sleep]])</f>
        <v>254.66381845232058</v>
      </c>
      <c r="AF220" s="2">
        <f>Table83[[#This Row],[Weight]]-Table7[[#This Row],[Weight v Sleep]]</f>
        <v>4.1361815476794277</v>
      </c>
      <c r="AG220" s="2">
        <f>Table7[[#This Row],[WS Res]]^2</f>
        <v>17.107997795363787</v>
      </c>
      <c r="AH220">
        <f>Regression!$M$10+(Regression!$M$9*Table83[[#This Row],[BMI]])</f>
        <v>258.79999999999177</v>
      </c>
      <c r="AI220" s="2">
        <f>Table83[[#This Row],[Weight]]-Table7[[#This Row],[Weight v BMI]]</f>
        <v>8.2422957348171622E-12</v>
      </c>
      <c r="AJ220" s="2">
        <f>Table7[[#This Row],[WBMI Res]]^2</f>
        <v>6.7935438980185183E-23</v>
      </c>
      <c r="AK220">
        <f>Regression!$N$10+(Regression!$N$9*Table83[[#This Row],[CBF]])</f>
        <v>256.25609762651322</v>
      </c>
      <c r="AL220" s="2">
        <f>Table83[[#This Row],[Weight]]-Table7[[#This Row],[Weight v CBF]]</f>
        <v>2.5439023734867874</v>
      </c>
      <c r="AM220" s="2">
        <f>Table7[[#This Row],[WCBF Res]]^2</f>
        <v>6.4714392858317105</v>
      </c>
      <c r="AN220">
        <f>Regression!$O$10+(Regression!$O$9*Table83[[#This Row],[Gym]])</f>
        <v>254.72962962962998</v>
      </c>
      <c r="AO220" s="2">
        <f>Table83[[#This Row],[Weight]]-Table7[[#This Row],[Weight v Gym]]</f>
        <v>4.0703703703700285</v>
      </c>
      <c r="AP220" s="2">
        <f>Table7[[#This Row],[WG Res]]^2</f>
        <v>16.567914951986243</v>
      </c>
      <c r="AQ220">
        <f>Regression!$P$10+(Regression!$P$9*Table83[[#This Row],[Cardio]])</f>
        <v>254.19242424242461</v>
      </c>
      <c r="AR220" s="2">
        <f>Table83[[#This Row],[Weight]]-Table7[[#This Row],[Weight v Cardio]]</f>
        <v>4.6075757575754039</v>
      </c>
      <c r="AS220" s="2">
        <f>Table7[[#This Row],[WC Res]]^2</f>
        <v>21.229754361796559</v>
      </c>
      <c r="AT220">
        <f>Regression!$Q$10+(Regression!$Q$9*Table83[[#This Row],[Calories]])</f>
        <v>254.91464591834767</v>
      </c>
      <c r="AU220" s="2">
        <f>Table83[[#This Row],[Weight]]-Table7[[#This Row],[Weight v Calories]]</f>
        <v>3.8853540816523378</v>
      </c>
      <c r="AV220" s="2">
        <f>Table7[[#This Row],[WCAL Res]]^2</f>
        <v>15.095976339812481</v>
      </c>
      <c r="AW220">
        <f>Regression!$R$10+(Regression!$R$9*Table83[[#This Row],[Carbs]])</f>
        <v>254.35699703913025</v>
      </c>
      <c r="AX220" s="2">
        <f>Table83[[#This Row],[Weight]]-Table7[[#This Row],[Weight v Carbs]]</f>
        <v>4.4430029608697623</v>
      </c>
      <c r="AY220" s="2">
        <f>Table7[[#This Row],[Wcarb Res]]^2</f>
        <v>19.740275310297474</v>
      </c>
      <c r="AZ220">
        <f>Regression!$S$10+(Regression!$S$9*Table83[[#This Row],[Fat ]])</f>
        <v>255.37454780549319</v>
      </c>
      <c r="BA220" s="2">
        <f>Table83[[#This Row],[Weight]]-Table7[[#This Row],[Weight v Fat]]</f>
        <v>3.4254521945068177</v>
      </c>
      <c r="BB220" s="2">
        <f>Table7[[#This Row],[WF Res]]^2</f>
        <v>11.733722736851574</v>
      </c>
      <c r="BC220">
        <f>Regression!$T$10+(Regression!$T$9*Table83[[#This Row],[Protein]])</f>
        <v>254.97778984572525</v>
      </c>
      <c r="BD220" s="2">
        <f>Table83[[#This Row],[Weight]]-Table7[[#This Row],[Weight v Protein]]</f>
        <v>3.8222101542747566</v>
      </c>
      <c r="BE220" s="2">
        <f>Table7[[#This Row],[WP Res]]^2</f>
        <v>14.609290463441059</v>
      </c>
      <c r="BF220">
        <f>Regression!$U$10+(Regression!$U$9*Table83[[#This Row],[Fiber]])</f>
        <v>255.13638067650174</v>
      </c>
      <c r="BG220" s="2">
        <f>Table83[[#This Row],[Weight]]-Table7[[#This Row],[Weight v Fiber]]</f>
        <v>3.663619323498267</v>
      </c>
      <c r="BH220" s="2">
        <f>Table7[[#This Row],[Wfib Res]]^2</f>
        <v>13.4221065475099</v>
      </c>
      <c r="BI220">
        <f>Regression!$V$10+(Regression!$V$9*Table83[[#This Row],[Sugar]])</f>
        <v>253.90479558361119</v>
      </c>
      <c r="BJ220" s="2">
        <f>Table83[[#This Row],[Weight]]-Table7[[#This Row],[Weight v Sugar]]</f>
        <v>4.8952044163888218</v>
      </c>
      <c r="BK220" s="2">
        <f>Table7[[#This Row],[Wsugar Res]]^2</f>
        <v>23.963026278232626</v>
      </c>
      <c r="BL220">
        <f>Regression!$W$10+(Regression!$W$9*Table83[[#This Row],[Servings]])</f>
        <v>254.2142658246523</v>
      </c>
      <c r="BM220" s="2">
        <f>Table83[[#This Row],[Weight]]-Table7[[#This Row],[Weight v Servings]]</f>
        <v>4.5857341753477101</v>
      </c>
      <c r="BN220" s="2">
        <f>Table7[[#This Row],[Wserv Res]]^2</f>
        <v>21.028957926951943</v>
      </c>
      <c r="BO220">
        <f>Regression!$X$10+(Regression!$X$9*Table83[[#This Row],[Water]])</f>
        <v>255.06345001025522</v>
      </c>
      <c r="BP220" s="2">
        <f>Table83[[#This Row],[Weight]]-Table7[[#This Row],[Weight v Water]]</f>
        <v>3.7365499897447876</v>
      </c>
      <c r="BQ220" s="2">
        <f>Table7[[#This Row],[Wwater Res]]^2</f>
        <v>13.961805825861772</v>
      </c>
      <c r="BR220">
        <f>Regression!$Y$10+(Regression!$Y$9*Table83[[#This Row],[Fat Calories]])</f>
        <v>255.3863597112888</v>
      </c>
      <c r="BS220" s="2">
        <f>Table83[[#This Row],[Weight]]-Table7[[#This Row],[Weight v Fat Calories]]</f>
        <v>3.4136402887112069</v>
      </c>
      <c r="BT220" s="2">
        <f>Table7[[#This Row],[WFC Res]]^2</f>
        <v>11.652940020712332</v>
      </c>
      <c r="BU220">
        <f>Regression!$B$29+(Regression!$B$28*Table83[[#This Row],[Weight]])</f>
        <v>44.955661145144582</v>
      </c>
      <c r="BV220" s="2">
        <f>Table83[[#This Row],[Waist]]-Table7[[#This Row],[Waist v Weight]]</f>
        <v>-0.45566114514458178</v>
      </c>
      <c r="BW220" s="2">
        <f>Table7[[#This Row],[WaistW Res]]^2</f>
        <v>0.20762707919447163</v>
      </c>
      <c r="BX220">
        <f>Regression!$C$29+(Regression!$C$28*Table83[[#This Row],[Neck]])</f>
        <v>44.175585585585594</v>
      </c>
      <c r="BY220" s="2">
        <f>Table83[[#This Row],[Waist]]-Table7[[#This Row],[Waist v Neck]]</f>
        <v>0.32441441441440588</v>
      </c>
      <c r="BZ220" s="2">
        <f>Table7[[#This Row],[WaistN Res]]^2</f>
        <v>0.10524471227984188</v>
      </c>
      <c r="CA220">
        <f>Regression!$D$29+(Regression!$D$28*Table83[[#This Row],[Morning Body Temp]])</f>
        <v>44.457597930757203</v>
      </c>
      <c r="CB220" s="2">
        <f>Table83[[#This Row],[Waist]]-Table7[[#This Row],[Waist v Morning Temp]]</f>
        <v>4.2402069242797324E-2</v>
      </c>
      <c r="CC220" s="2">
        <f>Table7[[#This Row],[WaistMT Res]]^2</f>
        <v>1.7979354760709789E-3</v>
      </c>
      <c r="CD220">
        <f>Regression!$E$29+(Regression!$E$28*Table83[[#This Row],[Morning Systolic Pressure]])</f>
        <v>44.396932701182067</v>
      </c>
      <c r="CE220" s="2">
        <f>Table83[[#This Row],[Waist]]-Table7[[#This Row],[Waist v Morning Sys]]</f>
        <v>0.10306729881793331</v>
      </c>
      <c r="CF220" s="2">
        <f>Table7[[#This Row],[WaistMS Res]]^2</f>
        <v>1.0622868085625157E-2</v>
      </c>
      <c r="CG220">
        <f>Regression!$F$29+(Regression!$F$28*Table83[[#This Row],[Morning Diastolic Pressure]])</f>
        <v>44.475359150819678</v>
      </c>
      <c r="CH220" s="2">
        <f>Table83[[#This Row],[Waist]]-Table7[[#This Row],[Waist v Morning Dia]]</f>
        <v>2.4640849180322277E-2</v>
      </c>
      <c r="CI220" s="2">
        <f>Table7[[#This Row],[WaistMD Res]]^2</f>
        <v>6.0717144832738909E-4</v>
      </c>
      <c r="CJ220">
        <f>Regression!$G$29+(Regression!$G$28*Table83[[#This Row],[Morning Pulse]])</f>
        <v>44.443662666622828</v>
      </c>
      <c r="CK220" s="2">
        <f>Table83[[#This Row],[Waist]]-Table7[[#This Row],[Waist v Morning Pulse]]</f>
        <v>5.6337333377172172E-2</v>
      </c>
      <c r="CL220" s="2">
        <f>Table7[[#This Row],[WaistMP Res]]^2</f>
        <v>3.1738951320506377E-3</v>
      </c>
      <c r="CM220">
        <f>Regression!$H$29+(Regression!$H$28*Table83[[#This Row],[Night Body Temp]])</f>
        <v>44.465147802268952</v>
      </c>
      <c r="CN220" s="2">
        <f>Table83[[#This Row],[Waist]]-Table7[[#This Row],[Waist v Night Temp]]</f>
        <v>3.4852197731048307E-2</v>
      </c>
      <c r="CO220" s="2">
        <f>Table7[[#This Row],[WaistNT Res]]^2</f>
        <v>1.2146756866840886E-3</v>
      </c>
      <c r="CP220">
        <f>Regression!$I$29+(Regression!$I$28*Table83[[#This Row],[Night Systolic Pressure]])</f>
        <v>44.209317371769785</v>
      </c>
      <c r="CQ220" s="2">
        <f>Table83[[#This Row],[Waist]]-Table7[[#This Row],[Waist v  Night Sys]]</f>
        <v>0.29068262823021485</v>
      </c>
      <c r="CR220" s="2">
        <f>Table7[[#This Row],[WaistNS Res]]^2</f>
        <v>8.4496390354825299E-2</v>
      </c>
      <c r="CS220">
        <f>Regression!$J$29+(Regression!$J$28*Table83[[#This Row],[Night Diastolic Pressure]])</f>
        <v>44.409888175531407</v>
      </c>
      <c r="CT220" s="2">
        <f>Table83[[#This Row],[Waist]]-Table7[[#This Row],[Waist v Night Dia]]</f>
        <v>9.0111824468593227E-2</v>
      </c>
      <c r="CU220" s="2">
        <f>Table7[[#This Row],[WaistND Res]]^2</f>
        <v>8.1201409090585572E-3</v>
      </c>
      <c r="CV220">
        <f>Regression!$K$29+(Regression!$K$28*Table83[[#This Row],[Night Pulse]])</f>
        <v>44.459708372565267</v>
      </c>
      <c r="CW220" s="2">
        <f>Table83[[#This Row],[Waist]]-Table7[[#This Row],[Waist v Night Pulse]]</f>
        <v>4.0291627434733357E-2</v>
      </c>
      <c r="CX220" s="2">
        <f>Table7[[#This Row],[WaistNP Res]]^2</f>
        <v>1.6234152413393578E-3</v>
      </c>
      <c r="CY220">
        <f>Regression!$L$29+(Regression!$L$28*Table83[[#This Row],[Sleep]])</f>
        <v>44.384743400864622</v>
      </c>
      <c r="CZ220" s="2">
        <f>Table83[[#This Row],[Waist]]-Table7[[#This Row],[Waist v  Sleep]]</f>
        <v>0.11525659913537822</v>
      </c>
      <c r="DA220" s="2">
        <f>Table7[[#This Row],[WaistS Res]]^2</f>
        <v>1.3284083644253269E-2</v>
      </c>
      <c r="DB220">
        <f>Regression!$M$29+(Regression!$M$28*Table83[[#This Row],[BMI]])</f>
        <v>44.955661145142983</v>
      </c>
      <c r="DC220" s="2">
        <f>Table83[[#This Row],[Waist]]-Table7[[#This Row],[Waist v BMI]]</f>
        <v>-0.45566114514298306</v>
      </c>
      <c r="DD220" s="2">
        <f>Table7[[#This Row],[WaistBMI Res]]^2</f>
        <v>0.20762707919301468</v>
      </c>
      <c r="DE220">
        <f>Regression!$N$29+(Regression!$N$28*Table83[[#This Row],[CBF]])</f>
        <v>44.659010290127611</v>
      </c>
      <c r="DF220" s="2">
        <f>Table83[[#This Row],[Waist]]-Table7[[#This Row],[Waist v  CBF]]</f>
        <v>-0.15901029012761114</v>
      </c>
      <c r="DG220" s="2">
        <f>Table7[[#This Row],[WaistCBF Res]]^2</f>
        <v>2.5284272366467068E-2</v>
      </c>
      <c r="DH220">
        <f>Regression!$O$29+(Regression!$O$28*Table83[[#This Row],[Gym]])</f>
        <v>44.347222222222221</v>
      </c>
      <c r="DI220" s="2">
        <f>Table83[[#This Row],[Waist]]-Table7[[#This Row],[Waist v  Gym]]</f>
        <v>0.15277777777777857</v>
      </c>
      <c r="DJ220" s="2">
        <f>Table7[[#This Row],[WaistGYM Res]]^2</f>
        <v>2.3341049382716292E-2</v>
      </c>
      <c r="DK220">
        <f>Regression!$P$29+(Regression!$P$28*Table83[[#This Row],[Cardio]])</f>
        <v>44.291666666666664</v>
      </c>
      <c r="DL220" s="2">
        <f>Table83[[#This Row],[Waist]]-Table7[[#This Row],[Waist v Cardio]]</f>
        <v>0.2083333333333357</v>
      </c>
      <c r="DM220" s="2">
        <f>Table7[[#This Row],[WaistC Res]]^2</f>
        <v>4.3402777777778762E-2</v>
      </c>
      <c r="DN220">
        <f>Regression!$Q$29+(Regression!$Q$28*Table83[[#This Row],[Calories]])</f>
        <v>44.408514763151047</v>
      </c>
      <c r="DO220" s="2">
        <f>Table83[[#This Row],[Waist]]-Table7[[#This Row],[Waist v Calories]]</f>
        <v>9.1485236848953377E-2</v>
      </c>
      <c r="DP220" s="2">
        <f>Table7[[#This Row],[WaistCal Res]]^2</f>
        <v>8.3695485613090974E-3</v>
      </c>
      <c r="DQ220">
        <f>Regression!$R$29+(Regression!$R$28*Table83[[#This Row],[Carbs]])</f>
        <v>44.295719036265282</v>
      </c>
      <c r="DR220" s="2">
        <f>Table83[[#This Row],[Waist]]-Table7[[#This Row],[Waist v Carbs]]</f>
        <v>0.2042809637347176</v>
      </c>
      <c r="DS220" s="2">
        <f>Table7[[#This Row],[WaistCarb Res]]^2</f>
        <v>4.1730712144385007E-2</v>
      </c>
      <c r="DT220">
        <f>Regression!$S$29+(Regression!$S$28*Table83[[#This Row],[Fat ]])</f>
        <v>44.532864568800782</v>
      </c>
      <c r="DU220" s="2">
        <f>Table83[[#This Row],[Waist]]-Table7[[#This Row],[Waist v Fat]]</f>
        <v>-3.2864568800782479E-2</v>
      </c>
      <c r="DV220" s="2">
        <f>Table7[[#This Row],[WaistF Res]]^2</f>
        <v>1.0800798824613651E-3</v>
      </c>
      <c r="DW220">
        <f>Regression!$T$29+(Regression!$T$28*Table83[[#This Row],[Protein]])</f>
        <v>44.428417168917385</v>
      </c>
      <c r="DX220" s="2">
        <f>Table83[[#This Row],[Waist]]-Table7[[#This Row],[Waist v Protein]]</f>
        <v>7.1582831082615428E-2</v>
      </c>
      <c r="DY220" s="2">
        <f>Table7[[#This Row],[WaistP Res]]^2</f>
        <v>5.1241017058022533E-3</v>
      </c>
      <c r="DZ220">
        <f>Regression!$U$29+(Regression!$U$28*Table83[[#This Row],[Fiber]])</f>
        <v>44.461772696376769</v>
      </c>
      <c r="EA220" s="2">
        <f>Table83[[#This Row],[Waist]]-Table7[[#This Row],[Waist v Fiber]]</f>
        <v>3.8227303623230569E-2</v>
      </c>
      <c r="EB220" s="2">
        <f>Table7[[#This Row],[WaistFib Res]]^2</f>
        <v>1.461326742302657E-3</v>
      </c>
      <c r="EC220">
        <f>Regression!$V$29+(Regression!$V$28*Table83[[#This Row],[Sugar]])</f>
        <v>44.236132148425447</v>
      </c>
      <c r="ED220" s="2">
        <f>Table83[[#This Row],[Waist]]-Table7[[#This Row],[Waist v Sugar]]</f>
        <v>0.2638678515745525</v>
      </c>
      <c r="EE220" s="2">
        <f>Table7[[#This Row],[WaistSugar Res]]^2</f>
        <v>6.9626243094570064E-2</v>
      </c>
      <c r="EF220">
        <f>Regression!$W$29+(Regression!$W$28*Table83[[#This Row],[Servings]])</f>
        <v>44.316096042602716</v>
      </c>
      <c r="EG220" s="2">
        <f>Table83[[#This Row],[Waist]]-Table7[[#This Row],[Waist v Servings]]</f>
        <v>0.18390395739728405</v>
      </c>
      <c r="EH220" s="2">
        <f>Table7[[#This Row],[WaistServ Res]]^2</f>
        <v>3.3820665546382064E-2</v>
      </c>
      <c r="EI220">
        <f>Regression!$X$29+(Regression!$X$28*Table83[[#This Row],[Water]])</f>
        <v>44.386198474840633</v>
      </c>
      <c r="EJ220" s="2">
        <f>Table83[[#This Row],[Waist]]-Table7[[#This Row],[Waist v Water]]</f>
        <v>0.11380152515936715</v>
      </c>
      <c r="EK220" s="2">
        <f>Table7[[#This Row],[WaistWat Res]]^2</f>
        <v>1.2950787128598073E-2</v>
      </c>
      <c r="EL220">
        <f>Regression!$Y$29+(Regression!$Y$28*Table83[[#This Row],[Fat Calories]])</f>
        <v>44.536054660567515</v>
      </c>
      <c r="EM220" s="2">
        <f>Table83[[#This Row],[Waist]]-Table7[[#This Row],[Waist v Fat Calories]]</f>
        <v>-3.6054660567515384E-2</v>
      </c>
      <c r="EN220" s="2">
        <f>Table7[[#This Row],[WaistFatCal Res]]^2</f>
        <v>1.2999385486387488E-3</v>
      </c>
    </row>
    <row r="221" spans="1:144" x14ac:dyDescent="0.25">
      <c r="A221">
        <f>Regression!$B$10+(Regression!$B$9*Table83[[#This Row],[Waist]])</f>
        <v>258.23421455025004</v>
      </c>
      <c r="B221" s="2">
        <f>Table83[[#This Row],[Weight]]-Table7[[#This Row],[Weight v Waist]]</f>
        <v>2.7657854497499557</v>
      </c>
      <c r="C221" s="2">
        <f>Table7[[#This Row],[Weight v Waist Res]]^2</f>
        <v>7.6495691540485646</v>
      </c>
      <c r="D221">
        <f>Regression!$C$10+(Regression!$C$9*Table83[[#This Row],[Neck]])</f>
        <v>253.29286486487842</v>
      </c>
      <c r="E221" s="2">
        <f>Table83[[#This Row],[Weight]]-Table7[[#This Row],[Weight v Neck]]</f>
        <v>7.7071351351215753</v>
      </c>
      <c r="F221" s="2">
        <f>Table7[[#This Row],[WN Res]]^2</f>
        <v>59.399931991025461</v>
      </c>
      <c r="G221">
        <f>Regression!$D$10+(Regression!$D$9*Table83[[#This Row],[Morning Body Temp]])</f>
        <v>254.42597946108305</v>
      </c>
      <c r="H221" s="2">
        <f>Table83[[#This Row],[Weight]]-Table7[[#This Row],[Weight v Morning Temp]]</f>
        <v>6.5740205389169546</v>
      </c>
      <c r="I221" s="2">
        <f>Table7[[#This Row],[WMT Res]]^2</f>
        <v>43.217746046101965</v>
      </c>
      <c r="J221">
        <f>Regression!$E$10+(Regression!$E$9*Table83[[#This Row],[Morning Systolic Pressure]])</f>
        <v>255.00933222102856</v>
      </c>
      <c r="K221" s="2">
        <f>Table83[[#This Row],[Weight]]-Table7[[#This Row],[Weight v Morning Sys]]</f>
        <v>5.9906677789714422</v>
      </c>
      <c r="L221" s="2">
        <f>Table7[[#This Row],[WMS Res]]^2</f>
        <v>35.888100438006632</v>
      </c>
      <c r="M221">
        <f>Regression!$F$10+(Regression!$F$9*Table83[[#This Row],[Morning Diastolic Pressure]])</f>
        <v>255.00069564820177</v>
      </c>
      <c r="N221" s="2">
        <f>Table83[[#This Row],[Weight]]-Table7[[#This Row],[Weight v Morning Dia]]</f>
        <v>5.9993043517982301</v>
      </c>
      <c r="O221" s="2">
        <f>Table7[[#This Row],[WMD Res]]^2</f>
        <v>35.991652705505182</v>
      </c>
      <c r="P221">
        <f>Regression!$G$10+(Regression!$G$9*Table83[[#This Row],[Morning Pulse]])</f>
        <v>255.1246118689416</v>
      </c>
      <c r="Q221" s="2">
        <f>Table83[[#This Row],[Weight]]-Table7[[#This Row],[Weight v Morning Pulse]]</f>
        <v>5.8753881310584006</v>
      </c>
      <c r="R221" s="2">
        <f>Table7[[#This Row],[WMP Res]]^2</f>
        <v>34.520185690581926</v>
      </c>
      <c r="S221">
        <f>Regression!$H$10+(Regression!$H$9*Table83[[#This Row],[Night Body Temp]])</f>
        <v>256.18654209378701</v>
      </c>
      <c r="T221" s="2">
        <f>Table83[[#This Row],[Weight]]-Table7[[#This Row],[Weight v Night Temp]]</f>
        <v>4.8134579062129887</v>
      </c>
      <c r="U221" s="2">
        <f>Table7[[#This Row],[WNT Res]]^2</f>
        <v>23.169377014884329</v>
      </c>
      <c r="V221">
        <f>Regression!$I$10+(Regression!$I$9*Table83[[#This Row],[Night Systolic Pressure]])</f>
        <v>257.18883323970812</v>
      </c>
      <c r="W221" s="2">
        <f>Table83[[#This Row],[Weight]]-Table7[[#This Row],[Weight v Night Sys]]</f>
        <v>3.8111667602918828</v>
      </c>
      <c r="X221" s="2">
        <f>Table7[[#This Row],[WNS Res]]^2</f>
        <v>14.524992074753726</v>
      </c>
      <c r="Y221">
        <f>Regression!$J$10+(Regression!$J$9*Table83[[#This Row],[Night Diastolic Pressure]])</f>
        <v>255.33691158474272</v>
      </c>
      <c r="Z221" s="2">
        <f>Table83[[#This Row],[Weight]]-Table7[[#This Row],[Weight v Night Dia]]</f>
        <v>5.6630884152572776</v>
      </c>
      <c r="AA221" s="2">
        <f>Table7[[#This Row],[WND Res]]^2</f>
        <v>32.070570399021186</v>
      </c>
      <c r="AB221">
        <f>Regression!$K$10+(Regression!$K$9*Table83[[#This Row],[Night Pulse]])</f>
        <v>255.78584514594922</v>
      </c>
      <c r="AC221" s="2">
        <f>Table83[[#This Row],[Weight]]-Table7[[#This Row],[Weight v Night Pulse]]</f>
        <v>5.2141548540507756</v>
      </c>
      <c r="AD221" s="2">
        <f>Table7[[#This Row],[WNP Res ]]^2</f>
        <v>27.187410842021265</v>
      </c>
      <c r="AE221">
        <f>Regression!$L$10+(Regression!$L$9*Table83[[#This Row],[Sleep]])</f>
        <v>254.66381845232058</v>
      </c>
      <c r="AF221" s="2">
        <f>Table83[[#This Row],[Weight]]-Table7[[#This Row],[Weight v Sleep]]</f>
        <v>6.3361815476794163</v>
      </c>
      <c r="AG221" s="2">
        <f>Table7[[#This Row],[WS Res]]^2</f>
        <v>40.147196605153127</v>
      </c>
      <c r="AH221">
        <f>Regression!$M$10+(Regression!$M$9*Table83[[#This Row],[BMI]])</f>
        <v>260.99999999998693</v>
      </c>
      <c r="AI221" s="2">
        <f>Table83[[#This Row],[Weight]]-Table7[[#This Row],[Weight v BMI]]</f>
        <v>1.3073986337985843E-11</v>
      </c>
      <c r="AJ221" s="2">
        <f>Table7[[#This Row],[WBMI Res]]^2</f>
        <v>1.7092911876584048E-22</v>
      </c>
      <c r="AK221">
        <f>Regression!$N$10+(Regression!$N$9*Table83[[#This Row],[CBF]])</f>
        <v>259.27809165285294</v>
      </c>
      <c r="AL221" s="2">
        <f>Table83[[#This Row],[Weight]]-Table7[[#This Row],[Weight v CBF]]</f>
        <v>1.721908347147064</v>
      </c>
      <c r="AM221" s="2">
        <f>Table7[[#This Row],[WCBF Res]]^2</f>
        <v>2.964968355974734</v>
      </c>
      <c r="AN221">
        <f>Regression!$O$10+(Regression!$O$9*Table83[[#This Row],[Gym]])</f>
        <v>254.72962962962998</v>
      </c>
      <c r="AO221" s="2">
        <f>Table83[[#This Row],[Weight]]-Table7[[#This Row],[Weight v Gym]]</f>
        <v>6.2703703703700171</v>
      </c>
      <c r="AP221" s="2">
        <f>Table7[[#This Row],[WG Res]]^2</f>
        <v>39.317544581614229</v>
      </c>
      <c r="AQ221">
        <f>Regression!$P$10+(Regression!$P$9*Table83[[#This Row],[Cardio]])</f>
        <v>256.41063829787231</v>
      </c>
      <c r="AR221" s="2">
        <f>Table83[[#This Row],[Weight]]-Table7[[#This Row],[Weight v Cardio]]</f>
        <v>4.5893617021276896</v>
      </c>
      <c r="AS221" s="2">
        <f>Table7[[#This Row],[WC Res]]^2</f>
        <v>21.062240832956363</v>
      </c>
      <c r="AT221">
        <f>Regression!$Q$10+(Regression!$Q$9*Table83[[#This Row],[Calories]])</f>
        <v>255.07554398044809</v>
      </c>
      <c r="AU221" s="2">
        <f>Table83[[#This Row],[Weight]]-Table7[[#This Row],[Weight v Calories]]</f>
        <v>5.9244560195519114</v>
      </c>
      <c r="AV221" s="2">
        <f>Table7[[#This Row],[WCAL Res]]^2</f>
        <v>35.099179127604877</v>
      </c>
      <c r="AW221">
        <f>Regression!$R$10+(Regression!$R$9*Table83[[#This Row],[Carbs]])</f>
        <v>254.86252624138362</v>
      </c>
      <c r="AX221" s="2">
        <f>Table83[[#This Row],[Weight]]-Table7[[#This Row],[Weight v Carbs]]</f>
        <v>6.1374737586163803</v>
      </c>
      <c r="AY221" s="2">
        <f>Table7[[#This Row],[Wcarb Res]]^2</f>
        <v>37.668584137704677</v>
      </c>
      <c r="AZ221">
        <f>Regression!$S$10+(Regression!$S$9*Table83[[#This Row],[Fat ]])</f>
        <v>255.20025744073499</v>
      </c>
      <c r="BA221" s="2">
        <f>Table83[[#This Row],[Weight]]-Table7[[#This Row],[Weight v Fat]]</f>
        <v>5.7997425592650131</v>
      </c>
      <c r="BB221" s="2">
        <f>Table7[[#This Row],[WF Res]]^2</f>
        <v>33.637013753749883</v>
      </c>
      <c r="BC221">
        <f>Regression!$T$10+(Regression!$T$9*Table83[[#This Row],[Protein]])</f>
        <v>255.5071861106598</v>
      </c>
      <c r="BD221" s="2">
        <f>Table83[[#This Row],[Weight]]-Table7[[#This Row],[Weight v Protein]]</f>
        <v>5.4928138893401979</v>
      </c>
      <c r="BE221" s="2">
        <f>Table7[[#This Row],[WP Res]]^2</f>
        <v>30.17100442292859</v>
      </c>
      <c r="BF221">
        <f>Regression!$U$10+(Regression!$U$9*Table83[[#This Row],[Fiber]])</f>
        <v>255.07521537240549</v>
      </c>
      <c r="BG221" s="2">
        <f>Table83[[#This Row],[Weight]]-Table7[[#This Row],[Weight v Fiber]]</f>
        <v>5.9247846275945051</v>
      </c>
      <c r="BH221" s="2">
        <f>Table7[[#This Row],[Wfib Res]]^2</f>
        <v>35.103072883380158</v>
      </c>
      <c r="BI221">
        <f>Regression!$V$10+(Regression!$V$9*Table83[[#This Row],[Sugar]])</f>
        <v>254.6979534239081</v>
      </c>
      <c r="BJ221" s="2">
        <f>Table83[[#This Row],[Weight]]-Table7[[#This Row],[Weight v Sugar]]</f>
        <v>6.3020465760918967</v>
      </c>
      <c r="BK221" s="2">
        <f>Table7[[#This Row],[Wsugar Res]]^2</f>
        <v>39.715791047231598</v>
      </c>
      <c r="BL221">
        <f>Regression!$W$10+(Regression!$W$9*Table83[[#This Row],[Servings]])</f>
        <v>254.11105863629084</v>
      </c>
      <c r="BM221" s="2">
        <f>Table83[[#This Row],[Weight]]-Table7[[#This Row],[Weight v Servings]]</f>
        <v>6.888941363709165</v>
      </c>
      <c r="BN221" s="2">
        <f>Table7[[#This Row],[Wserv Res]]^2</f>
        <v>47.45751311262309</v>
      </c>
      <c r="BO221">
        <f>Regression!$X$10+(Regression!$X$9*Table83[[#This Row],[Water]])</f>
        <v>255.06345001025522</v>
      </c>
      <c r="BP221" s="2">
        <f>Table83[[#This Row],[Weight]]-Table7[[#This Row],[Weight v Water]]</f>
        <v>5.9365499897447762</v>
      </c>
      <c r="BQ221" s="2">
        <f>Table7[[#This Row],[Wwater Res]]^2</f>
        <v>35.242625780738706</v>
      </c>
      <c r="BR221">
        <f>Regression!$Y$10+(Regression!$Y$9*Table83[[#This Row],[Fat Calories]])</f>
        <v>255.20087091719219</v>
      </c>
      <c r="BS221" s="2">
        <f>Table83[[#This Row],[Weight]]-Table7[[#This Row],[Weight v Fat Calories]]</f>
        <v>5.7991290828078093</v>
      </c>
      <c r="BT221" s="2">
        <f>Table7[[#This Row],[WFC Res]]^2</f>
        <v>33.629898119067342</v>
      </c>
      <c r="BU221">
        <f>Regression!$B$29+(Regression!$B$28*Table83[[#This Row],[Weight]])</f>
        <v>45.25543866839854</v>
      </c>
      <c r="BV221" s="2">
        <f>Table83[[#This Row],[Waist]]-Table7[[#This Row],[Waist v Weight]]</f>
        <v>-0.2554386683985399</v>
      </c>
      <c r="BW221" s="2">
        <f>Table7[[#This Row],[WaistW Res]]^2</f>
        <v>6.5248913313219234E-2</v>
      </c>
      <c r="BX221">
        <f>Regression!$C$29+(Regression!$C$28*Table83[[#This Row],[Neck]])</f>
        <v>44.175585585585594</v>
      </c>
      <c r="BY221" s="2">
        <f>Table83[[#This Row],[Waist]]-Table7[[#This Row],[Waist v Neck]]</f>
        <v>0.82441441441440588</v>
      </c>
      <c r="BZ221" s="2">
        <f>Table7[[#This Row],[WaistN Res]]^2</f>
        <v>0.67965912669424777</v>
      </c>
      <c r="CA221">
        <f>Regression!$D$29+(Regression!$D$28*Table83[[#This Row],[Morning Body Temp]])</f>
        <v>44.266129798998421</v>
      </c>
      <c r="CB221" s="2">
        <f>Table83[[#This Row],[Waist]]-Table7[[#This Row],[Waist v Morning Temp]]</f>
        <v>0.7338702010015794</v>
      </c>
      <c r="CC221" s="2">
        <f>Table7[[#This Row],[WaistMT Res]]^2</f>
        <v>0.53856547191809856</v>
      </c>
      <c r="CD221">
        <f>Regression!$E$29+(Regression!$E$28*Table83[[#This Row],[Morning Systolic Pressure]])</f>
        <v>44.428703916909349</v>
      </c>
      <c r="CE221" s="2">
        <f>Table83[[#This Row],[Waist]]-Table7[[#This Row],[Waist v Morning Sys]]</f>
        <v>0.57129608309065105</v>
      </c>
      <c r="CF221" s="2">
        <f>Table7[[#This Row],[WaistMS Res]]^2</f>
        <v>0.32637921455472008</v>
      </c>
      <c r="CG221">
        <f>Regression!$F$29+(Regression!$F$28*Table83[[#This Row],[Morning Diastolic Pressure]])</f>
        <v>44.447181047475404</v>
      </c>
      <c r="CH221" s="2">
        <f>Table83[[#This Row],[Waist]]-Table7[[#This Row],[Waist v Morning Dia]]</f>
        <v>0.55281895252459634</v>
      </c>
      <c r="CI221" s="2">
        <f>Table7[[#This Row],[WaistMD Res]]^2</f>
        <v>0.30560879427039189</v>
      </c>
      <c r="CJ221">
        <f>Regression!$G$29+(Regression!$G$28*Table83[[#This Row],[Morning Pulse]])</f>
        <v>44.457934210374262</v>
      </c>
      <c r="CK221" s="2">
        <f>Table83[[#This Row],[Waist]]-Table7[[#This Row],[Waist v Morning Pulse]]</f>
        <v>0.54206578962573815</v>
      </c>
      <c r="CL221" s="2">
        <f>Table7[[#This Row],[WaistMP Res]]^2</f>
        <v>0.29383532028257503</v>
      </c>
      <c r="CM221">
        <f>Regression!$H$29+(Regression!$H$28*Table83[[#This Row],[Night Body Temp]])</f>
        <v>44.538020116512925</v>
      </c>
      <c r="CN221" s="2">
        <f>Table83[[#This Row],[Waist]]-Table7[[#This Row],[Waist v Night Temp]]</f>
        <v>0.46197988348707497</v>
      </c>
      <c r="CO221" s="2">
        <f>Table7[[#This Row],[WaistNT Res]]^2</f>
        <v>0.21342541274673135</v>
      </c>
      <c r="CP221">
        <f>Regression!$I$29+(Regression!$I$28*Table83[[#This Row],[Night Systolic Pressure]])</f>
        <v>44.747301601817483</v>
      </c>
      <c r="CQ221" s="2">
        <f>Table83[[#This Row],[Waist]]-Table7[[#This Row],[Waist v  Night Sys]]</f>
        <v>0.25269839818251683</v>
      </c>
      <c r="CR221" s="2">
        <f>Table7[[#This Row],[WaistNS Res]]^2</f>
        <v>6.3856480444009822E-2</v>
      </c>
      <c r="CS221">
        <f>Regression!$J$29+(Regression!$J$28*Table83[[#This Row],[Night Diastolic Pressure]])</f>
        <v>44.546431737190943</v>
      </c>
      <c r="CT221" s="2">
        <f>Table83[[#This Row],[Waist]]-Table7[[#This Row],[Waist v Night Dia]]</f>
        <v>0.45356826280905693</v>
      </c>
      <c r="CU221" s="2">
        <f>Table7[[#This Row],[WaistND Res]]^2</f>
        <v>0.20572416902762575</v>
      </c>
      <c r="CV221">
        <f>Regression!$K$29+(Regression!$K$28*Table83[[#This Row],[Night Pulse]])</f>
        <v>44.39114646110211</v>
      </c>
      <c r="CW221" s="2">
        <f>Table83[[#This Row],[Waist]]-Table7[[#This Row],[Waist v Night Pulse]]</f>
        <v>0.60885353889788973</v>
      </c>
      <c r="CX221" s="2">
        <f>Table7[[#This Row],[WaistNP Res]]^2</f>
        <v>0.37070263182848412</v>
      </c>
      <c r="CY221">
        <f>Regression!$L$29+(Regression!$L$28*Table83[[#This Row],[Sleep]])</f>
        <v>44.384743400864622</v>
      </c>
      <c r="CZ221" s="2">
        <f>Table83[[#This Row],[Waist]]-Table7[[#This Row],[Waist v  Sleep]]</f>
        <v>0.61525659913537822</v>
      </c>
      <c r="DA221" s="2">
        <f>Table7[[#This Row],[WaistS Res]]^2</f>
        <v>0.37854068277963149</v>
      </c>
      <c r="DB221">
        <f>Regression!$M$29+(Regression!$M$28*Table83[[#This Row],[BMI]])</f>
        <v>45.255438668395996</v>
      </c>
      <c r="DC221" s="2">
        <f>Table83[[#This Row],[Waist]]-Table7[[#This Row],[Waist v BMI]]</f>
        <v>-0.25543866839599616</v>
      </c>
      <c r="DD221" s="2">
        <f>Table7[[#This Row],[WaistBMI Res]]^2</f>
        <v>6.524891331191969E-2</v>
      </c>
      <c r="DE221">
        <f>Regression!$N$29+(Regression!$N$28*Table83[[#This Row],[CBF]])</f>
        <v>45.203183363709613</v>
      </c>
      <c r="DF221" s="2">
        <f>Table83[[#This Row],[Waist]]-Table7[[#This Row],[Waist v  CBF]]</f>
        <v>-0.20318336370961276</v>
      </c>
      <c r="DG221" s="2">
        <f>Table7[[#This Row],[WaistCBF Res]]^2</f>
        <v>4.1283479288352784E-2</v>
      </c>
      <c r="DH221">
        <f>Regression!$O$29+(Regression!$O$28*Table83[[#This Row],[Gym]])</f>
        <v>44.347222222222221</v>
      </c>
      <c r="DI221" s="2">
        <f>Table83[[#This Row],[Waist]]-Table7[[#This Row],[Waist v  Gym]]</f>
        <v>0.65277777777777857</v>
      </c>
      <c r="DJ221" s="2">
        <f>Table7[[#This Row],[WaistGYM Res]]^2</f>
        <v>0.42611882716049487</v>
      </c>
      <c r="DK221">
        <f>Regression!$P$29+(Regression!$P$28*Table83[[#This Row],[Cardio]])</f>
        <v>44.680851063829778</v>
      </c>
      <c r="DL221" s="2">
        <f>Table83[[#This Row],[Waist]]-Table7[[#This Row],[Waist v Cardio]]</f>
        <v>0.31914893617022244</v>
      </c>
      <c r="DM221" s="2">
        <f>Table7[[#This Row],[WaistC Res]]^2</f>
        <v>0.10185604345858472</v>
      </c>
      <c r="DN221">
        <f>Regression!$Q$29+(Regression!$Q$28*Table83[[#This Row],[Calories]])</f>
        <v>44.444664989040234</v>
      </c>
      <c r="DO221" s="2">
        <f>Table83[[#This Row],[Waist]]-Table7[[#This Row],[Waist v Calories]]</f>
        <v>0.5553350109597659</v>
      </c>
      <c r="DP221" s="2">
        <f>Table7[[#This Row],[WaistCal Res]]^2</f>
        <v>0.30839697439768332</v>
      </c>
      <c r="DQ221">
        <f>Regression!$R$29+(Regression!$R$28*Table83[[#This Row],[Carbs]])</f>
        <v>44.400967120435091</v>
      </c>
      <c r="DR221" s="2">
        <f>Table83[[#This Row],[Waist]]-Table7[[#This Row],[Waist v Carbs]]</f>
        <v>0.59903287956490914</v>
      </c>
      <c r="DS221" s="2">
        <f>Table7[[#This Row],[WaistCarb Res]]^2</f>
        <v>0.35884039079982694</v>
      </c>
      <c r="DT221">
        <f>Regression!$S$29+(Regression!$S$28*Table83[[#This Row],[Fat ]])</f>
        <v>44.479587692750684</v>
      </c>
      <c r="DU221" s="2">
        <f>Table83[[#This Row],[Waist]]-Table7[[#This Row],[Waist v Fat]]</f>
        <v>0.52041230724931609</v>
      </c>
      <c r="DV221" s="2">
        <f>Table7[[#This Row],[WaistF Res]]^2</f>
        <v>0.27082896953655655</v>
      </c>
      <c r="DW221">
        <f>Regression!$T$29+(Regression!$T$28*Table83[[#This Row],[Protein]])</f>
        <v>44.525316350593194</v>
      </c>
      <c r="DX221" s="2">
        <f>Table83[[#This Row],[Waist]]-Table7[[#This Row],[Waist v Protein]]</f>
        <v>0.4746836494068063</v>
      </c>
      <c r="DY221" s="2">
        <f>Table7[[#This Row],[WaistP Res]]^2</f>
        <v>0.22532456701416378</v>
      </c>
      <c r="DZ221">
        <f>Regression!$U$29+(Regression!$U$28*Table83[[#This Row],[Fiber]])</f>
        <v>44.438171455049741</v>
      </c>
      <c r="EA221" s="2">
        <f>Table83[[#This Row],[Waist]]-Table7[[#This Row],[Waist v Fiber]]</f>
        <v>0.56182854495025936</v>
      </c>
      <c r="EB221" s="2">
        <f>Table7[[#This Row],[WaistFib Res]]^2</f>
        <v>0.3156513139209256</v>
      </c>
      <c r="EC221">
        <f>Regression!$V$29+(Regression!$V$28*Table83[[#This Row],[Sugar]])</f>
        <v>44.378614108324044</v>
      </c>
      <c r="ED221" s="2">
        <f>Table83[[#This Row],[Waist]]-Table7[[#This Row],[Waist v Sugar]]</f>
        <v>0.62138589167595626</v>
      </c>
      <c r="EE221" s="2">
        <f>Table7[[#This Row],[WaistSugar Res]]^2</f>
        <v>0.38612042637392324</v>
      </c>
      <c r="EF221">
        <f>Regression!$W$29+(Regression!$W$28*Table83[[#This Row],[Servings]])</f>
        <v>44.300348345090036</v>
      </c>
      <c r="EG221" s="2">
        <f>Table83[[#This Row],[Waist]]-Table7[[#This Row],[Waist v Servings]]</f>
        <v>0.69965165490996384</v>
      </c>
      <c r="EH221" s="2">
        <f>Table7[[#This Row],[WaistServ Res]]^2</f>
        <v>0.48951243821825113</v>
      </c>
      <c r="EI221">
        <f>Regression!$X$29+(Regression!$X$28*Table83[[#This Row],[Water]])</f>
        <v>44.386198474840633</v>
      </c>
      <c r="EJ221" s="2">
        <f>Table83[[#This Row],[Waist]]-Table7[[#This Row],[Waist v Water]]</f>
        <v>0.61380152515936715</v>
      </c>
      <c r="EK221" s="2">
        <f>Table7[[#This Row],[WaistWat Res]]^2</f>
        <v>0.37675231228796524</v>
      </c>
      <c r="EL221">
        <f>Regression!$Y$29+(Regression!$Y$28*Table83[[#This Row],[Fat Calories]])</f>
        <v>44.47964218220622</v>
      </c>
      <c r="EM221" s="2">
        <f>Table83[[#This Row],[Waist]]-Table7[[#This Row],[Waist v Fat Calories]]</f>
        <v>0.52035781779377999</v>
      </c>
      <c r="EN221" s="2">
        <f>Table7[[#This Row],[WaistFatCal Res]]^2</f>
        <v>0.27077225853910475</v>
      </c>
    </row>
    <row r="222" spans="1:144" x14ac:dyDescent="0.25">
      <c r="A222">
        <f>Regression!$B$10+(Regression!$B$9*Table83[[#This Row],[Waist]])</f>
        <v>258.23421455025004</v>
      </c>
      <c r="B222" s="2">
        <f>Table83[[#This Row],[Weight]]-Table7[[#This Row],[Weight v Waist]]</f>
        <v>2.9657854497499443</v>
      </c>
      <c r="C222" s="2">
        <f>Table7[[#This Row],[Weight v Waist Res]]^2</f>
        <v>8.7958833339484794</v>
      </c>
      <c r="D222">
        <f>Regression!$C$10+(Regression!$C$9*Table83[[#This Row],[Neck]])</f>
        <v>253.29286486487842</v>
      </c>
      <c r="E222" s="2">
        <f>Table83[[#This Row],[Weight]]-Table7[[#This Row],[Weight v Neck]]</f>
        <v>7.907135135121564</v>
      </c>
      <c r="F222" s="2">
        <f>Table7[[#This Row],[WN Res]]^2</f>
        <v>62.522786045073914</v>
      </c>
      <c r="G222">
        <f>Regression!$D$10+(Regression!$D$9*Table83[[#This Row],[Morning Body Temp]])</f>
        <v>255.4185990756184</v>
      </c>
      <c r="H222" s="2">
        <f>Table83[[#This Row],[Weight]]-Table7[[#This Row],[Weight v Morning Temp]]</f>
        <v>5.781400924381586</v>
      </c>
      <c r="I222" s="2">
        <f>Table7[[#This Row],[WMT Res]]^2</f>
        <v>33.424596648440257</v>
      </c>
      <c r="J222">
        <f>Regression!$E$10+(Regression!$E$9*Table83[[#This Row],[Morning Systolic Pressure]])</f>
        <v>255.46010425966242</v>
      </c>
      <c r="K222" s="2">
        <f>Table83[[#This Row],[Weight]]-Table7[[#This Row],[Weight v Morning Sys]]</f>
        <v>5.7398957403375732</v>
      </c>
      <c r="L222" s="2">
        <f>Table7[[#This Row],[WMS Res]]^2</f>
        <v>32.946403109945415</v>
      </c>
      <c r="M222">
        <f>Regression!$F$10+(Regression!$F$9*Table83[[#This Row],[Morning Diastolic Pressure]])</f>
        <v>254.69666290106716</v>
      </c>
      <c r="N222" s="2">
        <f>Table83[[#This Row],[Weight]]-Table7[[#This Row],[Weight v Morning Dia]]</f>
        <v>6.5033370989328319</v>
      </c>
      <c r="O222" s="2">
        <f>Table7[[#This Row],[WMD Res]]^2</f>
        <v>42.293393422356104</v>
      </c>
      <c r="P222">
        <f>Regression!$G$10+(Regression!$G$9*Table83[[#This Row],[Morning Pulse]])</f>
        <v>255.12278407318442</v>
      </c>
      <c r="Q222" s="2">
        <f>Table83[[#This Row],[Weight]]-Table7[[#This Row],[Weight v Morning Pulse]]</f>
        <v>6.077215926815569</v>
      </c>
      <c r="R222" s="2">
        <f>Table7[[#This Row],[WMP Res]]^2</f>
        <v>36.932553421140817</v>
      </c>
      <c r="S222">
        <f>Regression!$H$10+(Regression!$H$9*Table83[[#This Row],[Night Body Temp]])</f>
        <v>255.77575581186025</v>
      </c>
      <c r="T222" s="2">
        <f>Table83[[#This Row],[Weight]]-Table7[[#This Row],[Weight v Night Temp]]</f>
        <v>5.4242441881397383</v>
      </c>
      <c r="U222" s="2">
        <f>Table7[[#This Row],[WNT Res]]^2</f>
        <v>29.422425012567729</v>
      </c>
      <c r="V222">
        <f>Regression!$I$10+(Regression!$I$9*Table83[[#This Row],[Night Systolic Pressure]])</f>
        <v>256.88089873762272</v>
      </c>
      <c r="W222" s="2">
        <f>Table83[[#This Row],[Weight]]-Table7[[#This Row],[Weight v Night Sys]]</f>
        <v>4.3191012623772735</v>
      </c>
      <c r="X222" s="2">
        <f>Table7[[#This Row],[WNS Res]]^2</f>
        <v>18.654635714668959</v>
      </c>
      <c r="Y222">
        <f>Regression!$J$10+(Regression!$J$9*Table83[[#This Row],[Night Diastolic Pressure]])</f>
        <v>255.29614571632661</v>
      </c>
      <c r="Z222" s="2">
        <f>Table83[[#This Row],[Weight]]-Table7[[#This Row],[Weight v Night Dia]]</f>
        <v>5.9038542836733825</v>
      </c>
      <c r="AA222" s="2">
        <f>Table7[[#This Row],[WND Res]]^2</f>
        <v>34.855495402848547</v>
      </c>
      <c r="AB222">
        <f>Regression!$K$10+(Regression!$K$9*Table83[[#This Row],[Night Pulse]])</f>
        <v>255.54013849605542</v>
      </c>
      <c r="AC222" s="2">
        <f>Table83[[#This Row],[Weight]]-Table7[[#This Row],[Weight v Night Pulse]]</f>
        <v>5.659861503944569</v>
      </c>
      <c r="AD222" s="2">
        <f>Table7[[#This Row],[WNP Res ]]^2</f>
        <v>32.034032243833678</v>
      </c>
      <c r="AE222">
        <f>Regression!$L$10+(Regression!$L$9*Table83[[#This Row],[Sleep]])</f>
        <v>255.13702972738133</v>
      </c>
      <c r="AF222" s="2">
        <f>Table83[[#This Row],[Weight]]-Table7[[#This Row],[Weight v Sleep]]</f>
        <v>6.0629702726186565</v>
      </c>
      <c r="AG222" s="2">
        <f>Table7[[#This Row],[WS Res]]^2</f>
        <v>36.759608526657544</v>
      </c>
      <c r="AH222">
        <f>Regression!$M$10+(Regression!$M$9*Table83[[#This Row],[BMI]])</f>
        <v>261.1999999999864</v>
      </c>
      <c r="AI222" s="2">
        <f>Table83[[#This Row],[Weight]]-Table7[[#This Row],[Weight v BMI]]</f>
        <v>1.3585577107733116E-11</v>
      </c>
      <c r="AJ222" s="2">
        <f>Table7[[#This Row],[WBMI Res]]^2</f>
        <v>1.8456790535016209E-22</v>
      </c>
      <c r="AK222">
        <f>Regression!$N$10+(Regression!$N$9*Table83[[#This Row],[CBF]])</f>
        <v>259.27809165285294</v>
      </c>
      <c r="AL222" s="2">
        <f>Table83[[#This Row],[Weight]]-Table7[[#This Row],[Weight v CBF]]</f>
        <v>1.9219083471470526</v>
      </c>
      <c r="AM222" s="2">
        <f>Table7[[#This Row],[WCBF Res]]^2</f>
        <v>3.6937316948335157</v>
      </c>
      <c r="AN222">
        <f>Regression!$O$10+(Regression!$O$9*Table83[[#This Row],[Gym]])</f>
        <v>254.72962962962998</v>
      </c>
      <c r="AO222" s="2">
        <f>Table83[[#This Row],[Weight]]-Table7[[#This Row],[Weight v Gym]]</f>
        <v>6.4703703703700057</v>
      </c>
      <c r="AP222" s="2">
        <f>Table7[[#This Row],[WG Res]]^2</f>
        <v>41.865692729762088</v>
      </c>
      <c r="AQ222">
        <f>Regression!$P$10+(Regression!$P$9*Table83[[#This Row],[Cardio]])</f>
        <v>256.41063829787231</v>
      </c>
      <c r="AR222" s="2">
        <f>Table83[[#This Row],[Weight]]-Table7[[#This Row],[Weight v Cardio]]</f>
        <v>4.7893617021276782</v>
      </c>
      <c r="AS222" s="2">
        <f>Table7[[#This Row],[WC Res]]^2</f>
        <v>22.93798551380733</v>
      </c>
      <c r="AT222">
        <f>Regression!$Q$10+(Regression!$Q$9*Table83[[#This Row],[Calories]])</f>
        <v>255.68984487969513</v>
      </c>
      <c r="AU222" s="2">
        <f>Table83[[#This Row],[Weight]]-Table7[[#This Row],[Weight v Calories]]</f>
        <v>5.5101551203048587</v>
      </c>
      <c r="AV222" s="2">
        <f>Table7[[#This Row],[WCAL Res]]^2</f>
        <v>30.361809449821852</v>
      </c>
      <c r="AW222">
        <f>Regression!$R$10+(Regression!$R$9*Table83[[#This Row],[Carbs]])</f>
        <v>255.61704430798338</v>
      </c>
      <c r="AX222" s="2">
        <f>Table83[[#This Row],[Weight]]-Table7[[#This Row],[Weight v Carbs]]</f>
        <v>5.5829556920166112</v>
      </c>
      <c r="AY222" s="2">
        <f>Table7[[#This Row],[Wcarb Res]]^2</f>
        <v>31.169394259020677</v>
      </c>
      <c r="AZ222">
        <f>Regression!$S$10+(Regression!$S$9*Table83[[#This Row],[Fat ]])</f>
        <v>255.43615043441633</v>
      </c>
      <c r="BA222" s="2">
        <f>Table83[[#This Row],[Weight]]-Table7[[#This Row],[Weight v Fat]]</f>
        <v>5.763849565583655</v>
      </c>
      <c r="BB222" s="2">
        <f>Table7[[#This Row],[WF Res]]^2</f>
        <v>33.221961814678892</v>
      </c>
      <c r="BC222">
        <f>Regression!$T$10+(Regression!$T$9*Table83[[#This Row],[Protein]])</f>
        <v>256.39300758366909</v>
      </c>
      <c r="BD222" s="2">
        <f>Table83[[#This Row],[Weight]]-Table7[[#This Row],[Weight v Protein]]</f>
        <v>4.8069924163308997</v>
      </c>
      <c r="BE222" s="2">
        <f>Table7[[#This Row],[WP Res]]^2</f>
        <v>23.107176090662783</v>
      </c>
      <c r="BF222">
        <f>Regression!$U$10+(Regression!$U$9*Table83[[#This Row],[Fiber]])</f>
        <v>254.88351852548934</v>
      </c>
      <c r="BG222" s="2">
        <f>Table83[[#This Row],[Weight]]-Table7[[#This Row],[Weight v Fiber]]</f>
        <v>6.3164814745106526</v>
      </c>
      <c r="BH222" s="2">
        <f>Table7[[#This Row],[Wfib Res]]^2</f>
        <v>39.89793821783627</v>
      </c>
      <c r="BI222">
        <f>Regression!$V$10+(Regression!$V$9*Table83[[#This Row],[Sugar]])</f>
        <v>255.75413913238023</v>
      </c>
      <c r="BJ222" s="2">
        <f>Table83[[#This Row],[Weight]]-Table7[[#This Row],[Weight v Sugar]]</f>
        <v>5.4458608676197571</v>
      </c>
      <c r="BK222" s="2">
        <f>Table7[[#This Row],[Wsugar Res]]^2</f>
        <v>29.657400589472214</v>
      </c>
      <c r="BL222">
        <f>Regression!$W$10+(Regression!$W$9*Table83[[#This Row],[Servings]])</f>
        <v>255.28456259284533</v>
      </c>
      <c r="BM222" s="2">
        <f>Table83[[#This Row],[Weight]]-Table7[[#This Row],[Weight v Servings]]</f>
        <v>5.9154374071546556</v>
      </c>
      <c r="BN222" s="2">
        <f>Table7[[#This Row],[Wserv Res]]^2</f>
        <v>34.992399717964595</v>
      </c>
      <c r="BO222">
        <f>Regression!$X$10+(Regression!$X$9*Table83[[#This Row],[Water]])</f>
        <v>255.06345001025522</v>
      </c>
      <c r="BP222" s="2">
        <f>Table83[[#This Row],[Weight]]-Table7[[#This Row],[Weight v Water]]</f>
        <v>6.1365499897447648</v>
      </c>
      <c r="BQ222" s="2">
        <f>Table7[[#This Row],[Wwater Res]]^2</f>
        <v>37.657245776636472</v>
      </c>
      <c r="BR222">
        <f>Regression!$Y$10+(Regression!$Y$9*Table83[[#This Row],[Fat Calories]])</f>
        <v>255.45192040575398</v>
      </c>
      <c r="BS222" s="2">
        <f>Table83[[#This Row],[Weight]]-Table7[[#This Row],[Weight v Fat Calories]]</f>
        <v>5.7480795942460077</v>
      </c>
      <c r="BT222" s="2">
        <f>Table7[[#This Row],[WFC Res]]^2</f>
        <v>33.040419021787351</v>
      </c>
      <c r="BU222">
        <f>Regression!$B$29+(Regression!$B$28*Table83[[#This Row],[Weight]])</f>
        <v>45.282691170512535</v>
      </c>
      <c r="BV222" s="2">
        <f>Table83[[#This Row],[Waist]]-Table7[[#This Row],[Waist v Weight]]</f>
        <v>-0.28269117051253545</v>
      </c>
      <c r="BW222" s="2">
        <f>Table7[[#This Row],[WaistW Res]]^2</f>
        <v>7.9914297885747387E-2</v>
      </c>
      <c r="BX222">
        <f>Regression!$C$29+(Regression!$C$28*Table83[[#This Row],[Neck]])</f>
        <v>44.175585585585594</v>
      </c>
      <c r="BY222" s="2">
        <f>Table83[[#This Row],[Waist]]-Table7[[#This Row],[Waist v Neck]]</f>
        <v>0.82441441441440588</v>
      </c>
      <c r="BZ222" s="2">
        <f>Table7[[#This Row],[WaistN Res]]^2</f>
        <v>0.67965912669424777</v>
      </c>
      <c r="CA222">
        <f>Regression!$D$29+(Regression!$D$28*Table83[[#This Row],[Morning Body Temp]])</f>
        <v>44.536099864778308</v>
      </c>
      <c r="CB222" s="2">
        <f>Table83[[#This Row],[Waist]]-Table7[[#This Row],[Waist v Morning Temp]]</f>
        <v>0.46390013522169227</v>
      </c>
      <c r="CC222" s="2">
        <f>Table7[[#This Row],[WaistMT Res]]^2</f>
        <v>0.21520333545870438</v>
      </c>
      <c r="CD222">
        <f>Regression!$E$29+(Regression!$E$28*Table83[[#This Row],[Morning Systolic Pressure]])</f>
        <v>44.534607969333621</v>
      </c>
      <c r="CE222" s="2">
        <f>Table83[[#This Row],[Waist]]-Table7[[#This Row],[Waist v Morning Sys]]</f>
        <v>0.46539203066637924</v>
      </c>
      <c r="CF222" s="2">
        <f>Table7[[#This Row],[WaistMS Res]]^2</f>
        <v>0.21658974220777608</v>
      </c>
      <c r="CG222">
        <f>Regression!$F$29+(Regression!$F$28*Table83[[#This Row],[Morning Diastolic Pressure]])</f>
        <v>44.430274185468846</v>
      </c>
      <c r="CH222" s="2">
        <f>Table83[[#This Row],[Waist]]-Table7[[#This Row],[Waist v Morning Dia]]</f>
        <v>0.56972581453115367</v>
      </c>
      <c r="CI222" s="2">
        <f>Table7[[#This Row],[WaistMD Res]]^2</f>
        <v>0.32458750374318651</v>
      </c>
      <c r="CJ222">
        <f>Regression!$G$29+(Regression!$G$28*Table83[[#This Row],[Morning Pulse]])</f>
        <v>44.45709470780065</v>
      </c>
      <c r="CK222" s="2">
        <f>Table83[[#This Row],[Waist]]-Table7[[#This Row],[Waist v Morning Pulse]]</f>
        <v>0.54290529219935024</v>
      </c>
      <c r="CL222" s="2">
        <f>Table7[[#This Row],[WaistMP Res]]^2</f>
        <v>0.29474615629806189</v>
      </c>
      <c r="CM222">
        <f>Regression!$H$29+(Regression!$H$28*Table83[[#This Row],[Night Body Temp]])</f>
        <v>44.505632421293377</v>
      </c>
      <c r="CN222" s="2">
        <f>Table83[[#This Row],[Waist]]-Table7[[#This Row],[Waist v Night Temp]]</f>
        <v>0.49436757870662262</v>
      </c>
      <c r="CO222" s="2">
        <f>Table7[[#This Row],[WaistNT Res]]^2</f>
        <v>0.24439930287624873</v>
      </c>
      <c r="CP222">
        <f>Regression!$I$29+(Regression!$I$28*Table83[[#This Row],[Night Systolic Pressure]])</f>
        <v>44.703681258840639</v>
      </c>
      <c r="CQ222" s="2">
        <f>Table83[[#This Row],[Waist]]-Table7[[#This Row],[Waist v  Night Sys]]</f>
        <v>0.29631874115936085</v>
      </c>
      <c r="CR222" s="2">
        <f>Table7[[#This Row],[WaistNS Res]]^2</f>
        <v>8.7804796362268303E-2</v>
      </c>
      <c r="CS222">
        <f>Regression!$J$29+(Regression!$J$28*Table83[[#This Row],[Night Diastolic Pressure]])</f>
        <v>44.529363791983499</v>
      </c>
      <c r="CT222" s="2">
        <f>Table83[[#This Row],[Waist]]-Table7[[#This Row],[Waist v Night Dia]]</f>
        <v>0.47063620801650075</v>
      </c>
      <c r="CU222" s="2">
        <f>Table7[[#This Row],[WaistND Res]]^2</f>
        <v>0.22149844029615096</v>
      </c>
      <c r="CV222">
        <f>Regression!$K$29+(Regression!$K$28*Table83[[#This Row],[Night Pulse]])</f>
        <v>44.414000431589827</v>
      </c>
      <c r="CW222" s="2">
        <f>Table83[[#This Row],[Waist]]-Table7[[#This Row],[Waist v Night Pulse]]</f>
        <v>0.58599956841017331</v>
      </c>
      <c r="CX222" s="2">
        <f>Table7[[#This Row],[WaistNP Res]]^2</f>
        <v>0.3433954941769094</v>
      </c>
      <c r="CY222">
        <f>Regression!$L$29+(Regression!$L$28*Table83[[#This Row],[Sleep]])</f>
        <v>44.456891852858099</v>
      </c>
      <c r="CZ222" s="2">
        <f>Table83[[#This Row],[Waist]]-Table7[[#This Row],[Waist v  Sleep]]</f>
        <v>0.54310814714190059</v>
      </c>
      <c r="DA222" s="2">
        <f>Table7[[#This Row],[WaistS Res]]^2</f>
        <v>0.29496645949190836</v>
      </c>
      <c r="DB222">
        <f>Regression!$M$29+(Regression!$M$28*Table83[[#This Row],[BMI]])</f>
        <v>45.282691170509899</v>
      </c>
      <c r="DC222" s="2">
        <f>Table83[[#This Row],[Waist]]-Table7[[#This Row],[Waist v BMI]]</f>
        <v>-0.28269117050989934</v>
      </c>
      <c r="DD222" s="2">
        <f>Table7[[#This Row],[WaistBMI Res]]^2</f>
        <v>7.9914297884256982E-2</v>
      </c>
      <c r="DE222">
        <f>Regression!$N$29+(Regression!$N$28*Table83[[#This Row],[CBF]])</f>
        <v>45.203183363709613</v>
      </c>
      <c r="DF222" s="2">
        <f>Table83[[#This Row],[Waist]]-Table7[[#This Row],[Waist v  CBF]]</f>
        <v>-0.20318336370961276</v>
      </c>
      <c r="DG222" s="2">
        <f>Table7[[#This Row],[WaistCBF Res]]^2</f>
        <v>4.1283479288352784E-2</v>
      </c>
      <c r="DH222">
        <f>Regression!$O$29+(Regression!$O$28*Table83[[#This Row],[Gym]])</f>
        <v>44.347222222222221</v>
      </c>
      <c r="DI222" s="2">
        <f>Table83[[#This Row],[Waist]]-Table7[[#This Row],[Waist v  Gym]]</f>
        <v>0.65277777777777857</v>
      </c>
      <c r="DJ222" s="2">
        <f>Table7[[#This Row],[WaistGYM Res]]^2</f>
        <v>0.42611882716049487</v>
      </c>
      <c r="DK222">
        <f>Regression!$P$29+(Regression!$P$28*Table83[[#This Row],[Cardio]])</f>
        <v>44.680851063829778</v>
      </c>
      <c r="DL222" s="2">
        <f>Table83[[#This Row],[Waist]]-Table7[[#This Row],[Waist v Cardio]]</f>
        <v>0.31914893617022244</v>
      </c>
      <c r="DM222" s="2">
        <f>Table7[[#This Row],[WaistC Res]]^2</f>
        <v>0.10185604345858472</v>
      </c>
      <c r="DN222">
        <f>Regression!$Q$29+(Regression!$Q$28*Table83[[#This Row],[Calories]])</f>
        <v>44.582684776114192</v>
      </c>
      <c r="DO222" s="2">
        <f>Table83[[#This Row],[Waist]]-Table7[[#This Row],[Waist v Calories]]</f>
        <v>0.417315223885808</v>
      </c>
      <c r="DP222" s="2">
        <f>Table7[[#This Row],[WaistCal Res]]^2</f>
        <v>0.17415199608686205</v>
      </c>
      <c r="DQ222">
        <f>Regression!$R$29+(Regression!$R$28*Table83[[#This Row],[Carbs]])</f>
        <v>44.558053161413838</v>
      </c>
      <c r="DR222" s="2">
        <f>Table83[[#This Row],[Waist]]-Table7[[#This Row],[Waist v Carbs]]</f>
        <v>0.44194683858616202</v>
      </c>
      <c r="DS222" s="2">
        <f>Table7[[#This Row],[WaistCarb Res]]^2</f>
        <v>0.19531700813630315</v>
      </c>
      <c r="DT222">
        <f>Regression!$S$29+(Regression!$S$28*Table83[[#This Row],[Fat ]])</f>
        <v>44.551695188784009</v>
      </c>
      <c r="DU222" s="2">
        <f>Table83[[#This Row],[Waist]]-Table7[[#This Row],[Waist v Fat]]</f>
        <v>0.44830481121599064</v>
      </c>
      <c r="DV222" s="2">
        <f>Table7[[#This Row],[WaistF Res]]^2</f>
        <v>0.200977203759405</v>
      </c>
      <c r="DW222">
        <f>Regression!$T$29+(Regression!$T$28*Table83[[#This Row],[Protein]])</f>
        <v>44.687454585278445</v>
      </c>
      <c r="DX222" s="2">
        <f>Table83[[#This Row],[Waist]]-Table7[[#This Row],[Waist v Protein]]</f>
        <v>0.31254541472155495</v>
      </c>
      <c r="DY222" s="2">
        <f>Table7[[#This Row],[WaistP Res]]^2</f>
        <v>9.768463626346878E-2</v>
      </c>
      <c r="DZ222">
        <f>Regression!$U$29+(Regression!$U$28*Table83[[#This Row],[Fiber]])</f>
        <v>44.364203318823691</v>
      </c>
      <c r="EA222" s="2">
        <f>Table83[[#This Row],[Waist]]-Table7[[#This Row],[Waist v Fiber]]</f>
        <v>0.63579668117630916</v>
      </c>
      <c r="EB222" s="2">
        <f>Table7[[#This Row],[WaistFib Res]]^2</f>
        <v>0.40423741979480932</v>
      </c>
      <c r="EC222">
        <f>Regression!$V$29+(Regression!$V$28*Table83[[#This Row],[Sugar]])</f>
        <v>44.568346091183429</v>
      </c>
      <c r="ED222" s="2">
        <f>Table83[[#This Row],[Waist]]-Table7[[#This Row],[Waist v Sugar]]</f>
        <v>0.43165390881657117</v>
      </c>
      <c r="EE222" s="2">
        <f>Table7[[#This Row],[WaistSugar Res]]^2</f>
        <v>0.18632509699662475</v>
      </c>
      <c r="EF222">
        <f>Regression!$W$29+(Regression!$W$28*Table83[[#This Row],[Servings]])</f>
        <v>44.479405498289779</v>
      </c>
      <c r="EG222" s="2">
        <f>Table83[[#This Row],[Waist]]-Table7[[#This Row],[Waist v Servings]]</f>
        <v>0.52059450171022092</v>
      </c>
      <c r="EH222" s="2">
        <f>Table7[[#This Row],[WaistServ Res]]^2</f>
        <v>0.27101863521091324</v>
      </c>
      <c r="EI222">
        <f>Regression!$X$29+(Regression!$X$28*Table83[[#This Row],[Water]])</f>
        <v>44.386198474840633</v>
      </c>
      <c r="EJ222" s="2">
        <f>Table83[[#This Row],[Waist]]-Table7[[#This Row],[Waist v Water]]</f>
        <v>0.61380152515936715</v>
      </c>
      <c r="EK222" s="2">
        <f>Table7[[#This Row],[WaistWat Res]]^2</f>
        <v>0.37675231228796524</v>
      </c>
      <c r="EL222">
        <f>Regression!$Y$29+(Regression!$Y$28*Table83[[#This Row],[Fat Calories]])</f>
        <v>44.55599355378142</v>
      </c>
      <c r="EM222" s="2">
        <f>Table83[[#This Row],[Waist]]-Table7[[#This Row],[Waist v Fat Calories]]</f>
        <v>0.44400644621858021</v>
      </c>
      <c r="EN222" s="2">
        <f>Table7[[#This Row],[WaistFatCal Res]]^2</f>
        <v>0.19714172428365295</v>
      </c>
    </row>
    <row r="223" spans="1:144" x14ac:dyDescent="0.25">
      <c r="A223">
        <f>Regression!$B$10+(Regression!$B$9*Table83[[#This Row],[Waist]])</f>
        <v>255.38023686459636</v>
      </c>
      <c r="B223" s="2">
        <f>Table83[[#This Row],[Weight]]-Table7[[#This Row],[Weight v Waist]]</f>
        <v>5.6197631354036446</v>
      </c>
      <c r="C223" s="2">
        <f>Table7[[#This Row],[Weight v Waist Res]]^2</f>
        <v>31.581737698041803</v>
      </c>
      <c r="D223">
        <f>Regression!$C$10+(Regression!$C$9*Table83[[#This Row],[Neck]])</f>
        <v>253.29286486487842</v>
      </c>
      <c r="E223" s="2">
        <f>Table83[[#This Row],[Weight]]-Table7[[#This Row],[Weight v Neck]]</f>
        <v>7.7071351351215753</v>
      </c>
      <c r="F223" s="2">
        <f>Table7[[#This Row],[WN Res]]^2</f>
        <v>59.399931991025461</v>
      </c>
      <c r="G223">
        <f>Regression!$D$10+(Regression!$D$9*Table83[[#This Row],[Morning Body Temp]])</f>
        <v>254.98916789486196</v>
      </c>
      <c r="H223" s="2">
        <f>Table83[[#This Row],[Weight]]-Table7[[#This Row],[Weight v Morning Temp]]</f>
        <v>6.0108321051380358</v>
      </c>
      <c r="I223" s="2">
        <f>Table7[[#This Row],[WMT Res]]^2</f>
        <v>36.130102596158153</v>
      </c>
      <c r="J223">
        <f>Regression!$E$10+(Regression!$E$9*Table83[[#This Row],[Morning Systolic Pressure]])</f>
        <v>254.87410060943841</v>
      </c>
      <c r="K223" s="2">
        <f>Table83[[#This Row],[Weight]]-Table7[[#This Row],[Weight v Morning Sys]]</f>
        <v>6.1258993905615853</v>
      </c>
      <c r="L223" s="2">
        <f>Table7[[#This Row],[WMS Res]]^2</f>
        <v>37.526643343282799</v>
      </c>
      <c r="M223">
        <f>Regression!$F$10+(Regression!$F$9*Table83[[#This Row],[Morning Diastolic Pressure]])</f>
        <v>255.81144964056082</v>
      </c>
      <c r="N223" s="2">
        <f>Table83[[#This Row],[Weight]]-Table7[[#This Row],[Weight v Morning Dia]]</f>
        <v>5.1885503594391764</v>
      </c>
      <c r="O223" s="2">
        <f>Table7[[#This Row],[WMD Res]]^2</f>
        <v>26.921054832436408</v>
      </c>
      <c r="P223">
        <f>Regression!$G$10+(Regression!$G$9*Table83[[#This Row],[Morning Pulse]])</f>
        <v>255.12095627742721</v>
      </c>
      <c r="Q223" s="2">
        <f>Table83[[#This Row],[Weight]]-Table7[[#This Row],[Weight v Morning Pulse]]</f>
        <v>5.8790437225727885</v>
      </c>
      <c r="R223" s="2">
        <f>Table7[[#This Row],[WMP Res]]^2</f>
        <v>34.563155091922511</v>
      </c>
      <c r="S223">
        <f>Regression!$H$10+(Regression!$H$9*Table83[[#This Row],[Night Body Temp]])</f>
        <v>256.18654209378701</v>
      </c>
      <c r="T223" s="2">
        <f>Table83[[#This Row],[Weight]]-Table7[[#This Row],[Weight v Night Temp]]</f>
        <v>4.8134579062129887</v>
      </c>
      <c r="U223" s="2">
        <f>Table7[[#This Row],[WNT Res]]^2</f>
        <v>23.169377014884329</v>
      </c>
      <c r="V223">
        <f>Regression!$I$10+(Regression!$I$9*Table83[[#This Row],[Night Systolic Pressure]])</f>
        <v>257.70205740985045</v>
      </c>
      <c r="W223" s="2">
        <f>Table83[[#This Row],[Weight]]-Table7[[#This Row],[Weight v Night Sys]]</f>
        <v>3.297942590149546</v>
      </c>
      <c r="X223" s="2">
        <f>Table7[[#This Row],[WNS Res]]^2</f>
        <v>10.876425327922297</v>
      </c>
      <c r="Y223">
        <f>Regression!$J$10+(Regression!$J$9*Table83[[#This Row],[Night Diastolic Pressure]])</f>
        <v>255.41844332157493</v>
      </c>
      <c r="Z223" s="2">
        <f>Table83[[#This Row],[Weight]]-Table7[[#This Row],[Weight v Night Dia]]</f>
        <v>5.5815566784250734</v>
      </c>
      <c r="AA223" s="2">
        <f>Table7[[#This Row],[WND Res]]^2</f>
        <v>31.153774954471537</v>
      </c>
      <c r="AB223">
        <f>Regression!$K$10+(Regression!$K$9*Table83[[#This Row],[Night Pulse]])</f>
        <v>255.50942516481868</v>
      </c>
      <c r="AC223" s="2">
        <f>Table83[[#This Row],[Weight]]-Table7[[#This Row],[Weight v Night Pulse]]</f>
        <v>5.4905748351813202</v>
      </c>
      <c r="AD223" s="2">
        <f>Table7[[#This Row],[WNP Res ]]^2</f>
        <v>30.14641202072638</v>
      </c>
      <c r="AE223">
        <f>Regression!$L$10+(Regression!$L$9*Table83[[#This Row],[Sleep]])</f>
        <v>255.76797809412898</v>
      </c>
      <c r="AF223" s="2">
        <f>Table83[[#This Row],[Weight]]-Table7[[#This Row],[Weight v Sleep]]</f>
        <v>5.2320219058710222</v>
      </c>
      <c r="AG223" s="2">
        <f>Table7[[#This Row],[WS Res]]^2</f>
        <v>27.374053223514245</v>
      </c>
      <c r="AH223">
        <f>Regression!$M$10+(Regression!$M$9*Table83[[#This Row],[BMI]])</f>
        <v>260.99999999998693</v>
      </c>
      <c r="AI223" s="2">
        <f>Table83[[#This Row],[Weight]]-Table7[[#This Row],[Weight v BMI]]</f>
        <v>1.3073986337985843E-11</v>
      </c>
      <c r="AJ223" s="2">
        <f>Table7[[#This Row],[WBMI Res]]^2</f>
        <v>1.7092911876584048E-22</v>
      </c>
      <c r="AK223">
        <f>Regression!$N$10+(Regression!$N$9*Table83[[#This Row],[CBF]])</f>
        <v>256.25609762651322</v>
      </c>
      <c r="AL223" s="2">
        <f>Table83[[#This Row],[Weight]]-Table7[[#This Row],[Weight v CBF]]</f>
        <v>4.743902373486776</v>
      </c>
      <c r="AM223" s="2">
        <f>Table7[[#This Row],[WCBF Res]]^2</f>
        <v>22.504609729173467</v>
      </c>
      <c r="AN223">
        <f>Regression!$O$10+(Regression!$O$9*Table83[[#This Row],[Gym]])</f>
        <v>254.72962962962998</v>
      </c>
      <c r="AO223" s="2">
        <f>Table83[[#This Row],[Weight]]-Table7[[#This Row],[Weight v Gym]]</f>
        <v>6.2703703703700171</v>
      </c>
      <c r="AP223" s="2">
        <f>Table7[[#This Row],[WG Res]]^2</f>
        <v>39.317544581614229</v>
      </c>
      <c r="AQ223">
        <f>Regression!$P$10+(Regression!$P$9*Table83[[#This Row],[Cardio]])</f>
        <v>256.41063829787231</v>
      </c>
      <c r="AR223" s="2">
        <f>Table83[[#This Row],[Weight]]-Table7[[#This Row],[Weight v Cardio]]</f>
        <v>4.5893617021276896</v>
      </c>
      <c r="AS223" s="2">
        <f>Table7[[#This Row],[WC Res]]^2</f>
        <v>21.062240832956363</v>
      </c>
      <c r="AT223">
        <f>Regression!$Q$10+(Regression!$Q$9*Table83[[#This Row],[Calories]])</f>
        <v>254.52091569017648</v>
      </c>
      <c r="AU223" s="2">
        <f>Table83[[#This Row],[Weight]]-Table7[[#This Row],[Weight v Calories]]</f>
        <v>6.47908430982352</v>
      </c>
      <c r="AV223" s="2">
        <f>Table7[[#This Row],[WCAL Res]]^2</f>
        <v>41.978533493801322</v>
      </c>
      <c r="AW223">
        <f>Regression!$R$10+(Regression!$R$9*Table83[[#This Row],[Carbs]])</f>
        <v>254.71086748070761</v>
      </c>
      <c r="AX223" s="2">
        <f>Table83[[#This Row],[Weight]]-Table7[[#This Row],[Weight v Carbs]]</f>
        <v>6.2891325192923944</v>
      </c>
      <c r="AY223" s="2">
        <f>Table7[[#This Row],[Wcarb Res]]^2</f>
        <v>39.553187845221096</v>
      </c>
      <c r="AZ223">
        <f>Regression!$S$10+(Regression!$S$9*Table83[[#This Row],[Fat ]])</f>
        <v>254.54366356660279</v>
      </c>
      <c r="BA223" s="2">
        <f>Table83[[#This Row],[Weight]]-Table7[[#This Row],[Weight v Fat]]</f>
        <v>6.4563364333972117</v>
      </c>
      <c r="BB223" s="2">
        <f>Table7[[#This Row],[WF Res]]^2</f>
        <v>41.684280141212227</v>
      </c>
      <c r="BC223">
        <f>Regression!$T$10+(Regression!$T$9*Table83[[#This Row],[Protein]])</f>
        <v>255.26607494049159</v>
      </c>
      <c r="BD223" s="2">
        <f>Table83[[#This Row],[Weight]]-Table7[[#This Row],[Weight v Protein]]</f>
        <v>5.7339250595084081</v>
      </c>
      <c r="BE223" s="2">
        <f>Table7[[#This Row],[WP Res]]^2</f>
        <v>32.877896588058505</v>
      </c>
      <c r="BF223">
        <f>Regression!$U$10+(Regression!$U$9*Table83[[#This Row],[Fiber]])</f>
        <v>255.21155591058653</v>
      </c>
      <c r="BG223" s="2">
        <f>Table83[[#This Row],[Weight]]-Table7[[#This Row],[Weight v Fiber]]</f>
        <v>5.7884440894134741</v>
      </c>
      <c r="BH223" s="2">
        <f>Table7[[#This Row],[Wfib Res]]^2</f>
        <v>33.506084976265782</v>
      </c>
      <c r="BI223">
        <f>Regression!$V$10+(Regression!$V$9*Table83[[#This Row],[Sugar]])</f>
        <v>255.33712911814345</v>
      </c>
      <c r="BJ223" s="2">
        <f>Table83[[#This Row],[Weight]]-Table7[[#This Row],[Weight v Sugar]]</f>
        <v>5.6628708818565485</v>
      </c>
      <c r="BK223" s="2">
        <f>Table7[[#This Row],[Wsugar Res]]^2</f>
        <v>32.06810662457876</v>
      </c>
      <c r="BL223">
        <f>Regression!$W$10+(Regression!$W$9*Table83[[#This Row],[Servings]])</f>
        <v>256.41219668790586</v>
      </c>
      <c r="BM223" s="2">
        <f>Table83[[#This Row],[Weight]]-Table7[[#This Row],[Weight v Servings]]</f>
        <v>4.5878033120941382</v>
      </c>
      <c r="BN223" s="2">
        <f>Table7[[#This Row],[Wserv Res]]^2</f>
        <v>21.047939230461942</v>
      </c>
      <c r="BO223">
        <f>Regression!$X$10+(Regression!$X$9*Table83[[#This Row],[Water]])</f>
        <v>255.19189796045953</v>
      </c>
      <c r="BP223" s="2">
        <f>Table83[[#This Row],[Weight]]-Table7[[#This Row],[Weight v Water]]</f>
        <v>5.8081020395404721</v>
      </c>
      <c r="BQ223" s="2">
        <f>Table7[[#This Row],[Wwater Res]]^2</f>
        <v>33.734049301714194</v>
      </c>
      <c r="BR223">
        <f>Regression!$Y$10+(Regression!$Y$9*Table83[[#This Row],[Fat Calories]])</f>
        <v>254.50208985667311</v>
      </c>
      <c r="BS223" s="2">
        <f>Table83[[#This Row],[Weight]]-Table7[[#This Row],[Weight v Fat Calories]]</f>
        <v>6.4979101433268909</v>
      </c>
      <c r="BT223" s="2">
        <f>Table7[[#This Row],[WFC Res]]^2</f>
        <v>42.222836230750495</v>
      </c>
      <c r="BU223">
        <f>Regression!$B$29+(Regression!$B$28*Table83[[#This Row],[Weight]])</f>
        <v>45.25543866839854</v>
      </c>
      <c r="BV223" s="2">
        <f>Table83[[#This Row],[Waist]]-Table7[[#This Row],[Waist v Weight]]</f>
        <v>-0.7554386683985399</v>
      </c>
      <c r="BW223" s="2">
        <f>Table7[[#This Row],[WaistW Res]]^2</f>
        <v>0.57068758171175915</v>
      </c>
      <c r="BX223">
        <f>Regression!$C$29+(Regression!$C$28*Table83[[#This Row],[Neck]])</f>
        <v>44.175585585585594</v>
      </c>
      <c r="BY223" s="2">
        <f>Table83[[#This Row],[Waist]]-Table7[[#This Row],[Waist v Neck]]</f>
        <v>0.32441441441440588</v>
      </c>
      <c r="BZ223" s="2">
        <f>Table7[[#This Row],[WaistN Res]]^2</f>
        <v>0.10524471227984188</v>
      </c>
      <c r="CA223">
        <f>Regression!$D$29+(Regression!$D$28*Table83[[#This Row],[Morning Body Temp]])</f>
        <v>44.419304304405451</v>
      </c>
      <c r="CB223" s="2">
        <f>Table83[[#This Row],[Waist]]-Table7[[#This Row],[Waist v Morning Temp]]</f>
        <v>8.0695695594549477E-2</v>
      </c>
      <c r="CC223" s="2">
        <f>Table7[[#This Row],[WaistMT Res]]^2</f>
        <v>6.511795287488192E-3</v>
      </c>
      <c r="CD223">
        <f>Regression!$E$29+(Regression!$E$28*Table83[[#This Row],[Morning Systolic Pressure]])</f>
        <v>44.396932701182067</v>
      </c>
      <c r="CE223" s="2">
        <f>Table83[[#This Row],[Waist]]-Table7[[#This Row],[Waist v Morning Sys]]</f>
        <v>0.10306729881793331</v>
      </c>
      <c r="CF223" s="2">
        <f>Table7[[#This Row],[WaistMS Res]]^2</f>
        <v>1.0622868085625157E-2</v>
      </c>
      <c r="CG223">
        <f>Regression!$F$29+(Regression!$F$28*Table83[[#This Row],[Morning Diastolic Pressure]])</f>
        <v>44.492266012826242</v>
      </c>
      <c r="CH223" s="2">
        <f>Table83[[#This Row],[Waist]]-Table7[[#This Row],[Waist v Morning Dia]]</f>
        <v>7.7339871737578392E-3</v>
      </c>
      <c r="CI223" s="2">
        <f>Table7[[#This Row],[WaistMD Res]]^2</f>
        <v>5.9814557603850768E-5</v>
      </c>
      <c r="CJ223">
        <f>Regression!$G$29+(Regression!$G$28*Table83[[#This Row],[Morning Pulse]])</f>
        <v>44.456255205227038</v>
      </c>
      <c r="CK223" s="2">
        <f>Table83[[#This Row],[Waist]]-Table7[[#This Row],[Waist v Morning Pulse]]</f>
        <v>4.3744794772962337E-2</v>
      </c>
      <c r="CL223" s="2">
        <f>Table7[[#This Row],[WaistMP Res]]^2</f>
        <v>1.913607069728593E-3</v>
      </c>
      <c r="CM223">
        <f>Regression!$H$29+(Regression!$H$28*Table83[[#This Row],[Night Body Temp]])</f>
        <v>44.538020116512925</v>
      </c>
      <c r="CN223" s="2">
        <f>Table83[[#This Row],[Waist]]-Table7[[#This Row],[Waist v Night Temp]]</f>
        <v>-3.8020116512925028E-2</v>
      </c>
      <c r="CO223" s="2">
        <f>Table7[[#This Row],[WaistNT Res]]^2</f>
        <v>1.4455292596563943E-3</v>
      </c>
      <c r="CP223">
        <f>Regression!$I$29+(Regression!$I$28*Table83[[#This Row],[Night Systolic Pressure]])</f>
        <v>44.820002173445545</v>
      </c>
      <c r="CQ223" s="2">
        <f>Table83[[#This Row],[Waist]]-Table7[[#This Row],[Waist v  Night Sys]]</f>
        <v>-0.32000217344554471</v>
      </c>
      <c r="CR223" s="2">
        <f>Table7[[#This Row],[WaistNS Res]]^2</f>
        <v>0.10240139100987249</v>
      </c>
      <c r="CS223">
        <f>Regression!$J$29+(Regression!$J$28*Table83[[#This Row],[Night Diastolic Pressure]])</f>
        <v>44.580567627605824</v>
      </c>
      <c r="CT223" s="2">
        <f>Table83[[#This Row],[Waist]]-Table7[[#This Row],[Waist v Night Dia]]</f>
        <v>-8.0567627605823589E-2</v>
      </c>
      <c r="CU223" s="2">
        <f>Table7[[#This Row],[WaistND Res]]^2</f>
        <v>6.4911426180306675E-3</v>
      </c>
      <c r="CV223">
        <f>Regression!$K$29+(Regression!$K$28*Table83[[#This Row],[Night Pulse]])</f>
        <v>44.416857177900795</v>
      </c>
      <c r="CW223" s="2">
        <f>Table83[[#This Row],[Waist]]-Table7[[#This Row],[Waist v Night Pulse]]</f>
        <v>8.3142822099205205E-2</v>
      </c>
      <c r="CX223" s="2">
        <f>Table7[[#This Row],[WaistNP Res]]^2</f>
        <v>6.9127288666200855E-3</v>
      </c>
      <c r="CY223">
        <f>Regression!$L$29+(Regression!$L$28*Table83[[#This Row],[Sleep]])</f>
        <v>44.553089788849412</v>
      </c>
      <c r="CZ223" s="2">
        <f>Table83[[#This Row],[Waist]]-Table7[[#This Row],[Waist v  Sleep]]</f>
        <v>-5.30897888494124E-2</v>
      </c>
      <c r="DA223" s="2">
        <f>Table7[[#This Row],[WaistS Res]]^2</f>
        <v>2.8185256800751933E-3</v>
      </c>
      <c r="DB223">
        <f>Regression!$M$29+(Regression!$M$28*Table83[[#This Row],[BMI]])</f>
        <v>45.255438668395996</v>
      </c>
      <c r="DC223" s="2">
        <f>Table83[[#This Row],[Waist]]-Table7[[#This Row],[Waist v BMI]]</f>
        <v>-0.75543866839599616</v>
      </c>
      <c r="DD223" s="2">
        <f>Table7[[#This Row],[WaistBMI Res]]^2</f>
        <v>0.57068758170791589</v>
      </c>
      <c r="DE223">
        <f>Regression!$N$29+(Regression!$N$28*Table83[[#This Row],[CBF]])</f>
        <v>44.659010290127611</v>
      </c>
      <c r="DF223" s="2">
        <f>Table83[[#This Row],[Waist]]-Table7[[#This Row],[Waist v  CBF]]</f>
        <v>-0.15901029012761114</v>
      </c>
      <c r="DG223" s="2">
        <f>Table7[[#This Row],[WaistCBF Res]]^2</f>
        <v>2.5284272366467068E-2</v>
      </c>
      <c r="DH223">
        <f>Regression!$O$29+(Regression!$O$28*Table83[[#This Row],[Gym]])</f>
        <v>44.347222222222221</v>
      </c>
      <c r="DI223" s="2">
        <f>Table83[[#This Row],[Waist]]-Table7[[#This Row],[Waist v  Gym]]</f>
        <v>0.15277777777777857</v>
      </c>
      <c r="DJ223" s="2">
        <f>Table7[[#This Row],[WaistGYM Res]]^2</f>
        <v>2.3341049382716292E-2</v>
      </c>
      <c r="DK223">
        <f>Regression!$P$29+(Regression!$P$28*Table83[[#This Row],[Cardio]])</f>
        <v>44.680851063829778</v>
      </c>
      <c r="DL223" s="2">
        <f>Table83[[#This Row],[Waist]]-Table7[[#This Row],[Waist v Cardio]]</f>
        <v>-0.18085106382977756</v>
      </c>
      <c r="DM223" s="2">
        <f>Table7[[#This Row],[WaistC Res]]^2</f>
        <v>3.2707107288362278E-2</v>
      </c>
      <c r="DN223">
        <f>Regression!$Q$29+(Regression!$Q$28*Table83[[#This Row],[Calories]])</f>
        <v>44.320052313684705</v>
      </c>
      <c r="DO223" s="2">
        <f>Table83[[#This Row],[Waist]]-Table7[[#This Row],[Waist v Calories]]</f>
        <v>0.17994768631529467</v>
      </c>
      <c r="DP223" s="2">
        <f>Table7[[#This Row],[WaistCal Res]]^2</f>
        <v>3.2381169810227692E-2</v>
      </c>
      <c r="DQ223">
        <f>Regression!$R$29+(Regression!$R$28*Table83[[#This Row],[Carbs]])</f>
        <v>44.369392695184146</v>
      </c>
      <c r="DR223" s="2">
        <f>Table83[[#This Row],[Waist]]-Table7[[#This Row],[Waist v Carbs]]</f>
        <v>0.13060730481585381</v>
      </c>
      <c r="DS223" s="2">
        <f>Table7[[#This Row],[WaistCarb Res]]^2</f>
        <v>1.7058268071261349E-2</v>
      </c>
      <c r="DT223">
        <f>Regression!$S$29+(Regression!$S$28*Table83[[#This Row],[Fat ]])</f>
        <v>44.278880840734367</v>
      </c>
      <c r="DU223" s="2">
        <f>Table83[[#This Row],[Waist]]-Table7[[#This Row],[Waist v Fat]]</f>
        <v>0.22111915926563341</v>
      </c>
      <c r="DV223" s="2">
        <f>Table7[[#This Row],[WaistF Res]]^2</f>
        <v>4.8893682594340557E-2</v>
      </c>
      <c r="DW223">
        <f>Regression!$T$29+(Regression!$T$28*Table83[[#This Row],[Protein]])</f>
        <v>44.48118405002797</v>
      </c>
      <c r="DX223" s="2">
        <f>Table83[[#This Row],[Waist]]-Table7[[#This Row],[Waist v Protein]]</f>
        <v>1.8815949972029955E-2</v>
      </c>
      <c r="DY223" s="2">
        <f>Table7[[#This Row],[WaistP Res]]^2</f>
        <v>3.5403997334993408E-4</v>
      </c>
      <c r="DZ223">
        <f>Regression!$U$29+(Regression!$U$28*Table83[[#This Row],[Fiber]])</f>
        <v>44.490779808622278</v>
      </c>
      <c r="EA223" s="2">
        <f>Table83[[#This Row],[Waist]]-Table7[[#This Row],[Waist v Fiber]]</f>
        <v>9.220191377721676E-3</v>
      </c>
      <c r="EB223" s="2">
        <f>Table7[[#This Row],[WaistFib Res]]^2</f>
        <v>8.5011929041813142E-5</v>
      </c>
      <c r="EC223">
        <f>Regression!$V$29+(Regression!$V$28*Table83[[#This Row],[Sugar]])</f>
        <v>44.493434893049702</v>
      </c>
      <c r="ED223" s="2">
        <f>Table83[[#This Row],[Waist]]-Table7[[#This Row],[Waist v Sugar]]</f>
        <v>6.5651069502976611E-3</v>
      </c>
      <c r="EE223" s="2">
        <f>Table7[[#This Row],[WaistSugar Res]]^2</f>
        <v>4.3100629268846656E-5</v>
      </c>
      <c r="EF223">
        <f>Regression!$W$29+(Regression!$W$28*Table83[[#This Row],[Servings]])</f>
        <v>44.651463674817222</v>
      </c>
      <c r="EG223" s="2">
        <f>Table83[[#This Row],[Waist]]-Table7[[#This Row],[Waist v Servings]]</f>
        <v>-0.15146367481722223</v>
      </c>
      <c r="EH223" s="2">
        <f>Table7[[#This Row],[WaistServ Res]]^2</f>
        <v>2.2941244789137238E-2</v>
      </c>
      <c r="EI223">
        <f>Regression!$X$29+(Regression!$X$28*Table83[[#This Row],[Water]])</f>
        <v>44.553850107074496</v>
      </c>
      <c r="EJ223" s="2">
        <f>Table83[[#This Row],[Waist]]-Table7[[#This Row],[Waist v Water]]</f>
        <v>-5.3850107074495668E-2</v>
      </c>
      <c r="EK223" s="2">
        <f>Table7[[#This Row],[WaistWat Res]]^2</f>
        <v>2.8998340319346485E-3</v>
      </c>
      <c r="EL223">
        <f>Regression!$Y$29+(Regression!$Y$28*Table83[[#This Row],[Fat Calories]])</f>
        <v>44.267122759414114</v>
      </c>
      <c r="EM223" s="2">
        <f>Table83[[#This Row],[Waist]]-Table7[[#This Row],[Waist v Fat Calories]]</f>
        <v>0.23287724058588566</v>
      </c>
      <c r="EN223" s="2">
        <f>Table7[[#This Row],[WaistFatCal Res]]^2</f>
        <v>5.4231809182896468E-2</v>
      </c>
    </row>
    <row r="224" spans="1:144" x14ac:dyDescent="0.25">
      <c r="A224">
        <f>Regression!$B$10+(Regression!$B$9*Table83[[#This Row],[Waist]])</f>
        <v>261.08819223590376</v>
      </c>
      <c r="B224" s="2">
        <f>Table83[[#This Row],[Weight]]-Table7[[#This Row],[Weight v Waist]]</f>
        <v>-2.0881922359037617</v>
      </c>
      <c r="C224" s="2">
        <f>Table7[[#This Row],[Weight v Waist Res]]^2</f>
        <v>4.3605468140887513</v>
      </c>
      <c r="D224">
        <f>Regression!$C$10+(Regression!$C$9*Table83[[#This Row],[Neck]])</f>
        <v>253.29286486487842</v>
      </c>
      <c r="E224" s="2">
        <f>Table83[[#This Row],[Weight]]-Table7[[#This Row],[Weight v Neck]]</f>
        <v>5.7071351351215753</v>
      </c>
      <c r="F224" s="2">
        <f>Table7[[#This Row],[WN Res]]^2</f>
        <v>32.57139145053916</v>
      </c>
      <c r="G224">
        <f>Regression!$D$10+(Regression!$D$9*Table83[[#This Row],[Morning Body Temp]])</f>
        <v>255.76355199130799</v>
      </c>
      <c r="H224" s="2">
        <f>Table83[[#This Row],[Weight]]-Table7[[#This Row],[Weight v Morning Temp]]</f>
        <v>3.2364480086920082</v>
      </c>
      <c r="I224" s="2">
        <f>Table7[[#This Row],[WMT Res]]^2</f>
        <v>10.474595712966465</v>
      </c>
      <c r="J224">
        <f>Regression!$E$10+(Regression!$E$9*Table83[[#This Row],[Morning Systolic Pressure]])</f>
        <v>254.73886899784827</v>
      </c>
      <c r="K224" s="2">
        <f>Table83[[#This Row],[Weight]]-Table7[[#This Row],[Weight v Morning Sys]]</f>
        <v>4.2611310021517284</v>
      </c>
      <c r="L224" s="2">
        <f>Table7[[#This Row],[WMS Res]]^2</f>
        <v>18.157237417498592</v>
      </c>
      <c r="M224">
        <f>Regression!$F$10+(Regression!$F$9*Table83[[#This Row],[Morning Diastolic Pressure]])</f>
        <v>256.01413813865059</v>
      </c>
      <c r="N224" s="2">
        <f>Table83[[#This Row],[Weight]]-Table7[[#This Row],[Weight v Morning Dia]]</f>
        <v>2.9858618613494059</v>
      </c>
      <c r="O224" s="2">
        <f>Table7[[#This Row],[WMD Res]]^2</f>
        <v>8.9153710550609393</v>
      </c>
      <c r="P224">
        <f>Regression!$G$10+(Regression!$G$9*Table83[[#This Row],[Morning Pulse]])</f>
        <v>255.10267831985533</v>
      </c>
      <c r="Q224" s="2">
        <f>Table83[[#This Row],[Weight]]-Table7[[#This Row],[Weight v Morning Pulse]]</f>
        <v>3.8973216801446711</v>
      </c>
      <c r="R224" s="2">
        <f>Table7[[#This Row],[WMP Res]]^2</f>
        <v>15.189116278525681</v>
      </c>
      <c r="S224">
        <f>Regression!$H$10+(Regression!$H$9*Table83[[#This Row],[Night Body Temp]])</f>
        <v>255.57036267089688</v>
      </c>
      <c r="T224" s="2">
        <f>Table83[[#This Row],[Weight]]-Table7[[#This Row],[Weight v Night Temp]]</f>
        <v>3.4296373291031159</v>
      </c>
      <c r="U224" s="2">
        <f>Table7[[#This Row],[WNT Res]]^2</f>
        <v>11.762412209177555</v>
      </c>
      <c r="V224">
        <f>Regression!$I$10+(Regression!$I$9*Table83[[#This Row],[Night Systolic Pressure]])</f>
        <v>253.69890888274017</v>
      </c>
      <c r="W224" s="2">
        <f>Table83[[#This Row],[Weight]]-Table7[[#This Row],[Weight v Night Sys]]</f>
        <v>5.3010911172598298</v>
      </c>
      <c r="X224" s="2">
        <f>Table7[[#This Row],[WNS Res]]^2</f>
        <v>28.101567033491072</v>
      </c>
      <c r="Y224">
        <f>Regression!$J$10+(Regression!$J$9*Table83[[#This Row],[Night Diastolic Pressure]])</f>
        <v>255.29614571632661</v>
      </c>
      <c r="Z224" s="2">
        <f>Table83[[#This Row],[Weight]]-Table7[[#This Row],[Weight v Night Dia]]</f>
        <v>3.7038542836733939</v>
      </c>
      <c r="AA224" s="2">
        <f>Table7[[#This Row],[WND Res]]^2</f>
        <v>13.71853655468575</v>
      </c>
      <c r="AB224">
        <f>Regression!$K$10+(Regression!$K$9*Table83[[#This Row],[Night Pulse]])</f>
        <v>254.95658520255759</v>
      </c>
      <c r="AC224" s="2">
        <f>Table83[[#This Row],[Weight]]-Table7[[#This Row],[Weight v Night Pulse]]</f>
        <v>4.0434147974424093</v>
      </c>
      <c r="AD224" s="2">
        <f>Table7[[#This Row],[WNP Res ]]^2</f>
        <v>16.34920322417624</v>
      </c>
      <c r="AE224">
        <f>Regression!$L$10+(Regression!$L$9*Table83[[#This Row],[Sleep]])</f>
        <v>255.76797809412898</v>
      </c>
      <c r="AF224" s="2">
        <f>Table83[[#This Row],[Weight]]-Table7[[#This Row],[Weight v Sleep]]</f>
        <v>3.2320219058710222</v>
      </c>
      <c r="AG224" s="2">
        <f>Table7[[#This Row],[WS Res]]^2</f>
        <v>10.445965600030155</v>
      </c>
      <c r="AH224">
        <f>Regression!$M$10+(Regression!$M$9*Table83[[#This Row],[BMI]])</f>
        <v>258.99999999999136</v>
      </c>
      <c r="AI224" s="2">
        <f>Table83[[#This Row],[Weight]]-Table7[[#This Row],[Weight v BMI]]</f>
        <v>8.6401996668428183E-12</v>
      </c>
      <c r="AJ224" s="2">
        <f>Table7[[#This Row],[WBMI Res]]^2</f>
        <v>7.4653050282910748E-23</v>
      </c>
      <c r="AK224">
        <f>Regression!$N$10+(Regression!$N$9*Table83[[#This Row],[CBF]])</f>
        <v>262.24752658837394</v>
      </c>
      <c r="AL224" s="2">
        <f>Table83[[#This Row],[Weight]]-Table7[[#This Row],[Weight v CBF]]</f>
        <v>-3.2475265883739439</v>
      </c>
      <c r="AM224" s="2">
        <f>Table7[[#This Row],[WCBF Res]]^2</f>
        <v>10.546428942195707</v>
      </c>
      <c r="AN224">
        <f>Regression!$O$10+(Regression!$O$9*Table83[[#This Row],[Gym]])</f>
        <v>255.46779661016953</v>
      </c>
      <c r="AO224" s="2">
        <f>Table83[[#This Row],[Weight]]-Table7[[#This Row],[Weight v Gym]]</f>
        <v>3.532203389830471</v>
      </c>
      <c r="AP224" s="2">
        <f>Table7[[#This Row],[WG Res]]^2</f>
        <v>12.47646078712987</v>
      </c>
      <c r="AQ224">
        <f>Regression!$P$10+(Regression!$P$9*Table83[[#This Row],[Cardio]])</f>
        <v>254.19242424242461</v>
      </c>
      <c r="AR224" s="2">
        <f>Table83[[#This Row],[Weight]]-Table7[[#This Row],[Weight v Cardio]]</f>
        <v>4.8075757575753926</v>
      </c>
      <c r="AS224" s="2">
        <f>Table7[[#This Row],[WC Res]]^2</f>
        <v>23.112784664826609</v>
      </c>
      <c r="AT224">
        <f>Regression!$Q$10+(Regression!$Q$9*Table83[[#This Row],[Calories]])</f>
        <v>255.49533669742524</v>
      </c>
      <c r="AU224" s="2">
        <f>Table83[[#This Row],[Weight]]-Table7[[#This Row],[Weight v Calories]]</f>
        <v>3.5046633025747553</v>
      </c>
      <c r="AV224" s="2">
        <f>Table7[[#This Row],[WCAL Res]]^2</f>
        <v>12.28266486441419</v>
      </c>
      <c r="AW224">
        <f>Regression!$R$10+(Regression!$R$9*Table83[[#This Row],[Carbs]])</f>
        <v>255.29115627121124</v>
      </c>
      <c r="AX224" s="2">
        <f>Table83[[#This Row],[Weight]]-Table7[[#This Row],[Weight v Carbs]]</f>
        <v>3.7088437287887643</v>
      </c>
      <c r="AY224" s="2">
        <f>Table7[[#This Row],[Wcarb Res]]^2</f>
        <v>13.755521804575745</v>
      </c>
      <c r="AZ224">
        <f>Regression!$S$10+(Regression!$S$9*Table83[[#This Row],[Fat ]])</f>
        <v>255.45024391391144</v>
      </c>
      <c r="BA224" s="2">
        <f>Table83[[#This Row],[Weight]]-Table7[[#This Row],[Weight v Fat]]</f>
        <v>3.5497560860885642</v>
      </c>
      <c r="BB224" s="2">
        <f>Table7[[#This Row],[WF Res]]^2</f>
        <v>12.600768270722803</v>
      </c>
      <c r="BC224">
        <f>Regression!$T$10+(Regression!$T$9*Table83[[#This Row],[Protein]])</f>
        <v>255.73228144222989</v>
      </c>
      <c r="BD224" s="2">
        <f>Table83[[#This Row],[Weight]]-Table7[[#This Row],[Weight v Protein]]</f>
        <v>3.2677185577701096</v>
      </c>
      <c r="BE224" s="2">
        <f>Table7[[#This Row],[WP Res]]^2</f>
        <v>10.677984572795165</v>
      </c>
      <c r="BF224">
        <f>Regression!$U$10+(Regression!$U$9*Table83[[#This Row],[Fiber]])</f>
        <v>255.2159980835097</v>
      </c>
      <c r="BG224" s="2">
        <f>Table83[[#This Row],[Weight]]-Table7[[#This Row],[Weight v Fiber]]</f>
        <v>3.7840019164902969</v>
      </c>
      <c r="BH224" s="2">
        <f>Table7[[#This Row],[Wfib Res]]^2</f>
        <v>14.31867050400224</v>
      </c>
      <c r="BI224">
        <f>Regression!$V$10+(Regression!$V$9*Table83[[#This Row],[Sugar]])</f>
        <v>255.19511803542161</v>
      </c>
      <c r="BJ224" s="2">
        <f>Table83[[#This Row],[Weight]]-Table7[[#This Row],[Weight v Sugar]]</f>
        <v>3.8048819645783851</v>
      </c>
      <c r="BK224" s="2">
        <f>Table7[[#This Row],[Wsugar Res]]^2</f>
        <v>14.477126764373871</v>
      </c>
      <c r="BL224">
        <f>Regression!$W$10+(Regression!$W$9*Table83[[#This Row],[Servings]])</f>
        <v>254.74176923183316</v>
      </c>
      <c r="BM224" s="2">
        <f>Table83[[#This Row],[Weight]]-Table7[[#This Row],[Weight v Servings]]</f>
        <v>4.2582307681668397</v>
      </c>
      <c r="BN224" s="2">
        <f>Table7[[#This Row],[Wserv Res]]^2</f>
        <v>18.132529274962753</v>
      </c>
      <c r="BO224">
        <f>Regression!$X$10+(Regression!$X$9*Table83[[#This Row],[Water]])</f>
        <v>255.1490819770581</v>
      </c>
      <c r="BP224" s="2">
        <f>Table83[[#This Row],[Weight]]-Table7[[#This Row],[Weight v Water]]</f>
        <v>3.8509180229418973</v>
      </c>
      <c r="BQ224" s="2">
        <f>Table7[[#This Row],[Wwater Res]]^2</f>
        <v>14.829569619418731</v>
      </c>
      <c r="BR224">
        <f>Regression!$Y$10+(Regression!$Y$9*Table83[[#This Row],[Fat Calories]])</f>
        <v>255.46691941341453</v>
      </c>
      <c r="BS224" s="2">
        <f>Table83[[#This Row],[Weight]]-Table7[[#This Row],[Weight v Fat Calories]]</f>
        <v>3.53308058658547</v>
      </c>
      <c r="BT224" s="2">
        <f>Table7[[#This Row],[WFC Res]]^2</f>
        <v>12.482658431307129</v>
      </c>
      <c r="BU224">
        <f>Regression!$B$29+(Regression!$B$28*Table83[[#This Row],[Weight]])</f>
        <v>44.982913647258577</v>
      </c>
      <c r="BV224" s="2">
        <f>Table83[[#This Row],[Waist]]-Table7[[#This Row],[Waist v Weight]]</f>
        <v>0.51708635274142267</v>
      </c>
      <c r="BW224" s="2">
        <f>Table7[[#This Row],[WaistW Res]]^2</f>
        <v>0.267378296191427</v>
      </c>
      <c r="BX224">
        <f>Regression!$C$29+(Regression!$C$28*Table83[[#This Row],[Neck]])</f>
        <v>44.175585585585594</v>
      </c>
      <c r="BY224" s="2">
        <f>Table83[[#This Row],[Waist]]-Table7[[#This Row],[Waist v Neck]]</f>
        <v>1.3244144144144059</v>
      </c>
      <c r="BZ224" s="2">
        <f>Table7[[#This Row],[WaistN Res]]^2</f>
        <v>1.7540735411086537</v>
      </c>
      <c r="CA224">
        <f>Regression!$D$29+(Regression!$D$28*Table83[[#This Row],[Morning Body Temp]])</f>
        <v>44.629919249340105</v>
      </c>
      <c r="CB224" s="2">
        <f>Table83[[#This Row],[Waist]]-Table7[[#This Row],[Waist v Morning Temp]]</f>
        <v>0.87008075065989487</v>
      </c>
      <c r="CC224" s="2">
        <f>Table7[[#This Row],[WaistMT Res]]^2</f>
        <v>0.75704051266888617</v>
      </c>
      <c r="CD224">
        <f>Regression!$E$29+(Regression!$E$28*Table83[[#This Row],[Morning Systolic Pressure]])</f>
        <v>44.365161485454784</v>
      </c>
      <c r="CE224" s="2">
        <f>Table83[[#This Row],[Waist]]-Table7[[#This Row],[Waist v Morning Sys]]</f>
        <v>1.1348385145452156</v>
      </c>
      <c r="CF224" s="2">
        <f>Table7[[#This Row],[WaistMS Res]]^2</f>
        <v>1.2878584540951914</v>
      </c>
      <c r="CG224">
        <f>Regression!$F$29+(Regression!$F$28*Table83[[#This Row],[Morning Diastolic Pressure]])</f>
        <v>44.503537254163952</v>
      </c>
      <c r="CH224" s="2">
        <f>Table83[[#This Row],[Waist]]-Table7[[#This Row],[Waist v Morning Dia]]</f>
        <v>0.99646274583604821</v>
      </c>
      <c r="CI224" s="2">
        <f>Table7[[#This Row],[WaistMD Res]]^2</f>
        <v>0.99293800383911679</v>
      </c>
      <c r="CJ224">
        <f>Regression!$G$29+(Regression!$G$28*Table83[[#This Row],[Morning Pulse]])</f>
        <v>44.447860179490903</v>
      </c>
      <c r="CK224" s="2">
        <f>Table83[[#This Row],[Waist]]-Table7[[#This Row],[Waist v Morning Pulse]]</f>
        <v>1.0521398205090975</v>
      </c>
      <c r="CL224" s="2">
        <f>Table7[[#This Row],[WaistMP Res]]^2</f>
        <v>1.1069982019009159</v>
      </c>
      <c r="CM224">
        <f>Regression!$H$29+(Regression!$H$28*Table83[[#This Row],[Night Body Temp]])</f>
        <v>44.489438573683607</v>
      </c>
      <c r="CN224" s="2">
        <f>Table83[[#This Row],[Waist]]-Table7[[#This Row],[Waist v Night Temp]]</f>
        <v>1.0105614263163929</v>
      </c>
      <c r="CO224" s="2">
        <f>Table7[[#This Row],[WaistNT Res]]^2</f>
        <v>1.0212343963586223</v>
      </c>
      <c r="CP224">
        <f>Regression!$I$29+(Regression!$I$28*Table83[[#This Row],[Night Systolic Pressure]])</f>
        <v>44.252937714746622</v>
      </c>
      <c r="CQ224" s="2">
        <f>Table83[[#This Row],[Waist]]-Table7[[#This Row],[Waist v  Night Sys]]</f>
        <v>1.2470622852533779</v>
      </c>
      <c r="CR224" s="2">
        <f>Table7[[#This Row],[WaistNS Res]]^2</f>
        <v>1.5551643433013773</v>
      </c>
      <c r="CS224">
        <f>Regression!$J$29+(Regression!$J$28*Table83[[#This Row],[Night Diastolic Pressure]])</f>
        <v>44.529363791983499</v>
      </c>
      <c r="CT224" s="2">
        <f>Table83[[#This Row],[Waist]]-Table7[[#This Row],[Waist v Night Dia]]</f>
        <v>0.97063620801650075</v>
      </c>
      <c r="CU224" s="2">
        <f>Table7[[#This Row],[WaistND Res]]^2</f>
        <v>0.9421346483126517</v>
      </c>
      <c r="CV224">
        <f>Regression!$K$29+(Regression!$K$28*Table83[[#This Row],[Night Pulse]])</f>
        <v>44.468278611498164</v>
      </c>
      <c r="CW224" s="2">
        <f>Table83[[#This Row],[Waist]]-Table7[[#This Row],[Waist v Night Pulse]]</f>
        <v>1.0317213885018361</v>
      </c>
      <c r="CX224" s="2">
        <f>Table7[[#This Row],[WaistNP Res]]^2</f>
        <v>1.0644490234921566</v>
      </c>
      <c r="CY224">
        <f>Regression!$L$29+(Regression!$L$28*Table83[[#This Row],[Sleep]])</f>
        <v>44.553089788849412</v>
      </c>
      <c r="CZ224" s="2">
        <f>Table83[[#This Row],[Waist]]-Table7[[#This Row],[Waist v  Sleep]]</f>
        <v>0.9469102111505876</v>
      </c>
      <c r="DA224" s="2">
        <f>Table7[[#This Row],[WaistS Res]]^2</f>
        <v>0.89663894798125043</v>
      </c>
      <c r="DB224">
        <f>Regression!$M$29+(Regression!$M$28*Table83[[#This Row],[BMI]])</f>
        <v>44.982913647256893</v>
      </c>
      <c r="DC224" s="2">
        <f>Table83[[#This Row],[Waist]]-Table7[[#This Row],[Waist v BMI]]</f>
        <v>0.51708635274310666</v>
      </c>
      <c r="DD224" s="2">
        <f>Table7[[#This Row],[WaistBMI Res]]^2</f>
        <v>0.26737829619316855</v>
      </c>
      <c r="DE224">
        <f>Regression!$N$29+(Regression!$N$28*Table83[[#This Row],[CBF]])</f>
        <v>45.737892076427137</v>
      </c>
      <c r="DF224" s="2">
        <f>Table83[[#This Row],[Waist]]-Table7[[#This Row],[Waist v  CBF]]</f>
        <v>-0.23789207642713706</v>
      </c>
      <c r="DG224" s="2">
        <f>Table7[[#This Row],[WaistCBF Res]]^2</f>
        <v>5.6592640026814821E-2</v>
      </c>
      <c r="DH224">
        <f>Regression!$O$29+(Regression!$O$28*Table83[[#This Row],[Gym]])</f>
        <v>44.550847457627107</v>
      </c>
      <c r="DI224" s="2">
        <f>Table83[[#This Row],[Waist]]-Table7[[#This Row],[Waist v  Gym]]</f>
        <v>0.94915254237289304</v>
      </c>
      <c r="DJ224" s="2">
        <f>Table7[[#This Row],[WaistGYM Res]]^2</f>
        <v>0.90089054869292651</v>
      </c>
      <c r="DK224">
        <f>Regression!$P$29+(Regression!$P$28*Table83[[#This Row],[Cardio]])</f>
        <v>44.291666666666664</v>
      </c>
      <c r="DL224" s="2">
        <f>Table83[[#This Row],[Waist]]-Table7[[#This Row],[Waist v Cardio]]</f>
        <v>1.2083333333333357</v>
      </c>
      <c r="DM224" s="2">
        <f>Table7[[#This Row],[WaistC Res]]^2</f>
        <v>1.4600694444444502</v>
      </c>
      <c r="DN224">
        <f>Regression!$Q$29+(Regression!$Q$28*Table83[[#This Row],[Calories]])</f>
        <v>44.538983101684053</v>
      </c>
      <c r="DO224" s="2">
        <f>Table83[[#This Row],[Waist]]-Table7[[#This Row],[Waist v Calories]]</f>
        <v>0.96101689831594683</v>
      </c>
      <c r="DP224" s="2">
        <f>Table7[[#This Row],[WaistCal Res]]^2</f>
        <v>0.9235534788488029</v>
      </c>
      <c r="DQ224">
        <f>Regression!$R$29+(Regression!$R$28*Table83[[#This Row],[Carbs]])</f>
        <v>44.490205267817899</v>
      </c>
      <c r="DR224" s="2">
        <f>Table83[[#This Row],[Waist]]-Table7[[#This Row],[Waist v Carbs]]</f>
        <v>1.009794732182101</v>
      </c>
      <c r="DS224" s="2">
        <f>Table7[[#This Row],[WaistCarb Res]]^2</f>
        <v>1.0196854011427212</v>
      </c>
      <c r="DT224">
        <f>Regression!$S$29+(Regression!$S$28*Table83[[#This Row],[Fat ]])</f>
        <v>44.556003267209441</v>
      </c>
      <c r="DU224" s="2">
        <f>Table83[[#This Row],[Waist]]-Table7[[#This Row],[Waist v Fat]]</f>
        <v>0.94399673279055918</v>
      </c>
      <c r="DV224" s="2">
        <f>Table7[[#This Row],[WaistF Res]]^2</f>
        <v>0.8911298315192504</v>
      </c>
      <c r="DW224">
        <f>Regression!$T$29+(Regression!$T$28*Table83[[#This Row],[Protein]])</f>
        <v>44.566517157763379</v>
      </c>
      <c r="DX224" s="2">
        <f>Table83[[#This Row],[Waist]]-Table7[[#This Row],[Waist v Protein]]</f>
        <v>0.93348284223662148</v>
      </c>
      <c r="DY224" s="2">
        <f>Table7[[#This Row],[WaistP Res]]^2</f>
        <v>0.87139021675016115</v>
      </c>
      <c r="DZ224">
        <f>Regression!$U$29+(Regression!$U$28*Table83[[#This Row],[Fiber]])</f>
        <v>44.492493865254964</v>
      </c>
      <c r="EA224" s="2">
        <f>Table83[[#This Row],[Waist]]-Table7[[#This Row],[Waist v Fiber]]</f>
        <v>1.0075061347450358</v>
      </c>
      <c r="EB224" s="2">
        <f>Table7[[#This Row],[WaistFib Res]]^2</f>
        <v>1.0150686115488823</v>
      </c>
      <c r="EC224">
        <f>Regression!$V$29+(Regression!$V$28*Table83[[#This Row],[Sugar]])</f>
        <v>44.467924185892151</v>
      </c>
      <c r="ED224" s="2">
        <f>Table83[[#This Row],[Waist]]-Table7[[#This Row],[Waist v Sugar]]</f>
        <v>1.0320758141078485</v>
      </c>
      <c r="EE224" s="2">
        <f>Table7[[#This Row],[WaistSugar Res]]^2</f>
        <v>1.0651804860663783</v>
      </c>
      <c r="EF224">
        <f>Regression!$W$29+(Regression!$W$28*Table83[[#This Row],[Servings]])</f>
        <v>44.396584274334202</v>
      </c>
      <c r="EG224" s="2">
        <f>Table83[[#This Row],[Waist]]-Table7[[#This Row],[Waist v Servings]]</f>
        <v>1.1034157256657977</v>
      </c>
      <c r="EH224" s="2">
        <f>Table7[[#This Row],[WaistServ Res]]^2</f>
        <v>1.2175262636465789</v>
      </c>
      <c r="EI224">
        <f>Regression!$X$29+(Regression!$X$28*Table83[[#This Row],[Water]])</f>
        <v>44.497966229663206</v>
      </c>
      <c r="EJ224" s="2">
        <f>Table83[[#This Row],[Waist]]-Table7[[#This Row],[Waist v Water]]</f>
        <v>1.0020337703367943</v>
      </c>
      <c r="EK224" s="2">
        <f>Table7[[#This Row],[WaistWat Res]]^2</f>
        <v>1.0040716768953715</v>
      </c>
      <c r="EL224">
        <f>Regression!$Y$29+(Regression!$Y$28*Table83[[#This Row],[Fat Calories]])</f>
        <v>44.560555183497186</v>
      </c>
      <c r="EM224" s="2">
        <f>Table83[[#This Row],[Waist]]-Table7[[#This Row],[Waist v Fat Calories]]</f>
        <v>0.93944481650281375</v>
      </c>
      <c r="EN224" s="2">
        <f>Table7[[#This Row],[WaistFatCal Res]]^2</f>
        <v>0.88255656325400544</v>
      </c>
    </row>
    <row r="225" spans="1:144" x14ac:dyDescent="0.25">
      <c r="A225">
        <f>Regression!$B$10+(Regression!$B$9*Table83[[#This Row],[Waist]])</f>
        <v>258.23421455025004</v>
      </c>
      <c r="B225" s="2">
        <f>Table83[[#This Row],[Weight]]-Table7[[#This Row],[Weight v Waist]]</f>
        <v>0.3657854497499784</v>
      </c>
      <c r="C225" s="2">
        <f>Table7[[#This Row],[Weight v Waist Res]]^2</f>
        <v>0.13379899524879396</v>
      </c>
      <c r="D225">
        <f>Regression!$C$10+(Regression!$C$9*Table83[[#This Row],[Neck]])</f>
        <v>253.29286486487842</v>
      </c>
      <c r="E225" s="2">
        <f>Table83[[#This Row],[Weight]]-Table7[[#This Row],[Weight v Neck]]</f>
        <v>5.3071351351215981</v>
      </c>
      <c r="F225" s="2">
        <f>Table7[[#This Row],[WN Res]]^2</f>
        <v>28.165683342442144</v>
      </c>
      <c r="G225">
        <f>Regression!$D$10+(Regression!$D$9*Table83[[#This Row],[Morning Body Temp]])</f>
        <v>254.77797223219488</v>
      </c>
      <c r="H225" s="2">
        <f>Table83[[#This Row],[Weight]]-Table7[[#This Row],[Weight v Morning Temp]]</f>
        <v>3.8220277678051389</v>
      </c>
      <c r="I225" s="2">
        <f>Table7[[#This Row],[WMT Res]]^2</f>
        <v>14.607896257873533</v>
      </c>
      <c r="J225">
        <f>Regression!$E$10+(Regression!$E$9*Table83[[#This Row],[Morning Systolic Pressure]])</f>
        <v>255.1896410364821</v>
      </c>
      <c r="K225" s="2">
        <f>Table83[[#This Row],[Weight]]-Table7[[#This Row],[Weight v Morning Sys]]</f>
        <v>3.4103589635179219</v>
      </c>
      <c r="L225" s="2">
        <f>Table7[[#This Row],[WMS Res]]^2</f>
        <v>11.630548260047034</v>
      </c>
      <c r="M225">
        <f>Regression!$F$10+(Regression!$F$9*Table83[[#This Row],[Morning Diastolic Pressure]])</f>
        <v>255.40607264438131</v>
      </c>
      <c r="N225" s="2">
        <f>Table83[[#This Row],[Weight]]-Table7[[#This Row],[Weight v Morning Dia]]</f>
        <v>3.1939273556187118</v>
      </c>
      <c r="O225" s="2">
        <f>Table7[[#This Row],[WMD Res]]^2</f>
        <v>10.201171952969537</v>
      </c>
      <c r="P225">
        <f>Regression!$G$10+(Regression!$G$9*Table83[[#This Row],[Morning Pulse]])</f>
        <v>255.13557864348473</v>
      </c>
      <c r="Q225" s="2">
        <f>Table83[[#This Row],[Weight]]-Table7[[#This Row],[Weight v Morning Pulse]]</f>
        <v>3.4644213565152882</v>
      </c>
      <c r="R225" s="2">
        <f>Table7[[#This Row],[WMP Res]]^2</f>
        <v>12.00221533547923</v>
      </c>
      <c r="S225">
        <f>Regression!$H$10+(Regression!$H$9*Table83[[#This Row],[Night Body Temp]])</f>
        <v>254.64609353656169</v>
      </c>
      <c r="T225" s="2">
        <f>Table83[[#This Row],[Weight]]-Table7[[#This Row],[Weight v Night Temp]]</f>
        <v>3.9539064634383294</v>
      </c>
      <c r="U225" s="2">
        <f>Table7[[#This Row],[WNT Res]]^2</f>
        <v>15.633376321619398</v>
      </c>
      <c r="V225">
        <f>Regression!$I$10+(Regression!$I$9*Table83[[#This Row],[Night Systolic Pressure]])</f>
        <v>255.34122622719568</v>
      </c>
      <c r="W225" s="2">
        <f>Table83[[#This Row],[Weight]]-Table7[[#This Row],[Weight v Night Sys]]</f>
        <v>3.2587737728043464</v>
      </c>
      <c r="X225" s="2">
        <f>Table7[[#This Row],[WNS Res]]^2</f>
        <v>10.619606502317474</v>
      </c>
      <c r="Y225">
        <f>Regression!$J$10+(Regression!$J$9*Table83[[#This Row],[Night Diastolic Pressure]])</f>
        <v>255.01078463741391</v>
      </c>
      <c r="Z225" s="2">
        <f>Table83[[#This Row],[Weight]]-Table7[[#This Row],[Weight v Night Dia]]</f>
        <v>3.589215362586117</v>
      </c>
      <c r="AA225" s="2">
        <f>Table7[[#This Row],[WND Res]]^2</f>
        <v>12.882466919024191</v>
      </c>
      <c r="AB225">
        <f>Regression!$K$10+(Regression!$K$9*Table83[[#This Row],[Night Pulse]])</f>
        <v>254.86444520884743</v>
      </c>
      <c r="AC225" s="2">
        <f>Table83[[#This Row],[Weight]]-Table7[[#This Row],[Weight v Night Pulse]]</f>
        <v>3.7355547911525946</v>
      </c>
      <c r="AD225" s="2">
        <f>Table7[[#This Row],[WNP Res ]]^2</f>
        <v>13.954369597703105</v>
      </c>
      <c r="AE225">
        <f>Regression!$L$10+(Regression!$L$9*Table83[[#This Row],[Sleep]])</f>
        <v>254.42721281479024</v>
      </c>
      <c r="AF225" s="2">
        <f>Table83[[#This Row],[Weight]]-Table7[[#This Row],[Weight v Sleep]]</f>
        <v>4.1727871852097849</v>
      </c>
      <c r="AG225" s="2">
        <f>Table7[[#This Row],[WS Res]]^2</f>
        <v>17.412152893051001</v>
      </c>
      <c r="AH225">
        <f>Regression!$M$10+(Regression!$M$9*Table83[[#This Row],[BMI]])</f>
        <v>258.59999999999229</v>
      </c>
      <c r="AI225" s="2">
        <f>Table83[[#This Row],[Weight]]-Table7[[#This Row],[Weight v BMI]]</f>
        <v>7.73070496506989E-12</v>
      </c>
      <c r="AJ225" s="2">
        <f>Table7[[#This Row],[WBMI Res]]^2</f>
        <v>5.976379925695625E-23</v>
      </c>
      <c r="AK225">
        <f>Regression!$N$10+(Regression!$N$9*Table83[[#This Row],[CBF]])</f>
        <v>259.27809165285294</v>
      </c>
      <c r="AL225" s="2">
        <f>Table83[[#This Row],[Weight]]-Table7[[#This Row],[Weight v CBF]]</f>
        <v>-0.67809165285291328</v>
      </c>
      <c r="AM225" s="2">
        <f>Table7[[#This Row],[WCBF Res]]^2</f>
        <v>0.45980828966879589</v>
      </c>
      <c r="AN225">
        <f>Regression!$O$10+(Regression!$O$9*Table83[[#This Row],[Gym]])</f>
        <v>255.46779661016953</v>
      </c>
      <c r="AO225" s="2">
        <f>Table83[[#This Row],[Weight]]-Table7[[#This Row],[Weight v Gym]]</f>
        <v>3.1322033898304937</v>
      </c>
      <c r="AP225" s="2">
        <f>Table7[[#This Row],[WG Res]]^2</f>
        <v>9.8106980752656359</v>
      </c>
      <c r="AQ225">
        <f>Regression!$P$10+(Regression!$P$9*Table83[[#This Row],[Cardio]])</f>
        <v>256.41063829787231</v>
      </c>
      <c r="AR225" s="2">
        <f>Table83[[#This Row],[Weight]]-Table7[[#This Row],[Weight v Cardio]]</f>
        <v>2.1893617021277123</v>
      </c>
      <c r="AS225" s="2">
        <f>Table7[[#This Row],[WC Res]]^2</f>
        <v>4.7933046627435534</v>
      </c>
      <c r="AT225">
        <f>Regression!$Q$10+(Regression!$Q$9*Table83[[#This Row],[Calories]])</f>
        <v>255.60163568470145</v>
      </c>
      <c r="AU225" s="2">
        <f>Table83[[#This Row],[Weight]]-Table7[[#This Row],[Weight v Calories]]</f>
        <v>2.9983643152985735</v>
      </c>
      <c r="AV225" s="2">
        <f>Table7[[#This Row],[WCAL Res]]^2</f>
        <v>8.990188567255883</v>
      </c>
      <c r="AW225">
        <f>Regression!$R$10+(Regression!$R$9*Table83[[#This Row],[Carbs]])</f>
        <v>255.51771306381946</v>
      </c>
      <c r="AX225" s="2">
        <f>Table83[[#This Row],[Weight]]-Table7[[#This Row],[Weight v Carbs]]</f>
        <v>3.0822869361805658</v>
      </c>
      <c r="AY225" s="2">
        <f>Table7[[#This Row],[Wcarb Res]]^2</f>
        <v>9.5004927569493791</v>
      </c>
      <c r="AZ225">
        <f>Regression!$S$10+(Regression!$S$9*Table83[[#This Row],[Fat ]])</f>
        <v>255.4815680994673</v>
      </c>
      <c r="BA225" s="2">
        <f>Table83[[#This Row],[Weight]]-Table7[[#This Row],[Weight v Fat]]</f>
        <v>3.1184319005327268</v>
      </c>
      <c r="BB225" s="2">
        <f>Table7[[#This Row],[WF Res]]^2</f>
        <v>9.7246175182601551</v>
      </c>
      <c r="BC225">
        <f>Regression!$T$10+(Regression!$T$9*Table83[[#This Row],[Protein]])</f>
        <v>255.71068626785831</v>
      </c>
      <c r="BD225" s="2">
        <f>Table83[[#This Row],[Weight]]-Table7[[#This Row],[Weight v Protein]]</f>
        <v>2.8893137321417157</v>
      </c>
      <c r="BE225" s="2">
        <f>Table7[[#This Row],[WP Res]]^2</f>
        <v>8.3481338427426905</v>
      </c>
      <c r="BF225">
        <f>Regression!$U$10+(Regression!$U$9*Table83[[#This Row],[Fiber]])</f>
        <v>255.28619808392051</v>
      </c>
      <c r="BG225" s="2">
        <f>Table83[[#This Row],[Weight]]-Table7[[#This Row],[Weight v Fiber]]</f>
        <v>3.3138019160795125</v>
      </c>
      <c r="BH225" s="2">
        <f>Table7[[#This Row],[Wfib Res]]^2</f>
        <v>10.981283139012248</v>
      </c>
      <c r="BI225">
        <f>Regression!$V$10+(Regression!$V$9*Table83[[#This Row],[Sugar]])</f>
        <v>255.91507863517359</v>
      </c>
      <c r="BJ225" s="2">
        <f>Table83[[#This Row],[Weight]]-Table7[[#This Row],[Weight v Sugar]]</f>
        <v>2.6849213648264367</v>
      </c>
      <c r="BK225" s="2">
        <f>Table7[[#This Row],[Wsugar Res]]^2</f>
        <v>7.2088027353014557</v>
      </c>
      <c r="BL225">
        <f>Regression!$W$10+(Regression!$W$9*Table83[[#This Row],[Servings]])</f>
        <v>256.03224133519734</v>
      </c>
      <c r="BM225" s="2">
        <f>Table83[[#This Row],[Weight]]-Table7[[#This Row],[Weight v Servings]]</f>
        <v>2.5677586648026818</v>
      </c>
      <c r="BN225" s="2">
        <f>Table7[[#This Row],[Wserv Res]]^2</f>
        <v>6.5933845606692509</v>
      </c>
      <c r="BO225">
        <f>Regression!$X$10+(Regression!$X$9*Table83[[#This Row],[Water]])</f>
        <v>255.19189796045953</v>
      </c>
      <c r="BP225" s="2">
        <f>Table83[[#This Row],[Weight]]-Table7[[#This Row],[Weight v Water]]</f>
        <v>3.4081020395404948</v>
      </c>
      <c r="BQ225" s="2">
        <f>Table7[[#This Row],[Wwater Res]]^2</f>
        <v>11.61515951192008</v>
      </c>
      <c r="BR225">
        <f>Regression!$Y$10+(Regression!$Y$9*Table83[[#This Row],[Fat Calories]])</f>
        <v>255.50025622702941</v>
      </c>
      <c r="BS225" s="2">
        <f>Table83[[#This Row],[Weight]]-Table7[[#This Row],[Weight v Fat Calories]]</f>
        <v>3.0997437729706121</v>
      </c>
      <c r="BT225" s="2">
        <f>Table7[[#This Row],[WFC Res]]^2</f>
        <v>9.6084114580700852</v>
      </c>
      <c r="BU225">
        <f>Regression!$B$29+(Regression!$B$28*Table83[[#This Row],[Weight]])</f>
        <v>44.928408643030586</v>
      </c>
      <c r="BV225" s="2">
        <f>Table83[[#This Row],[Waist]]-Table7[[#This Row],[Waist v Weight]]</f>
        <v>7.1591356969413766E-2</v>
      </c>
      <c r="BW225" s="2">
        <f>Table7[[#This Row],[WaistW Res]]^2</f>
        <v>5.1253223927220292E-3</v>
      </c>
      <c r="BX225">
        <f>Regression!$C$29+(Regression!$C$28*Table83[[#This Row],[Neck]])</f>
        <v>44.175585585585594</v>
      </c>
      <c r="BY225" s="2">
        <f>Table83[[#This Row],[Waist]]-Table7[[#This Row],[Waist v Neck]]</f>
        <v>0.82441441441440588</v>
      </c>
      <c r="BZ225" s="2">
        <f>Table7[[#This Row],[WaistN Res]]^2</f>
        <v>0.67965912669424777</v>
      </c>
      <c r="CA225">
        <f>Regression!$D$29+(Regression!$D$28*Table83[[#This Row],[Morning Body Temp]])</f>
        <v>44.361863864877819</v>
      </c>
      <c r="CB225" s="2">
        <f>Table83[[#This Row],[Waist]]-Table7[[#This Row],[Waist v Morning Temp]]</f>
        <v>0.63813613512218126</v>
      </c>
      <c r="CC225" s="2">
        <f>Table7[[#This Row],[WaistMT Res]]^2</f>
        <v>0.40721772694867475</v>
      </c>
      <c r="CD225">
        <f>Regression!$E$29+(Regression!$E$28*Table83[[#This Row],[Morning Systolic Pressure]])</f>
        <v>44.471065537879056</v>
      </c>
      <c r="CE225" s="2">
        <f>Table83[[#This Row],[Waist]]-Table7[[#This Row],[Waist v Morning Sys]]</f>
        <v>0.52893446212094375</v>
      </c>
      <c r="CF225" s="2">
        <f>Table7[[#This Row],[WaistMS Res]]^2</f>
        <v>0.27977166521917207</v>
      </c>
      <c r="CG225">
        <f>Regression!$F$29+(Regression!$F$28*Table83[[#This Row],[Morning Diastolic Pressure]])</f>
        <v>44.469723530150823</v>
      </c>
      <c r="CH225" s="2">
        <f>Table83[[#This Row],[Waist]]-Table7[[#This Row],[Waist v Morning Dia]]</f>
        <v>0.53027646984917709</v>
      </c>
      <c r="CI225" s="2">
        <f>Table7[[#This Row],[WaistMD Res]]^2</f>
        <v>0.28119313447570521</v>
      </c>
      <c r="CJ225">
        <f>Regression!$G$29+(Regression!$G$28*Table83[[#This Row],[Morning Pulse]])</f>
        <v>44.462971225815949</v>
      </c>
      <c r="CK225" s="2">
        <f>Table83[[#This Row],[Waist]]-Table7[[#This Row],[Waist v Morning Pulse]]</f>
        <v>0.53702877418405137</v>
      </c>
      <c r="CL225" s="2">
        <f>Table7[[#This Row],[WaistMP Res]]^2</f>
        <v>0.28839990430162482</v>
      </c>
      <c r="CM225">
        <f>Regression!$H$29+(Regression!$H$28*Table83[[#This Row],[Night Body Temp]])</f>
        <v>44.416566259439634</v>
      </c>
      <c r="CN225" s="2">
        <f>Table83[[#This Row],[Waist]]-Table7[[#This Row],[Waist v Night Temp]]</f>
        <v>0.58343374056036623</v>
      </c>
      <c r="CO225" s="2">
        <f>Table7[[#This Row],[WaistNT Res]]^2</f>
        <v>0.34039492962426071</v>
      </c>
      <c r="CP225">
        <f>Regression!$I$29+(Regression!$I$28*Table83[[#This Row],[Night Systolic Pressure]])</f>
        <v>44.48557954395644</v>
      </c>
      <c r="CQ225" s="2">
        <f>Table83[[#This Row],[Waist]]-Table7[[#This Row],[Waist v  Night Sys]]</f>
        <v>0.51442045604355968</v>
      </c>
      <c r="CR225" s="2">
        <f>Table7[[#This Row],[WaistNS Res]]^2</f>
        <v>0.26462840559606393</v>
      </c>
      <c r="CS225">
        <f>Regression!$J$29+(Regression!$J$28*Table83[[#This Row],[Night Diastolic Pressure]])</f>
        <v>44.409888175531407</v>
      </c>
      <c r="CT225" s="2">
        <f>Table83[[#This Row],[Waist]]-Table7[[#This Row],[Waist v Night Dia]]</f>
        <v>0.59011182446859323</v>
      </c>
      <c r="CU225" s="2">
        <f>Table7[[#This Row],[WaistND Res]]^2</f>
        <v>0.34823196537765178</v>
      </c>
      <c r="CV225">
        <f>Regression!$K$29+(Regression!$K$28*Table83[[#This Row],[Night Pulse]])</f>
        <v>44.476848850431054</v>
      </c>
      <c r="CW225" s="2">
        <f>Table83[[#This Row],[Waist]]-Table7[[#This Row],[Waist v Night Pulse]]</f>
        <v>0.52315114956894604</v>
      </c>
      <c r="CX225" s="2">
        <f>Table7[[#This Row],[WaistNP Res]]^2</f>
        <v>0.27368712529530975</v>
      </c>
      <c r="CY225">
        <f>Regression!$L$29+(Regression!$L$28*Table83[[#This Row],[Sleep]])</f>
        <v>44.348669174867879</v>
      </c>
      <c r="CZ225" s="2">
        <f>Table83[[#This Row],[Waist]]-Table7[[#This Row],[Waist v  Sleep]]</f>
        <v>0.65133082513212059</v>
      </c>
      <c r="DA225" s="2">
        <f>Table7[[#This Row],[WaistS Res]]^2</f>
        <v>0.42423184376728906</v>
      </c>
      <c r="DB225">
        <f>Regression!$M$29+(Regression!$M$28*Table83[[#This Row],[BMI]])</f>
        <v>44.92840864302908</v>
      </c>
      <c r="DC225" s="2">
        <f>Table83[[#This Row],[Waist]]-Table7[[#This Row],[Waist v BMI]]</f>
        <v>7.1591356970920117E-2</v>
      </c>
      <c r="DD225" s="2">
        <f>Table7[[#This Row],[WaistBMI Res]]^2</f>
        <v>5.1253223929377126E-3</v>
      </c>
      <c r="DE225">
        <f>Regression!$N$29+(Regression!$N$28*Table83[[#This Row],[CBF]])</f>
        <v>45.203183363709613</v>
      </c>
      <c r="DF225" s="2">
        <f>Table83[[#This Row],[Waist]]-Table7[[#This Row],[Waist v  CBF]]</f>
        <v>-0.20318336370961276</v>
      </c>
      <c r="DG225" s="2">
        <f>Table7[[#This Row],[WaistCBF Res]]^2</f>
        <v>4.1283479288352784E-2</v>
      </c>
      <c r="DH225">
        <f>Regression!$O$29+(Regression!$O$28*Table83[[#This Row],[Gym]])</f>
        <v>44.550847457627107</v>
      </c>
      <c r="DI225" s="2">
        <f>Table83[[#This Row],[Waist]]-Table7[[#This Row],[Waist v  Gym]]</f>
        <v>0.44915254237289304</v>
      </c>
      <c r="DJ225" s="2">
        <f>Table7[[#This Row],[WaistGYM Res]]^2</f>
        <v>0.20173800632003347</v>
      </c>
      <c r="DK225">
        <f>Regression!$P$29+(Regression!$P$28*Table83[[#This Row],[Cardio]])</f>
        <v>44.680851063829778</v>
      </c>
      <c r="DL225" s="2">
        <f>Table83[[#This Row],[Waist]]-Table7[[#This Row],[Waist v Cardio]]</f>
        <v>0.31914893617022244</v>
      </c>
      <c r="DM225" s="2">
        <f>Table7[[#This Row],[WaistC Res]]^2</f>
        <v>0.10185604345858472</v>
      </c>
      <c r="DN225">
        <f>Regression!$Q$29+(Regression!$Q$28*Table83[[#This Row],[Calories]])</f>
        <v>44.562866126449322</v>
      </c>
      <c r="DO225" s="2">
        <f>Table83[[#This Row],[Waist]]-Table7[[#This Row],[Waist v Calories]]</f>
        <v>0.43713387355067823</v>
      </c>
      <c r="DP225" s="2">
        <f>Table7[[#This Row],[WaistCal Res]]^2</f>
        <v>0.19108602340542036</v>
      </c>
      <c r="DQ225">
        <f>Regression!$R$29+(Regression!$R$28*Table83[[#This Row],[Carbs]])</f>
        <v>44.537373004659578</v>
      </c>
      <c r="DR225" s="2">
        <f>Table83[[#This Row],[Waist]]-Table7[[#This Row],[Waist v Carbs]]</f>
        <v>0.46262699534042184</v>
      </c>
      <c r="DS225" s="2">
        <f>Table7[[#This Row],[WaistCarb Res]]^2</f>
        <v>0.2140237368177067</v>
      </c>
      <c r="DT225">
        <f>Regression!$S$29+(Regression!$S$28*Table83[[#This Row],[Fat ]])</f>
        <v>44.5655784078292</v>
      </c>
      <c r="DU225" s="2">
        <f>Table83[[#This Row],[Waist]]-Table7[[#This Row],[Waist v Fat]]</f>
        <v>0.4344215921707999</v>
      </c>
      <c r="DV225" s="2">
        <f>Table7[[#This Row],[WaistF Res]]^2</f>
        <v>0.1887221197442128</v>
      </c>
      <c r="DW225">
        <f>Regression!$T$29+(Regression!$T$28*Table83[[#This Row],[Protein]])</f>
        <v>44.562564438669277</v>
      </c>
      <c r="DX225" s="2">
        <f>Table83[[#This Row],[Waist]]-Table7[[#This Row],[Waist v Protein]]</f>
        <v>0.43743556133072303</v>
      </c>
      <c r="DY225" s="2">
        <f>Table7[[#This Row],[WaistP Res]]^2</f>
        <v>0.19134987031672476</v>
      </c>
      <c r="DZ225">
        <f>Regression!$U$29+(Regression!$U$28*Table83[[#This Row],[Fiber]])</f>
        <v>44.519581234071858</v>
      </c>
      <c r="EA225" s="2">
        <f>Table83[[#This Row],[Waist]]-Table7[[#This Row],[Waist v Fiber]]</f>
        <v>0.48041876592814248</v>
      </c>
      <c r="EB225" s="2">
        <f>Table7[[#This Row],[WaistFib Res]]^2</f>
        <v>0.23080219065591936</v>
      </c>
      <c r="EC225">
        <f>Regression!$V$29+(Regression!$V$28*Table83[[#This Row],[Sugar]])</f>
        <v>44.597257077897645</v>
      </c>
      <c r="ED225" s="2">
        <f>Table83[[#This Row],[Waist]]-Table7[[#This Row],[Waist v Sugar]]</f>
        <v>0.40274292210235529</v>
      </c>
      <c r="EE225" s="2">
        <f>Table7[[#This Row],[WaistSugar Res]]^2</f>
        <v>0.16220186130354383</v>
      </c>
      <c r="EF225">
        <f>Regression!$W$29+(Regression!$W$28*Table83[[#This Row],[Servings]])</f>
        <v>44.593488818048314</v>
      </c>
      <c r="EG225" s="2">
        <f>Table83[[#This Row],[Waist]]-Table7[[#This Row],[Waist v Servings]]</f>
        <v>0.40651118195168578</v>
      </c>
      <c r="EH225" s="2">
        <f>Table7[[#This Row],[WaistServ Res]]^2</f>
        <v>0.1652513410517566</v>
      </c>
      <c r="EI225">
        <f>Regression!$X$29+(Regression!$X$28*Table83[[#This Row],[Water]])</f>
        <v>44.553850107074496</v>
      </c>
      <c r="EJ225" s="2">
        <f>Table83[[#This Row],[Waist]]-Table7[[#This Row],[Waist v Water]]</f>
        <v>0.44614989292550433</v>
      </c>
      <c r="EK225" s="2">
        <f>Table7[[#This Row],[WaistWat Res]]^2</f>
        <v>0.19904972695743897</v>
      </c>
      <c r="EL225">
        <f>Regression!$Y$29+(Regression!$Y$28*Table83[[#This Row],[Fat Calories]])</f>
        <v>44.570693867539219</v>
      </c>
      <c r="EM225" s="2">
        <f>Table83[[#This Row],[Waist]]-Table7[[#This Row],[Waist v Fat Calories]]</f>
        <v>0.42930613246078053</v>
      </c>
      <c r="EN225" s="2">
        <f>Table7[[#This Row],[WaistFatCal Res]]^2</f>
        <v>0.18430375536843324</v>
      </c>
    </row>
    <row r="226" spans="1:144" x14ac:dyDescent="0.25">
      <c r="A226">
        <f>Regression!$B$10+(Regression!$B$9*Table83[[#This Row],[Waist]])</f>
        <v>258.23421455025004</v>
      </c>
      <c r="B226" s="2">
        <f>Table83[[#This Row],[Weight]]-Table7[[#This Row],[Weight v Waist]]</f>
        <v>-2.434214550250033</v>
      </c>
      <c r="C226" s="2">
        <f>Table7[[#This Row],[Weight v Waist Res]]^2</f>
        <v>5.9254004766489698</v>
      </c>
      <c r="D226">
        <f>Regression!$C$10+(Regression!$C$9*Table83[[#This Row],[Neck]])</f>
        <v>253.29286486487842</v>
      </c>
      <c r="E226" s="2">
        <f>Table83[[#This Row],[Weight]]-Table7[[#This Row],[Weight v Neck]]</f>
        <v>2.5071351351215867</v>
      </c>
      <c r="F226" s="2">
        <f>Table7[[#This Row],[WN Res]]^2</f>
        <v>6.2857265857611369</v>
      </c>
      <c r="G226">
        <f>Regression!$D$10+(Regression!$D$9*Table83[[#This Row],[Morning Body Temp]])</f>
        <v>254.56677656952775</v>
      </c>
      <c r="H226" s="2">
        <f>Table83[[#This Row],[Weight]]-Table7[[#This Row],[Weight v Morning Temp]]</f>
        <v>1.2332234304722647</v>
      </c>
      <c r="I226" s="2">
        <f>Table7[[#This Row],[WMT Res]]^2</f>
        <v>1.5208400294657807</v>
      </c>
      <c r="J226">
        <f>Regression!$E$10+(Regression!$E$9*Table83[[#This Row],[Morning Systolic Pressure]])</f>
        <v>254.91917781330181</v>
      </c>
      <c r="K226" s="2">
        <f>Table83[[#This Row],[Weight]]-Table7[[#This Row],[Weight v Morning Sys]]</f>
        <v>0.88082218669819667</v>
      </c>
      <c r="L226" s="2">
        <f>Table7[[#This Row],[WMS Res]]^2</f>
        <v>0.77584772457979279</v>
      </c>
      <c r="M226">
        <f>Regression!$F$10+(Regression!$F$9*Table83[[#This Row],[Morning Diastolic Pressure]])</f>
        <v>254.8993513991569</v>
      </c>
      <c r="N226" s="2">
        <f>Table83[[#This Row],[Weight]]-Table7[[#This Row],[Weight v Morning Dia]]</f>
        <v>0.90064860084311249</v>
      </c>
      <c r="O226" s="2">
        <f>Table7[[#This Row],[WMD Res]]^2</f>
        <v>0.81116790220065615</v>
      </c>
      <c r="P226">
        <f>Regression!$G$10+(Regression!$G$9*Table83[[#This Row],[Morning Pulse]])</f>
        <v>255.13557864348473</v>
      </c>
      <c r="Q226" s="2">
        <f>Table83[[#This Row],[Weight]]-Table7[[#This Row],[Weight v Morning Pulse]]</f>
        <v>0.66442135651527678</v>
      </c>
      <c r="R226" s="2">
        <f>Table7[[#This Row],[WMP Res]]^2</f>
        <v>0.44145573899360052</v>
      </c>
      <c r="S226">
        <f>Regression!$H$10+(Regression!$H$9*Table83[[#This Row],[Night Body Temp]])</f>
        <v>255.98114895282362</v>
      </c>
      <c r="T226" s="2">
        <f>Table83[[#This Row],[Weight]]-Table7[[#This Row],[Weight v Night Temp]]</f>
        <v>-0.18114895282360521</v>
      </c>
      <c r="U226" s="2">
        <f>Table7[[#This Row],[WNT Res]]^2</f>
        <v>3.2814943109088744E-2</v>
      </c>
      <c r="V226">
        <f>Regression!$I$10+(Regression!$I$9*Table83[[#This Row],[Night Systolic Pressure]])</f>
        <v>255.34122622719568</v>
      </c>
      <c r="W226" s="2">
        <f>Table83[[#This Row],[Weight]]-Table7[[#This Row],[Weight v Night Sys]]</f>
        <v>0.45877377280433507</v>
      </c>
      <c r="X226" s="2">
        <f>Table7[[#This Row],[WNS Res]]^2</f>
        <v>0.21047337461312365</v>
      </c>
      <c r="Y226">
        <f>Regression!$J$10+(Regression!$J$9*Table83[[#This Row],[Night Diastolic Pressure]])</f>
        <v>255.1330822426622</v>
      </c>
      <c r="Z226" s="2">
        <f>Table83[[#This Row],[Weight]]-Table7[[#This Row],[Weight v Night Dia]]</f>
        <v>0.66691775733781355</v>
      </c>
      <c r="AA226" s="2">
        <f>Table7[[#This Row],[WND Res]]^2</f>
        <v>0.44477929505249875</v>
      </c>
      <c r="AB226">
        <f>Regression!$K$10+(Regression!$K$9*Table83[[#This Row],[Night Pulse]])</f>
        <v>255.66299182100232</v>
      </c>
      <c r="AC226" s="2">
        <f>Table83[[#This Row],[Weight]]-Table7[[#This Row],[Weight v Night Pulse]]</f>
        <v>0.13700817899768936</v>
      </c>
      <c r="AD226" s="2">
        <f>Table7[[#This Row],[WNP Res ]]^2</f>
        <v>1.8771241112262887E-2</v>
      </c>
      <c r="AE226">
        <f>Regression!$L$10+(Regression!$L$9*Table83[[#This Row],[Sleep]])</f>
        <v>254.58494990647714</v>
      </c>
      <c r="AF226" s="2">
        <f>Table83[[#This Row],[Weight]]-Table7[[#This Row],[Weight v Sleep]]</f>
        <v>1.2150500935228763</v>
      </c>
      <c r="AG226" s="2">
        <f>Table7[[#This Row],[WS Res]]^2</f>
        <v>1.4763467297699504</v>
      </c>
      <c r="AH226">
        <f>Regression!$M$10+(Regression!$M$9*Table83[[#This Row],[BMI]])</f>
        <v>255.79999999999848</v>
      </c>
      <c r="AI226" s="2">
        <f>Table83[[#This Row],[Weight]]-Table7[[#This Row],[Weight v BMI]]</f>
        <v>1.5347723092418164E-12</v>
      </c>
      <c r="AJ226" s="2">
        <f>Table7[[#This Row],[WBMI Res]]^2</f>
        <v>2.3555260412154577E-24</v>
      </c>
      <c r="AK226">
        <f>Regression!$N$10+(Regression!$N$9*Table83[[#This Row],[CBF]])</f>
        <v>259.27809165285294</v>
      </c>
      <c r="AL226" s="2">
        <f>Table83[[#This Row],[Weight]]-Table7[[#This Row],[Weight v CBF]]</f>
        <v>-3.4780916528529247</v>
      </c>
      <c r="AM226" s="2">
        <f>Table7[[#This Row],[WCBF Res]]^2</f>
        <v>12.097121545645189</v>
      </c>
      <c r="AN226">
        <f>Regression!$O$10+(Regression!$O$9*Table83[[#This Row],[Gym]])</f>
        <v>255.46779661016953</v>
      </c>
      <c r="AO226" s="2">
        <f>Table83[[#This Row],[Weight]]-Table7[[#This Row],[Weight v Gym]]</f>
        <v>0.33220338983048237</v>
      </c>
      <c r="AP226" s="2">
        <f>Table7[[#This Row],[WG Res]]^2</f>
        <v>0.11035909221486344</v>
      </c>
      <c r="AQ226">
        <f>Regression!$P$10+(Regression!$P$9*Table83[[#This Row],[Cardio]])</f>
        <v>256.41063829787231</v>
      </c>
      <c r="AR226" s="2">
        <f>Table83[[#This Row],[Weight]]-Table7[[#This Row],[Weight v Cardio]]</f>
        <v>-0.61063829787229906</v>
      </c>
      <c r="AS226" s="2">
        <f>Table7[[#This Row],[WC Res]]^2</f>
        <v>0.37287913082837865</v>
      </c>
      <c r="AT226">
        <f>Regression!$Q$10+(Regression!$Q$9*Table83[[#This Row],[Calories]])</f>
        <v>255.26235194386118</v>
      </c>
      <c r="AU226" s="2">
        <f>Table83[[#This Row],[Weight]]-Table7[[#This Row],[Weight v Calories]]</f>
        <v>0.53764805613883482</v>
      </c>
      <c r="AV226" s="2">
        <f>Table7[[#This Row],[WCAL Res]]^2</f>
        <v>0.28906543226986769</v>
      </c>
      <c r="AW226">
        <f>Regression!$R$10+(Regression!$R$9*Table83[[#This Row],[Carbs]])</f>
        <v>254.94458453859338</v>
      </c>
      <c r="AX226" s="2">
        <f>Table83[[#This Row],[Weight]]-Table7[[#This Row],[Weight v Carbs]]</f>
        <v>0.85541546140663627</v>
      </c>
      <c r="AY226" s="2">
        <f>Table7[[#This Row],[Wcarb Res]]^2</f>
        <v>0.7317356116135284</v>
      </c>
      <c r="AZ226">
        <f>Regression!$S$10+(Regression!$S$9*Table83[[#This Row],[Fat ]])</f>
        <v>255.39581724000627</v>
      </c>
      <c r="BA226" s="2">
        <f>Table83[[#This Row],[Weight]]-Table7[[#This Row],[Weight v Fat]]</f>
        <v>0.40418275999374487</v>
      </c>
      <c r="BB226" s="2">
        <f>Table7[[#This Row],[WF Res]]^2</f>
        <v>0.16336370347616117</v>
      </c>
      <c r="BC226">
        <f>Regression!$T$10+(Regression!$T$9*Table83[[#This Row],[Protein]])</f>
        <v>255.44806728243813</v>
      </c>
      <c r="BD226" s="2">
        <f>Table83[[#This Row],[Weight]]-Table7[[#This Row],[Weight v Protein]]</f>
        <v>0.35193271756187983</v>
      </c>
      <c r="BE226" s="2">
        <f>Table7[[#This Row],[WP Res]]^2</f>
        <v>0.12385663769048988</v>
      </c>
      <c r="BF226">
        <f>Regression!$U$10+(Regression!$U$9*Table83[[#This Row],[Fiber]])</f>
        <v>255.22426052514686</v>
      </c>
      <c r="BG226" s="2">
        <f>Table83[[#This Row],[Weight]]-Table7[[#This Row],[Weight v Fiber]]</f>
        <v>0.57573947485315102</v>
      </c>
      <c r="BH226" s="2">
        <f>Table7[[#This Row],[Wfib Res]]^2</f>
        <v>0.33147594290418214</v>
      </c>
      <c r="BI226">
        <f>Regression!$V$10+(Regression!$V$9*Table83[[#This Row],[Sugar]])</f>
        <v>254.65733329326847</v>
      </c>
      <c r="BJ226" s="2">
        <f>Table83[[#This Row],[Weight]]-Table7[[#This Row],[Weight v Sugar]]</f>
        <v>1.1426667067315464</v>
      </c>
      <c r="BK226" s="2">
        <f>Table7[[#This Row],[Wsugar Res]]^2</f>
        <v>1.3056872026727178</v>
      </c>
      <c r="BL226">
        <f>Regression!$W$10+(Regression!$W$9*Table83[[#This Row],[Servings]])</f>
        <v>254.04110709751251</v>
      </c>
      <c r="BM226" s="2">
        <f>Table83[[#This Row],[Weight]]-Table7[[#This Row],[Weight v Servings]]</f>
        <v>1.7588929024875029</v>
      </c>
      <c r="BN226" s="2">
        <f>Table7[[#This Row],[Wserv Res]]^2</f>
        <v>3.093704242420912</v>
      </c>
      <c r="BO226">
        <f>Regression!$X$10+(Regression!$X$9*Table83[[#This Row],[Water]])</f>
        <v>255.1490819770581</v>
      </c>
      <c r="BP226" s="2">
        <f>Table83[[#This Row],[Weight]]-Table7[[#This Row],[Weight v Water]]</f>
        <v>0.6509180229419087</v>
      </c>
      <c r="BQ226" s="2">
        <f>Table7[[#This Row],[Wwater Res]]^2</f>
        <v>0.42369427259060316</v>
      </c>
      <c r="BR226">
        <f>Regression!$Y$10+(Regression!$Y$9*Table83[[#This Row],[Fat Calories]])</f>
        <v>255.40899574033389</v>
      </c>
      <c r="BS226" s="2">
        <f>Table83[[#This Row],[Weight]]-Table7[[#This Row],[Weight v Fat Calories]]</f>
        <v>0.39100425966611851</v>
      </c>
      <c r="BT226" s="2">
        <f>Table7[[#This Row],[WFC Res]]^2</f>
        <v>0.15288433107704943</v>
      </c>
      <c r="BU226">
        <f>Regression!$B$29+(Regression!$B$28*Table83[[#This Row],[Weight]])</f>
        <v>44.546873613434634</v>
      </c>
      <c r="BV226" s="2">
        <f>Table83[[#This Row],[Waist]]-Table7[[#This Row],[Waist v Weight]]</f>
        <v>0.45312638656536564</v>
      </c>
      <c r="BW226" s="2">
        <f>Table7[[#This Row],[WaistW Res]]^2</f>
        <v>0.20532352220178518</v>
      </c>
      <c r="BX226">
        <f>Regression!$C$29+(Regression!$C$28*Table83[[#This Row],[Neck]])</f>
        <v>44.175585585585594</v>
      </c>
      <c r="BY226" s="2">
        <f>Table83[[#This Row],[Waist]]-Table7[[#This Row],[Waist v Neck]]</f>
        <v>0.82441441441440588</v>
      </c>
      <c r="BZ226" s="2">
        <f>Table7[[#This Row],[WaistN Res]]^2</f>
        <v>0.67965912669424777</v>
      </c>
      <c r="CA226">
        <f>Regression!$D$29+(Regression!$D$28*Table83[[#This Row],[Morning Body Temp]])</f>
        <v>44.30442342535018</v>
      </c>
      <c r="CB226" s="2">
        <f>Table83[[#This Row],[Waist]]-Table7[[#This Row],[Waist v Morning Temp]]</f>
        <v>0.69557657464982015</v>
      </c>
      <c r="CC226" s="2">
        <f>Table7[[#This Row],[WaistMT Res]]^2</f>
        <v>0.4838267712015768</v>
      </c>
      <c r="CD226">
        <f>Regression!$E$29+(Regression!$E$28*Table83[[#This Row],[Morning Systolic Pressure]])</f>
        <v>44.407523106424492</v>
      </c>
      <c r="CE226" s="2">
        <f>Table83[[#This Row],[Waist]]-Table7[[#This Row],[Waist v Morning Sys]]</f>
        <v>0.59247689357550826</v>
      </c>
      <c r="CF226" s="2">
        <f>Table7[[#This Row],[WaistMS Res]]^2</f>
        <v>0.35102886942088413</v>
      </c>
      <c r="CG226">
        <f>Regression!$F$29+(Regression!$F$28*Table83[[#This Row],[Morning Diastolic Pressure]])</f>
        <v>44.441545426806556</v>
      </c>
      <c r="CH226" s="2">
        <f>Table83[[#This Row],[Waist]]-Table7[[#This Row],[Waist v Morning Dia]]</f>
        <v>0.55845457319344405</v>
      </c>
      <c r="CI226" s="2">
        <f>Table7[[#This Row],[WaistMD Res]]^2</f>
        <v>0.31187151032067173</v>
      </c>
      <c r="CJ226">
        <f>Regression!$G$29+(Regression!$G$28*Table83[[#This Row],[Morning Pulse]])</f>
        <v>44.462971225815949</v>
      </c>
      <c r="CK226" s="2">
        <f>Table83[[#This Row],[Waist]]-Table7[[#This Row],[Waist v Morning Pulse]]</f>
        <v>0.53702877418405137</v>
      </c>
      <c r="CL226" s="2">
        <f>Table7[[#This Row],[WaistMP Res]]^2</f>
        <v>0.28839990430162482</v>
      </c>
      <c r="CM226">
        <f>Regression!$H$29+(Regression!$H$28*Table83[[#This Row],[Night Body Temp]])</f>
        <v>44.521826268903155</v>
      </c>
      <c r="CN226" s="2">
        <f>Table83[[#This Row],[Waist]]-Table7[[#This Row],[Waist v Night Temp]]</f>
        <v>0.47817373109684524</v>
      </c>
      <c r="CO226" s="2">
        <f>Table7[[#This Row],[WaistNT Res]]^2</f>
        <v>0.22865011711107808</v>
      </c>
      <c r="CP226">
        <f>Regression!$I$29+(Regression!$I$28*Table83[[#This Row],[Night Systolic Pressure]])</f>
        <v>44.48557954395644</v>
      </c>
      <c r="CQ226" s="2">
        <f>Table83[[#This Row],[Waist]]-Table7[[#This Row],[Waist v  Night Sys]]</f>
        <v>0.51442045604355968</v>
      </c>
      <c r="CR226" s="2">
        <f>Table7[[#This Row],[WaistNS Res]]^2</f>
        <v>0.26462840559606393</v>
      </c>
      <c r="CS226">
        <f>Regression!$J$29+(Regression!$J$28*Table83[[#This Row],[Night Diastolic Pressure]])</f>
        <v>44.461092011153731</v>
      </c>
      <c r="CT226" s="2">
        <f>Table83[[#This Row],[Waist]]-Table7[[#This Row],[Waist v Night Dia]]</f>
        <v>0.53890798884626889</v>
      </c>
      <c r="CU226" s="2">
        <f>Table7[[#This Row],[WaistND Res]]^2</f>
        <v>0.29042182044233028</v>
      </c>
      <c r="CV226">
        <f>Regression!$K$29+(Regression!$K$28*Table83[[#This Row],[Night Pulse]])</f>
        <v>44.402573446345968</v>
      </c>
      <c r="CW226" s="2">
        <f>Table83[[#This Row],[Waist]]-Table7[[#This Row],[Waist v Night Pulse]]</f>
        <v>0.59742655365403152</v>
      </c>
      <c r="CX226" s="2">
        <f>Table7[[#This Row],[WaistNP Res]]^2</f>
        <v>0.35691848701093343</v>
      </c>
      <c r="CY226">
        <f>Regression!$L$29+(Regression!$L$28*Table83[[#This Row],[Sleep]])</f>
        <v>44.372718658865708</v>
      </c>
      <c r="CZ226" s="2">
        <f>Table83[[#This Row],[Waist]]-Table7[[#This Row],[Waist v  Sleep]]</f>
        <v>0.62728134113429235</v>
      </c>
      <c r="DA226" s="2">
        <f>Table7[[#This Row],[WaistS Res]]^2</f>
        <v>0.39348188093523645</v>
      </c>
      <c r="DB226">
        <f>Regression!$M$29+(Regression!$M$28*Table83[[#This Row],[BMI]])</f>
        <v>44.546873613434336</v>
      </c>
      <c r="DC226" s="2">
        <f>Table83[[#This Row],[Waist]]-Table7[[#This Row],[Waist v BMI]]</f>
        <v>0.45312638656566406</v>
      </c>
      <c r="DD226" s="2">
        <f>Table7[[#This Row],[WaistBMI Res]]^2</f>
        <v>0.20532352220205563</v>
      </c>
      <c r="DE226">
        <f>Regression!$N$29+(Regression!$N$28*Table83[[#This Row],[CBF]])</f>
        <v>45.203183363709613</v>
      </c>
      <c r="DF226" s="2">
        <f>Table83[[#This Row],[Waist]]-Table7[[#This Row],[Waist v  CBF]]</f>
        <v>-0.20318336370961276</v>
      </c>
      <c r="DG226" s="2">
        <f>Table7[[#This Row],[WaistCBF Res]]^2</f>
        <v>4.1283479288352784E-2</v>
      </c>
      <c r="DH226">
        <f>Regression!$O$29+(Regression!$O$28*Table83[[#This Row],[Gym]])</f>
        <v>44.550847457627107</v>
      </c>
      <c r="DI226" s="2">
        <f>Table83[[#This Row],[Waist]]-Table7[[#This Row],[Waist v  Gym]]</f>
        <v>0.44915254237289304</v>
      </c>
      <c r="DJ226" s="2">
        <f>Table7[[#This Row],[WaistGYM Res]]^2</f>
        <v>0.20173800632003347</v>
      </c>
      <c r="DK226">
        <f>Regression!$P$29+(Regression!$P$28*Table83[[#This Row],[Cardio]])</f>
        <v>44.680851063829778</v>
      </c>
      <c r="DL226" s="2">
        <f>Table83[[#This Row],[Waist]]-Table7[[#This Row],[Waist v Cardio]]</f>
        <v>0.31914893617022244</v>
      </c>
      <c r="DM226" s="2">
        <f>Table7[[#This Row],[WaistC Res]]^2</f>
        <v>0.10185604345858472</v>
      </c>
      <c r="DN226">
        <f>Regression!$Q$29+(Regression!$Q$28*Table83[[#This Row],[Calories]])</f>
        <v>44.486636595081499</v>
      </c>
      <c r="DO226" s="2">
        <f>Table83[[#This Row],[Waist]]-Table7[[#This Row],[Waist v Calories]]</f>
        <v>0.51336340491850052</v>
      </c>
      <c r="DP226" s="2">
        <f>Table7[[#This Row],[WaistCal Res]]^2</f>
        <v>0.26354198550951635</v>
      </c>
      <c r="DQ226">
        <f>Regression!$R$29+(Regression!$R$28*Table83[[#This Row],[Carbs]])</f>
        <v>44.418051155408868</v>
      </c>
      <c r="DR226" s="2">
        <f>Table83[[#This Row],[Waist]]-Table7[[#This Row],[Waist v Carbs]]</f>
        <v>0.58194884459113183</v>
      </c>
      <c r="DS226" s="2">
        <f>Table7[[#This Row],[WaistCarb Res]]^2</f>
        <v>0.33866445772095333</v>
      </c>
      <c r="DT226">
        <f>Regression!$S$29+(Regression!$S$28*Table83[[#This Row],[Fat ]])</f>
        <v>44.53936618481255</v>
      </c>
      <c r="DU226" s="2">
        <f>Table83[[#This Row],[Waist]]-Table7[[#This Row],[Waist v Fat]]</f>
        <v>0.46063381518744961</v>
      </c>
      <c r="DV226" s="2">
        <f>Table7[[#This Row],[WaistF Res]]^2</f>
        <v>0.21218351169414548</v>
      </c>
      <c r="DW226">
        <f>Regression!$T$29+(Regression!$T$28*Table83[[#This Row],[Protein]])</f>
        <v>44.514495408973929</v>
      </c>
      <c r="DX226" s="2">
        <f>Table83[[#This Row],[Waist]]-Table7[[#This Row],[Waist v Protein]]</f>
        <v>0.48550459102607135</v>
      </c>
      <c r="DY226" s="2">
        <f>Table7[[#This Row],[WaistP Res]]^2</f>
        <v>0.2357147079073928</v>
      </c>
      <c r="DZ226">
        <f>Regression!$U$29+(Regression!$U$28*Table83[[#This Row],[Fiber]])</f>
        <v>44.495682010591764</v>
      </c>
      <c r="EA226" s="2">
        <f>Table83[[#This Row],[Waist]]-Table7[[#This Row],[Waist v Fiber]]</f>
        <v>0.50431798940823569</v>
      </c>
      <c r="EB226" s="2">
        <f>Table7[[#This Row],[WaistFib Res]]^2</f>
        <v>0.25433663444076532</v>
      </c>
      <c r="EC226">
        <f>Regression!$V$29+(Regression!$V$28*Table83[[#This Row],[Sugar]])</f>
        <v>44.37131715489204</v>
      </c>
      <c r="ED226" s="2">
        <f>Table83[[#This Row],[Waist]]-Table7[[#This Row],[Waist v Sugar]]</f>
        <v>0.62868284510796002</v>
      </c>
      <c r="EE226" s="2">
        <f>Table7[[#This Row],[WaistSugar Res]]^2</f>
        <v>0.39524211973303924</v>
      </c>
      <c r="EF226">
        <f>Regression!$W$29+(Regression!$W$28*Table83[[#This Row],[Servings]])</f>
        <v>44.289674905664775</v>
      </c>
      <c r="EG226" s="2">
        <f>Table83[[#This Row],[Waist]]-Table7[[#This Row],[Waist v Servings]]</f>
        <v>0.71032509433522506</v>
      </c>
      <c r="EH226" s="2">
        <f>Table7[[#This Row],[WaistServ Res]]^2</f>
        <v>0.50456173964234641</v>
      </c>
      <c r="EI226">
        <f>Regression!$X$29+(Regression!$X$28*Table83[[#This Row],[Water]])</f>
        <v>44.497966229663206</v>
      </c>
      <c r="EJ226" s="2">
        <f>Table83[[#This Row],[Waist]]-Table7[[#This Row],[Waist v Water]]</f>
        <v>0.5020337703367943</v>
      </c>
      <c r="EK226" s="2">
        <f>Table7[[#This Row],[WaistWat Res]]^2</f>
        <v>0.25203790655857711</v>
      </c>
      <c r="EL226">
        <f>Regression!$Y$29+(Regression!$Y$28*Table83[[#This Row],[Fat Calories]])</f>
        <v>44.542938928185464</v>
      </c>
      <c r="EM226" s="2">
        <f>Table83[[#This Row],[Waist]]-Table7[[#This Row],[Waist v Fat Calories]]</f>
        <v>0.45706107181453604</v>
      </c>
      <c r="EN226" s="2">
        <f>Table7[[#This Row],[WaistFatCal Res]]^2</f>
        <v>0.20890482336825247</v>
      </c>
    </row>
    <row r="227" spans="1:144" x14ac:dyDescent="0.25">
      <c r="A227">
        <f>Regression!$B$10+(Regression!$B$9*Table83[[#This Row],[Waist]])</f>
        <v>258.23421455025004</v>
      </c>
      <c r="B227" s="2">
        <f>Table83[[#This Row],[Weight]]-Table7[[#This Row],[Weight v Waist]]</f>
        <v>-3.2342145502500443</v>
      </c>
      <c r="C227" s="2">
        <f>Table7[[#This Row],[Weight v Waist Res]]^2</f>
        <v>10.460143757049096</v>
      </c>
      <c r="D227">
        <f>Regression!$C$10+(Regression!$C$9*Table83[[#This Row],[Neck]])</f>
        <v>253.29286486487842</v>
      </c>
      <c r="E227" s="2">
        <f>Table83[[#This Row],[Weight]]-Table7[[#This Row],[Weight v Neck]]</f>
        <v>1.7071351351215753</v>
      </c>
      <c r="F227" s="2">
        <f>Table7[[#This Row],[WN Res]]^2</f>
        <v>2.9143103695665591</v>
      </c>
      <c r="G227">
        <f>Regression!$D$10+(Regression!$D$9*Table83[[#This Row],[Morning Body Temp]])</f>
        <v>254.07398668997121</v>
      </c>
      <c r="H227" s="2">
        <f>Table83[[#This Row],[Weight]]-Table7[[#This Row],[Weight v Morning Temp]]</f>
        <v>0.92601331002879306</v>
      </c>
      <c r="I227" s="2">
        <f>Table7[[#This Row],[WMT Res]]^2</f>
        <v>0.85750065035048162</v>
      </c>
      <c r="J227">
        <f>Regression!$E$10+(Regression!$E$9*Table83[[#This Row],[Morning Systolic Pressure]])</f>
        <v>255.32487264807224</v>
      </c>
      <c r="K227" s="2">
        <f>Table83[[#This Row],[Weight]]-Table7[[#This Row],[Weight v Morning Sys]]</f>
        <v>-0.32487264807224392</v>
      </c>
      <c r="L227" s="2">
        <f>Table7[[#This Row],[WMS Res]]^2</f>
        <v>0.10554223746547205</v>
      </c>
      <c r="M227">
        <f>Regression!$F$10+(Regression!$F$9*Table83[[#This Row],[Morning Diastolic Pressure]])</f>
        <v>254.39263015393252</v>
      </c>
      <c r="N227" s="2">
        <f>Table83[[#This Row],[Weight]]-Table7[[#This Row],[Weight v Morning Dia]]</f>
        <v>0.60736984606748479</v>
      </c>
      <c r="O227" s="2">
        <f>Table7[[#This Row],[WMD Res]]^2</f>
        <v>0.36889812991204018</v>
      </c>
      <c r="P227">
        <f>Regression!$G$10+(Regression!$G$9*Table83[[#This Row],[Morning Pulse]])</f>
        <v>255.13009525621317</v>
      </c>
      <c r="Q227" s="2">
        <f>Table83[[#This Row],[Weight]]-Table7[[#This Row],[Weight v Morning Pulse]]</f>
        <v>-0.13009525621316698</v>
      </c>
      <c r="R227" s="2">
        <f>Table7[[#This Row],[WMP Res]]^2</f>
        <v>1.6924775689169561E-2</v>
      </c>
      <c r="S227">
        <f>Regression!$H$10+(Regression!$H$9*Table83[[#This Row],[Night Body Temp]])</f>
        <v>254.95418324800676</v>
      </c>
      <c r="T227" s="2">
        <f>Table83[[#This Row],[Weight]]-Table7[[#This Row],[Weight v Night Temp]]</f>
        <v>4.5816751993243088E-2</v>
      </c>
      <c r="U227" s="2">
        <f>Table7[[#This Row],[WNT Res]]^2</f>
        <v>2.0991747632103444E-3</v>
      </c>
      <c r="V227">
        <f>Regression!$I$10+(Regression!$I$9*Table83[[#This Row],[Night Systolic Pressure]])</f>
        <v>256.16238489942344</v>
      </c>
      <c r="W227" s="2">
        <f>Table83[[#This Row],[Weight]]-Table7[[#This Row],[Weight v Night Sys]]</f>
        <v>-1.1623848994234436</v>
      </c>
      <c r="X227" s="2">
        <f>Table7[[#This Row],[WNS Res]]^2</f>
        <v>1.3511386544076491</v>
      </c>
      <c r="Y227">
        <f>Regression!$J$10+(Regression!$J$9*Table83[[#This Row],[Night Diastolic Pressure]])</f>
        <v>255.33691158474272</v>
      </c>
      <c r="Z227" s="2">
        <f>Table83[[#This Row],[Weight]]-Table7[[#This Row],[Weight v Night Dia]]</f>
        <v>-0.33691158474272243</v>
      </c>
      <c r="AA227" s="2">
        <f>Table7[[#This Row],[WND Res]]^2</f>
        <v>0.11350941593385264</v>
      </c>
      <c r="AB227">
        <f>Regression!$K$10+(Regression!$K$9*Table83[[#This Row],[Night Pulse]])</f>
        <v>255.78584514594922</v>
      </c>
      <c r="AC227" s="2">
        <f>Table83[[#This Row],[Weight]]-Table7[[#This Row],[Weight v Night Pulse]]</f>
        <v>-0.78584514594922439</v>
      </c>
      <c r="AD227" s="2">
        <f>Table7[[#This Row],[WNP Res ]]^2</f>
        <v>0.61755259341195778</v>
      </c>
      <c r="AE227">
        <f>Regression!$L$10+(Regression!$L$9*Table83[[#This Row],[Sleep]])</f>
        <v>254.58494990647714</v>
      </c>
      <c r="AF227" s="2">
        <f>Table83[[#This Row],[Weight]]-Table7[[#This Row],[Weight v Sleep]]</f>
        <v>0.41505009352286493</v>
      </c>
      <c r="AG227" s="2">
        <f>Table7[[#This Row],[WS Res]]^2</f>
        <v>0.17226658013333893</v>
      </c>
      <c r="AH227">
        <f>Regression!$M$10+(Regression!$M$9*Table83[[#This Row],[BMI]])</f>
        <v>255.00000000000026</v>
      </c>
      <c r="AI227" s="2">
        <f>Table83[[#This Row],[Weight]]-Table7[[#This Row],[Weight v BMI]]</f>
        <v>-2.5579538487363607E-13</v>
      </c>
      <c r="AJ227" s="2">
        <f>Table7[[#This Row],[WBMI Res]]^2</f>
        <v>6.5431278922651603E-26</v>
      </c>
      <c r="AK227">
        <f>Regression!$N$10+(Regression!$N$9*Table83[[#This Row],[CBF]])</f>
        <v>259.27809165285294</v>
      </c>
      <c r="AL227" s="2">
        <f>Table83[[#This Row],[Weight]]-Table7[[#This Row],[Weight v CBF]]</f>
        <v>-4.278091652852936</v>
      </c>
      <c r="AM227" s="2">
        <f>Table7[[#This Row],[WCBF Res]]^2</f>
        <v>18.302068190209965</v>
      </c>
      <c r="AN227">
        <f>Regression!$O$10+(Regression!$O$9*Table83[[#This Row],[Gym]])</f>
        <v>255.46779661016953</v>
      </c>
      <c r="AO227" s="2">
        <f>Table83[[#This Row],[Weight]]-Table7[[#This Row],[Weight v Gym]]</f>
        <v>-0.467796610169529</v>
      </c>
      <c r="AP227" s="2">
        <f>Table7[[#This Row],[WG Res]]^2</f>
        <v>0.21883366848610228</v>
      </c>
      <c r="AQ227">
        <f>Regression!$P$10+(Regression!$P$9*Table83[[#This Row],[Cardio]])</f>
        <v>256.41063829787231</v>
      </c>
      <c r="AR227" s="2">
        <f>Table83[[#This Row],[Weight]]-Table7[[#This Row],[Weight v Cardio]]</f>
        <v>-1.4106382978723104</v>
      </c>
      <c r="AS227" s="2">
        <f>Table7[[#This Row],[WC Res]]^2</f>
        <v>1.9899004074240891</v>
      </c>
      <c r="AT227">
        <f>Regression!$Q$10+(Regression!$Q$9*Table83[[#This Row],[Calories]])</f>
        <v>253.02869174929094</v>
      </c>
      <c r="AU227" s="2">
        <f>Table83[[#This Row],[Weight]]-Table7[[#This Row],[Weight v Calories]]</f>
        <v>1.9713082507090576</v>
      </c>
      <c r="AV227" s="2">
        <f>Table7[[#This Row],[WCAL Res]]^2</f>
        <v>3.8860562193136046</v>
      </c>
      <c r="AW227">
        <f>Regression!$R$10+(Regression!$R$9*Table83[[#This Row],[Carbs]])</f>
        <v>253.29402225389413</v>
      </c>
      <c r="AX227" s="2">
        <f>Table83[[#This Row],[Weight]]-Table7[[#This Row],[Weight v Carbs]]</f>
        <v>1.7059777461058729</v>
      </c>
      <c r="AY227" s="2">
        <f>Table7[[#This Row],[Wcarb Res]]^2</f>
        <v>2.9103600702084744</v>
      </c>
      <c r="AZ227">
        <f>Regression!$S$10+(Regression!$S$9*Table83[[#This Row],[Fat ]])</f>
        <v>254.05204453773311</v>
      </c>
      <c r="BA227" s="2">
        <f>Table83[[#This Row],[Weight]]-Table7[[#This Row],[Weight v Fat]]</f>
        <v>0.94795546226688998</v>
      </c>
      <c r="BB227" s="2">
        <f>Table7[[#This Row],[WF Res]]^2</f>
        <v>0.8986195584416331</v>
      </c>
      <c r="BC227">
        <f>Regression!$T$10+(Regression!$T$9*Table83[[#This Row],[Protein]])</f>
        <v>253.45075243465993</v>
      </c>
      <c r="BD227" s="2">
        <f>Table83[[#This Row],[Weight]]-Table7[[#This Row],[Weight v Protein]]</f>
        <v>1.5492475653400675</v>
      </c>
      <c r="BE227" s="2">
        <f>Table7[[#This Row],[WP Res]]^2</f>
        <v>2.4001680187121268</v>
      </c>
      <c r="BF227">
        <f>Regression!$U$10+(Regression!$U$9*Table83[[#This Row],[Fiber]])</f>
        <v>255.28433920540496</v>
      </c>
      <c r="BG227" s="2">
        <f>Table83[[#This Row],[Weight]]-Table7[[#This Row],[Weight v Fiber]]</f>
        <v>-0.2843392054049616</v>
      </c>
      <c r="BH227" s="2">
        <f>Table7[[#This Row],[Wfib Res]]^2</f>
        <v>8.0848783730324947E-2</v>
      </c>
      <c r="BI227">
        <f>Regression!$V$10+(Regression!$V$9*Table83[[#This Row],[Sugar]])</f>
        <v>253.37143018896523</v>
      </c>
      <c r="BJ227" s="2">
        <f>Table83[[#This Row],[Weight]]-Table7[[#This Row],[Weight v Sugar]]</f>
        <v>1.6285698110347653</v>
      </c>
      <c r="BK227" s="2">
        <f>Table7[[#This Row],[Wsugar Res]]^2</f>
        <v>2.6522396294138111</v>
      </c>
      <c r="BL227">
        <f>Regression!$W$10+(Regression!$W$9*Table83[[#This Row],[Servings]])</f>
        <v>254.80675153561631</v>
      </c>
      <c r="BM227" s="2">
        <f>Table83[[#This Row],[Weight]]-Table7[[#This Row],[Weight v Servings]]</f>
        <v>0.19324846438368581</v>
      </c>
      <c r="BN227" s="2">
        <f>Table7[[#This Row],[Wserv Res]]^2</f>
        <v>3.7344968986652682E-2</v>
      </c>
      <c r="BO227">
        <f>Regression!$X$10+(Regression!$X$9*Table83[[#This Row],[Water]])</f>
        <v>255.10626599365665</v>
      </c>
      <c r="BP227" s="2">
        <f>Table83[[#This Row],[Weight]]-Table7[[#This Row],[Weight v Water]]</f>
        <v>-0.10626599365664902</v>
      </c>
      <c r="BQ227" s="2">
        <f>Table7[[#This Row],[Wwater Res]]^2</f>
        <v>1.1292461407834969E-2</v>
      </c>
      <c r="BR227">
        <f>Regression!$Y$10+(Regression!$Y$9*Table83[[#This Row],[Fat Calories]])</f>
        <v>253.97888353401444</v>
      </c>
      <c r="BS227" s="2">
        <f>Table83[[#This Row],[Weight]]-Table7[[#This Row],[Weight v Fat Calories]]</f>
        <v>1.0211164659855569</v>
      </c>
      <c r="BT227" s="2">
        <f>Table7[[#This Row],[WFC Res]]^2</f>
        <v>1.0426788371068332</v>
      </c>
      <c r="BU227">
        <f>Regression!$B$29+(Regression!$B$28*Table83[[#This Row],[Weight]])</f>
        <v>44.437863604978645</v>
      </c>
      <c r="BV227" s="2">
        <f>Table83[[#This Row],[Waist]]-Table7[[#This Row],[Waist v Weight]]</f>
        <v>0.56213639502135493</v>
      </c>
      <c r="BW227" s="2">
        <f>Table7[[#This Row],[WaistW Res]]^2</f>
        <v>0.31599732660760477</v>
      </c>
      <c r="BX227">
        <f>Regression!$C$29+(Regression!$C$28*Table83[[#This Row],[Neck]])</f>
        <v>44.175585585585594</v>
      </c>
      <c r="BY227" s="2">
        <f>Table83[[#This Row],[Waist]]-Table7[[#This Row],[Waist v Neck]]</f>
        <v>0.82441441441440588</v>
      </c>
      <c r="BZ227" s="2">
        <f>Table7[[#This Row],[WaistN Res]]^2</f>
        <v>0.67965912669424777</v>
      </c>
      <c r="CA227">
        <f>Regression!$D$29+(Regression!$D$28*Table83[[#This Row],[Morning Body Temp]])</f>
        <v>44.170395733119037</v>
      </c>
      <c r="CB227" s="2">
        <f>Table83[[#This Row],[Waist]]-Table7[[#This Row],[Waist v Morning Temp]]</f>
        <v>0.82960426688096334</v>
      </c>
      <c r="CC227" s="2">
        <f>Table7[[#This Row],[WaistMT Res]]^2</f>
        <v>0.68824323962710066</v>
      </c>
      <c r="CD227">
        <f>Regression!$E$29+(Regression!$E$28*Table83[[#This Row],[Morning Systolic Pressure]])</f>
        <v>44.502836753606339</v>
      </c>
      <c r="CE227" s="2">
        <f>Table83[[#This Row],[Waist]]-Table7[[#This Row],[Waist v Morning Sys]]</f>
        <v>0.4971632463936615</v>
      </c>
      <c r="CF227" s="2">
        <f>Table7[[#This Row],[WaistMS Res]]^2</f>
        <v>0.24717129356468456</v>
      </c>
      <c r="CG227">
        <f>Regression!$F$29+(Regression!$F$28*Table83[[#This Row],[Morning Diastolic Pressure]])</f>
        <v>44.413367323462282</v>
      </c>
      <c r="CH227" s="2">
        <f>Table83[[#This Row],[Waist]]-Table7[[#This Row],[Waist v Morning Dia]]</f>
        <v>0.58663267653771811</v>
      </c>
      <c r="CI227" s="2">
        <f>Table7[[#This Row],[WaistMD Res]]^2</f>
        <v>0.34413789718180698</v>
      </c>
      <c r="CJ227">
        <f>Regression!$G$29+(Regression!$G$28*Table83[[#This Row],[Morning Pulse]])</f>
        <v>44.460452718095105</v>
      </c>
      <c r="CK227" s="2">
        <f>Table83[[#This Row],[Waist]]-Table7[[#This Row],[Waist v Morning Pulse]]</f>
        <v>0.53954728190489476</v>
      </c>
      <c r="CL227" s="2">
        <f>Table7[[#This Row],[WaistMP Res]]^2</f>
        <v>0.29111126941095999</v>
      </c>
      <c r="CM227">
        <f>Regression!$H$29+(Regression!$H$28*Table83[[#This Row],[Night Body Temp]])</f>
        <v>44.440857030854289</v>
      </c>
      <c r="CN227" s="2">
        <f>Table83[[#This Row],[Waist]]-Table7[[#This Row],[Waist v Night Temp]]</f>
        <v>0.55914296914571082</v>
      </c>
      <c r="CO227" s="2">
        <f>Table7[[#This Row],[WaistNT Res]]^2</f>
        <v>0.31264085994508134</v>
      </c>
      <c r="CP227">
        <f>Regression!$I$29+(Regression!$I$28*Table83[[#This Row],[Night Systolic Pressure]])</f>
        <v>44.601900458561346</v>
      </c>
      <c r="CQ227" s="2">
        <f>Table83[[#This Row],[Waist]]-Table7[[#This Row],[Waist v  Night Sys]]</f>
        <v>0.39809954143865411</v>
      </c>
      <c r="CR227" s="2">
        <f>Table7[[#This Row],[WaistNS Res]]^2</f>
        <v>0.15848324489366669</v>
      </c>
      <c r="CS227">
        <f>Regression!$J$29+(Regression!$J$28*Table83[[#This Row],[Night Diastolic Pressure]])</f>
        <v>44.546431737190943</v>
      </c>
      <c r="CT227" s="2">
        <f>Table83[[#This Row],[Waist]]-Table7[[#This Row],[Waist v Night Dia]]</f>
        <v>0.45356826280905693</v>
      </c>
      <c r="CU227" s="2">
        <f>Table7[[#This Row],[WaistND Res]]^2</f>
        <v>0.20572416902762575</v>
      </c>
      <c r="CV227">
        <f>Regression!$K$29+(Regression!$K$28*Table83[[#This Row],[Night Pulse]])</f>
        <v>44.39114646110211</v>
      </c>
      <c r="CW227" s="2">
        <f>Table83[[#This Row],[Waist]]-Table7[[#This Row],[Waist v Night Pulse]]</f>
        <v>0.60885353889788973</v>
      </c>
      <c r="CX227" s="2">
        <f>Table7[[#This Row],[WaistNP Res]]^2</f>
        <v>0.37070263182848412</v>
      </c>
      <c r="CY227">
        <f>Regression!$L$29+(Regression!$L$28*Table83[[#This Row],[Sleep]])</f>
        <v>44.372718658865708</v>
      </c>
      <c r="CZ227" s="2">
        <f>Table83[[#This Row],[Waist]]-Table7[[#This Row],[Waist v  Sleep]]</f>
        <v>0.62728134113429235</v>
      </c>
      <c r="DA227" s="2">
        <f>Table7[[#This Row],[WaistS Res]]^2</f>
        <v>0.39348188093523645</v>
      </c>
      <c r="DB227">
        <f>Regression!$M$29+(Regression!$M$28*Table83[[#This Row],[BMI]])</f>
        <v>44.437863604978695</v>
      </c>
      <c r="DC227" s="2">
        <f>Table83[[#This Row],[Waist]]-Table7[[#This Row],[Waist v BMI]]</f>
        <v>0.56213639502130519</v>
      </c>
      <c r="DD227" s="2">
        <f>Table7[[#This Row],[WaistBMI Res]]^2</f>
        <v>0.31599732660754887</v>
      </c>
      <c r="DE227">
        <f>Regression!$N$29+(Regression!$N$28*Table83[[#This Row],[CBF]])</f>
        <v>45.203183363709613</v>
      </c>
      <c r="DF227" s="2">
        <f>Table83[[#This Row],[Waist]]-Table7[[#This Row],[Waist v  CBF]]</f>
        <v>-0.20318336370961276</v>
      </c>
      <c r="DG227" s="2">
        <f>Table7[[#This Row],[WaistCBF Res]]^2</f>
        <v>4.1283479288352784E-2</v>
      </c>
      <c r="DH227">
        <f>Regression!$O$29+(Regression!$O$28*Table83[[#This Row],[Gym]])</f>
        <v>44.550847457627107</v>
      </c>
      <c r="DI227" s="2">
        <f>Table83[[#This Row],[Waist]]-Table7[[#This Row],[Waist v  Gym]]</f>
        <v>0.44915254237289304</v>
      </c>
      <c r="DJ227" s="2">
        <f>Table7[[#This Row],[WaistGYM Res]]^2</f>
        <v>0.20173800632003347</v>
      </c>
      <c r="DK227">
        <f>Regression!$P$29+(Regression!$P$28*Table83[[#This Row],[Cardio]])</f>
        <v>44.680851063829778</v>
      </c>
      <c r="DL227" s="2">
        <f>Table83[[#This Row],[Waist]]-Table7[[#This Row],[Waist v Cardio]]</f>
        <v>0.31914893617022244</v>
      </c>
      <c r="DM227" s="2">
        <f>Table7[[#This Row],[WaistC Res]]^2</f>
        <v>0.10185604345858472</v>
      </c>
      <c r="DN227">
        <f>Regression!$Q$29+(Regression!$Q$28*Table83[[#This Row],[Calories]])</f>
        <v>43.984782691191683</v>
      </c>
      <c r="DO227" s="2">
        <f>Table83[[#This Row],[Waist]]-Table7[[#This Row],[Waist v Calories]]</f>
        <v>1.0152173088083174</v>
      </c>
      <c r="DP227" s="2">
        <f>Table7[[#This Row],[WaistCal Res]]^2</f>
        <v>1.0306661841040026</v>
      </c>
      <c r="DQ227">
        <f>Regression!$R$29+(Regression!$R$28*Table83[[#This Row],[Carbs]])</f>
        <v>44.074414195381266</v>
      </c>
      <c r="DR227" s="2">
        <f>Table83[[#This Row],[Waist]]-Table7[[#This Row],[Waist v Carbs]]</f>
        <v>0.92558580461873419</v>
      </c>
      <c r="DS227" s="2">
        <f>Table7[[#This Row],[WaistCarb Res]]^2</f>
        <v>0.85670908171170956</v>
      </c>
      <c r="DT227">
        <f>Regression!$S$29+(Regression!$S$28*Table83[[#This Row],[Fat ]])</f>
        <v>44.128603307599953</v>
      </c>
      <c r="DU227" s="2">
        <f>Table83[[#This Row],[Waist]]-Table7[[#This Row],[Waist v Fat]]</f>
        <v>0.87139669240004736</v>
      </c>
      <c r="DV227" s="2">
        <f>Table7[[#This Row],[WaistF Res]]^2</f>
        <v>0.75933219552574271</v>
      </c>
      <c r="DW227">
        <f>Regression!$T$29+(Regression!$T$28*Table83[[#This Row],[Protein]])</f>
        <v>44.148912598671011</v>
      </c>
      <c r="DX227" s="2">
        <f>Table83[[#This Row],[Waist]]-Table7[[#This Row],[Waist v Protein]]</f>
        <v>0.8510874013289893</v>
      </c>
      <c r="DY227" s="2">
        <f>Table7[[#This Row],[WaistP Res]]^2</f>
        <v>0.72434976470093215</v>
      </c>
      <c r="DZ227">
        <f>Regression!$U$29+(Regression!$U$28*Table83[[#This Row],[Fiber]])</f>
        <v>44.518863967296333</v>
      </c>
      <c r="EA227" s="2">
        <f>Table83[[#This Row],[Waist]]-Table7[[#This Row],[Waist v Fiber]]</f>
        <v>0.48113603270366667</v>
      </c>
      <c r="EB227" s="2">
        <f>Table7[[#This Row],[WaistFib Res]]^2</f>
        <v>0.23149188196582379</v>
      </c>
      <c r="EC227">
        <f>Regression!$V$29+(Regression!$V$28*Table83[[#This Row],[Sugar]])</f>
        <v>44.140319003915906</v>
      </c>
      <c r="ED227" s="2">
        <f>Table83[[#This Row],[Waist]]-Table7[[#This Row],[Waist v Sugar]]</f>
        <v>0.85968099608409432</v>
      </c>
      <c r="EE227" s="2">
        <f>Table7[[#This Row],[WaistSugar Res]]^2</f>
        <v>0.73905141502814053</v>
      </c>
      <c r="EF227">
        <f>Regression!$W$29+(Regression!$W$28*Table83[[#This Row],[Servings]])</f>
        <v>44.406499491286631</v>
      </c>
      <c r="EG227" s="2">
        <f>Table83[[#This Row],[Waist]]-Table7[[#This Row],[Waist v Servings]]</f>
        <v>0.5935005087133689</v>
      </c>
      <c r="EH227" s="2">
        <f>Table7[[#This Row],[WaistServ Res]]^2</f>
        <v>0.35224285384302767</v>
      </c>
      <c r="EI227">
        <f>Regression!$X$29+(Regression!$X$28*Table83[[#This Row],[Water]])</f>
        <v>44.442082352251923</v>
      </c>
      <c r="EJ227" s="2">
        <f>Table83[[#This Row],[Waist]]-Table7[[#This Row],[Waist v Water]]</f>
        <v>0.55791764774807717</v>
      </c>
      <c r="EK227" s="2">
        <f>Table7[[#This Row],[WaistWat Res]]^2</f>
        <v>0.31127210166874753</v>
      </c>
      <c r="EL227">
        <f>Regression!$Y$29+(Regression!$Y$28*Table83[[#This Row],[Fat Calories]])</f>
        <v>44.108000665277785</v>
      </c>
      <c r="EM227" s="2">
        <f>Table83[[#This Row],[Waist]]-Table7[[#This Row],[Waist v Fat Calories]]</f>
        <v>0.8919993347222146</v>
      </c>
      <c r="EN227" s="2">
        <f>Table7[[#This Row],[WaistFatCal Res]]^2</f>
        <v>0.79566281314487342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Uncleaned Log</vt:lpstr>
      <vt:lpstr>Cleaned Log</vt:lpstr>
      <vt:lpstr>Histograms</vt:lpstr>
      <vt:lpstr>Summary Statistics</vt:lpstr>
      <vt:lpstr>Regression Prep</vt:lpstr>
      <vt:lpstr>Weight Graphs</vt:lpstr>
      <vt:lpstr>Waist Graphs</vt:lpstr>
      <vt:lpstr>Regression</vt:lpstr>
      <vt:lpstr>Residuals</vt:lpstr>
      <vt:lpstr>Weight Residual Plots</vt:lpstr>
      <vt:lpstr>Waist Residual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Chaudoin</dc:creator>
  <cp:lastModifiedBy>William Chaudoin</cp:lastModifiedBy>
  <dcterms:created xsi:type="dcterms:W3CDTF">2024-09-23T23:54:48Z</dcterms:created>
  <dcterms:modified xsi:type="dcterms:W3CDTF">2025-03-27T06:04:06Z</dcterms:modified>
</cp:coreProperties>
</file>